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7.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560" yWindow="60" windowWidth="18820" windowHeight="13960" tabRatio="500" firstSheet="6" activeTab="7"/>
  </bookViews>
  <sheets>
    <sheet name="(1) data on high incomes" sheetId="1" r:id="rId1"/>
    <sheet name="(2) input data re-stacked" sheetId="2" r:id="rId2"/>
    <sheet name="(3) too-equal distr" sheetId="3" r:id="rId3"/>
    <sheet name="(4) merging top incomes" sheetId="6" r:id="rId4"/>
    <sheet name="(5) too-unequal" sheetId="4" r:id="rId5"/>
    <sheet name="(6) preferred inc distrib" sheetId="5" r:id="rId6"/>
    <sheet name="(7) Inequality summary" sheetId="7" r:id="rId7"/>
    <sheet name="(8) Compare countries' ineq" sheetId="8" r:id="rId8"/>
  </sheets>
  <calcPr calcId="1304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104" i="1"/>
  <c r="D103"/>
  <c r="D102"/>
  <c r="D101"/>
  <c r="D100"/>
  <c r="D99"/>
  <c r="D96"/>
  <c r="D95"/>
  <c r="D94"/>
  <c r="D93"/>
  <c r="D92"/>
  <c r="D91"/>
  <c r="D90"/>
  <c r="D89"/>
  <c r="D88"/>
  <c r="D87"/>
  <c r="D86"/>
  <c r="D85"/>
  <c r="D84"/>
  <c r="D83"/>
  <c r="D82"/>
  <c r="D81"/>
  <c r="D80"/>
  <c r="D79"/>
  <c r="D78"/>
  <c r="D77"/>
  <c r="D76"/>
  <c r="D75"/>
  <c r="D74"/>
  <c r="D73"/>
  <c r="D72"/>
  <c r="D71"/>
  <c r="C69"/>
  <c r="D68"/>
  <c r="D67"/>
  <c r="D66"/>
  <c r="C65"/>
  <c r="D64"/>
  <c r="D63"/>
  <c r="D62"/>
  <c r="D61"/>
  <c r="D60"/>
  <c r="D59"/>
  <c r="D58"/>
  <c r="D57"/>
  <c r="D56"/>
  <c r="D55"/>
  <c r="D54"/>
  <c r="J29"/>
  <c r="H29"/>
  <c r="G29"/>
  <c r="E29"/>
  <c r="J26"/>
  <c r="J24"/>
  <c r="J23"/>
  <c r="D22"/>
  <c r="D21"/>
  <c r="J20"/>
  <c r="D19"/>
  <c r="J18"/>
  <c r="D17"/>
  <c r="D16"/>
  <c r="D15"/>
  <c r="D14"/>
  <c r="D13"/>
  <c r="D12"/>
  <c r="D11"/>
  <c r="D10"/>
  <c r="E90" i="2"/>
  <c r="E89"/>
  <c r="E88"/>
  <c r="E87"/>
  <c r="E86"/>
  <c r="E85"/>
  <c r="E84"/>
  <c r="M83"/>
  <c r="E83"/>
  <c r="M82"/>
  <c r="E82"/>
  <c r="M81"/>
  <c r="E81"/>
  <c r="M80"/>
  <c r="E80"/>
  <c r="M79"/>
  <c r="E79"/>
  <c r="M78"/>
  <c r="F78"/>
  <c r="F77"/>
  <c r="F76"/>
  <c r="F75"/>
  <c r="M74"/>
  <c r="F74"/>
  <c r="M73"/>
  <c r="F73"/>
  <c r="M72"/>
  <c r="M71"/>
  <c r="M70"/>
  <c r="M69"/>
  <c r="E66"/>
  <c r="M65"/>
  <c r="M64"/>
  <c r="M63"/>
  <c r="E63"/>
  <c r="M62"/>
  <c r="E62"/>
  <c r="M61"/>
  <c r="M60"/>
  <c r="E58"/>
  <c r="L57"/>
  <c r="E57"/>
  <c r="M56"/>
  <c r="M53"/>
  <c r="E53"/>
  <c r="M52"/>
  <c r="E52"/>
  <c r="M48"/>
  <c r="E48"/>
  <c r="M47"/>
  <c r="E47"/>
  <c r="F46"/>
  <c r="M43"/>
  <c r="M42"/>
  <c r="M38"/>
  <c r="M37"/>
  <c r="E18"/>
  <c r="F14"/>
  <c r="F13"/>
  <c r="F12"/>
  <c r="F11"/>
  <c r="F10"/>
  <c r="F9"/>
  <c r="E6"/>
  <c r="J4"/>
  <c r="D3"/>
  <c r="G207" i="3"/>
  <c r="E207"/>
  <c r="E201"/>
  <c r="F199"/>
  <c r="E199"/>
  <c r="D199"/>
  <c r="J198"/>
  <c r="I198"/>
  <c r="H198"/>
  <c r="J197"/>
  <c r="I197"/>
  <c r="H197"/>
  <c r="J196"/>
  <c r="I196"/>
  <c r="H196"/>
  <c r="J195"/>
  <c r="I195"/>
  <c r="H195"/>
  <c r="J194"/>
  <c r="I194"/>
  <c r="H194"/>
  <c r="J193"/>
  <c r="I193"/>
  <c r="H193"/>
  <c r="J192"/>
  <c r="I192"/>
  <c r="H192"/>
  <c r="J191"/>
  <c r="I191"/>
  <c r="H191"/>
  <c r="J190"/>
  <c r="I190"/>
  <c r="H190"/>
  <c r="J189"/>
  <c r="I189"/>
  <c r="H189"/>
  <c r="J188"/>
  <c r="I188"/>
  <c r="H188"/>
  <c r="J187"/>
  <c r="I187"/>
  <c r="H187"/>
  <c r="J186"/>
  <c r="I186"/>
  <c r="H186"/>
  <c r="J185"/>
  <c r="I185"/>
  <c r="H185"/>
  <c r="J184"/>
  <c r="I184"/>
  <c r="H184"/>
  <c r="J183"/>
  <c r="I183"/>
  <c r="H183"/>
  <c r="J182"/>
  <c r="I182"/>
  <c r="H182"/>
  <c r="J181"/>
  <c r="I181"/>
  <c r="H181"/>
  <c r="J180"/>
  <c r="I180"/>
  <c r="H180"/>
  <c r="J179"/>
  <c r="I179"/>
  <c r="H179"/>
  <c r="J178"/>
  <c r="I178"/>
  <c r="H178"/>
  <c r="J177"/>
  <c r="I177"/>
  <c r="H177"/>
  <c r="J176"/>
  <c r="I176"/>
  <c r="H176"/>
  <c r="J175"/>
  <c r="I175"/>
  <c r="H175"/>
  <c r="J174"/>
  <c r="I174"/>
  <c r="H174"/>
  <c r="J173"/>
  <c r="I173"/>
  <c r="H173"/>
  <c r="J172"/>
  <c r="I172"/>
  <c r="H172"/>
  <c r="J171"/>
  <c r="I171"/>
  <c r="H171"/>
  <c r="J170"/>
  <c r="I170"/>
  <c r="H170"/>
  <c r="J169"/>
  <c r="I169"/>
  <c r="H169"/>
  <c r="J168"/>
  <c r="I168"/>
  <c r="H168"/>
  <c r="J167"/>
  <c r="I167"/>
  <c r="H167"/>
  <c r="J166"/>
  <c r="I166"/>
  <c r="H166"/>
  <c r="J165"/>
  <c r="I165"/>
  <c r="H165"/>
  <c r="J164"/>
  <c r="I164"/>
  <c r="H164"/>
  <c r="J163"/>
  <c r="I163"/>
  <c r="H163"/>
  <c r="J162"/>
  <c r="I162"/>
  <c r="H162"/>
  <c r="J161"/>
  <c r="I161"/>
  <c r="H161"/>
  <c r="J160"/>
  <c r="I160"/>
  <c r="H160"/>
  <c r="J159"/>
  <c r="I159"/>
  <c r="H159"/>
  <c r="J158"/>
  <c r="I158"/>
  <c r="H158"/>
  <c r="J157"/>
  <c r="I157"/>
  <c r="H157"/>
  <c r="J156"/>
  <c r="I156"/>
  <c r="H156"/>
  <c r="J155"/>
  <c r="I155"/>
  <c r="H155"/>
  <c r="J154"/>
  <c r="I154"/>
  <c r="H154"/>
  <c r="J153"/>
  <c r="I153"/>
  <c r="H153"/>
  <c r="J152"/>
  <c r="I152"/>
  <c r="H152"/>
  <c r="J151"/>
  <c r="I151"/>
  <c r="H151"/>
  <c r="L150"/>
  <c r="J150"/>
  <c r="I150"/>
  <c r="H150"/>
  <c r="M149"/>
  <c r="J149"/>
  <c r="I149"/>
  <c r="H149"/>
  <c r="M148"/>
  <c r="L148"/>
  <c r="J148"/>
  <c r="I148"/>
  <c r="H148"/>
  <c r="J147"/>
  <c r="I147"/>
  <c r="H147"/>
  <c r="J146"/>
  <c r="I146"/>
  <c r="H146"/>
  <c r="J145"/>
  <c r="I145"/>
  <c r="H145"/>
  <c r="J144"/>
  <c r="I144"/>
  <c r="H144"/>
  <c r="J143"/>
  <c r="I143"/>
  <c r="H143"/>
  <c r="J142"/>
  <c r="I142"/>
  <c r="H142"/>
  <c r="J141"/>
  <c r="I141"/>
  <c r="H141"/>
  <c r="J140"/>
  <c r="I140"/>
  <c r="H140"/>
  <c r="J139"/>
  <c r="I139"/>
  <c r="H139"/>
  <c r="J138"/>
  <c r="I138"/>
  <c r="H138"/>
  <c r="L137"/>
  <c r="J137"/>
  <c r="I137"/>
  <c r="H137"/>
  <c r="M136"/>
  <c r="J136"/>
  <c r="I136"/>
  <c r="H136"/>
  <c r="M135"/>
  <c r="L135"/>
  <c r="J135"/>
  <c r="I135"/>
  <c r="H135"/>
  <c r="L134"/>
  <c r="J134"/>
  <c r="I134"/>
  <c r="H134"/>
  <c r="M133"/>
  <c r="J133"/>
  <c r="I133"/>
  <c r="H133"/>
  <c r="M132"/>
  <c r="L132"/>
  <c r="J132"/>
  <c r="I132"/>
  <c r="H132"/>
  <c r="J131"/>
  <c r="I131"/>
  <c r="H131"/>
  <c r="L130"/>
  <c r="J130"/>
  <c r="I130"/>
  <c r="H130"/>
  <c r="M129"/>
  <c r="J129"/>
  <c r="I129"/>
  <c r="H129"/>
  <c r="M128"/>
  <c r="L128"/>
  <c r="J128"/>
  <c r="I128"/>
  <c r="H128"/>
  <c r="L127"/>
  <c r="J127"/>
  <c r="I127"/>
  <c r="H127"/>
  <c r="M126"/>
  <c r="J126"/>
  <c r="I126"/>
  <c r="H126"/>
  <c r="M125"/>
  <c r="L125"/>
  <c r="J125"/>
  <c r="I125"/>
  <c r="H125"/>
  <c r="J124"/>
  <c r="I124"/>
  <c r="H124"/>
  <c r="J123"/>
  <c r="I123"/>
  <c r="H123"/>
  <c r="J122"/>
  <c r="I122"/>
  <c r="H122"/>
  <c r="J121"/>
  <c r="I121"/>
  <c r="H121"/>
  <c r="F115"/>
  <c r="D115"/>
  <c r="F114"/>
  <c r="E114"/>
  <c r="D114"/>
  <c r="E112"/>
  <c r="B111"/>
  <c r="F110"/>
  <c r="E110"/>
  <c r="D110"/>
  <c r="F109"/>
  <c r="C63"/>
  <c r="E9"/>
  <c r="D80" i="6"/>
  <c r="C80"/>
  <c r="C70"/>
  <c r="D62"/>
  <c r="B62"/>
  <c r="C61"/>
  <c r="C60"/>
  <c r="C59"/>
  <c r="D58"/>
  <c r="C58"/>
  <c r="D57"/>
  <c r="C57"/>
  <c r="D56"/>
  <c r="C56"/>
  <c r="D48"/>
  <c r="B48"/>
  <c r="C47"/>
  <c r="C46"/>
  <c r="C45"/>
  <c r="C44"/>
  <c r="C43"/>
  <c r="C42"/>
  <c r="X14"/>
  <c r="W14"/>
  <c r="V14"/>
  <c r="U14"/>
  <c r="T14"/>
  <c r="S14"/>
  <c r="R14"/>
  <c r="Q14"/>
  <c r="P14"/>
  <c r="O14"/>
  <c r="N14"/>
  <c r="M14"/>
  <c r="L14"/>
  <c r="K14"/>
  <c r="J14"/>
  <c r="I14"/>
  <c r="H14"/>
  <c r="G14"/>
  <c r="F14"/>
  <c r="E14"/>
  <c r="D14"/>
  <c r="C14"/>
  <c r="B14"/>
  <c r="X13"/>
  <c r="W13"/>
  <c r="X12"/>
  <c r="W12"/>
  <c r="X11"/>
  <c r="W11"/>
  <c r="P11"/>
  <c r="M11"/>
  <c r="J11"/>
  <c r="G11"/>
  <c r="D11"/>
  <c r="X10"/>
  <c r="W10"/>
  <c r="X9"/>
  <c r="W9"/>
  <c r="P9"/>
  <c r="M9"/>
  <c r="J9"/>
  <c r="G9"/>
  <c r="D9"/>
  <c r="G86" i="4"/>
  <c r="E86"/>
  <c r="E80"/>
  <c r="F78"/>
  <c r="E78"/>
  <c r="D78"/>
  <c r="J77"/>
  <c r="I77"/>
  <c r="H77"/>
  <c r="J76"/>
  <c r="I76"/>
  <c r="H76"/>
  <c r="J75"/>
  <c r="I75"/>
  <c r="H75"/>
  <c r="J74"/>
  <c r="I74"/>
  <c r="H74"/>
  <c r="J73"/>
  <c r="I73"/>
  <c r="H73"/>
  <c r="L72"/>
  <c r="J72"/>
  <c r="I72"/>
  <c r="H72"/>
  <c r="M71"/>
  <c r="J71"/>
  <c r="I71"/>
  <c r="H71"/>
  <c r="M70"/>
  <c r="L70"/>
  <c r="J70"/>
  <c r="I70"/>
  <c r="H70"/>
  <c r="L69"/>
  <c r="J69"/>
  <c r="I69"/>
  <c r="H69"/>
  <c r="M68"/>
  <c r="J68"/>
  <c r="I68"/>
  <c r="H68"/>
  <c r="M67"/>
  <c r="L67"/>
  <c r="J67"/>
  <c r="I67"/>
  <c r="H67"/>
  <c r="J66"/>
  <c r="I66"/>
  <c r="H66"/>
  <c r="J65"/>
  <c r="I65"/>
  <c r="H65"/>
  <c r="L64"/>
  <c r="J64"/>
  <c r="I64"/>
  <c r="H64"/>
  <c r="M63"/>
  <c r="J63"/>
  <c r="I63"/>
  <c r="H63"/>
  <c r="M62"/>
  <c r="L62"/>
  <c r="J62"/>
  <c r="I62"/>
  <c r="H62"/>
  <c r="J61"/>
  <c r="I61"/>
  <c r="H61"/>
  <c r="L60"/>
  <c r="J60"/>
  <c r="I60"/>
  <c r="H60"/>
  <c r="M59"/>
  <c r="J59"/>
  <c r="I59"/>
  <c r="H59"/>
  <c r="M58"/>
  <c r="L58"/>
  <c r="J58"/>
  <c r="I58"/>
  <c r="H58"/>
  <c r="J57"/>
  <c r="I57"/>
  <c r="H57"/>
  <c r="J56"/>
  <c r="I56"/>
  <c r="H56"/>
  <c r="J55"/>
  <c r="I55"/>
  <c r="H55"/>
  <c r="J54"/>
  <c r="I54"/>
  <c r="H54"/>
  <c r="F46"/>
  <c r="D46"/>
  <c r="F45"/>
  <c r="E45"/>
  <c r="D45"/>
  <c r="E43"/>
  <c r="F41"/>
  <c r="F40"/>
  <c r="F39"/>
  <c r="F38"/>
  <c r="F37"/>
  <c r="F36"/>
  <c r="F35"/>
  <c r="F34"/>
  <c r="E34"/>
  <c r="F33"/>
  <c r="E33"/>
  <c r="F32"/>
  <c r="E32"/>
  <c r="F31"/>
  <c r="E31"/>
  <c r="F28"/>
  <c r="E28"/>
  <c r="F27"/>
  <c r="E27"/>
  <c r="F26"/>
  <c r="E26"/>
  <c r="F25"/>
  <c r="E25"/>
  <c r="F23"/>
  <c r="E23"/>
  <c r="E22"/>
  <c r="F21"/>
  <c r="D21"/>
  <c r="F18"/>
  <c r="F17"/>
  <c r="F16"/>
  <c r="F15"/>
  <c r="F14"/>
  <c r="F13"/>
  <c r="E9"/>
  <c r="G82" i="5"/>
  <c r="E82"/>
  <c r="E76"/>
  <c r="L74"/>
  <c r="F74"/>
  <c r="D74"/>
  <c r="M73"/>
  <c r="J73"/>
  <c r="I73"/>
  <c r="H73"/>
  <c r="M72"/>
  <c r="L72"/>
  <c r="J72"/>
  <c r="I72"/>
  <c r="H72"/>
  <c r="J71"/>
  <c r="I71"/>
  <c r="H71"/>
  <c r="L70"/>
  <c r="J70"/>
  <c r="I70"/>
  <c r="H70"/>
  <c r="M69"/>
  <c r="J69"/>
  <c r="I69"/>
  <c r="H69"/>
  <c r="M68"/>
  <c r="L68"/>
  <c r="J68"/>
  <c r="I68"/>
  <c r="H68"/>
  <c r="J67"/>
  <c r="I67"/>
  <c r="H67"/>
  <c r="J66"/>
  <c r="I66"/>
  <c r="H66"/>
  <c r="L65"/>
  <c r="J65"/>
  <c r="I65"/>
  <c r="H65"/>
  <c r="M64"/>
  <c r="J64"/>
  <c r="I64"/>
  <c r="H64"/>
  <c r="M63"/>
  <c r="L63"/>
  <c r="J63"/>
  <c r="I63"/>
  <c r="H63"/>
  <c r="L62"/>
  <c r="J62"/>
  <c r="I62"/>
  <c r="H62"/>
  <c r="M61"/>
  <c r="J61"/>
  <c r="I61"/>
  <c r="H61"/>
  <c r="M60"/>
  <c r="L60"/>
  <c r="J60"/>
  <c r="I60"/>
  <c r="H60"/>
  <c r="J59"/>
  <c r="I59"/>
  <c r="H59"/>
  <c r="J58"/>
  <c r="I58"/>
  <c r="H58"/>
  <c r="J57"/>
  <c r="I57"/>
  <c r="H57"/>
  <c r="J56"/>
  <c r="I56"/>
  <c r="H56"/>
  <c r="J55"/>
  <c r="I55"/>
  <c r="H55"/>
  <c r="F45"/>
  <c r="D45"/>
  <c r="F44"/>
  <c r="E44"/>
  <c r="D44"/>
  <c r="E42"/>
  <c r="F40"/>
  <c r="E40"/>
  <c r="F39"/>
  <c r="F38"/>
  <c r="F37"/>
  <c r="F36"/>
  <c r="F35"/>
  <c r="F34"/>
  <c r="F33"/>
  <c r="E33"/>
  <c r="F32"/>
  <c r="E32"/>
  <c r="F31"/>
  <c r="E31"/>
  <c r="F30"/>
  <c r="E30"/>
  <c r="F27"/>
  <c r="E27"/>
  <c r="F26"/>
  <c r="E26"/>
  <c r="F25"/>
  <c r="E25"/>
  <c r="F24"/>
  <c r="E24"/>
  <c r="F22"/>
  <c r="E22"/>
  <c r="E21"/>
  <c r="F20"/>
  <c r="D20"/>
  <c r="E14"/>
  <c r="C28" i="8"/>
</calcChain>
</file>

<file path=xl/sharedStrings.xml><?xml version="1.0" encoding="utf-8"?>
<sst xmlns="http://schemas.openxmlformats.org/spreadsheetml/2006/main" count="1231" uniqueCount="644">
  <si>
    <t>The primary and secondary sources used here are referenced</t>
    <phoneticPr fontId="2" type="noConversion"/>
  </si>
  <si>
    <t>r340.30 grand-average private HH income, times a ratio of 58.8/58.5 for the relative earnings of the 3rd 25%; as in worksheet (3), the sharing of rents from nadel, peasant obshchestva, and peasant tovarishchestvo is already implicit in the estimated r340.30.times 1.156 for sharing nadel land rents, peasant obshchestva, and peasant tovarishchestvo</t>
    <phoneticPr fontId="2" type="noConversion"/>
  </si>
  <si>
    <t>r340.30 grand-average private HH income, times a ratio of 49.9/58.5 for the relative earnings of the second 25%; as in worksheet (3), the sharing of rents from nadel, peasant obshchestva, and peasant tovarishchestvo is already implicit in the estimated r340.30.</t>
    <phoneticPr fontId="2" type="noConversion"/>
  </si>
  <si>
    <t>r340.30 grand-average private HH income, times a ratio of 44/58.5 for the relative earnings of thebottom 25%; as in worksheet (3), the sharing of rents from nadel, peasant obshchestva, and peasant tovarishchestvo is already implicit in the estimated r340.30.</t>
    <phoneticPr fontId="2" type="noConversion"/>
  </si>
  <si>
    <t xml:space="preserve">Table 4. </t>
    <phoneticPr fontId="2" type="noConversion"/>
  </si>
  <si>
    <t>Worksheet (7) Summary of the Income Inequality Estimates</t>
    <phoneticPr fontId="2" type="noConversion"/>
  </si>
  <si>
    <t>Summary of the Income Inequality Estimates</t>
    <phoneticPr fontId="2" type="noConversion"/>
  </si>
  <si>
    <t>for European Russia circa 1904</t>
    <phoneticPr fontId="2" type="noConversion"/>
  </si>
  <si>
    <t>For a summary of estimation methods, see the text.</t>
    <phoneticPr fontId="2" type="noConversion"/>
  </si>
  <si>
    <t>For the details, see http://gpih.ucdavis.edu</t>
    <phoneticPr fontId="2" type="noConversion"/>
  </si>
  <si>
    <t xml:space="preserve">Table 3. </t>
    <phoneticPr fontId="2" type="noConversion"/>
  </si>
  <si>
    <t>South Africa 1914</t>
    <phoneticPr fontId="2" type="noConversion"/>
  </si>
  <si>
    <t>Alvedo-Atkinson</t>
    <phoneticPr fontId="2" type="noConversion"/>
  </si>
  <si>
    <t>Comm-indus enterprises, 5k-10k profit</t>
    <phoneticPr fontId="2" type="noConversion"/>
  </si>
  <si>
    <t>Personal Labor, 2k-5k salary part</t>
    <phoneticPr fontId="2" type="noConversion"/>
  </si>
  <si>
    <t>From all sources individually in amounts of 5k-10k</t>
  </si>
  <si>
    <t>From all sources individually in amounts of 5k-10k</t>
    <phoneticPr fontId="2" type="noConversion"/>
  </si>
  <si>
    <t>Comm-indus enterprises, 10k-20k profit</t>
    <phoneticPr fontId="2" type="noConversion"/>
  </si>
  <si>
    <t>From all sources individually in amounts of 10k-20k</t>
  </si>
  <si>
    <t>From all sources individually in amounts of 10k-20k</t>
    <phoneticPr fontId="2" type="noConversion"/>
  </si>
  <si>
    <t>From all sources individually in amounts of 20k-50k</t>
  </si>
  <si>
    <t>From all sources individually in amounts of 20k-50k</t>
    <phoneticPr fontId="2" type="noConversion"/>
  </si>
  <si>
    <t>That is, the too-unequal estimates posit a "multi-income elite", as constructed on Worksheet (4).</t>
    <phoneticPr fontId="2" type="noConversion"/>
  </si>
  <si>
    <t>Nadel lands are allocated to peasant households in proportion to their individual private  incomes.</t>
    <phoneticPr fontId="2" type="noConversion"/>
  </si>
  <si>
    <t>That is, the preferred estimates posit a "multi-income elite", as constructed on Worksheet (4).</t>
    <phoneticPr fontId="2" type="noConversion"/>
  </si>
  <si>
    <t>Gini coeff</t>
    <phoneticPr fontId="2" type="noConversion"/>
  </si>
  <si>
    <t>Income shares in % of total income--</t>
    <phoneticPr fontId="2" type="noConversion"/>
  </si>
  <si>
    <t>Top 1% of HHs:</t>
    <phoneticPr fontId="2" type="noConversion"/>
  </si>
  <si>
    <t>Mean:</t>
    <phoneticPr fontId="2" type="noConversion"/>
  </si>
  <si>
    <t>Median:</t>
    <phoneticPr fontId="2" type="noConversion"/>
  </si>
  <si>
    <t>Estimate:</t>
    <phoneticPr fontId="2" type="noConversion"/>
  </si>
  <si>
    <t>Too-</t>
    <phoneticPr fontId="2" type="noConversion"/>
  </si>
  <si>
    <t>equal</t>
    <phoneticPr fontId="2" type="noConversion"/>
  </si>
  <si>
    <t>Preferred</t>
    <phoneticPr fontId="2" type="noConversion"/>
  </si>
  <si>
    <t>(best guess)</t>
    <phoneticPr fontId="2" type="noConversion"/>
  </si>
  <si>
    <t>Too-</t>
    <phoneticPr fontId="2" type="noConversion"/>
  </si>
  <si>
    <t>unequal</t>
    <phoneticPr fontId="2" type="noConversion"/>
  </si>
  <si>
    <t>Income levels, in rubles --</t>
    <phoneticPr fontId="2" type="noConversion"/>
  </si>
  <si>
    <t>Among peasants, we divide that the r720,724,536 in nadel rents + krest. Obshchestva + krest. Tovarishchestva</t>
    <phoneticPr fontId="2" type="noConversion"/>
  </si>
  <si>
    <t>So the total private incomes of peasant households are 4,615,705,302.  Hoever, this call for no inflation in the case of the landless peasants,</t>
    <phoneticPr fontId="2" type="noConversion"/>
  </si>
  <si>
    <t>since we view their Kazan-based average income of r340.30 as already including the returns to the collective lands, as we also assumed in Worksheet (3).</t>
    <phoneticPr fontId="2" type="noConversion"/>
  </si>
  <si>
    <t>Top merged-income group</t>
    <phoneticPr fontId="2" type="noConversion"/>
  </si>
  <si>
    <t>European Russia (50 provinces)</t>
    <phoneticPr fontId="2" type="noConversion"/>
  </si>
  <si>
    <t>Table XXIII - Summary Table of the Distribution of Income by Source and by Size, from Opyt' (1906, pp. 90-91 and earlier tables).</t>
    <phoneticPr fontId="15" type="noConversion"/>
  </si>
  <si>
    <t>Reminder = inequality would be higher than this to the extent that some of</t>
    <phoneticPr fontId="15" type="noConversion"/>
  </si>
  <si>
    <t>From Financial Investments (just Eur Russ?)</t>
    <phoneticPr fontId="2" type="noConversion"/>
  </si>
  <si>
    <t>From Personal Labor c1905 (Just Eur Russ?)</t>
    <phoneticPr fontId="15" type="noConversion"/>
  </si>
  <si>
    <t>incomes (2.0% of households) took 18.8% percent of that national income,</t>
    <phoneticPr fontId="15" type="noConversion"/>
  </si>
  <si>
    <t xml:space="preserve">The equal sharing may understate true inequality, but the sharing of top incomes has the opporite tendency.  </t>
    <phoneticPr fontId="2" type="noConversion"/>
  </si>
  <si>
    <t xml:space="preserve">•• Similarly in the other four income ranges, from th 1,000-2,000 range up to the 10,000-20,000 range. </t>
    <phoneticPr fontId="2" type="noConversion"/>
  </si>
  <si>
    <t>Personal Labor, 1k-2k salary part</t>
    <phoneticPr fontId="2" type="noConversion"/>
  </si>
  <si>
    <t>From all sources individually in amounts of 1k-2k</t>
  </si>
  <si>
    <t>From all sources individually in amounts of 2k-5k</t>
  </si>
  <si>
    <t>r340.30 grand-average private HH income, times a ratio of 81.845/58.5 for the relative earnings of the top 25%; as in worksheet (3), the sharing of rents from nadel, peasant obshchestva, and peasant tovarishchestvo is already implicit in the estimated r340.30.</t>
    <phoneticPr fontId="2" type="noConversion"/>
  </si>
  <si>
    <t>land inc plus r400 human earnings; HHs augmented by 12,181 agriculturalists displaced in the top-group incomes merger.</t>
    <phoneticPr fontId="2" type="noConversion"/>
  </si>
  <si>
    <t>land inc plus r400 human earnings; HHs augmented by 20109 agriculturalists displaced in the top-group incomes merger.</t>
    <phoneticPr fontId="2" type="noConversion"/>
  </si>
  <si>
    <t>plus 4,413,191,269 rubles for 12,968,531 landless peasant households, assumed to earn at the rate of r340.30 per household as in Kazan 1898-1899.</t>
    <phoneticPr fontId="2" type="noConversion"/>
  </si>
  <si>
    <t>land inc + 2 in family working at ave farm wage of r58.5, times 1.156 for sharing nadel land rents, peasant obshchestva, and peasant tovarishchestvo</t>
    <phoneticPr fontId="2" type="noConversion"/>
  </si>
  <si>
    <t>among 13,458,924 households having private incomes of 202,514,033 rubles for the 490,393 landed peasants</t>
    <phoneticPr fontId="2" type="noConversion"/>
  </si>
  <si>
    <t>Our extreme assumptions here yield the following top classes</t>
    <phoneticPr fontId="2" type="noConversion"/>
  </si>
  <si>
    <t>No. of HHs</t>
    <phoneticPr fontId="2" type="noConversion"/>
  </si>
  <si>
    <t>Aver. Income</t>
    <phoneticPr fontId="2" type="noConversion"/>
  </si>
  <si>
    <t>Total income</t>
    <phoneticPr fontId="2" type="noConversion"/>
  </si>
  <si>
    <t>Nafziger-Lindert Comment (C.) = For our best point estimates of inequality, the "preferred" estimates, use a more moderate merging of top incomes with top incomes</t>
    <phoneticPr fontId="2" type="noConversion"/>
  </si>
  <si>
    <t>No. persons</t>
    <phoneticPr fontId="2" type="noConversion"/>
  </si>
  <si>
    <t>Assume that over all the six top income brackets, the 148,343 high-salary households had all the over-1,000 ruble incomes shared equally among them.</t>
    <phoneticPr fontId="2" type="noConversion"/>
  </si>
  <si>
    <t>•• Assume that the largest single number of households in the over-50,000 group (those 1,384 commercial-industrial enterprises) had ALL the incomes that were individually over 50,000 rubles, even though it is implausible to imagine such an overload of investments into the same 1,384 households.</t>
    <phoneticPr fontId="2" type="noConversion"/>
  </si>
  <si>
    <t>•• Similarly in the 20,000-50,000 category give all individually 20,000-50,000 ruble incomes to those 2,383 commercial-industrial enterprises.</t>
    <phoneticPr fontId="2" type="noConversion"/>
  </si>
  <si>
    <t>For the "too-unequal" estimates of the income distribution --</t>
    <phoneticPr fontId="2" type="noConversion"/>
  </si>
  <si>
    <t xml:space="preserve">Intermediate assumptions.  </t>
    <phoneticPr fontId="2" type="noConversion"/>
  </si>
  <si>
    <t>Part (A.) Merged top-income group</t>
    <phoneticPr fontId="2" type="noConversion"/>
  </si>
  <si>
    <t>See Worksheet (4)</t>
    <phoneticPr fontId="2" type="noConversion"/>
  </si>
  <si>
    <t>Nafziger-Lindert Comment (B.) = Use extreme merging of top incomes with top incomes, to overstate inequality</t>
    <phoneticPr fontId="2" type="noConversion"/>
  </si>
  <si>
    <t>There, as here, a person is identified as having only one of these kinds of income.</t>
    <phoneticPr fontId="15" type="noConversion"/>
  </si>
  <si>
    <t>Of course, many of the landowners also had personal incomes, in their roles</t>
    <phoneticPr fontId="15" type="noConversion"/>
  </si>
  <si>
    <t>as government officials, or as merchants, financiers, or private professionals.</t>
    <phoneticPr fontId="15" type="noConversion"/>
  </si>
  <si>
    <t xml:space="preserve">If all the figures contributing to these totals were correct, the number of recipients of </t>
    <phoneticPr fontId="15" type="noConversion"/>
  </si>
  <si>
    <t xml:space="preserve">income over 1,000 rubles should have been noticeably lower, and their average overall </t>
    <phoneticPr fontId="15" type="noConversion"/>
  </si>
  <si>
    <t xml:space="preserve">income noticeably higher. Pages xxxvii-xxxviii of the text does acknowledge this problem, </t>
    <phoneticPr fontId="15" type="noConversion"/>
  </si>
  <si>
    <t>Comm-indus enterprises, 20k-50k profit</t>
    <phoneticPr fontId="2" type="noConversion"/>
  </si>
  <si>
    <t>Comm-indus enterprises, 50k profit &amp;up</t>
    <phoneticPr fontId="2" type="noConversion"/>
  </si>
  <si>
    <t>From all sources individually in amounts of 50k &amp;up</t>
  </si>
  <si>
    <t>From all sources individually in amounts of 50k &amp;up</t>
    <phoneticPr fontId="2" type="noConversion"/>
  </si>
  <si>
    <t>Sums for these top classes</t>
    <phoneticPr fontId="2" type="noConversion"/>
  </si>
  <si>
    <t xml:space="preserve">They argue that the number of persons with total incomes above 1,000 rubles would not </t>
    <phoneticPr fontId="15" type="noConversion"/>
  </si>
  <si>
    <t>necessarily be lower than shown here, because consolidating incomes from all sources would</t>
    <phoneticPr fontId="15" type="noConversion"/>
  </si>
  <si>
    <t>bring others up over the 1,000-ruble threshold.  True, though this means that the</t>
    <phoneticPr fontId="15" type="noConversion"/>
  </si>
  <si>
    <t>failure to consolidate is still understating the total incomes above 1,000 rubles,</t>
    <phoneticPr fontId="15" type="noConversion"/>
  </si>
  <si>
    <t xml:space="preserve">and also understating the incomes of the top percentile groups.  </t>
    <phoneticPr fontId="15" type="noConversion"/>
  </si>
  <si>
    <t>Nafziger-Lindert Comment (A.) = beware the reporting of separate incomes by type</t>
    <phoneticPr fontId="2" type="noConversion"/>
  </si>
  <si>
    <t>The grand totals are reproduced and discussed on Pages xxxvi-xxxvii of the text.</t>
    <phoneticPr fontId="15" type="noConversion"/>
  </si>
  <si>
    <t>million rubles in 1904, the above over-1,000</t>
    <phoneticPr fontId="15" type="noConversion"/>
  </si>
  <si>
    <t xml:space="preserve">or 20.5% of the national income minus the 742.5 million rubles of land rentals </t>
    <phoneticPr fontId="2" type="noConversion"/>
  </si>
  <si>
    <t>implicitly captured by the state, the churches, and other collectives institutions.</t>
    <phoneticPr fontId="2" type="noConversion"/>
  </si>
  <si>
    <t xml:space="preserve">If the national income of </t>
    <phoneticPr fontId="15" type="noConversion"/>
  </si>
  <si>
    <t>From all sources individually in amounts of 2k-5k</t>
    <phoneticPr fontId="2" type="noConversion"/>
  </si>
  <si>
    <t>From all sources individually in amounts of 1k-2k</t>
    <phoneticPr fontId="2" type="noConversion"/>
  </si>
  <si>
    <r>
      <t>404,703 "persons" (</t>
    </r>
    <r>
      <rPr>
        <b/>
        <i/>
        <sz val="11"/>
        <rFont val="Times New Roman"/>
      </rPr>
      <t>litsa</t>
    </r>
    <r>
      <rPr>
        <b/>
        <sz val="11"/>
        <rFont val="Times New Roman"/>
        <family val="1"/>
      </rPr>
      <t>) in all</t>
    </r>
    <phoneticPr fontId="15" type="noConversion"/>
  </si>
  <si>
    <t>Which provinces of the Empire ?</t>
    <phoneticPr fontId="15" type="noConversion"/>
  </si>
  <si>
    <t>1-2k</t>
  </si>
  <si>
    <t>2-5k</t>
  </si>
  <si>
    <t>5-10k</t>
  </si>
  <si>
    <t>10-20k</t>
  </si>
  <si>
    <t>20-50k</t>
  </si>
  <si>
    <t>50k and up</t>
  </si>
  <si>
    <t>Total</t>
  </si>
  <si>
    <t>Total Income</t>
  </si>
  <si>
    <t>Income per Person</t>
  </si>
  <si>
    <t>(1)</t>
  </si>
  <si>
    <t>(2)</t>
  </si>
  <si>
    <t>(3)</t>
  </si>
  <si>
    <t>(4)</t>
  </si>
  <si>
    <t>(5)</t>
  </si>
  <si>
    <t>(6)</t>
  </si>
  <si>
    <t>(7)</t>
  </si>
  <si>
    <t>(8)</t>
  </si>
  <si>
    <t>(9)</t>
  </si>
  <si>
    <t>(10)</t>
  </si>
  <si>
    <t>(11)</t>
  </si>
  <si>
    <t>(12)</t>
  </si>
  <si>
    <t>(13)</t>
  </si>
  <si>
    <t>(14)</t>
  </si>
  <si>
    <t>(15)</t>
  </si>
  <si>
    <t>(16)</t>
  </si>
  <si>
    <t>(17)</t>
  </si>
  <si>
    <t>(18)</t>
  </si>
  <si>
    <t>(19)</t>
  </si>
  <si>
    <t>(20)</t>
  </si>
  <si>
    <t>(21)</t>
  </si>
  <si>
    <t>From Land 1900-1902</t>
    <phoneticPr fontId="15" type="noConversion"/>
  </si>
  <si>
    <t>From Urban Real Estate</t>
  </si>
  <si>
    <t>From Commercial-Industrial Enterprises</t>
  </si>
  <si>
    <t>Grand Total</t>
  </si>
  <si>
    <t>rental value of lands held by government, churches,</t>
    <phoneticPr fontId="2" type="noConversion"/>
  </si>
  <si>
    <t>National income, in million rubles, minus 742.5 million rubles of</t>
    <phoneticPr fontId="2" type="noConversion"/>
  </si>
  <si>
    <t>For the "preferred" estimates of the income distribution, assume a somewhat less perfect merging of top incomes across types.</t>
    <phoneticPr fontId="2" type="noConversion"/>
  </si>
  <si>
    <t>So the 666,084,418 rubles of nadel land rents are implicit here.</t>
    <phoneticPr fontId="2" type="noConversion"/>
  </si>
  <si>
    <r>
      <t xml:space="preserve">Source = </t>
    </r>
    <r>
      <rPr>
        <i/>
        <sz val="12"/>
        <rFont val="Times New Roman"/>
      </rPr>
      <t>Opyt’ priblizitel’novo ischislenia narodnovo dokhoda po raslichnym evo istochnikam I po razmeram v Rossii</t>
    </r>
    <r>
      <rPr>
        <sz val="12"/>
        <rFont val="Times New Roman"/>
      </rPr>
      <t xml:space="preserve"> (Sankt-Peterburg: P. P. Soikin 1906).  </t>
    </r>
  </si>
  <si>
    <t>% share</t>
    <phoneticPr fontId="2" type="noConversion"/>
  </si>
  <si>
    <t>Ave income</t>
    <phoneticPr fontId="2" type="noConversion"/>
  </si>
  <si>
    <t>Top 1%:</t>
  </si>
  <si>
    <t>Top 5%:</t>
  </si>
  <si>
    <t>Top 10%:</t>
  </si>
  <si>
    <t>Top 20%:</t>
  </si>
  <si>
    <t>Next 40%:</t>
  </si>
  <si>
    <t>Bottom 40%:</t>
  </si>
  <si>
    <t>rubles</t>
    <phoneticPr fontId="2" type="noConversion"/>
  </si>
  <si>
    <t>Mean rubles:</t>
    <phoneticPr fontId="2" type="noConversion"/>
  </si>
  <si>
    <t>Median rubles:</t>
    <phoneticPr fontId="2" type="noConversion"/>
  </si>
  <si>
    <t>H120*(H120-I120)</t>
    <phoneticPr fontId="2" type="noConversion"/>
  </si>
  <si>
    <t>(H121-H120)*(H121-I121+H120-I120)</t>
    <phoneticPr fontId="2" type="noConversion"/>
  </si>
  <si>
    <t>Totals</t>
    <phoneticPr fontId="2" type="noConversion"/>
  </si>
  <si>
    <r>
      <t>For 1906, from Mironov (</t>
    </r>
    <r>
      <rPr>
        <i/>
        <sz val="12"/>
        <rFont val="Arial"/>
      </rPr>
      <t>Wellbeing</t>
    </r>
    <r>
      <rPr>
        <sz val="12"/>
        <rFont val="Arial"/>
      </rPr>
      <t xml:space="preserve">, p. 658) </t>
    </r>
    <phoneticPr fontId="2" type="noConversion"/>
  </si>
  <si>
    <t>land inc plus salary of r250</t>
    <phoneticPr fontId="2" type="noConversion"/>
  </si>
  <si>
    <t>Part (D.) Service sectors</t>
    <phoneticPr fontId="2" type="noConversion"/>
  </si>
  <si>
    <t>Service sector HH down to here =</t>
    <phoneticPr fontId="2" type="noConversion"/>
  </si>
  <si>
    <t>our totals</t>
    <phoneticPr fontId="2" type="noConversion"/>
  </si>
  <si>
    <t>net discrepancy</t>
    <phoneticPr fontId="2" type="noConversion"/>
  </si>
  <si>
    <t>Constrained totals =&gt;</t>
    <phoneticPr fontId="2" type="noConversion"/>
  </si>
  <si>
    <t>Versus the original 601,561 "other" households, with no stated earnings.</t>
    <phoneticPr fontId="2" type="noConversion"/>
  </si>
  <si>
    <t>The Nafziger-Lindert "too-equal" distribution accepts Opyt's account at face value, letting every entry here refer to a separate person.</t>
    <phoneticPr fontId="2" type="noConversion"/>
  </si>
  <si>
    <t>nobility 50k rubles &amp;up</t>
  </si>
  <si>
    <t>nobility 20k-50k rubles</t>
  </si>
  <si>
    <t>nobility 10k-20k rubles</t>
  </si>
  <si>
    <t>nobility 5k-10k rubles</t>
  </si>
  <si>
    <t>nobility 2k-5k rubles</t>
  </si>
  <si>
    <t>nobility 1k-2k rubles</t>
  </si>
  <si>
    <t>nobility &lt; 1,000 rubles</t>
  </si>
  <si>
    <t>peasant, indiv landowning</t>
  </si>
  <si>
    <t>Individually landless rural, n.e.c.</t>
  </si>
  <si>
    <t>bourgeois landowners ≥ r1,000, 8 provs</t>
  </si>
  <si>
    <t>bourgeois landowners &lt; r1,000</t>
  </si>
  <si>
    <t>urb realty owners 1k-2k</t>
  </si>
  <si>
    <t>urb realty owners 2k-5k</t>
  </si>
  <si>
    <t>urb realty owners 5k-10k</t>
  </si>
  <si>
    <t>urb realty owners 10k-20k</t>
  </si>
  <si>
    <t>urb realty owners 20k-50k</t>
  </si>
  <si>
    <t>Personal enterprises 1k-2k</t>
  </si>
  <si>
    <t>Personal enterprises 2k-5k</t>
  </si>
  <si>
    <t>Personal enterprises 5k-10k</t>
  </si>
  <si>
    <t>Personal enterprises 10k-20k</t>
  </si>
  <si>
    <t>Personal enterprises 20k-50k</t>
  </si>
  <si>
    <t>Personal enterprises 50k-up</t>
  </si>
  <si>
    <t>Clergy - urban</t>
  </si>
  <si>
    <t>Clergy - landed</t>
  </si>
  <si>
    <t>Clergy - rural landless</t>
  </si>
  <si>
    <t xml:space="preserve">but the authors say that no corrections can be made for this miltiplicity of income types in the same hands.  </t>
    <phoneticPr fontId="15" type="noConversion"/>
  </si>
  <si>
    <t xml:space="preserve">estimates on a per-worker basis times, say, three full-time workers per household.  </t>
    <phoneticPr fontId="2" type="noConversion"/>
  </si>
  <si>
    <t>See Worksheet (2)'s display of the estimates.</t>
    <phoneticPr fontId="2" type="noConversion"/>
  </si>
  <si>
    <t>Mining workers</t>
  </si>
  <si>
    <t>Mining workers</t>
    <phoneticPr fontId="2" type="noConversion"/>
  </si>
  <si>
    <t>Manufacturing workers</t>
  </si>
  <si>
    <t>Manufacturing workers</t>
    <phoneticPr fontId="2" type="noConversion"/>
  </si>
  <si>
    <t>Construction sorkers</t>
  </si>
  <si>
    <t>Construction sorkers</t>
    <phoneticPr fontId="2" type="noConversion"/>
  </si>
  <si>
    <t>Transport &amp; communications workers</t>
  </si>
  <si>
    <t>Transport &amp; communications workers</t>
    <phoneticPr fontId="2" type="noConversion"/>
  </si>
  <si>
    <t>Trade workers</t>
  </si>
  <si>
    <t>Trade workers</t>
    <phoneticPr fontId="2" type="noConversion"/>
  </si>
  <si>
    <t xml:space="preserve">(1) None of the Opyt' separate high-income types in Worksheet (1) overlap in the same households.  Every group is separate, though we know otherwise.  </t>
    <phoneticPr fontId="2" type="noConversion"/>
  </si>
  <si>
    <t>Part (A.) Agriculture and the land</t>
    <phoneticPr fontId="2" type="noConversion"/>
  </si>
  <si>
    <r>
      <t xml:space="preserve">The </t>
    </r>
    <r>
      <rPr>
        <b/>
        <u/>
        <sz val="12"/>
        <rFont val="Arial"/>
      </rPr>
      <t>too-equal estimates wrongly assume</t>
    </r>
    <r>
      <rPr>
        <sz val="12"/>
        <rFont val="Arial"/>
      </rPr>
      <t xml:space="preserve"> they are separate households.</t>
    </r>
    <phoneticPr fontId="2" type="noConversion"/>
  </si>
  <si>
    <t xml:space="preserve">estimates, to repeat, they are assumed to be separate individuals.  </t>
    <phoneticPr fontId="2" type="noConversion"/>
  </si>
  <si>
    <t>from the total HHs of</t>
    <phoneticPr fontId="2" type="noConversion"/>
  </si>
  <si>
    <t>European Russia were</t>
    <phoneticPr fontId="15" type="noConversion"/>
  </si>
  <si>
    <t>Reminder: Total</t>
    <phoneticPr fontId="15" type="noConversion"/>
  </si>
  <si>
    <t>Geographic coverage ?</t>
    <phoneticPr fontId="15" type="noConversion"/>
  </si>
  <si>
    <t>HHs in Eur Russ =</t>
    <phoneticPr fontId="15" type="noConversion"/>
  </si>
  <si>
    <t>Households of rich non-nobility classes, grouped with the mining, manu-</t>
    <phoneticPr fontId="2" type="noConversion"/>
  </si>
  <si>
    <t xml:space="preserve">These classes include all owners of urban realty, profits, financial investment incomes, </t>
    <phoneticPr fontId="2" type="noConversion"/>
  </si>
  <si>
    <t>and a bit of bourgeois landowners, a captured by Opyt' and the census.  In these too-equal</t>
    <phoneticPr fontId="2" type="noConversion"/>
  </si>
  <si>
    <t>Excluding the rich above,</t>
    <phoneticPr fontId="2" type="noConversion"/>
  </si>
  <si>
    <t>land inc plus a salary of 2309 rubles, equal to the average for government servants earnings over r1,000</t>
    <phoneticPr fontId="2" type="noConversion"/>
  </si>
  <si>
    <t>Private service, servants, &amp;c</t>
  </si>
  <si>
    <t>Residual "other"</t>
  </si>
  <si>
    <t>Part (E.) Calculating the Inequality Implied by the "Too-Equal" Distribution of Income (results at bottom right)</t>
    <phoneticPr fontId="2" type="noConversion"/>
  </si>
  <si>
    <t>Cumulative</t>
    <phoneticPr fontId="2" type="noConversion"/>
  </si>
  <si>
    <t>Contrib's</t>
    <phoneticPr fontId="2" type="noConversion"/>
  </si>
  <si>
    <t>HH share</t>
    <phoneticPr fontId="2" type="noConversion"/>
  </si>
  <si>
    <t>INEQUALITY AMONG ALL HOUSEHOLDS</t>
    <phoneticPr fontId="2" type="noConversion"/>
  </si>
  <si>
    <t>Ranking by total income per HH</t>
    <phoneticPr fontId="2" type="noConversion"/>
  </si>
  <si>
    <t>income share</t>
    <phoneticPr fontId="2" type="noConversion"/>
  </si>
  <si>
    <t>to gini</t>
    <phoneticPr fontId="2" type="noConversion"/>
  </si>
  <si>
    <t>Gini =</t>
    <phoneticPr fontId="2" type="noConversion"/>
  </si>
  <si>
    <t xml:space="preserve">The incomes exceeded expenses and presumably included gains from shared lands.  </t>
    <phoneticPr fontId="2" type="noConversion"/>
  </si>
  <si>
    <t>collective land inc only, going equally as 40.6 rubles per household to all households in European Russia</t>
    <phoneticPr fontId="2" type="noConversion"/>
  </si>
  <si>
    <t>urb realty owners 20k-50k</t>
    <phoneticPr fontId="2" type="noConversion"/>
  </si>
  <si>
    <t>(C.) free professions</t>
    <phoneticPr fontId="2" type="noConversion"/>
  </si>
  <si>
    <t>(B.) Urban realty owners over 1,000 rubles</t>
    <phoneticPr fontId="2" type="noConversion"/>
  </si>
  <si>
    <t>land inc only</t>
    <phoneticPr fontId="2" type="noConversion"/>
  </si>
  <si>
    <t>merchants &amp;c &lt; r1,000</t>
    <phoneticPr fontId="2" type="noConversion"/>
  </si>
  <si>
    <t>clergy, landowning</t>
    <phoneticPr fontId="2" type="noConversion"/>
  </si>
  <si>
    <t>peasant, landowning</t>
    <phoneticPr fontId="2" type="noConversion"/>
  </si>
  <si>
    <t xml:space="preserve">    (")</t>
    <phoneticPr fontId="2" type="noConversion"/>
  </si>
  <si>
    <t>nadel'nie allotments</t>
    <phoneticPr fontId="2" type="noConversion"/>
  </si>
  <si>
    <t>collective priv. n.e.c.</t>
    <phoneticPr fontId="2" type="noConversion"/>
  </si>
  <si>
    <t>Totals</t>
    <phoneticPr fontId="2" type="noConversion"/>
  </si>
  <si>
    <t>(B.) Urban real estate over 1,000 rubles/year</t>
    <phoneticPr fontId="2" type="noConversion"/>
  </si>
  <si>
    <t>urb rent 20k-50k rubles</t>
    <phoneticPr fontId="2" type="noConversion"/>
  </si>
  <si>
    <t>Income</t>
    <phoneticPr fontId="2" type="noConversion"/>
  </si>
  <si>
    <t>total rental,</t>
    <phoneticPr fontId="2" type="noConversion"/>
  </si>
  <si>
    <t>collective</t>
    <phoneticPr fontId="2" type="noConversion"/>
  </si>
  <si>
    <t>owner</t>
    <phoneticPr fontId="2" type="noConversion"/>
  </si>
  <si>
    <t>nobility 50k rubles &amp;up</t>
    <phoneticPr fontId="2" type="noConversion"/>
  </si>
  <si>
    <t>Financial investments 5k-10k</t>
  </si>
  <si>
    <t>Financial investments 10k-20k</t>
  </si>
  <si>
    <t>Financial investments 20k-50k</t>
  </si>
  <si>
    <t>Financial investments 50k-up</t>
  </si>
  <si>
    <t>(*Peasant here = all agricultural households minus nobility and a few clergy and bourgeoises owning non-urban land.)</t>
    <phoneticPr fontId="2" type="noConversion"/>
  </si>
  <si>
    <t>(F.) Profits of corporate &amp; other non-personal enterprises</t>
    <phoneticPr fontId="2" type="noConversion"/>
  </si>
  <si>
    <t>(G.) Financial investment incomes</t>
    <phoneticPr fontId="2" type="noConversion"/>
  </si>
  <si>
    <t>(H.) Government service</t>
    <phoneticPr fontId="2" type="noConversion"/>
  </si>
  <si>
    <t>Government service 2k-5k</t>
  </si>
  <si>
    <t>Government service 5k-10k</t>
  </si>
  <si>
    <t>Government service 10k-20k</t>
  </si>
  <si>
    <t>Government service 20k-50k</t>
  </si>
  <si>
    <t>Government service 50k-up</t>
  </si>
  <si>
    <t>Government service 1k-2k</t>
  </si>
  <si>
    <t>Gov't service &lt; r1,000</t>
    <phoneticPr fontId="2" type="noConversion"/>
  </si>
  <si>
    <t>Aggreg val</t>
    <phoneticPr fontId="2" type="noConversion"/>
  </si>
  <si>
    <t>Average</t>
    <phoneticPr fontId="2" type="noConversion"/>
  </si>
  <si>
    <t>Gov't service &lt; r1,000</t>
  </si>
  <si>
    <t xml:space="preserve">Removing these rich </t>
    <phoneticPr fontId="2" type="noConversion"/>
  </si>
  <si>
    <t>construction, transport,  communications,  and trade sectors.</t>
    <phoneticPr fontId="2" type="noConversion"/>
  </si>
  <si>
    <t>These are asssumed to have earned industrial wages.</t>
    <phoneticPr fontId="2" type="noConversion"/>
  </si>
  <si>
    <t>This annual household level of earnings, equaling the national grand average,</t>
    <phoneticPr fontId="2" type="noConversion"/>
  </si>
  <si>
    <t>Personal enterprises 50k-up</t>
    <phoneticPr fontId="2" type="noConversion"/>
  </si>
  <si>
    <t>Profits of all enterprises</t>
    <phoneticPr fontId="2" type="noConversion"/>
  </si>
  <si>
    <t>and other institutions outside the household sector.</t>
    <phoneticPr fontId="2" type="noConversion"/>
  </si>
  <si>
    <t xml:space="preserve">is within the range of the estimates of industrial family income for Olonets 1898-99 (r588) and the lower </t>
    <phoneticPr fontId="2" type="noConversion"/>
  </si>
  <si>
    <t>urb realty owners 1k-2k</t>
    <phoneticPr fontId="2" type="noConversion"/>
  </si>
  <si>
    <t>(A.) Landed classes, from Worksheet (1)</t>
    <phoneticPr fontId="2" type="noConversion"/>
  </si>
  <si>
    <t>urb realty owners 2k-5k</t>
    <phoneticPr fontId="2" type="noConversion"/>
  </si>
  <si>
    <t>urb realty owners 5k-10k</t>
    <phoneticPr fontId="2" type="noConversion"/>
  </si>
  <si>
    <t>urb realty owners 10k-20k</t>
    <phoneticPr fontId="2" type="noConversion"/>
  </si>
  <si>
    <t>Tovarishchistva - meshchanskie</t>
  </si>
  <si>
    <t>Tovarishchistva - torg-prom., fabr I pr.</t>
  </si>
  <si>
    <t>State, church &amp;c</t>
  </si>
  <si>
    <t>Gosudarstva, tserkvi i uchrezhdenii</t>
  </si>
  <si>
    <t>doctors 10k-20k r</t>
  </si>
  <si>
    <t>doctors 5k-10k r</t>
  </si>
  <si>
    <t>doctors 2k-5k r</t>
  </si>
  <si>
    <t>doctors 1k-2k r</t>
  </si>
  <si>
    <t>lawyers 20k-50k r</t>
  </si>
  <si>
    <t>lawyers 10k-20k r</t>
  </si>
  <si>
    <t>lawyers 5k-10k r</t>
  </si>
  <si>
    <t>lawyers 2k-5k r</t>
  </si>
  <si>
    <t>lawyers 1k-2k r</t>
  </si>
  <si>
    <t>notaries 20k-50k r</t>
  </si>
  <si>
    <t>notaries 10k-20k r</t>
  </si>
  <si>
    <t>notaries 5k-10k r</t>
  </si>
  <si>
    <t>notaries 2k-5k r</t>
  </si>
  <si>
    <t>notaries 1k-2k r</t>
  </si>
  <si>
    <t>writers 10k-20k r</t>
  </si>
  <si>
    <t>writers 5k-10k r</t>
  </si>
  <si>
    <t>Collective &amp; shared ownership = sobstvennost' obshchestv i tovarishchistv</t>
    <phoneticPr fontId="2" type="noConversion"/>
  </si>
  <si>
    <t>Total</t>
    <phoneticPr fontId="2" type="noConversion"/>
  </si>
  <si>
    <t>leaves 91.86% of the mining, manufacturing,</t>
    <phoneticPr fontId="2" type="noConversion"/>
  </si>
  <si>
    <t>writers 2k-5k r</t>
  </si>
  <si>
    <t>writers 1k-2k r</t>
  </si>
  <si>
    <t>writers 50k r &amp;up</t>
  </si>
  <si>
    <t>(E.) Top professional incomes and "personal productive enterprises"</t>
    <phoneticPr fontId="2" type="noConversion"/>
  </si>
  <si>
    <t>personal enterpr's 20k-50k r</t>
  </si>
  <si>
    <t>personal enterpr's 10k-20k r</t>
  </si>
  <si>
    <t xml:space="preserve"> =&gt; </t>
    <phoneticPr fontId="2" type="noConversion"/>
  </si>
  <si>
    <t>(3) The "too-equal" estimates of the Income distribution of European Russia in 1904</t>
    <phoneticPr fontId="2" type="noConversion"/>
  </si>
  <si>
    <t>rural sector residual = "peasants", with incomes = Kazan peasant farm-operator families, average for 1898</t>
    <phoneticPr fontId="2" type="noConversion"/>
  </si>
  <si>
    <t>Corporate profits 2k-5k</t>
  </si>
  <si>
    <t>Corporate profits 5k-10k</t>
  </si>
  <si>
    <t>Corporate profits 10k-20k</t>
  </si>
  <si>
    <t>Corporate profits 20k-50k</t>
  </si>
  <si>
    <t>Attach these to various classes, in the more-unequal estimates; ignore them in the two-equal estimates</t>
    <phoneticPr fontId="2" type="noConversion"/>
  </si>
  <si>
    <t>Free professions, all non-Opyt'</t>
  </si>
  <si>
    <t>Average</t>
  </si>
  <si>
    <t>Average</t>
    <phoneticPr fontId="2" type="noConversion"/>
  </si>
  <si>
    <t>Number of</t>
    <phoneticPr fontId="2" type="noConversion"/>
  </si>
  <si>
    <t>Total</t>
    <phoneticPr fontId="2" type="noConversion"/>
  </si>
  <si>
    <t>Corporate profits 50k-up</t>
  </si>
  <si>
    <t>Corporate profits 1k-2k</t>
  </si>
  <si>
    <t>Personal profits 2k-5k</t>
  </si>
  <si>
    <t>Personal profits 5k-10k</t>
  </si>
  <si>
    <t>Personal profits 10k-20k</t>
  </si>
  <si>
    <t>Personal profits 20k-50k</t>
  </si>
  <si>
    <t>Personal profits 50k-up</t>
  </si>
  <si>
    <t>Personal profits 1k-2k</t>
  </si>
  <si>
    <t>minus</t>
    <phoneticPr fontId="2" type="noConversion"/>
  </si>
  <si>
    <t>Manufacturing</t>
    <phoneticPr fontId="2" type="noConversion"/>
  </si>
  <si>
    <t>Construction</t>
    <phoneticPr fontId="2" type="noConversion"/>
  </si>
  <si>
    <t>dvoryane II</t>
    <phoneticPr fontId="2" type="noConversion"/>
  </si>
  <si>
    <t>nobility 1k-2k rubles</t>
    <phoneticPr fontId="2" type="noConversion"/>
  </si>
  <si>
    <t>dvoryane I</t>
    <phoneticPr fontId="2" type="noConversion"/>
  </si>
  <si>
    <t>[8 distant provinces only]</t>
    <phoneticPr fontId="2" type="noConversion"/>
  </si>
  <si>
    <t>recipient</t>
    <phoneticPr fontId="2" type="noConversion"/>
  </si>
  <si>
    <t>state service pay 20k-50k r</t>
  </si>
  <si>
    <t>state service pay 10k-20k r</t>
  </si>
  <si>
    <t>state service pay 5k-10k r</t>
  </si>
  <si>
    <t>state service pay 2k-5k r</t>
  </si>
  <si>
    <t>state service pay 1k-2k r</t>
  </si>
  <si>
    <t>state service pay 50k r &amp;up</t>
  </si>
  <si>
    <t>zemstvo gov't pay 5k-10k r</t>
  </si>
  <si>
    <t>zemstvo gov't pay 2k-5k r</t>
  </si>
  <si>
    <t>zemstvo gov't pay 1k-2k r</t>
  </si>
  <si>
    <t>[From incomplete surveys.]</t>
    <phoneticPr fontId="2" type="noConversion"/>
  </si>
  <si>
    <t xml:space="preserve"> </t>
    <phoneticPr fontId="2" type="noConversion"/>
  </si>
  <si>
    <t>[See Opyt' (1906) file and the "Land incomes 1904" file.]</t>
    <phoneticPr fontId="2" type="noConversion"/>
  </si>
  <si>
    <t>doctors 20k-50k r</t>
  </si>
  <si>
    <t>per desiatina,</t>
    <phoneticPr fontId="2" type="noConversion"/>
  </si>
  <si>
    <t>Rubles per</t>
    <phoneticPr fontId="2" type="noConversion"/>
  </si>
  <si>
    <t>rural sector residual</t>
    <phoneticPr fontId="2" type="noConversion"/>
  </si>
  <si>
    <t>Family size = 5.57, LF not given; r161 were from grain.</t>
    <phoneticPr fontId="2" type="noConversion"/>
  </si>
  <si>
    <t>Financial investments 1k-2k</t>
  </si>
  <si>
    <t>recipients</t>
    <phoneticPr fontId="2" type="noConversion"/>
  </si>
  <si>
    <t>nobility 20k-50k rubles</t>
    <phoneticPr fontId="2" type="noConversion"/>
  </si>
  <si>
    <t>dvoryane V</t>
    <phoneticPr fontId="2" type="noConversion"/>
  </si>
  <si>
    <t>nobility 10k-20k rubles</t>
    <phoneticPr fontId="2" type="noConversion"/>
  </si>
  <si>
    <t>dvoryane IV</t>
    <phoneticPr fontId="2" type="noConversion"/>
  </si>
  <si>
    <t>nobility 5k-10k rubles</t>
    <phoneticPr fontId="2" type="noConversion"/>
  </si>
  <si>
    <t>dvoryane III</t>
    <phoneticPr fontId="2" type="noConversion"/>
  </si>
  <si>
    <t>nobility 2k-5k rubles</t>
    <phoneticPr fontId="2" type="noConversion"/>
  </si>
  <si>
    <t>personal profits 50k r &amp;up</t>
    <phoneticPr fontId="2" type="noConversion"/>
  </si>
  <si>
    <t>dvoryane VI</t>
    <phoneticPr fontId="2" type="noConversion"/>
  </si>
  <si>
    <t>(C.) Profits of commercial-industrial enterprises over 1,000 rubles/year</t>
    <phoneticPr fontId="2" type="noConversion"/>
  </si>
  <si>
    <t>Personal enterprises 1k-2k</t>
    <phoneticPr fontId="2" type="noConversion"/>
  </si>
  <si>
    <t>Personal enterprises 2k-5k</t>
    <phoneticPr fontId="2" type="noConversion"/>
  </si>
  <si>
    <t>Personal enterprises 5k-10k</t>
    <phoneticPr fontId="2" type="noConversion"/>
  </si>
  <si>
    <t>Personal enterprises 10k-20k</t>
    <phoneticPr fontId="2" type="noConversion"/>
  </si>
  <si>
    <t>Personal enterprises 20k-50k</t>
    <phoneticPr fontId="2" type="noConversion"/>
  </si>
  <si>
    <t xml:space="preserve">(3) Every peasant* household, landed or landless, has the same endowment of nadel lands.  </t>
    <phoneticPr fontId="2" type="noConversion"/>
  </si>
  <si>
    <t xml:space="preserve">(D.) Incomes from personal productive enterprises </t>
    <phoneticPr fontId="2" type="noConversion"/>
  </si>
  <si>
    <t>Profits 2k-5k</t>
  </si>
  <si>
    <t>Profits 5k-10k</t>
  </si>
  <si>
    <t>Profits 10k-20k</t>
  </si>
  <si>
    <t>Profits 20k-50k</t>
  </si>
  <si>
    <t>Profits 50k-up</t>
  </si>
  <si>
    <t>Profits 1k-2k</t>
  </si>
  <si>
    <t>(E.) Profits of personal enterprises</t>
    <phoneticPr fontId="2" type="noConversion"/>
  </si>
  <si>
    <t xml:space="preserve">no. </t>
    <phoneticPr fontId="2" type="noConversion"/>
  </si>
  <si>
    <t>Total value</t>
    <phoneticPr fontId="2" type="noConversion"/>
  </si>
  <si>
    <t>Financial investments 2k-5k</t>
  </si>
  <si>
    <t xml:space="preserve">Their </t>
  </si>
  <si>
    <t>urban realty</t>
  </si>
  <si>
    <t>Their</t>
  </si>
  <si>
    <t>total</t>
  </si>
  <si>
    <t>income per</t>
  </si>
  <si>
    <t>numbers</t>
  </si>
  <si>
    <t>incomes</t>
  </si>
  <si>
    <t>person</t>
  </si>
  <si>
    <t>Private individual ownership = chastnaya lichnaya sobstvennost'</t>
  </si>
  <si>
    <t>dukhovnye litsa</t>
  </si>
  <si>
    <t>krest'yane</t>
  </si>
  <si>
    <t>Itogo</t>
  </si>
  <si>
    <t>Tseliya obshchestva -- krestyanskaya</t>
  </si>
  <si>
    <t>Tovarishchistva - krest'yanskie</t>
  </si>
  <si>
    <t>personal profits 2k-5k r</t>
  </si>
  <si>
    <t>personal profits 1k-2k r</t>
  </si>
  <si>
    <t>personal profits 20k-50k r</t>
  </si>
  <si>
    <t>corporate profits 20k-50k r</t>
  </si>
  <si>
    <t>corporate profits 10k-20k r</t>
  </si>
  <si>
    <t>corporate profits 5k-10k r</t>
  </si>
  <si>
    <t>corporate profits 2k-5k r</t>
  </si>
  <si>
    <t>corporate profits 1k-2k r</t>
  </si>
  <si>
    <t>corporate profits 50k r &amp;up</t>
  </si>
  <si>
    <t>nobility &lt; 1,000 rubles</t>
    <phoneticPr fontId="2" type="noConversion"/>
  </si>
  <si>
    <t>merchants &amp;c ≥ r1,000</t>
    <phoneticPr fontId="2" type="noConversion"/>
  </si>
  <si>
    <t>lumpen-dvoryane</t>
    <phoneticPr fontId="2" type="noConversion"/>
  </si>
  <si>
    <t>At 4.8 rubles</t>
    <phoneticPr fontId="2" type="noConversion"/>
  </si>
  <si>
    <t>44.0 per worker, province ave's weighted by rural ag HHs 1897</t>
    <phoneticPr fontId="2" type="noConversion"/>
  </si>
  <si>
    <t>Constrained totals</t>
    <phoneticPr fontId="2" type="noConversion"/>
  </si>
  <si>
    <t>peasant, indiv landowning</t>
    <phoneticPr fontId="2" type="noConversion"/>
  </si>
  <si>
    <t>land inc plus r400 salary</t>
    <phoneticPr fontId="2" type="noConversion"/>
  </si>
  <si>
    <t>rubles</t>
    <phoneticPr fontId="2" type="noConversion"/>
  </si>
  <si>
    <t>Owners</t>
  </si>
  <si>
    <t>Land quantity</t>
  </si>
  <si>
    <t>vladenia</t>
  </si>
  <si>
    <t>desiatina</t>
  </si>
  <si>
    <t xml:space="preserve">Will need to add their other incomes -- imputed labor earnings, non-land asset incomes, </t>
    <phoneticPr fontId="2" type="noConversion"/>
  </si>
  <si>
    <t>(1) Income distribution data inputs, 50 provinces of European Russia 1904</t>
    <phoneticPr fontId="2" type="noConversion"/>
  </si>
  <si>
    <t>Some component parts of the stack</t>
    <phoneticPr fontId="2" type="noConversion"/>
  </si>
  <si>
    <t>assembled on the left here:</t>
    <phoneticPr fontId="2" type="noConversion"/>
  </si>
  <si>
    <t>total agric households</t>
    <phoneticPr fontId="2" type="noConversion"/>
  </si>
  <si>
    <t>bourgeois landowners, 8 provs</t>
    <phoneticPr fontId="2" type="noConversion"/>
  </si>
  <si>
    <t>landowners (from census, extrapolated to 1904)</t>
    <phoneticPr fontId="2" type="noConversion"/>
  </si>
  <si>
    <t>personal enterpr's 5k-10k r</t>
  </si>
  <si>
    <t>personal enterpr's 2k-5k r</t>
  </si>
  <si>
    <t>personal enterpr's 1k-2k r</t>
  </si>
  <si>
    <t>personal enterpr's 50k r &amp;up</t>
  </si>
  <si>
    <t>The main over-egalitarian assumptions here are:</t>
    <phoneticPr fontId="2" type="noConversion"/>
  </si>
  <si>
    <t>Attach these to various classes, in alternative estimates</t>
    <phoneticPr fontId="2" type="noConversion"/>
  </si>
  <si>
    <t>local gov't pay 2k-5k r</t>
  </si>
  <si>
    <t>local gov't pay 1k-2k r</t>
  </si>
  <si>
    <t>local gov't pay 20k-50k r</t>
  </si>
  <si>
    <t>State &amp; munic =</t>
    <phoneticPr fontId="2" type="noConversion"/>
  </si>
  <si>
    <t>Free professions, all non-Opyt'</t>
    <phoneticPr fontId="2" type="noConversion"/>
  </si>
  <si>
    <t>residual</t>
    <phoneticPr fontId="2" type="noConversion"/>
  </si>
  <si>
    <t>This worksheet assembles the whole vertical stack of potential income recipient types</t>
    <phoneticPr fontId="2" type="noConversion"/>
  </si>
  <si>
    <t>Total households</t>
    <phoneticPr fontId="2" type="noConversion"/>
  </si>
  <si>
    <t>Clergy - urban</t>
    <phoneticPr fontId="2" type="noConversion"/>
  </si>
  <si>
    <t>Mining</t>
  </si>
  <si>
    <t>[From the file "1897, 1904 occup matrix".]</t>
    <phoneticPr fontId="2" type="noConversion"/>
  </si>
  <si>
    <t>(F.) "From financial investments"</t>
    <phoneticPr fontId="2" type="noConversion"/>
  </si>
  <si>
    <t>income,</t>
    <phoneticPr fontId="2" type="noConversion"/>
  </si>
  <si>
    <t>Rubles per</t>
    <phoneticPr fontId="2" type="noConversion"/>
  </si>
  <si>
    <t>Kaluga peasants 1898</t>
    <phoneticPr fontId="2" type="noConversion"/>
  </si>
  <si>
    <t>Voronezh peasants 1886-1896</t>
    <phoneticPr fontId="2" type="noConversion"/>
  </si>
  <si>
    <t>Voronezh landless peasants 1897</t>
    <phoneticPr fontId="2" type="noConversion"/>
  </si>
  <si>
    <t>Landless, even with 0 nadel.</t>
    <phoneticPr fontId="2" type="noConversion"/>
  </si>
  <si>
    <t>Voronezh peasants with land 1897</t>
    <phoneticPr fontId="2" type="noConversion"/>
  </si>
  <si>
    <t>Plus nadel, which raised it by 3.1% to r401.83.</t>
    <phoneticPr fontId="2" type="noConversion"/>
  </si>
  <si>
    <t>Saratov noble-owned estate 1895</t>
    <phoneticPr fontId="2" type="noConversion"/>
  </si>
  <si>
    <t>Orel estate, early 1890s</t>
    <phoneticPr fontId="2" type="noConversion"/>
  </si>
  <si>
    <t>collective land inc only</t>
    <phoneticPr fontId="2" type="noConversion"/>
  </si>
  <si>
    <t xml:space="preserve"> </t>
    <phoneticPr fontId="2" type="noConversion"/>
  </si>
  <si>
    <t xml:space="preserve"> </t>
    <phoneticPr fontId="2" type="noConversion"/>
  </si>
  <si>
    <t>bourgeois landowners ≥ r1,000, 8 provs</t>
    <phoneticPr fontId="2" type="noConversion"/>
  </si>
  <si>
    <t>rural econ</t>
    <phoneticPr fontId="2" type="noConversion"/>
  </si>
  <si>
    <t>implied individually-landless agric households (of which 85,248 were clergy)</t>
    <phoneticPr fontId="2" type="noConversion"/>
  </si>
  <si>
    <t>Clergy - rural landed</t>
    <phoneticPr fontId="2" type="noConversion"/>
  </si>
  <si>
    <t>Clergy - rural landless</t>
    <phoneticPr fontId="2" type="noConversion"/>
  </si>
  <si>
    <t>See their lands above</t>
    <phoneticPr fontId="2" type="noConversion"/>
  </si>
  <si>
    <t>Kazan peasants 1898-1899</t>
    <phoneticPr fontId="2" type="noConversion"/>
  </si>
  <si>
    <t>Kostroma, 1 uezd, 1898</t>
    <phoneticPr fontId="2" type="noConversion"/>
  </si>
  <si>
    <t>1.34 workers per peasant household</t>
    <phoneticPr fontId="2" type="noConversion"/>
  </si>
  <si>
    <t>LF per HH not given</t>
    <phoneticPr fontId="2" type="noConversion"/>
  </si>
  <si>
    <t xml:space="preserve"> </t>
    <phoneticPr fontId="2" type="noConversion"/>
  </si>
  <si>
    <t>Olonets industrial HH 1898-1899</t>
    <phoneticPr fontId="2" type="noConversion"/>
  </si>
  <si>
    <t>HH income</t>
    <phoneticPr fontId="2" type="noConversion"/>
  </si>
  <si>
    <t>Vladimir industrial 1897</t>
    <phoneticPr fontId="2" type="noConversion"/>
  </si>
  <si>
    <t>173.28 per male worker, 118.56 per female, full-time</t>
    <phoneticPr fontId="2" type="noConversion"/>
  </si>
  <si>
    <t>This is without nadel rents.  They added 9.3% more to income.</t>
    <phoneticPr fontId="2" type="noConversion"/>
  </si>
  <si>
    <t>Vologoda peasants 1903</t>
    <phoneticPr fontId="2" type="noConversion"/>
  </si>
  <si>
    <t>bourgeois landowners &lt; r1,000</t>
    <phoneticPr fontId="2" type="noConversion"/>
  </si>
  <si>
    <t>Individually landless rural, n.e.c.</t>
    <phoneticPr fontId="2" type="noConversion"/>
  </si>
  <si>
    <t>More basic constraints --</t>
    <phoneticPr fontId="2" type="noConversion"/>
  </si>
  <si>
    <t>individual household landowners (from census, extrapolated to 1904)</t>
    <phoneticPr fontId="2" type="noConversion"/>
  </si>
  <si>
    <t>Tovarishchistva - torg-prom., fabr i proch.</t>
    <phoneticPr fontId="2" type="noConversion"/>
  </si>
  <si>
    <t>National income, in million rubles</t>
    <phoneticPr fontId="2" type="noConversion"/>
  </si>
  <si>
    <t xml:space="preserve">  </t>
    <phoneticPr fontId="2" type="noConversion"/>
  </si>
  <si>
    <t xml:space="preserve"> </t>
    <phoneticPr fontId="2" type="noConversion"/>
  </si>
  <si>
    <t>Notes</t>
    <phoneticPr fontId="2" type="noConversion"/>
  </si>
  <si>
    <t>households</t>
    <phoneticPr fontId="2" type="noConversion"/>
  </si>
  <si>
    <t>income</t>
    <phoneticPr fontId="2" type="noConversion"/>
  </si>
  <si>
    <t>More notes</t>
    <phoneticPr fontId="2" type="noConversion"/>
  </si>
  <si>
    <t>(2) The same is assumed even about financial asset earners and urban realty earners over r1,000.  None of them has a salary or any land, etc.</t>
    <phoneticPr fontId="2" type="noConversion"/>
  </si>
  <si>
    <t>The set of assumptions here will assume that top earners in any one non-land income category are also the top Opyt' earners in other categories.</t>
    <phoneticPr fontId="2" type="noConversion"/>
  </si>
  <si>
    <t>land inc + 2 in family working at ave farm wage of r58.5+ r49.49 in Nadel land rents + r1.3 + r2.7 via obshchestva</t>
    <phoneticPr fontId="2" type="noConversion"/>
  </si>
  <si>
    <t>Farm work 1891-00, bottom 25%</t>
    <phoneticPr fontId="2" type="noConversion"/>
  </si>
  <si>
    <t>Farm work 1891-00, 2nd 25%</t>
    <phoneticPr fontId="2" type="noConversion"/>
  </si>
  <si>
    <t>Farm work 1891-00, 3rd 25%</t>
    <phoneticPr fontId="2" type="noConversion"/>
  </si>
  <si>
    <t>Farm work 1891-00, top 25%</t>
    <phoneticPr fontId="2" type="noConversion"/>
  </si>
  <si>
    <t>81.845 per worker, province ave's weighted by rural ag HHs 1897</t>
    <phoneticPr fontId="2" type="noConversion"/>
  </si>
  <si>
    <t>58.80 per worker, province ave's weighted by rural ag HHs 1897</t>
    <phoneticPr fontId="2" type="noConversion"/>
  </si>
  <si>
    <t>49.9 per worker, province ave's weighted by rural ag HHs 1897</t>
    <phoneticPr fontId="2" type="noConversion"/>
  </si>
  <si>
    <t>49.9 per worker, province ave's weighted by rural ag HHs 1897, times 1.29 for sharing nadel land rents, peasant obshchestva, and peasant tovarishchestvo</t>
    <phoneticPr fontId="2" type="noConversion"/>
  </si>
  <si>
    <t>44.0 per worker, province ave's weighted by rural ag HHs 1897, times 1.29 for sharing nadel land rents, peasant obshchestva, and peasant tovarishchestvo</t>
    <phoneticPr fontId="2" type="noConversion"/>
  </si>
  <si>
    <t>Olonets 1900-1901 Woodwork</t>
    <phoneticPr fontId="2" type="noConversion"/>
  </si>
  <si>
    <t>per employee 49.5439569675576</t>
    <phoneticPr fontId="2" type="noConversion"/>
  </si>
  <si>
    <t>Olonets 1900-1901 Animal products</t>
    <phoneticPr fontId="2" type="noConversion"/>
  </si>
  <si>
    <t>per employee 71.5311063438553</t>
    <phoneticPr fontId="2" type="noConversion"/>
  </si>
  <si>
    <t>Olonets 1900-1901 Braiding / weaving</t>
    <phoneticPr fontId="2" type="noConversion"/>
  </si>
  <si>
    <t>per employee 52.183913683178</t>
    <phoneticPr fontId="2" type="noConversion"/>
  </si>
  <si>
    <t>Olonets 1900-1901 Minerals and metals</t>
    <phoneticPr fontId="2" type="noConversion"/>
  </si>
  <si>
    <t>per employee 104.354008438819</t>
    <phoneticPr fontId="2" type="noConversion"/>
  </si>
  <si>
    <t>Olonets 1900-1901 Other</t>
    <phoneticPr fontId="2" type="noConversion"/>
  </si>
  <si>
    <t>financials 10k-20k r</t>
  </si>
  <si>
    <t>any farm operator profits, and shares of nadel &amp; collective land incomes</t>
    <phoneticPr fontId="2" type="noConversion"/>
  </si>
  <si>
    <t>Clergy - landed</t>
    <phoneticPr fontId="2" type="noConversion"/>
  </si>
  <si>
    <t>Zemstvo =</t>
    <phoneticPr fontId="2" type="noConversion"/>
  </si>
  <si>
    <t>local gov't pay 10k-20k r</t>
  </si>
  <si>
    <t>local gov't pay 5k-10k r</t>
  </si>
  <si>
    <t>facturing, construction, transport,  communications,  and trade sectors (MCTs).</t>
    <phoneticPr fontId="2" type="noConversion"/>
  </si>
  <si>
    <t>Part (B.) Certain Rich Non-nobility in the "MCTs" sectors</t>
    <phoneticPr fontId="2" type="noConversion"/>
  </si>
  <si>
    <t>(A.) Land ownership incomes by class</t>
    <phoneticPr fontId="2" type="noConversion"/>
  </si>
  <si>
    <t>Transport &amp; communications</t>
    <phoneticPr fontId="2" type="noConversion"/>
  </si>
  <si>
    <t>Trade</t>
    <phoneticPr fontId="2" type="noConversion"/>
  </si>
  <si>
    <t>Private service, servants, &amp;c</t>
    <phoneticPr fontId="2" type="noConversion"/>
  </si>
  <si>
    <t>Residual "other"</t>
    <phoneticPr fontId="2" type="noConversion"/>
  </si>
  <si>
    <t>financials 5k-10k r</t>
  </si>
  <si>
    <t>financials 2k-5k r</t>
  </si>
  <si>
    <t>financials 1k-2k r</t>
  </si>
  <si>
    <t>financials 20k-50k r</t>
  </si>
  <si>
    <t>financials 50k r &amp;up</t>
    <phoneticPr fontId="2" type="noConversion"/>
  </si>
  <si>
    <t>So the revised top-group totals are --</t>
    <phoneticPr fontId="2" type="noConversion"/>
  </si>
  <si>
    <t>To this unified top group will be added</t>
    <phoneticPr fontId="2" type="noConversion"/>
  </si>
  <si>
    <t>per employee 118.079470198675</t>
    <phoneticPr fontId="2" type="noConversion"/>
  </si>
  <si>
    <t>Kostroma 1909</t>
    <phoneticPr fontId="2" type="noConversion"/>
  </si>
  <si>
    <t>Poltava peasants 1900</t>
    <phoneticPr fontId="2" type="noConversion"/>
  </si>
  <si>
    <t>mostly ag activities, some kustar</t>
    <phoneticPr fontId="2" type="noConversion"/>
  </si>
  <si>
    <t>Work</t>
    <phoneticPr fontId="2" type="noConversion"/>
  </si>
  <si>
    <t>row no.</t>
    <phoneticPr fontId="2" type="noConversion"/>
  </si>
  <si>
    <t>Earnings average was adjusted to meet the total income constraint.</t>
    <phoneticPr fontId="2" type="noConversion"/>
  </si>
  <si>
    <r>
      <t>Part (C.) Workers in the MCTs sectors</t>
    </r>
    <r>
      <rPr>
        <sz val="12"/>
        <rFont val="Arial"/>
      </rPr>
      <t xml:space="preserve"> (mining, manufacturing, construction, transport, communications, and trade) and service sectors</t>
    </r>
    <phoneticPr fontId="2" type="noConversion"/>
  </si>
  <si>
    <t>Part (D.) Calculating the Inequality Implied by the "Too-Unequal" Distribution of Income (results at bottom right)</t>
    <phoneticPr fontId="2" type="noConversion"/>
  </si>
  <si>
    <t>H55*(H55-I55)</t>
    <phoneticPr fontId="2" type="noConversion"/>
  </si>
  <si>
    <t>(H56-H55)*(H56-I56+H55-I55)</t>
    <phoneticPr fontId="2" type="noConversion"/>
  </si>
  <si>
    <t>Number of</t>
  </si>
  <si>
    <t>Group or institution</t>
  </si>
  <si>
    <t>households</t>
  </si>
  <si>
    <t>HH income</t>
  </si>
  <si>
    <t>income</t>
  </si>
  <si>
    <t>Comm-indus enterprises, 50k profit &amp;up</t>
  </si>
  <si>
    <t>National income, in million rubles, minus 742.5 million rubles of rental value of lands held by government, churches, and other institutions outside the household sector.</t>
    <phoneticPr fontId="2" type="noConversion"/>
  </si>
  <si>
    <t>total agric households (from census, extrapolated to 1904)</t>
    <phoneticPr fontId="2" type="noConversion"/>
  </si>
  <si>
    <t>(2) A fuller vertical stack of input data, incorporating the</t>
    <phoneticPr fontId="2" type="noConversion"/>
  </si>
  <si>
    <t>sectoral-occupational structure of households, European Russia in 1904</t>
    <phoneticPr fontId="2" type="noConversion"/>
  </si>
  <si>
    <t>(5) The "too-unequal" estimates of the Income distribution of European Russia in 1904</t>
    <phoneticPr fontId="2" type="noConversion"/>
  </si>
  <si>
    <t>(6) The "preferred" estimates of the income distribution of European Russia in 1904</t>
    <phoneticPr fontId="2" type="noConversion"/>
  </si>
  <si>
    <t>Sums for these top classes,</t>
    <phoneticPr fontId="2" type="noConversion"/>
  </si>
  <si>
    <t>viewed as one uniform top class</t>
    <phoneticPr fontId="2" type="noConversion"/>
  </si>
  <si>
    <t>these 369,655 were the same persons.</t>
    <phoneticPr fontId="15" type="noConversion"/>
  </si>
  <si>
    <t>Or 0.8 percent</t>
    <phoneticPr fontId="2" type="noConversion"/>
  </si>
  <si>
    <t>of households</t>
    <phoneticPr fontId="2" type="noConversion"/>
  </si>
  <si>
    <t>Group or institution</t>
    <phoneticPr fontId="2" type="noConversion"/>
  </si>
  <si>
    <t>bourgeois landed &lt; r1,000</t>
    <phoneticPr fontId="2" type="noConversion"/>
  </si>
  <si>
    <t>(D.) Government officials' pay, over 1,000 rubles per year</t>
    <phoneticPr fontId="2" type="noConversion"/>
  </si>
  <si>
    <t>urb rent 5k-10k rubles</t>
  </si>
  <si>
    <t>urb rent 2k-5k rubles</t>
  </si>
  <si>
    <t>urb rent 1k-2k rubles</t>
  </si>
  <si>
    <t>urb rent 10k-20k rubles</t>
  </si>
  <si>
    <t>personal profits 10k-20k r</t>
  </si>
  <si>
    <t>personal profits 5k-10k r</t>
  </si>
  <si>
    <t>2 full-time workers per HH * 308 rubles</t>
    <phoneticPr fontId="2" type="noConversion"/>
  </si>
  <si>
    <t>2 full-time workers per HH * 192 rubles</t>
    <phoneticPr fontId="2" type="noConversion"/>
  </si>
  <si>
    <t>2 full-time workers per HH * 107 rubles</t>
    <phoneticPr fontId="2" type="noConversion"/>
  </si>
  <si>
    <t>land inc plus r400 human earnings</t>
    <phoneticPr fontId="2" type="noConversion"/>
  </si>
  <si>
    <t>Landless peasants earning only 3.5 farm wages per household:</t>
    <phoneticPr fontId="2" type="noConversion"/>
  </si>
  <si>
    <t>top 25%, wtd by rural ag labor</t>
  </si>
  <si>
    <t>top 25%, wtd by rural ag labor</t>
    <phoneticPr fontId="2" type="noConversion"/>
  </si>
  <si>
    <t>3rd 25%,    "</t>
  </si>
  <si>
    <t>3rd 25%,    "</t>
    <phoneticPr fontId="2" type="noConversion"/>
  </si>
  <si>
    <t>2nd 25%,    "</t>
  </si>
  <si>
    <t>2nd 25%,    "</t>
    <phoneticPr fontId="2" type="noConversion"/>
  </si>
  <si>
    <t>bottom 25%,    "</t>
  </si>
  <si>
    <t>bottom 25%,    "</t>
    <phoneticPr fontId="2" type="noConversion"/>
  </si>
  <si>
    <t>81.845 wages per worker, province ave's weighted by rural ag HHs 1897, times 1.29 for sharing nadel land rents, peasant obshchestva, and peasant tovarishchestvo</t>
    <phoneticPr fontId="2" type="noConversion"/>
  </si>
  <si>
    <t>58.80 per worker, province ave's weighted by rural ag HHs 1897, times 1.29 for sharing nadel land rents, peasant obshchestva, and peasant tovarishchestvo</t>
    <phoneticPr fontId="2" type="noConversion"/>
  </si>
  <si>
    <t>Part (C.) Workers in the same non-agricultural sectors MCTs)</t>
    <phoneticPr fontId="2" type="noConversion"/>
  </si>
  <si>
    <t>peasant, indiv landowning</t>
    <phoneticPr fontId="2" type="noConversion"/>
  </si>
  <si>
    <t>Personal salaried, w 2k-5k salary part</t>
  </si>
  <si>
    <t>Personal salaried, w 2k-5k salary part</t>
    <phoneticPr fontId="2" type="noConversion"/>
  </si>
  <si>
    <t>Personal salaried, w 1k-2k salary part</t>
  </si>
  <si>
    <t>Personal salaried, w 1k-2k salary part</t>
    <phoneticPr fontId="2" type="noConversion"/>
  </si>
  <si>
    <t>Part (A.) Merged top-income groups</t>
    <phoneticPr fontId="2" type="noConversion"/>
  </si>
  <si>
    <t>Part (B.)  Rural lesser incomes</t>
    <phoneticPr fontId="2" type="noConversion"/>
  </si>
  <si>
    <t>land inc + 2 in family working at ave farm wage of r58.5, times 1.29 for sharing nadel land rents, peasant obshchestva, and peasant tovarishchestvo</t>
    <phoneticPr fontId="2" type="noConversion"/>
  </si>
  <si>
    <t>Or 18.0 percent of national income of European Russia,</t>
    <phoneticPr fontId="2" type="noConversion"/>
  </si>
  <si>
    <t>or 19.6 percent of household income, after subtracting</t>
    <phoneticPr fontId="2" type="noConversion"/>
  </si>
  <si>
    <t>out the rental value of government, chruch, and institutional lands.</t>
    <phoneticPr fontId="2" type="noConversion"/>
  </si>
  <si>
    <t>from 1,042 tovarishchistva - torg-prom., fabr i proch.</t>
    <phoneticPr fontId="2" type="noConversion"/>
  </si>
  <si>
    <t>To the top group will be added</t>
    <phoneticPr fontId="2" type="noConversion"/>
  </si>
  <si>
    <t>To the second group will be added</t>
    <phoneticPr fontId="2" type="noConversion"/>
  </si>
  <si>
    <t>Tovarishchistva - meshchanskie</t>
    <phoneticPr fontId="2" type="noConversion"/>
  </si>
  <si>
    <t>from 553 tovarishchistva - meshchanski</t>
    <phoneticPr fontId="2" type="noConversion"/>
  </si>
  <si>
    <t>To the third group will be added</t>
    <phoneticPr fontId="2" type="noConversion"/>
  </si>
  <si>
    <t>from 2,373 collective priv. n.e.c.</t>
    <phoneticPr fontId="2" type="noConversion"/>
  </si>
  <si>
    <t>More recently -</t>
    <phoneticPr fontId="2" type="noConversion"/>
  </si>
  <si>
    <t>China 2003</t>
    <phoneticPr fontId="2" type="noConversion"/>
  </si>
  <si>
    <t>Deininger-Squire wiid2.</t>
    <phoneticPr fontId="2" type="noConversion"/>
  </si>
  <si>
    <t xml:space="preserve">Lindert, and Williamson, 2011), http://gpih.ucdavis.edu, "early income distributions", </t>
    <phoneticPr fontId="2" type="noConversion"/>
  </si>
  <si>
    <t>and the World Bank's Deininger-Squire inequality database wiid2.</t>
    <phoneticPr fontId="2" type="noConversion"/>
  </si>
  <si>
    <t>Russia 2002</t>
    <phoneticPr fontId="2" type="noConversion"/>
  </si>
  <si>
    <t>USA 2003</t>
    <phoneticPr fontId="2" type="noConversion"/>
  </si>
  <si>
    <t>Brazil 2001</t>
    <phoneticPr fontId="2" type="noConversion"/>
  </si>
  <si>
    <t>Top 1%</t>
    <phoneticPr fontId="2" type="noConversion"/>
  </si>
  <si>
    <t>Top 2%</t>
    <phoneticPr fontId="2" type="noConversion"/>
  </si>
  <si>
    <t>Top5%</t>
    <phoneticPr fontId="2" type="noConversion"/>
  </si>
  <si>
    <t>Gini coefficient</t>
    <phoneticPr fontId="2" type="noConversion"/>
  </si>
  <si>
    <t>Other Countries since the Late Nineteenth Century</t>
    <phoneticPr fontId="2" type="noConversion"/>
  </si>
  <si>
    <t xml:space="preserve">Income Inequality in Imperial Russia and Selected </t>
    <phoneticPr fontId="2" type="noConversion"/>
  </si>
  <si>
    <t>APS for shares; Deininger-Squire wiid2 for gini.</t>
    <phoneticPr fontId="2" type="noConversion"/>
  </si>
  <si>
    <t xml:space="preserve">Percent of all household income received by </t>
    <phoneticPr fontId="2" type="noConversion"/>
  </si>
  <si>
    <t xml:space="preserve">The main tertiary sources are APS (Atkinson-Piketty-Saez 2011), MRW (Milanovic, </t>
    <phoneticPr fontId="2" type="noConversion"/>
  </si>
  <si>
    <t>Japan 1907</t>
    <phoneticPr fontId="2" type="noConversion"/>
  </si>
  <si>
    <t>Colonial settings --</t>
    <phoneticPr fontId="2" type="noConversion"/>
  </si>
  <si>
    <t>Kenya 1914</t>
    <phoneticPr fontId="2" type="noConversion"/>
  </si>
  <si>
    <t>Kenya 1927</t>
    <phoneticPr fontId="2" type="noConversion"/>
  </si>
  <si>
    <t>Java 1880</t>
    <phoneticPr fontId="2" type="noConversion"/>
  </si>
  <si>
    <t>Java 1924</t>
    <phoneticPr fontId="2" type="noConversion"/>
  </si>
  <si>
    <t>India 1922</t>
    <phoneticPr fontId="2" type="noConversion"/>
  </si>
  <si>
    <t>Note that the colonial income distributions exclude incomes taken away by non-residents.</t>
    <phoneticPr fontId="2" type="noConversion"/>
  </si>
  <si>
    <t>Worksheet (8)</t>
    <phoneticPr fontId="2" type="noConversion"/>
  </si>
  <si>
    <t>Sweden 1903</t>
    <phoneticPr fontId="2" type="noConversion"/>
  </si>
  <si>
    <t>gpih</t>
    <phoneticPr fontId="2" type="noConversion"/>
  </si>
  <si>
    <t>APS</t>
    <phoneticPr fontId="2" type="noConversion"/>
  </si>
  <si>
    <t>APS</t>
    <phoneticPr fontId="2" type="noConversion"/>
  </si>
  <si>
    <t>MRW</t>
    <phoneticPr fontId="2" type="noConversion"/>
  </si>
  <si>
    <t>APS</t>
    <phoneticPr fontId="2" type="noConversion"/>
  </si>
  <si>
    <t>Finland 1922</t>
    <phoneticPr fontId="2" type="noConversion"/>
  </si>
  <si>
    <t>more fully in those tertiary sources.</t>
    <phoneticPr fontId="2" type="noConversion"/>
  </si>
  <si>
    <t>Russia 1904</t>
    <phoneticPr fontId="2" type="noConversion"/>
  </si>
  <si>
    <t>England-Wales 1867</t>
    <phoneticPr fontId="2" type="noConversion"/>
  </si>
  <si>
    <t>USA 1917</t>
    <phoneticPr fontId="2" type="noConversion"/>
  </si>
  <si>
    <t>China 1880s</t>
    <phoneticPr fontId="2" type="noConversion"/>
  </si>
  <si>
    <t>Brazil 1872</t>
    <phoneticPr fontId="2" type="noConversion"/>
  </si>
  <si>
    <t>Peru 1876</t>
    <phoneticPr fontId="2" type="noConversion"/>
  </si>
  <si>
    <t>Maghreb 1880</t>
    <phoneticPr fontId="2" type="noConversion"/>
  </si>
  <si>
    <r>
      <t>Sources and notes</t>
    </r>
    <r>
      <rPr>
        <sz val="12"/>
        <rFont val="Arial"/>
      </rPr>
      <t>:</t>
    </r>
    <phoneticPr fontId="2" type="noConversion"/>
  </si>
  <si>
    <t>[Top 2% share = 22.0%]</t>
    <phoneticPr fontId="2" type="noConversion"/>
  </si>
  <si>
    <t>Comm-indus enterprises, 20k-50k profit</t>
  </si>
  <si>
    <t>Comm-indus enterprises, 10k-20k profit</t>
  </si>
  <si>
    <t>Comm-indus enterprises, 5k-10k profit</t>
  </si>
  <si>
    <t>(Note: median &gt; mean in this case. Reverse skewing.)</t>
    <phoneticPr fontId="2" type="noConversion"/>
  </si>
  <si>
    <t>top 25% of indus wage sample</t>
  </si>
  <si>
    <t>top 25% of indus wage sample</t>
    <phoneticPr fontId="2" type="noConversion"/>
  </si>
  <si>
    <t>2 full-time workers per HH * 413 rubles</t>
    <phoneticPr fontId="2" type="noConversion"/>
  </si>
</sst>
</file>

<file path=xl/styles.xml><?xml version="1.0" encoding="utf-8"?>
<styleSheet xmlns="http://schemas.openxmlformats.org/spreadsheetml/2006/main">
  <numFmts count="13">
    <numFmt numFmtId="42" formatCode="_(&quot;$&quot;* #,##0_);_(&quot;$&quot;* \(#,##0\);_(&quot;$&quot;* &quot;-&quot;_);_(@_)"/>
    <numFmt numFmtId="41" formatCode="_(* #,##0_);_(* \(#,##0\);_(* &quot;-&quot;_);_(@_)"/>
    <numFmt numFmtId="44" formatCode="_(&quot;$&quot;* #,##0.00_);_(&quot;$&quot;* \(#,##0.00\);_(&quot;$&quot;* &quot;-&quot;??_);_(@_)"/>
    <numFmt numFmtId="43" formatCode="_(* #,##0.00_);_(* \(#,##0.00\);_(* &quot;-&quot;??_);_(@_)"/>
    <numFmt numFmtId="167" formatCode="_(* #,##0.00_);_(* \(#,##0.00\);_(* &quot;-&quot;??_);_(@_)"/>
    <numFmt numFmtId="168" formatCode="0.0"/>
    <numFmt numFmtId="169" formatCode="0,000"/>
    <numFmt numFmtId="170" formatCode="_(* #,##0_);_(* \(#,##0\);_(* &quot;-&quot;??_);_(@_)"/>
    <numFmt numFmtId="171" formatCode="0.00000"/>
    <numFmt numFmtId="172" formatCode="0.000"/>
    <numFmt numFmtId="173" formatCode="0.0000000"/>
    <numFmt numFmtId="174" formatCode="_(* #,##0.0_);_(* \(#,##0.0\);_(* &quot;-&quot;??_);_(@_)"/>
    <numFmt numFmtId="175" formatCode="0"/>
  </numFmts>
  <fonts count="21">
    <font>
      <sz val="10"/>
      <name val="Verdana"/>
    </font>
    <font>
      <sz val="10"/>
      <name val="Verdana"/>
    </font>
    <font>
      <sz val="8"/>
      <name val="Verdana"/>
    </font>
    <font>
      <sz val="12"/>
      <name val="Arial"/>
    </font>
    <font>
      <i/>
      <u/>
      <sz val="12"/>
      <name val="Arial"/>
    </font>
    <font>
      <b/>
      <sz val="14"/>
      <color indexed="10"/>
      <name val="Arial"/>
    </font>
    <font>
      <b/>
      <sz val="12"/>
      <name val="Arial"/>
    </font>
    <font>
      <u/>
      <sz val="12"/>
      <name val="Arial"/>
    </font>
    <font>
      <b/>
      <u/>
      <sz val="12"/>
      <name val="Arial"/>
    </font>
    <font>
      <sz val="12"/>
      <color indexed="10"/>
      <name val="Arial"/>
    </font>
    <font>
      <b/>
      <sz val="11"/>
      <name val="Times New Roman"/>
      <family val="1"/>
    </font>
    <font>
      <i/>
      <sz val="12"/>
      <name val="Arial"/>
    </font>
    <font>
      <sz val="11"/>
      <name val="Times New Roman"/>
      <family val="1"/>
    </font>
    <font>
      <sz val="12"/>
      <name val="Times New Roman"/>
    </font>
    <font>
      <i/>
      <sz val="12"/>
      <name val="Times New Roman"/>
    </font>
    <font>
      <sz val="8"/>
      <name val="Arial"/>
    </font>
    <font>
      <b/>
      <sz val="11"/>
      <color indexed="10"/>
      <name val="Times New Roman"/>
    </font>
    <font>
      <b/>
      <i/>
      <sz val="11"/>
      <name val="Times New Roman"/>
    </font>
    <font>
      <b/>
      <sz val="12"/>
      <name val="Times New Roman"/>
    </font>
    <font>
      <sz val="12"/>
      <color indexed="8"/>
      <name val="Arial"/>
    </font>
    <font>
      <b/>
      <sz val="12"/>
      <color indexed="8"/>
      <name val="Arial"/>
    </font>
  </fonts>
  <fills count="6">
    <fill>
      <patternFill patternType="none"/>
    </fill>
    <fill>
      <patternFill patternType="gray125"/>
    </fill>
    <fill>
      <patternFill patternType="solid">
        <fgColor indexed="42"/>
        <bgColor indexed="64"/>
      </patternFill>
    </fill>
    <fill>
      <patternFill patternType="solid">
        <fgColor indexed="40"/>
        <bgColor indexed="64"/>
      </patternFill>
    </fill>
    <fill>
      <patternFill patternType="solid">
        <fgColor indexed="41"/>
        <bgColor indexed="64"/>
      </patternFill>
    </fill>
    <fill>
      <patternFill patternType="solid">
        <fgColor indexed="4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s>
  <cellStyleXfs count="2">
    <xf numFmtId="0" fontId="0" fillId="0" borderId="0"/>
    <xf numFmtId="167" fontId="1" fillId="0" borderId="0" applyFont="0" applyFill="0" applyBorder="0" applyAlignment="0" applyProtection="0"/>
  </cellStyleXfs>
  <cellXfs count="189">
    <xf numFmtId="0" fontId="0" fillId="0" borderId="0" xfId="0"/>
    <xf numFmtId="0" fontId="3" fillId="0" borderId="0" xfId="0" applyFont="1"/>
    <xf numFmtId="0" fontId="3" fillId="0" borderId="0" xfId="0" applyFont="1" applyAlignment="1">
      <alignment horizontal="right"/>
    </xf>
    <xf numFmtId="168" fontId="3" fillId="0" borderId="0" xfId="0" applyNumberFormat="1" applyFont="1" applyAlignment="1">
      <alignment horizontal="right"/>
    </xf>
    <xf numFmtId="0" fontId="4" fillId="0" borderId="0" xfId="0" applyFont="1"/>
    <xf numFmtId="168" fontId="3" fillId="0" borderId="0" xfId="0" applyNumberFormat="1" applyFont="1"/>
    <xf numFmtId="169" fontId="3" fillId="0" borderId="0" xfId="0" applyNumberFormat="1" applyFont="1"/>
    <xf numFmtId="1" fontId="3" fillId="0" borderId="0" xfId="0" applyNumberFormat="1" applyFont="1"/>
    <xf numFmtId="0" fontId="5" fillId="0" borderId="0" xfId="0" applyFont="1"/>
    <xf numFmtId="0" fontId="6" fillId="0" borderId="0" xfId="0" applyFont="1"/>
    <xf numFmtId="1" fontId="3" fillId="0" borderId="0" xfId="0" applyNumberFormat="1" applyFont="1"/>
    <xf numFmtId="169" fontId="3" fillId="0" borderId="0" xfId="0" applyNumberFormat="1" applyFont="1"/>
    <xf numFmtId="169" fontId="3" fillId="0" borderId="0" xfId="0" applyNumberFormat="1" applyFont="1" applyAlignment="1">
      <alignment horizontal="right"/>
    </xf>
    <xf numFmtId="169" fontId="7" fillId="0" borderId="0" xfId="0" applyNumberFormat="1" applyFont="1" applyAlignment="1">
      <alignment horizontal="right"/>
    </xf>
    <xf numFmtId="0" fontId="7" fillId="0" borderId="0" xfId="0" applyFont="1" applyAlignment="1">
      <alignment horizontal="right"/>
    </xf>
    <xf numFmtId="1" fontId="3" fillId="0" borderId="0" xfId="0" applyNumberFormat="1" applyFont="1" applyAlignment="1"/>
    <xf numFmtId="169" fontId="3" fillId="0" borderId="0" xfId="0" applyNumberFormat="1" applyFont="1"/>
    <xf numFmtId="1" fontId="3" fillId="0" borderId="0" xfId="0" applyNumberFormat="1" applyFont="1"/>
    <xf numFmtId="170" fontId="3" fillId="0" borderId="0" xfId="1" applyNumberFormat="1" applyFont="1"/>
    <xf numFmtId="1" fontId="3" fillId="0" borderId="0" xfId="0" applyNumberFormat="1" applyFont="1" applyBorder="1"/>
    <xf numFmtId="0" fontId="3" fillId="0" borderId="0" xfId="0" applyFont="1" applyBorder="1"/>
    <xf numFmtId="169" fontId="3" fillId="0" borderId="0" xfId="0" applyNumberFormat="1" applyFont="1" applyBorder="1"/>
    <xf numFmtId="170" fontId="3" fillId="0" borderId="0" xfId="1" applyNumberFormat="1" applyFont="1" applyBorder="1"/>
    <xf numFmtId="169" fontId="3" fillId="0" borderId="0" xfId="0" applyNumberFormat="1" applyFont="1"/>
    <xf numFmtId="0" fontId="8" fillId="0" borderId="0" xfId="0" applyFont="1"/>
    <xf numFmtId="1" fontId="3" fillId="2" borderId="0" xfId="0" applyNumberFormat="1" applyFont="1" applyFill="1"/>
    <xf numFmtId="0" fontId="3" fillId="2" borderId="0" xfId="0" applyFont="1" applyFill="1" applyAlignment="1">
      <alignment horizontal="right"/>
    </xf>
    <xf numFmtId="169" fontId="3" fillId="0" borderId="0" xfId="0" applyNumberFormat="1" applyFont="1" applyAlignment="1">
      <alignment horizontal="right"/>
    </xf>
    <xf numFmtId="0" fontId="9" fillId="0" borderId="0" xfId="0" applyFont="1"/>
    <xf numFmtId="169" fontId="3" fillId="2" borderId="0" xfId="0" applyNumberFormat="1" applyFont="1" applyFill="1"/>
    <xf numFmtId="0" fontId="3" fillId="0" borderId="2" xfId="0" applyFont="1" applyBorder="1"/>
    <xf numFmtId="170" fontId="3" fillId="0" borderId="2" xfId="0" applyNumberFormat="1" applyFont="1" applyBorder="1"/>
    <xf numFmtId="0" fontId="8" fillId="0" borderId="0" xfId="0" applyFont="1" applyAlignment="1">
      <alignment horizontal="right"/>
    </xf>
    <xf numFmtId="169" fontId="9" fillId="0" borderId="0" xfId="0" applyNumberFormat="1" applyFont="1"/>
    <xf numFmtId="170" fontId="3" fillId="0" borderId="0" xfId="0" applyNumberFormat="1" applyFont="1" applyBorder="1"/>
    <xf numFmtId="168" fontId="3" fillId="0" borderId="0" xfId="0" applyNumberFormat="1" applyFont="1"/>
    <xf numFmtId="170" fontId="3" fillId="0" borderId="3" xfId="0" applyNumberFormat="1" applyFont="1" applyBorder="1"/>
    <xf numFmtId="0" fontId="3" fillId="0" borderId="0" xfId="0" applyFont="1" applyBorder="1" applyAlignment="1">
      <alignment horizontal="right"/>
    </xf>
    <xf numFmtId="170" fontId="3" fillId="0" borderId="0" xfId="1" applyNumberFormat="1" applyFont="1" applyBorder="1"/>
    <xf numFmtId="1" fontId="3" fillId="0" borderId="0" xfId="1" applyNumberFormat="1" applyFont="1" applyBorder="1"/>
    <xf numFmtId="1" fontId="3" fillId="0" borderId="0" xfId="0" applyNumberFormat="1" applyFont="1" applyBorder="1"/>
    <xf numFmtId="170" fontId="3" fillId="0" borderId="0" xfId="1" applyNumberFormat="1" applyFont="1"/>
    <xf numFmtId="170" fontId="10" fillId="0" borderId="0" xfId="1" applyNumberFormat="1" applyFont="1"/>
    <xf numFmtId="170" fontId="3" fillId="0" borderId="0" xfId="0" applyNumberFormat="1" applyFont="1"/>
    <xf numFmtId="168" fontId="3" fillId="0" borderId="0" xfId="0" applyNumberFormat="1" applyFont="1"/>
    <xf numFmtId="0" fontId="7" fillId="0" borderId="0" xfId="0" applyFont="1"/>
    <xf numFmtId="168" fontId="3" fillId="0" borderId="0" xfId="0" applyNumberFormat="1" applyFont="1"/>
    <xf numFmtId="1" fontId="3" fillId="0" borderId="0" xfId="0" applyNumberFormat="1" applyFont="1"/>
    <xf numFmtId="2" fontId="3" fillId="0" borderId="0" xfId="0" applyNumberFormat="1" applyFont="1"/>
    <xf numFmtId="168" fontId="3" fillId="0" borderId="0" xfId="0" applyNumberFormat="1" applyFont="1"/>
    <xf numFmtId="0" fontId="3" fillId="0" borderId="0" xfId="0" applyFont="1" applyFill="1" applyAlignment="1">
      <alignment horizontal="right"/>
    </xf>
    <xf numFmtId="1" fontId="3" fillId="0" borderId="0" xfId="0" applyNumberFormat="1" applyFont="1" applyFill="1"/>
    <xf numFmtId="0" fontId="3" fillId="0" borderId="0" xfId="0" applyFont="1" applyFill="1"/>
    <xf numFmtId="169" fontId="3" fillId="0" borderId="0" xfId="0" applyNumberFormat="1" applyFont="1" applyFill="1"/>
    <xf numFmtId="1" fontId="3" fillId="0" borderId="0" xfId="0" applyNumberFormat="1" applyFont="1" applyFill="1"/>
    <xf numFmtId="168" fontId="3" fillId="0" borderId="0" xfId="0" applyNumberFormat="1" applyFont="1" applyFill="1"/>
    <xf numFmtId="1" fontId="3" fillId="0" borderId="0" xfId="0" applyNumberFormat="1" applyFont="1" applyFill="1"/>
    <xf numFmtId="169" fontId="3" fillId="3" borderId="4" xfId="0" applyNumberFormat="1" applyFont="1" applyFill="1" applyBorder="1"/>
    <xf numFmtId="169" fontId="3" fillId="3" borderId="5" xfId="0" applyNumberFormat="1" applyFont="1" applyFill="1" applyBorder="1"/>
    <xf numFmtId="0" fontId="3" fillId="4" borderId="6" xfId="0" applyFont="1" applyFill="1" applyBorder="1"/>
    <xf numFmtId="1" fontId="3" fillId="0" borderId="0" xfId="0" applyNumberFormat="1" applyFont="1"/>
    <xf numFmtId="1" fontId="3" fillId="0" borderId="0" xfId="0" applyNumberFormat="1" applyFont="1" applyFill="1"/>
    <xf numFmtId="1" fontId="3" fillId="0" borderId="0" xfId="0" applyNumberFormat="1" applyFont="1"/>
    <xf numFmtId="169" fontId="3" fillId="0" borderId="0" xfId="0" applyNumberFormat="1" applyFont="1"/>
    <xf numFmtId="169" fontId="3" fillId="0" borderId="0" xfId="0" applyNumberFormat="1" applyFont="1" applyAlignment="1">
      <alignment horizontal="right"/>
    </xf>
    <xf numFmtId="169" fontId="7" fillId="0" borderId="0" xfId="0" applyNumberFormat="1" applyFont="1" applyAlignment="1">
      <alignment horizontal="right"/>
    </xf>
    <xf numFmtId="169" fontId="3" fillId="0" borderId="0" xfId="0" applyNumberFormat="1" applyFont="1" applyFill="1"/>
    <xf numFmtId="169" fontId="3" fillId="0" borderId="0" xfId="1" applyNumberFormat="1" applyFont="1"/>
    <xf numFmtId="169" fontId="3" fillId="0" borderId="0" xfId="1" applyNumberFormat="1" applyFont="1" applyBorder="1"/>
    <xf numFmtId="169" fontId="3" fillId="0" borderId="0" xfId="0" applyNumberFormat="1" applyFont="1" applyBorder="1"/>
    <xf numFmtId="1" fontId="3" fillId="0" borderId="0" xfId="0" applyNumberFormat="1" applyFont="1"/>
    <xf numFmtId="1" fontId="3" fillId="0" borderId="0" xfId="0" applyNumberFormat="1" applyFont="1" applyFill="1"/>
    <xf numFmtId="1" fontId="3" fillId="0" borderId="0" xfId="0" applyNumberFormat="1" applyFont="1" applyFill="1"/>
    <xf numFmtId="1" fontId="3" fillId="0" borderId="0" xfId="0" applyNumberFormat="1" applyFont="1"/>
    <xf numFmtId="169" fontId="3" fillId="3" borderId="7" xfId="0" applyNumberFormat="1" applyFont="1" applyFill="1" applyBorder="1"/>
    <xf numFmtId="169" fontId="3" fillId="3" borderId="8" xfId="0" applyNumberFormat="1" applyFont="1" applyFill="1" applyBorder="1"/>
    <xf numFmtId="168" fontId="3" fillId="0" borderId="2" xfId="0" applyNumberFormat="1" applyFont="1" applyBorder="1"/>
    <xf numFmtId="168" fontId="3" fillId="0" borderId="0" xfId="0" applyNumberFormat="1" applyFont="1"/>
    <xf numFmtId="168" fontId="3" fillId="0" borderId="0" xfId="0" applyNumberFormat="1" applyFont="1"/>
    <xf numFmtId="168" fontId="3" fillId="0" borderId="0" xfId="0" applyNumberFormat="1" applyFont="1"/>
    <xf numFmtId="168" fontId="3" fillId="0" borderId="0" xfId="0" applyNumberFormat="1" applyFont="1"/>
    <xf numFmtId="168" fontId="3" fillId="0" borderId="0" xfId="0" applyNumberFormat="1" applyFont="1"/>
    <xf numFmtId="168" fontId="3" fillId="0" borderId="0" xfId="0" applyNumberFormat="1" applyFont="1"/>
    <xf numFmtId="1" fontId="3" fillId="2" borderId="0" xfId="0" applyNumberFormat="1" applyFont="1" applyFill="1"/>
    <xf numFmtId="169" fontId="3" fillId="2" borderId="0" xfId="0" applyNumberFormat="1" applyFont="1" applyFill="1" applyAlignment="1">
      <alignment horizontal="right"/>
    </xf>
    <xf numFmtId="169" fontId="3" fillId="5" borderId="0" xfId="0" applyNumberFormat="1" applyFont="1" applyFill="1"/>
    <xf numFmtId="170" fontId="3" fillId="5" borderId="0" xfId="1" applyNumberFormat="1" applyFont="1" applyFill="1"/>
    <xf numFmtId="0" fontId="3" fillId="5" borderId="0" xfId="0" applyFont="1" applyFill="1" applyBorder="1"/>
    <xf numFmtId="169" fontId="3" fillId="5" borderId="0" xfId="0" applyNumberFormat="1" applyFont="1" applyFill="1" applyBorder="1"/>
    <xf numFmtId="1" fontId="3" fillId="5" borderId="0" xfId="0" applyNumberFormat="1" applyFont="1" applyFill="1"/>
    <xf numFmtId="0" fontId="3" fillId="2" borderId="0" xfId="0" applyFont="1" applyFill="1"/>
    <xf numFmtId="169" fontId="3" fillId="0" borderId="0" xfId="0" applyNumberFormat="1" applyFont="1"/>
    <xf numFmtId="171" fontId="3" fillId="0" borderId="0" xfId="0" applyNumberFormat="1" applyFont="1"/>
    <xf numFmtId="168" fontId="3" fillId="0" borderId="0" xfId="0" applyNumberFormat="1" applyFont="1"/>
    <xf numFmtId="0" fontId="11" fillId="2" borderId="0" xfId="0" applyFont="1" applyFill="1" applyAlignment="1">
      <alignment horizontal="right"/>
    </xf>
    <xf numFmtId="169" fontId="3" fillId="0" borderId="0" xfId="0" applyNumberFormat="1" applyFont="1" applyFill="1" applyBorder="1"/>
    <xf numFmtId="168" fontId="3" fillId="0" borderId="0" xfId="0" applyNumberFormat="1" applyFont="1" applyFill="1" applyBorder="1"/>
    <xf numFmtId="0" fontId="6" fillId="0" borderId="0" xfId="0" applyFont="1" applyFill="1"/>
    <xf numFmtId="0" fontId="6" fillId="0" borderId="0" xfId="0" applyFont="1" applyFill="1" applyAlignment="1">
      <alignment horizontal="left"/>
    </xf>
    <xf numFmtId="168" fontId="3" fillId="0" borderId="0" xfId="0" applyNumberFormat="1" applyFont="1" applyFill="1"/>
    <xf numFmtId="169" fontId="3" fillId="0" borderId="0" xfId="0" applyNumberFormat="1" applyFont="1" applyFill="1" applyAlignment="1">
      <alignment horizontal="left"/>
    </xf>
    <xf numFmtId="0" fontId="9" fillId="0" borderId="0" xfId="0" applyFont="1" applyAlignment="1">
      <alignment horizontal="right"/>
    </xf>
    <xf numFmtId="0" fontId="6" fillId="0" borderId="0" xfId="0" applyFont="1" applyAlignment="1">
      <alignment horizontal="right"/>
    </xf>
    <xf numFmtId="168" fontId="3" fillId="0" borderId="0" xfId="0" applyNumberFormat="1" applyFont="1"/>
    <xf numFmtId="168" fontId="3" fillId="0" borderId="0" xfId="0" applyNumberFormat="1" applyFont="1"/>
    <xf numFmtId="1" fontId="3" fillId="0" borderId="0" xfId="0" applyNumberFormat="1" applyFont="1"/>
    <xf numFmtId="0" fontId="9" fillId="0" borderId="0" xfId="0" applyFont="1" applyAlignment="1">
      <alignment horizontal="left"/>
    </xf>
    <xf numFmtId="172" fontId="3" fillId="0" borderId="1" xfId="0" applyNumberFormat="1" applyFont="1" applyBorder="1"/>
    <xf numFmtId="173" fontId="9" fillId="0" borderId="0" xfId="0" applyNumberFormat="1" applyFont="1"/>
    <xf numFmtId="168" fontId="3" fillId="0" borderId="0" xfId="0" applyNumberFormat="1" applyFont="1"/>
    <xf numFmtId="168" fontId="3" fillId="0" borderId="0" xfId="0" applyNumberFormat="1" applyFont="1"/>
    <xf numFmtId="169" fontId="3" fillId="0" borderId="0" xfId="0" applyNumberFormat="1" applyFont="1"/>
    <xf numFmtId="169" fontId="3" fillId="3" borderId="8" xfId="0" applyNumberFormat="1" applyFont="1" applyFill="1" applyBorder="1"/>
    <xf numFmtId="169" fontId="3" fillId="0" borderId="0" xfId="0" applyNumberFormat="1" applyFont="1" applyFill="1" applyBorder="1"/>
    <xf numFmtId="169" fontId="3" fillId="0" borderId="0" xfId="0" applyNumberFormat="1" applyFont="1" applyAlignment="1">
      <alignment horizontal="right"/>
    </xf>
    <xf numFmtId="169" fontId="7" fillId="0" borderId="0" xfId="0" applyNumberFormat="1" applyFont="1" applyAlignment="1">
      <alignment horizontal="right"/>
    </xf>
    <xf numFmtId="169" fontId="3" fillId="0" borderId="0" xfId="0" applyNumberFormat="1" applyFont="1" applyFill="1"/>
    <xf numFmtId="0" fontId="12" fillId="0" borderId="0" xfId="0" applyFont="1"/>
    <xf numFmtId="0" fontId="13" fillId="0" borderId="0" xfId="0" applyFont="1"/>
    <xf numFmtId="0" fontId="10" fillId="0" borderId="0" xfId="0" applyFont="1"/>
    <xf numFmtId="0" fontId="16" fillId="0" borderId="0" xfId="0" applyFont="1"/>
    <xf numFmtId="170" fontId="10" fillId="0" borderId="0" xfId="1" applyNumberFormat="1" applyFont="1"/>
    <xf numFmtId="169" fontId="12" fillId="3" borderId="1" xfId="0" applyNumberFormat="1" applyFont="1" applyFill="1" applyBorder="1"/>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1" xfId="0" applyFont="1" applyBorder="1" applyAlignment="1">
      <alignment horizontal="centerContinuous"/>
    </xf>
    <xf numFmtId="0" fontId="12" fillId="0" borderId="7" xfId="0" applyFont="1" applyBorder="1" applyAlignment="1">
      <alignment horizontal="centerContinuous"/>
    </xf>
    <xf numFmtId="0" fontId="12" fillId="0" borderId="13" xfId="0" applyFont="1" applyBorder="1" applyAlignment="1">
      <alignment horizontal="centerContinuous"/>
    </xf>
    <xf numFmtId="0" fontId="12" fillId="0" borderId="8" xfId="0" applyFont="1" applyBorder="1" applyAlignment="1">
      <alignment horizontal="centerContinuous"/>
    </xf>
    <xf numFmtId="0" fontId="12" fillId="0" borderId="0" xfId="0" applyFont="1" applyAlignment="1">
      <alignment horizontal="centerContinuous"/>
    </xf>
    <xf numFmtId="170" fontId="12" fillId="0" borderId="12" xfId="1" applyNumberFormat="1" applyFont="1" applyBorder="1" applyAlignment="1">
      <alignment horizontal="center"/>
    </xf>
    <xf numFmtId="0" fontId="12" fillId="0" borderId="12" xfId="0" applyFont="1" applyBorder="1" applyAlignment="1">
      <alignment horizontal="center"/>
    </xf>
    <xf numFmtId="0" fontId="12" fillId="0" borderId="0" xfId="0" applyFont="1" applyAlignment="1">
      <alignment horizontal="left"/>
    </xf>
    <xf numFmtId="170" fontId="12" fillId="0" borderId="0" xfId="1" applyNumberFormat="1" applyFont="1"/>
    <xf numFmtId="0" fontId="12" fillId="0" borderId="12" xfId="0" applyFont="1" applyBorder="1" applyAlignment="1">
      <alignment horizontal="left"/>
    </xf>
    <xf numFmtId="170" fontId="12" fillId="0" borderId="12" xfId="1" applyNumberFormat="1" applyFont="1" applyBorder="1"/>
    <xf numFmtId="0" fontId="10" fillId="0" borderId="0" xfId="0" applyFont="1" applyAlignment="1">
      <alignment horizontal="right"/>
    </xf>
    <xf numFmtId="174" fontId="10" fillId="0" borderId="0" xfId="1" applyNumberFormat="1" applyFont="1"/>
    <xf numFmtId="170" fontId="12" fillId="0" borderId="0" xfId="0" applyNumberFormat="1" applyFont="1"/>
    <xf numFmtId="168" fontId="12" fillId="0" borderId="1" xfId="0" applyNumberFormat="1" applyFont="1" applyBorder="1"/>
    <xf numFmtId="174" fontId="12" fillId="0" borderId="0" xfId="0" applyNumberFormat="1" applyFont="1"/>
    <xf numFmtId="167" fontId="12" fillId="0" borderId="0" xfId="0" applyNumberFormat="1" applyFont="1"/>
    <xf numFmtId="168" fontId="12" fillId="0" borderId="0" xfId="0" applyNumberFormat="1" applyFont="1"/>
    <xf numFmtId="170" fontId="12" fillId="0" borderId="1" xfId="1" applyNumberFormat="1" applyFont="1" applyBorder="1"/>
    <xf numFmtId="0" fontId="12" fillId="0" borderId="0" xfId="0" applyFont="1" applyBorder="1" applyAlignment="1">
      <alignment horizontal="left"/>
    </xf>
    <xf numFmtId="170" fontId="12" fillId="0" borderId="0" xfId="1" applyNumberFormat="1" applyFont="1" applyBorder="1"/>
    <xf numFmtId="169" fontId="3" fillId="0" borderId="0" xfId="0" applyNumberFormat="1" applyFont="1"/>
    <xf numFmtId="1" fontId="3" fillId="0" borderId="0" xfId="0" applyNumberFormat="1" applyFont="1"/>
    <xf numFmtId="1" fontId="3" fillId="0" borderId="0" xfId="0" applyNumberFormat="1" applyFont="1"/>
    <xf numFmtId="169" fontId="3" fillId="0" borderId="0" xfId="0" applyNumberFormat="1" applyFont="1"/>
    <xf numFmtId="170" fontId="18" fillId="0" borderId="0" xfId="1" applyNumberFormat="1" applyFont="1" applyBorder="1"/>
    <xf numFmtId="170" fontId="10" fillId="0" borderId="1" xfId="1" applyNumberFormat="1" applyFont="1" applyBorder="1"/>
    <xf numFmtId="1" fontId="3" fillId="0" borderId="2" xfId="0" applyNumberFormat="1" applyFont="1" applyBorder="1"/>
    <xf numFmtId="169" fontId="3" fillId="0" borderId="2" xfId="0" applyNumberFormat="1" applyFont="1" applyBorder="1"/>
    <xf numFmtId="169" fontId="3" fillId="0" borderId="0" xfId="0" applyNumberFormat="1" applyFont="1"/>
    <xf numFmtId="175" fontId="3" fillId="0" borderId="0" xfId="0" applyNumberFormat="1" applyFont="1"/>
    <xf numFmtId="168" fontId="3" fillId="0" borderId="0" xfId="0" applyNumberFormat="1" applyFont="1"/>
    <xf numFmtId="0" fontId="6" fillId="0" borderId="0" xfId="0" applyFont="1" applyAlignment="1">
      <alignment horizontal="left"/>
    </xf>
    <xf numFmtId="175" fontId="3" fillId="0" borderId="0" xfId="0" applyNumberFormat="1" applyFont="1"/>
    <xf numFmtId="175" fontId="3" fillId="0" borderId="0" xfId="0" applyNumberFormat="1" applyFont="1"/>
    <xf numFmtId="169" fontId="3" fillId="0" borderId="0" xfId="0" applyNumberFormat="1" applyFont="1" applyFill="1" applyAlignment="1">
      <alignment horizontal="right"/>
    </xf>
    <xf numFmtId="175" fontId="3" fillId="0" borderId="0" xfId="0" applyNumberFormat="1" applyFont="1" applyFill="1"/>
    <xf numFmtId="175" fontId="3" fillId="0" borderId="0" xfId="0" applyNumberFormat="1" applyFont="1"/>
    <xf numFmtId="169" fontId="3" fillId="0" borderId="0" xfId="0" applyNumberFormat="1" applyFont="1"/>
    <xf numFmtId="169" fontId="3" fillId="2" borderId="0" xfId="0" applyNumberFormat="1" applyFont="1" applyFill="1"/>
    <xf numFmtId="169" fontId="3" fillId="0" borderId="0" xfId="0" applyNumberFormat="1" applyFont="1" applyAlignment="1">
      <alignment horizontal="right"/>
    </xf>
    <xf numFmtId="175" fontId="3" fillId="0" borderId="0" xfId="0" applyNumberFormat="1" applyFont="1"/>
    <xf numFmtId="171" fontId="3" fillId="0" borderId="0" xfId="0" applyNumberFormat="1" applyFont="1"/>
    <xf numFmtId="175" fontId="3" fillId="0" borderId="0" xfId="0" applyNumberFormat="1" applyFont="1"/>
    <xf numFmtId="169" fontId="3" fillId="0" borderId="0" xfId="0" applyNumberFormat="1" applyFont="1"/>
    <xf numFmtId="175" fontId="3" fillId="0" borderId="0" xfId="0" applyNumberFormat="1" applyFont="1"/>
    <xf numFmtId="169" fontId="3" fillId="0" borderId="0" xfId="0" applyNumberFormat="1" applyFont="1"/>
    <xf numFmtId="175" fontId="3" fillId="0" borderId="0" xfId="0" applyNumberFormat="1" applyFont="1"/>
    <xf numFmtId="172" fontId="3" fillId="0" borderId="0" xfId="0" applyNumberFormat="1" applyFont="1"/>
    <xf numFmtId="0" fontId="11" fillId="0" borderId="0" xfId="0" applyFont="1"/>
    <xf numFmtId="168" fontId="3" fillId="0" borderId="0" xfId="0" applyNumberFormat="1" applyFont="1"/>
    <xf numFmtId="172" fontId="3" fillId="0" borderId="0" xfId="0" applyNumberFormat="1" applyFont="1"/>
    <xf numFmtId="168" fontId="3" fillId="0" borderId="0" xfId="0" applyNumberFormat="1" applyFont="1" applyAlignment="1">
      <alignment horizontal="right"/>
    </xf>
    <xf numFmtId="172" fontId="3" fillId="0" borderId="0" xfId="0" applyNumberFormat="1" applyFont="1" applyAlignment="1">
      <alignment horizontal="right"/>
    </xf>
    <xf numFmtId="168" fontId="6" fillId="0" borderId="0" xfId="0" applyNumberFormat="1" applyFont="1" applyAlignment="1">
      <alignment horizontal="right"/>
    </xf>
    <xf numFmtId="168" fontId="6" fillId="0" borderId="0" xfId="0" applyNumberFormat="1" applyFont="1"/>
    <xf numFmtId="168" fontId="5" fillId="0" borderId="0" xfId="0" applyNumberFormat="1" applyFont="1"/>
    <xf numFmtId="0" fontId="11" fillId="0" borderId="0" xfId="0" applyFont="1" applyAlignment="1">
      <alignment horizontal="left"/>
    </xf>
    <xf numFmtId="168" fontId="11" fillId="0" borderId="0" xfId="0" applyNumberFormat="1" applyFont="1"/>
    <xf numFmtId="168" fontId="7" fillId="0" borderId="0" xfId="0" applyNumberFormat="1" applyFont="1" applyAlignment="1">
      <alignment horizontal="right"/>
    </xf>
    <xf numFmtId="172" fontId="7" fillId="0" borderId="0" xfId="0" applyNumberFormat="1" applyFont="1" applyAlignment="1">
      <alignment horizontal="left"/>
    </xf>
    <xf numFmtId="0" fontId="20" fillId="0" borderId="0" xfId="0" applyFont="1"/>
    <xf numFmtId="0" fontId="19" fillId="0" borderId="0" xfId="0" applyFont="1"/>
    <xf numFmtId="0" fontId="20" fillId="0" borderId="0" xfId="0" applyFont="1" applyAlignment="1">
      <alignment horizontal="right"/>
    </xf>
  </cellXfs>
  <cellStyles count="2">
    <cellStyle name="Comma" xfId="1" builtinId="3"/>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K112"/>
  <sheetViews>
    <sheetView workbookViewId="0">
      <pane ySplit="2960"/>
      <selection activeCell="F1" sqref="F1:F1048576"/>
      <selection pane="bottomLeft" activeCell="E111" sqref="E111"/>
    </sheetView>
  </sheetViews>
  <sheetFormatPr baseColWidth="10" defaultRowHeight="15"/>
  <cols>
    <col min="1" max="1" width="22.7109375" style="1" customWidth="1"/>
    <col min="2" max="2" width="21" style="1" customWidth="1"/>
    <col min="3" max="4" width="10.7109375" style="1"/>
    <col min="5" max="5" width="12" style="11" customWidth="1"/>
    <col min="6" max="6" width="4.7109375" style="1" customWidth="1"/>
    <col min="7" max="7" width="10.7109375" style="1"/>
    <col min="8" max="9" width="13.140625" style="11" customWidth="1"/>
    <col min="10" max="16384" width="10.7109375" style="1"/>
  </cols>
  <sheetData>
    <row r="1" spans="1:10" ht="17">
      <c r="B1" s="8" t="s">
        <v>416</v>
      </c>
      <c r="I1" s="11">
        <v>13721412.4972509</v>
      </c>
      <c r="J1" s="1" t="s">
        <v>419</v>
      </c>
    </row>
    <row r="2" spans="1:10">
      <c r="B2" s="1" t="s">
        <v>344</v>
      </c>
      <c r="I2" s="11">
        <v>752881</v>
      </c>
      <c r="J2" s="1" t="s">
        <v>421</v>
      </c>
    </row>
    <row r="4" spans="1:10">
      <c r="B4" s="9" t="s">
        <v>511</v>
      </c>
      <c r="F4" s="28" t="s">
        <v>304</v>
      </c>
      <c r="G4" s="33" t="s">
        <v>415</v>
      </c>
      <c r="I4" s="12"/>
    </row>
    <row r="5" spans="1:10">
      <c r="B5" s="9"/>
      <c r="E5" s="33"/>
      <c r="G5" s="33" t="s">
        <v>504</v>
      </c>
      <c r="H5" s="16"/>
      <c r="I5" s="12"/>
    </row>
    <row r="6" spans="1:10">
      <c r="B6" s="9"/>
      <c r="E6" s="12" t="s">
        <v>296</v>
      </c>
      <c r="I6" s="12" t="s">
        <v>405</v>
      </c>
    </row>
    <row r="7" spans="1:10">
      <c r="C7" s="2" t="s">
        <v>239</v>
      </c>
      <c r="D7" s="3" t="s">
        <v>441</v>
      </c>
      <c r="E7" s="12" t="s">
        <v>440</v>
      </c>
      <c r="F7" s="3"/>
      <c r="G7" s="2" t="s">
        <v>411</v>
      </c>
      <c r="H7" s="12" t="s">
        <v>412</v>
      </c>
      <c r="I7" s="12" t="s">
        <v>346</v>
      </c>
      <c r="J7" s="2" t="s">
        <v>347</v>
      </c>
    </row>
    <row r="8" spans="1:10">
      <c r="C8" s="2" t="s">
        <v>351</v>
      </c>
      <c r="D8" s="3" t="s">
        <v>332</v>
      </c>
      <c r="E8" s="12" t="s">
        <v>410</v>
      </c>
      <c r="F8" s="3"/>
      <c r="G8" s="2" t="s">
        <v>413</v>
      </c>
      <c r="H8" s="12" t="s">
        <v>414</v>
      </c>
      <c r="I8" s="12" t="s">
        <v>240</v>
      </c>
      <c r="J8" s="2" t="s">
        <v>241</v>
      </c>
    </row>
    <row r="9" spans="1:10">
      <c r="B9" s="4" t="s">
        <v>387</v>
      </c>
      <c r="F9" s="5"/>
      <c r="G9" s="4" t="s">
        <v>295</v>
      </c>
      <c r="I9" s="13" t="s">
        <v>410</v>
      </c>
      <c r="J9" s="14" t="s">
        <v>242</v>
      </c>
    </row>
    <row r="10" spans="1:10">
      <c r="A10" s="2" t="s">
        <v>243</v>
      </c>
      <c r="B10" s="2" t="s">
        <v>360</v>
      </c>
      <c r="C10" s="10">
        <v>587.11655102054306</v>
      </c>
      <c r="D10" s="10">
        <f t="shared" ref="D10:D17" si="0">E10/C10</f>
        <v>124742.58127726613</v>
      </c>
      <c r="E10" s="11">
        <v>73238434.084908262</v>
      </c>
      <c r="F10" s="5"/>
    </row>
    <row r="11" spans="1:10">
      <c r="A11" s="2" t="s">
        <v>352</v>
      </c>
      <c r="B11" s="2" t="s">
        <v>353</v>
      </c>
      <c r="C11" s="6">
        <v>1686.3634173149821</v>
      </c>
      <c r="D11" s="10">
        <f t="shared" si="0"/>
        <v>31406.556109797137</v>
      </c>
      <c r="E11" s="11">
        <v>52962867.287412234</v>
      </c>
      <c r="F11" s="5"/>
    </row>
    <row r="12" spans="1:10">
      <c r="A12" s="2" t="s">
        <v>354</v>
      </c>
      <c r="B12" s="2" t="s">
        <v>355</v>
      </c>
      <c r="C12" s="6">
        <v>3360.0279801280753</v>
      </c>
      <c r="D12" s="10">
        <f t="shared" si="0"/>
        <v>14637.590960866582</v>
      </c>
      <c r="E12" s="11">
        <v>49182715.190181516</v>
      </c>
      <c r="F12" s="5"/>
    </row>
    <row r="13" spans="1:10">
      <c r="A13" s="2" t="s">
        <v>356</v>
      </c>
      <c r="B13" s="2" t="s">
        <v>357</v>
      </c>
      <c r="C13" s="6">
        <v>6728.1075872508154</v>
      </c>
      <c r="D13" s="10">
        <f t="shared" si="0"/>
        <v>7364.583063187154</v>
      </c>
      <c r="E13" s="11">
        <v>49549707.184368342</v>
      </c>
      <c r="F13" s="5"/>
    </row>
    <row r="14" spans="1:10">
      <c r="A14" s="2" t="s">
        <v>358</v>
      </c>
      <c r="B14" s="2" t="s">
        <v>328</v>
      </c>
      <c r="C14" s="6">
        <v>16324.744460550826</v>
      </c>
      <c r="D14" s="10">
        <f t="shared" si="0"/>
        <v>3316.6129577629554</v>
      </c>
      <c r="E14" s="11">
        <v>54142859.010031894</v>
      </c>
      <c r="F14" s="5"/>
    </row>
    <row r="15" spans="1:10">
      <c r="A15" s="2" t="s">
        <v>329</v>
      </c>
      <c r="B15" s="2" t="s">
        <v>330</v>
      </c>
      <c r="C15" s="6">
        <v>19732.640003734759</v>
      </c>
      <c r="D15" s="10">
        <f t="shared" si="0"/>
        <v>1464.2317191832312</v>
      </c>
      <c r="E15" s="11">
        <v>28893157.396692351</v>
      </c>
      <c r="F15" s="5"/>
    </row>
    <row r="16" spans="1:10">
      <c r="A16" s="2" t="s">
        <v>402</v>
      </c>
      <c r="B16" s="2" t="s">
        <v>404</v>
      </c>
      <c r="C16" s="6">
        <v>58828</v>
      </c>
      <c r="D16" s="10">
        <f t="shared" si="0"/>
        <v>231.14401466210185</v>
      </c>
      <c r="E16" s="11">
        <v>13597740.094542127</v>
      </c>
      <c r="F16" s="5"/>
    </row>
    <row r="17" spans="1:11">
      <c r="A17" s="2" t="s">
        <v>403</v>
      </c>
      <c r="B17" s="1" t="s">
        <v>420</v>
      </c>
      <c r="C17" s="7">
        <v>4345</v>
      </c>
      <c r="D17" s="10">
        <f t="shared" si="0"/>
        <v>5410.215062463848</v>
      </c>
      <c r="E17" s="11">
        <v>23507384.446405418</v>
      </c>
      <c r="F17" s="5"/>
      <c r="K17" s="1" t="s">
        <v>331</v>
      </c>
    </row>
    <row r="18" spans="1:11">
      <c r="A18" s="2" t="s">
        <v>403</v>
      </c>
      <c r="B18" s="1" t="s">
        <v>474</v>
      </c>
      <c r="C18" s="7"/>
      <c r="D18" s="5"/>
      <c r="F18" s="5"/>
      <c r="G18" s="6">
        <v>1042</v>
      </c>
      <c r="H18" s="11">
        <v>3762254</v>
      </c>
      <c r="I18" s="11">
        <v>18058819.199999999</v>
      </c>
      <c r="J18" s="15">
        <f>I18/G18</f>
        <v>17330.920537428021</v>
      </c>
    </row>
    <row r="19" spans="1:11">
      <c r="A19" s="2" t="s">
        <v>230</v>
      </c>
      <c r="B19" s="2" t="s">
        <v>552</v>
      </c>
      <c r="C19" s="7">
        <v>141056</v>
      </c>
      <c r="D19" s="10">
        <f>E19/C19</f>
        <v>287.87703198041226</v>
      </c>
      <c r="E19" s="11">
        <v>40606782.623029031</v>
      </c>
      <c r="F19" s="5"/>
    </row>
    <row r="20" spans="1:11">
      <c r="A20" s="2" t="s">
        <v>230</v>
      </c>
      <c r="B20" s="1" t="s">
        <v>275</v>
      </c>
      <c r="G20" s="7">
        <v>552</v>
      </c>
      <c r="H20" s="11">
        <v>64715</v>
      </c>
      <c r="I20" s="11">
        <v>310632</v>
      </c>
      <c r="J20" s="15">
        <f>I20/G20</f>
        <v>562.73913043478262</v>
      </c>
    </row>
    <row r="21" spans="1:11">
      <c r="A21" s="1" t="s">
        <v>231</v>
      </c>
      <c r="B21" s="1" t="s">
        <v>388</v>
      </c>
      <c r="C21" s="6">
        <v>9840</v>
      </c>
      <c r="D21" s="10">
        <f>E21/C21</f>
        <v>324.74108811839056</v>
      </c>
      <c r="E21" s="11">
        <v>3195452.3070849632</v>
      </c>
      <c r="F21" s="5"/>
    </row>
    <row r="22" spans="1:11">
      <c r="A22" s="1" t="s">
        <v>232</v>
      </c>
      <c r="B22" s="1" t="s">
        <v>389</v>
      </c>
      <c r="C22" s="6">
        <v>490393</v>
      </c>
      <c r="D22" s="10">
        <f>E22/C22</f>
        <v>242.47273181987481</v>
      </c>
      <c r="E22" s="11">
        <v>118906930.37534387</v>
      </c>
      <c r="F22" s="5"/>
    </row>
    <row r="23" spans="1:11">
      <c r="A23" s="1" t="s">
        <v>233</v>
      </c>
      <c r="B23" s="1" t="s">
        <v>391</v>
      </c>
      <c r="C23" s="6"/>
      <c r="D23" s="5"/>
      <c r="F23" s="5"/>
      <c r="G23" s="6">
        <v>17665</v>
      </c>
      <c r="H23" s="11">
        <v>3729352</v>
      </c>
      <c r="I23" s="11">
        <v>17900889.599999998</v>
      </c>
      <c r="J23" s="15">
        <f>I23/G23</f>
        <v>1013.353501273705</v>
      </c>
    </row>
    <row r="24" spans="1:11">
      <c r="A24" s="1" t="s">
        <v>233</v>
      </c>
      <c r="B24" s="1" t="s">
        <v>392</v>
      </c>
      <c r="C24" s="6"/>
      <c r="D24" s="5"/>
      <c r="F24" s="5"/>
      <c r="G24" s="6">
        <v>53016</v>
      </c>
      <c r="H24" s="11">
        <v>7654006</v>
      </c>
      <c r="I24" s="11">
        <v>36739228.799999997</v>
      </c>
      <c r="J24" s="15">
        <f t="shared" ref="J24:J29" si="1">I24/G24</f>
        <v>692.9837935717519</v>
      </c>
    </row>
    <row r="25" spans="1:11">
      <c r="A25" s="1" t="s">
        <v>233</v>
      </c>
      <c r="B25" s="1" t="s">
        <v>234</v>
      </c>
      <c r="C25" s="6"/>
      <c r="D25" s="5"/>
      <c r="F25" s="5"/>
      <c r="H25" s="11">
        <v>138767587</v>
      </c>
      <c r="I25" s="11">
        <v>666084417.60000002</v>
      </c>
      <c r="J25" s="15"/>
    </row>
    <row r="26" spans="1:11">
      <c r="A26" s="1" t="s">
        <v>235</v>
      </c>
      <c r="B26" s="1" t="s">
        <v>235</v>
      </c>
      <c r="C26" s="7"/>
      <c r="D26" s="5"/>
      <c r="F26" s="5"/>
      <c r="G26" s="1">
        <v>2373</v>
      </c>
      <c r="H26" s="11">
        <v>568350</v>
      </c>
      <c r="I26" s="11">
        <v>2728080</v>
      </c>
      <c r="J26" s="15">
        <f t="shared" si="1"/>
        <v>1149.6333754740836</v>
      </c>
    </row>
    <row r="27" spans="1:11">
      <c r="A27" s="1" t="s">
        <v>277</v>
      </c>
      <c r="B27" s="1" t="s">
        <v>278</v>
      </c>
      <c r="C27" s="7"/>
      <c r="D27" s="5"/>
      <c r="F27" s="5"/>
      <c r="H27" s="11">
        <v>154689513</v>
      </c>
      <c r="I27" s="11">
        <v>742509662.39999998</v>
      </c>
      <c r="J27" s="15"/>
    </row>
    <row r="28" spans="1:11">
      <c r="C28" s="7"/>
      <c r="D28" s="5"/>
      <c r="F28" s="5"/>
      <c r="G28" s="5"/>
      <c r="J28" s="15"/>
    </row>
    <row r="29" spans="1:11">
      <c r="A29" s="2" t="s">
        <v>236</v>
      </c>
      <c r="B29" s="1" t="s">
        <v>390</v>
      </c>
      <c r="C29" s="6">
        <v>752881</v>
      </c>
      <c r="D29" s="5"/>
      <c r="E29" s="11">
        <f>SUM(E10:E27)</f>
        <v>507784030.00000006</v>
      </c>
      <c r="F29" s="5"/>
      <c r="G29" s="1">
        <f>SUM(G10:G27)</f>
        <v>74648</v>
      </c>
      <c r="H29" s="11">
        <f>SUM(H10:H27)</f>
        <v>309235777</v>
      </c>
      <c r="I29" s="11">
        <v>1484331729.5999999</v>
      </c>
      <c r="J29" s="15">
        <f t="shared" si="1"/>
        <v>19884.413910620511</v>
      </c>
    </row>
    <row r="30" spans="1:11">
      <c r="C30" s="7"/>
      <c r="D30" s="5"/>
      <c r="F30" s="5"/>
    </row>
    <row r="31" spans="1:11">
      <c r="B31" s="9" t="s">
        <v>237</v>
      </c>
      <c r="E31" s="1"/>
      <c r="F31" s="28" t="s">
        <v>304</v>
      </c>
      <c r="G31" s="33" t="s">
        <v>427</v>
      </c>
      <c r="H31" s="1"/>
      <c r="J31" s="11"/>
    </row>
    <row r="32" spans="1:11">
      <c r="A32" s="2" t="s">
        <v>238</v>
      </c>
      <c r="C32" s="1">
        <v>1156</v>
      </c>
      <c r="D32" s="11">
        <v>29099.180795847751</v>
      </c>
      <c r="E32" s="1">
        <v>33638653</v>
      </c>
      <c r="H32" s="1"/>
      <c r="J32" s="11"/>
    </row>
    <row r="33" spans="1:10">
      <c r="A33" s="2" t="s">
        <v>557</v>
      </c>
      <c r="C33" s="1">
        <v>2830</v>
      </c>
      <c r="D33" s="11">
        <v>13631.281272084805</v>
      </c>
      <c r="E33" s="1">
        <v>38576526</v>
      </c>
      <c r="H33" s="1"/>
      <c r="J33" s="11"/>
    </row>
    <row r="34" spans="1:10">
      <c r="A34" s="2" t="s">
        <v>554</v>
      </c>
      <c r="C34" s="1">
        <v>5474</v>
      </c>
      <c r="D34" s="11">
        <v>6911.7309097552061</v>
      </c>
      <c r="E34" s="1">
        <v>37834815</v>
      </c>
      <c r="H34" s="1"/>
      <c r="J34" s="11"/>
    </row>
    <row r="35" spans="1:10">
      <c r="A35" s="2" t="s">
        <v>555</v>
      </c>
      <c r="C35" s="1">
        <v>14388</v>
      </c>
      <c r="D35" s="11">
        <v>3102.0834723380594</v>
      </c>
      <c r="E35" s="1">
        <v>44632777</v>
      </c>
      <c r="H35" s="1"/>
      <c r="J35" s="11"/>
    </row>
    <row r="36" spans="1:10">
      <c r="A36" s="2" t="s">
        <v>556</v>
      </c>
      <c r="C36" s="1">
        <v>21964</v>
      </c>
      <c r="D36" s="11">
        <v>1390.0073301766527</v>
      </c>
      <c r="E36" s="1">
        <v>30530121</v>
      </c>
      <c r="H36" s="1"/>
      <c r="J36" s="11"/>
    </row>
    <row r="37" spans="1:10">
      <c r="D37" s="11"/>
      <c r="E37" s="1"/>
      <c r="H37" s="1"/>
      <c r="J37" s="11"/>
    </row>
    <row r="38" spans="1:10">
      <c r="B38" s="9" t="s">
        <v>361</v>
      </c>
      <c r="D38" s="11"/>
      <c r="E38" s="1"/>
      <c r="F38" s="28" t="s">
        <v>304</v>
      </c>
      <c r="G38" s="33" t="s">
        <v>427</v>
      </c>
      <c r="H38" s="1"/>
      <c r="J38" s="11"/>
    </row>
    <row r="39" spans="1:10">
      <c r="A39" s="2" t="s">
        <v>359</v>
      </c>
      <c r="C39" s="1">
        <v>409</v>
      </c>
      <c r="D39" s="11">
        <v>117257.03911980439</v>
      </c>
      <c r="E39" s="16">
        <v>47958129</v>
      </c>
      <c r="H39" s="1"/>
      <c r="J39" s="11"/>
    </row>
    <row r="40" spans="1:10">
      <c r="A40" s="2" t="s">
        <v>395</v>
      </c>
      <c r="C40" s="1">
        <v>1357</v>
      </c>
      <c r="D40" s="11">
        <v>29882.998526160649</v>
      </c>
      <c r="E40" s="11">
        <v>40551229</v>
      </c>
    </row>
    <row r="41" spans="1:10">
      <c r="A41" s="2" t="s">
        <v>558</v>
      </c>
      <c r="C41" s="1">
        <v>3299</v>
      </c>
      <c r="D41" s="11">
        <v>13982.63200969991</v>
      </c>
      <c r="E41" s="11">
        <v>46128703</v>
      </c>
    </row>
    <row r="42" spans="1:10">
      <c r="A42" s="2" t="s">
        <v>559</v>
      </c>
      <c r="C42" s="1">
        <v>7502</v>
      </c>
      <c r="D42" s="11">
        <v>7094.9678752332711</v>
      </c>
      <c r="E42" s="11">
        <v>53226449</v>
      </c>
    </row>
    <row r="43" spans="1:10">
      <c r="A43" s="2" t="s">
        <v>393</v>
      </c>
      <c r="C43" s="1">
        <v>21572</v>
      </c>
      <c r="D43" s="11">
        <v>3214.3619506768032</v>
      </c>
      <c r="E43" s="11">
        <v>69340216</v>
      </c>
    </row>
    <row r="44" spans="1:10">
      <c r="A44" s="2" t="s">
        <v>394</v>
      </c>
      <c r="C44" s="1">
        <v>29252</v>
      </c>
      <c r="D44" s="11">
        <v>1494.476856283331</v>
      </c>
      <c r="E44" s="11">
        <v>43716437</v>
      </c>
    </row>
    <row r="45" spans="1:10">
      <c r="A45" s="2"/>
      <c r="D45" s="11"/>
    </row>
    <row r="46" spans="1:10">
      <c r="A46" s="2" t="s">
        <v>401</v>
      </c>
      <c r="C46" s="1">
        <v>758</v>
      </c>
      <c r="D46" s="11">
        <v>257555.09234828496</v>
      </c>
      <c r="E46" s="1">
        <v>195226760</v>
      </c>
      <c r="F46" s="28" t="s">
        <v>304</v>
      </c>
      <c r="G46" s="33" t="s">
        <v>311</v>
      </c>
    </row>
    <row r="47" spans="1:10">
      <c r="A47" s="2" t="s">
        <v>396</v>
      </c>
      <c r="C47" s="1">
        <v>587</v>
      </c>
      <c r="D47" s="11">
        <v>31606.797274275981</v>
      </c>
      <c r="E47" s="1">
        <v>18553190</v>
      </c>
    </row>
    <row r="48" spans="1:10">
      <c r="A48" s="2" t="s">
        <v>397</v>
      </c>
      <c r="C48" s="1">
        <v>596</v>
      </c>
      <c r="D48" s="11">
        <v>14558.793624161073</v>
      </c>
      <c r="E48" s="1">
        <v>8677041</v>
      </c>
    </row>
    <row r="49" spans="1:8">
      <c r="A49" s="2" t="s">
        <v>398</v>
      </c>
      <c r="C49" s="1">
        <v>650</v>
      </c>
      <c r="D49" s="11">
        <v>7255.3923076923074</v>
      </c>
      <c r="E49" s="1">
        <v>4716005</v>
      </c>
    </row>
    <row r="50" spans="1:8">
      <c r="A50" s="2" t="s">
        <v>399</v>
      </c>
      <c r="C50" s="1">
        <v>766</v>
      </c>
      <c r="D50" s="11">
        <v>3397.8851174934725</v>
      </c>
      <c r="E50" s="1">
        <v>2602780</v>
      </c>
    </row>
    <row r="51" spans="1:8">
      <c r="A51" s="2" t="s">
        <v>400</v>
      </c>
      <c r="C51" s="1">
        <v>422</v>
      </c>
      <c r="D51" s="11">
        <v>1512.9810426540284</v>
      </c>
      <c r="E51" s="1">
        <v>638478</v>
      </c>
    </row>
    <row r="53" spans="1:8">
      <c r="B53" s="9" t="s">
        <v>553</v>
      </c>
    </row>
    <row r="54" spans="1:8">
      <c r="A54" s="2" t="s">
        <v>338</v>
      </c>
      <c r="C54" s="1">
        <v>10</v>
      </c>
      <c r="D54" s="17">
        <f t="shared" ref="D54:D64" si="2">E54/C54</f>
        <v>67007.5</v>
      </c>
      <c r="E54" s="11">
        <v>670075</v>
      </c>
    </row>
    <row r="55" spans="1:8">
      <c r="A55" s="2" t="s">
        <v>333</v>
      </c>
      <c r="C55" s="1">
        <v>40</v>
      </c>
      <c r="D55" s="17">
        <f t="shared" si="2"/>
        <v>28393.375</v>
      </c>
      <c r="E55" s="11">
        <v>1135735</v>
      </c>
    </row>
    <row r="56" spans="1:8">
      <c r="A56" s="2" t="s">
        <v>334</v>
      </c>
      <c r="C56" s="1">
        <v>282</v>
      </c>
      <c r="D56" s="17">
        <f t="shared" si="2"/>
        <v>13290.202127659575</v>
      </c>
      <c r="E56" s="11">
        <v>3747837</v>
      </c>
    </row>
    <row r="57" spans="1:8">
      <c r="A57" s="2" t="s">
        <v>335</v>
      </c>
      <c r="C57" s="1">
        <v>1981</v>
      </c>
      <c r="D57" s="17">
        <f t="shared" si="2"/>
        <v>6465.3296314992431</v>
      </c>
      <c r="E57" s="11">
        <v>12807818</v>
      </c>
    </row>
    <row r="58" spans="1:8">
      <c r="A58" s="2" t="s">
        <v>336</v>
      </c>
      <c r="C58" s="1">
        <v>23116</v>
      </c>
      <c r="D58" s="17">
        <f t="shared" si="2"/>
        <v>2845.33941858453</v>
      </c>
      <c r="E58" s="11">
        <v>65772866</v>
      </c>
    </row>
    <row r="59" spans="1:8">
      <c r="A59" s="2" t="s">
        <v>337</v>
      </c>
      <c r="C59" s="1">
        <v>65775</v>
      </c>
      <c r="D59" s="17">
        <f t="shared" si="2"/>
        <v>1468.8071759787153</v>
      </c>
      <c r="E59" s="11">
        <v>96610792</v>
      </c>
    </row>
    <row r="60" spans="1:8">
      <c r="A60" s="2" t="s">
        <v>430</v>
      </c>
      <c r="C60" s="18">
        <v>1</v>
      </c>
      <c r="D60" s="17">
        <f t="shared" si="2"/>
        <v>30000</v>
      </c>
      <c r="E60" s="18">
        <v>30000</v>
      </c>
      <c r="H60" s="1"/>
    </row>
    <row r="61" spans="1:8">
      <c r="A61" s="2" t="s">
        <v>507</v>
      </c>
      <c r="C61" s="18">
        <v>3</v>
      </c>
      <c r="D61" s="17">
        <f t="shared" si="2"/>
        <v>13960</v>
      </c>
      <c r="E61" s="18">
        <v>41880</v>
      </c>
      <c r="H61" s="1" t="s">
        <v>343</v>
      </c>
    </row>
    <row r="62" spans="1:8">
      <c r="A62" s="2" t="s">
        <v>508</v>
      </c>
      <c r="C62" s="18">
        <v>69</v>
      </c>
      <c r="D62" s="17">
        <f t="shared" si="2"/>
        <v>6564.173913043478</v>
      </c>
      <c r="E62" s="18">
        <v>452928</v>
      </c>
    </row>
    <row r="63" spans="1:8">
      <c r="A63" s="2" t="s">
        <v>428</v>
      </c>
      <c r="C63" s="18">
        <v>887</v>
      </c>
      <c r="D63" s="17">
        <f t="shared" si="2"/>
        <v>2937.4419391206316</v>
      </c>
      <c r="E63" s="18">
        <v>2605511</v>
      </c>
    </row>
    <row r="64" spans="1:8">
      <c r="A64" s="2" t="s">
        <v>429</v>
      </c>
      <c r="C64" s="1">
        <v>3561</v>
      </c>
      <c r="D64" s="17">
        <f t="shared" si="2"/>
        <v>1399.2743611345127</v>
      </c>
      <c r="E64" s="11">
        <v>4982816</v>
      </c>
    </row>
    <row r="65" spans="1:9">
      <c r="A65" s="2"/>
      <c r="B65" s="1" t="s">
        <v>431</v>
      </c>
      <c r="C65" s="30">
        <f>SUM(C54:C64)</f>
        <v>95725</v>
      </c>
      <c r="D65" s="17"/>
      <c r="E65" s="16"/>
      <c r="H65" s="16"/>
      <c r="I65" s="16"/>
    </row>
    <row r="66" spans="1:9">
      <c r="A66" s="2" t="s">
        <v>339</v>
      </c>
      <c r="C66" s="18">
        <v>7</v>
      </c>
      <c r="D66" s="17">
        <f>E66/C66</f>
        <v>6071.4285714285716</v>
      </c>
      <c r="E66" s="18">
        <v>42500</v>
      </c>
    </row>
    <row r="67" spans="1:9">
      <c r="A67" s="2" t="s">
        <v>340</v>
      </c>
      <c r="C67" s="18">
        <v>1085</v>
      </c>
      <c r="D67" s="17">
        <f>E67/C67</f>
        <v>2561.7539170506911</v>
      </c>
      <c r="E67" s="18">
        <v>2779503</v>
      </c>
    </row>
    <row r="68" spans="1:9">
      <c r="A68" s="2" t="s">
        <v>341</v>
      </c>
      <c r="C68" s="18">
        <v>6738</v>
      </c>
      <c r="D68" s="17">
        <f>E68/C68</f>
        <v>1447.6363906203621</v>
      </c>
      <c r="E68" s="18">
        <v>9754174</v>
      </c>
    </row>
    <row r="69" spans="1:9">
      <c r="B69" s="1" t="s">
        <v>506</v>
      </c>
      <c r="C69" s="31">
        <f>SUM(C66:C68)</f>
        <v>7830</v>
      </c>
    </row>
    <row r="70" spans="1:9">
      <c r="A70" s="1" t="s">
        <v>342</v>
      </c>
      <c r="B70" s="9" t="s">
        <v>301</v>
      </c>
    </row>
    <row r="71" spans="1:9">
      <c r="A71" s="2" t="s">
        <v>345</v>
      </c>
      <c r="C71" s="18">
        <v>6</v>
      </c>
      <c r="D71" s="17">
        <f t="shared" ref="D71:D96" si="3">E71/C71</f>
        <v>24974.5</v>
      </c>
      <c r="E71" s="18">
        <v>149847</v>
      </c>
    </row>
    <row r="72" spans="1:9">
      <c r="A72" s="2" t="s">
        <v>279</v>
      </c>
      <c r="C72" s="18">
        <v>128</v>
      </c>
      <c r="D72" s="17">
        <f t="shared" si="3"/>
        <v>13088.9375</v>
      </c>
      <c r="E72" s="18">
        <v>1675384</v>
      </c>
    </row>
    <row r="73" spans="1:9">
      <c r="A73" s="2" t="s">
        <v>280</v>
      </c>
      <c r="C73" s="18">
        <v>1398</v>
      </c>
      <c r="D73" s="17">
        <f t="shared" si="3"/>
        <v>6732.8597997138768</v>
      </c>
      <c r="E73" s="18">
        <v>9412538</v>
      </c>
    </row>
    <row r="74" spans="1:9">
      <c r="A74" s="2" t="s">
        <v>281</v>
      </c>
      <c r="C74" s="18">
        <v>5197</v>
      </c>
      <c r="D74" s="17">
        <f t="shared" si="3"/>
        <v>3329.0604194727725</v>
      </c>
      <c r="E74" s="18">
        <v>17301127</v>
      </c>
    </row>
    <row r="75" spans="1:9">
      <c r="A75" s="2" t="s">
        <v>282</v>
      </c>
      <c r="C75" s="18">
        <v>1508</v>
      </c>
      <c r="D75" s="17">
        <f t="shared" si="3"/>
        <v>1601.6624668435013</v>
      </c>
      <c r="E75" s="18">
        <v>2415307</v>
      </c>
    </row>
    <row r="76" spans="1:9">
      <c r="A76" s="2" t="s">
        <v>283</v>
      </c>
      <c r="C76" s="18">
        <v>4</v>
      </c>
      <c r="D76" s="17">
        <f t="shared" si="3"/>
        <v>21822.25</v>
      </c>
      <c r="E76" s="18">
        <v>87289</v>
      </c>
    </row>
    <row r="77" spans="1:9">
      <c r="A77" s="2" t="s">
        <v>284</v>
      </c>
      <c r="C77" s="18">
        <v>94</v>
      </c>
      <c r="D77" s="17">
        <f t="shared" si="3"/>
        <v>12957.063829787234</v>
      </c>
      <c r="E77" s="18">
        <v>1217964</v>
      </c>
    </row>
    <row r="78" spans="1:9">
      <c r="A78" s="2" t="s">
        <v>285</v>
      </c>
      <c r="C78" s="18">
        <v>769</v>
      </c>
      <c r="D78" s="17">
        <f t="shared" si="3"/>
        <v>6784.1404421326397</v>
      </c>
      <c r="E78" s="18">
        <v>5217004</v>
      </c>
    </row>
    <row r="79" spans="1:9">
      <c r="A79" s="2" t="s">
        <v>286</v>
      </c>
      <c r="C79" s="18">
        <v>2908</v>
      </c>
      <c r="D79" s="17">
        <f t="shared" si="3"/>
        <v>3319.7881705639616</v>
      </c>
      <c r="E79" s="18">
        <v>9653944</v>
      </c>
    </row>
    <row r="80" spans="1:9">
      <c r="A80" s="2" t="s">
        <v>287</v>
      </c>
      <c r="C80" s="18">
        <v>930</v>
      </c>
      <c r="D80" s="17">
        <f t="shared" si="3"/>
        <v>1492.2688172043011</v>
      </c>
      <c r="E80" s="18">
        <v>1387810</v>
      </c>
    </row>
    <row r="81" spans="1:7">
      <c r="A81" s="2" t="s">
        <v>288</v>
      </c>
      <c r="C81" s="18">
        <v>1</v>
      </c>
      <c r="D81" s="17">
        <f t="shared" si="3"/>
        <v>26111</v>
      </c>
      <c r="E81" s="18">
        <v>26111</v>
      </c>
    </row>
    <row r="82" spans="1:7">
      <c r="A82" s="2" t="s">
        <v>289</v>
      </c>
      <c r="C82" s="18">
        <v>9</v>
      </c>
      <c r="D82" s="17">
        <f t="shared" si="3"/>
        <v>12270.111111111111</v>
      </c>
      <c r="E82" s="18">
        <v>110431</v>
      </c>
    </row>
    <row r="83" spans="1:7">
      <c r="A83" s="2" t="s">
        <v>290</v>
      </c>
      <c r="C83" s="18">
        <v>54</v>
      </c>
      <c r="D83" s="17">
        <f t="shared" si="3"/>
        <v>6756.7407407407409</v>
      </c>
      <c r="E83" s="18">
        <v>364864</v>
      </c>
    </row>
    <row r="84" spans="1:7">
      <c r="A84" s="2" t="s">
        <v>291</v>
      </c>
      <c r="C84" s="18">
        <v>684</v>
      </c>
      <c r="D84" s="17">
        <f t="shared" si="3"/>
        <v>3748.0657894736842</v>
      </c>
      <c r="E84" s="18">
        <v>2563677</v>
      </c>
    </row>
    <row r="85" spans="1:7">
      <c r="A85" s="2" t="s">
        <v>292</v>
      </c>
      <c r="C85" s="22">
        <v>519</v>
      </c>
      <c r="D85" s="19">
        <f t="shared" si="3"/>
        <v>1512.1098265895953</v>
      </c>
      <c r="E85" s="22">
        <v>784785</v>
      </c>
    </row>
    <row r="86" spans="1:7">
      <c r="A86" s="2" t="s">
        <v>300</v>
      </c>
      <c r="C86" s="22">
        <v>1</v>
      </c>
      <c r="D86" s="19">
        <f t="shared" si="3"/>
        <v>76222</v>
      </c>
      <c r="E86" s="22">
        <v>76222</v>
      </c>
    </row>
    <row r="87" spans="1:7">
      <c r="A87" s="2" t="s">
        <v>293</v>
      </c>
      <c r="C87" s="22">
        <v>13</v>
      </c>
      <c r="D87" s="19">
        <f t="shared" si="3"/>
        <v>13591.384615384615</v>
      </c>
      <c r="E87" s="22">
        <v>176688</v>
      </c>
    </row>
    <row r="88" spans="1:7">
      <c r="A88" s="2" t="s">
        <v>294</v>
      </c>
      <c r="C88" s="22">
        <v>91</v>
      </c>
      <c r="D88" s="19">
        <f t="shared" si="3"/>
        <v>6839.6593406593411</v>
      </c>
      <c r="E88" s="22">
        <v>622409</v>
      </c>
    </row>
    <row r="89" spans="1:7">
      <c r="A89" s="2" t="s">
        <v>298</v>
      </c>
      <c r="C89" s="22">
        <v>221</v>
      </c>
      <c r="D89" s="19">
        <f t="shared" si="3"/>
        <v>3279.1176470588234</v>
      </c>
      <c r="E89" s="22">
        <v>724685</v>
      </c>
    </row>
    <row r="90" spans="1:7">
      <c r="A90" s="2" t="s">
        <v>299</v>
      </c>
      <c r="C90" s="22">
        <v>109</v>
      </c>
      <c r="D90" s="19">
        <f t="shared" si="3"/>
        <v>1548.1100917431193</v>
      </c>
      <c r="E90" s="22">
        <v>168744</v>
      </c>
    </row>
    <row r="91" spans="1:7">
      <c r="A91" s="2" t="s">
        <v>425</v>
      </c>
      <c r="B91" s="20"/>
      <c r="C91" s="22">
        <v>55</v>
      </c>
      <c r="D91" s="19">
        <f t="shared" si="3"/>
        <v>72987.818181818177</v>
      </c>
      <c r="E91" s="22">
        <v>4014330</v>
      </c>
      <c r="F91" s="28" t="s">
        <v>304</v>
      </c>
      <c r="G91" s="33" t="s">
        <v>427</v>
      </c>
    </row>
    <row r="92" spans="1:7">
      <c r="A92" s="2" t="s">
        <v>302</v>
      </c>
      <c r="B92" s="20"/>
      <c r="C92" s="22">
        <v>255</v>
      </c>
      <c r="D92" s="19">
        <f t="shared" si="3"/>
        <v>28244.454901960784</v>
      </c>
      <c r="E92" s="22">
        <v>7202336</v>
      </c>
      <c r="F92" s="28" t="s">
        <v>304</v>
      </c>
      <c r="G92" s="33" t="s">
        <v>427</v>
      </c>
    </row>
    <row r="93" spans="1:7">
      <c r="A93" s="2" t="s">
        <v>303</v>
      </c>
      <c r="B93" s="20"/>
      <c r="C93" s="22">
        <v>602</v>
      </c>
      <c r="D93" s="19">
        <f t="shared" si="3"/>
        <v>13634.549833887044</v>
      </c>
      <c r="E93" s="22">
        <v>8207999</v>
      </c>
      <c r="F93" s="28" t="s">
        <v>304</v>
      </c>
      <c r="G93" s="33" t="s">
        <v>427</v>
      </c>
    </row>
    <row r="94" spans="1:7">
      <c r="A94" s="2" t="s">
        <v>422</v>
      </c>
      <c r="B94" s="20"/>
      <c r="C94" s="22">
        <v>1357</v>
      </c>
      <c r="D94" s="19">
        <f t="shared" si="3"/>
        <v>7292.9358879882093</v>
      </c>
      <c r="E94" s="22">
        <v>9896514</v>
      </c>
      <c r="F94" s="28" t="s">
        <v>304</v>
      </c>
      <c r="G94" s="33" t="s">
        <v>427</v>
      </c>
    </row>
    <row r="95" spans="1:7">
      <c r="A95" s="2" t="s">
        <v>423</v>
      </c>
      <c r="B95" s="20"/>
      <c r="C95" s="22">
        <v>1988</v>
      </c>
      <c r="D95" s="19">
        <f t="shared" si="3"/>
        <v>3351.4502012072435</v>
      </c>
      <c r="E95" s="22">
        <v>6662683</v>
      </c>
      <c r="F95" s="28" t="s">
        <v>304</v>
      </c>
      <c r="G95" s="33" t="s">
        <v>427</v>
      </c>
    </row>
    <row r="96" spans="1:7">
      <c r="A96" s="2" t="s">
        <v>424</v>
      </c>
      <c r="B96" s="20"/>
      <c r="C96" s="22">
        <v>25887</v>
      </c>
      <c r="D96" s="19">
        <f t="shared" si="3"/>
        <v>1970.5100243365396</v>
      </c>
      <c r="E96" s="22">
        <v>51010593</v>
      </c>
      <c r="F96" s="28" t="s">
        <v>304</v>
      </c>
      <c r="G96" s="33" t="s">
        <v>427</v>
      </c>
    </row>
    <row r="97" spans="1:9">
      <c r="B97" s="20"/>
      <c r="C97" s="20"/>
      <c r="D97" s="19"/>
      <c r="E97" s="21"/>
      <c r="F97" s="19"/>
    </row>
    <row r="98" spans="1:9">
      <c r="B98" s="9" t="s">
        <v>439</v>
      </c>
      <c r="D98" s="19"/>
      <c r="F98" s="19"/>
      <c r="G98" s="33"/>
    </row>
    <row r="99" spans="1:9">
      <c r="A99" s="2" t="s">
        <v>520</v>
      </c>
      <c r="B99" s="9"/>
      <c r="C99" s="18">
        <v>331</v>
      </c>
      <c r="D99" s="19">
        <f t="shared" ref="D99:D104" si="4">E99/C99</f>
        <v>158368.17522658611</v>
      </c>
      <c r="E99" s="18">
        <v>52419866</v>
      </c>
      <c r="F99" s="28" t="s">
        <v>304</v>
      </c>
      <c r="G99" s="33" t="s">
        <v>427</v>
      </c>
    </row>
    <row r="100" spans="1:9">
      <c r="A100" s="2" t="s">
        <v>519</v>
      </c>
      <c r="C100" s="18">
        <v>1128</v>
      </c>
      <c r="D100" s="19">
        <f t="shared" si="4"/>
        <v>26052.211879432623</v>
      </c>
      <c r="E100" s="18">
        <v>29386895</v>
      </c>
      <c r="F100" s="28" t="s">
        <v>304</v>
      </c>
      <c r="G100" s="33" t="s">
        <v>427</v>
      </c>
    </row>
    <row r="101" spans="1:9">
      <c r="A101" s="2" t="s">
        <v>503</v>
      </c>
      <c r="C101" s="18">
        <v>2570</v>
      </c>
      <c r="D101" s="19">
        <f t="shared" si="4"/>
        <v>12052.675486381322</v>
      </c>
      <c r="E101" s="18">
        <v>30975376</v>
      </c>
      <c r="F101" s="28" t="s">
        <v>304</v>
      </c>
      <c r="G101" s="33" t="s">
        <v>427</v>
      </c>
    </row>
    <row r="102" spans="1:9">
      <c r="A102" s="2" t="s">
        <v>516</v>
      </c>
      <c r="C102" s="18">
        <v>5713</v>
      </c>
      <c r="D102" s="19">
        <f t="shared" si="4"/>
        <v>6186.5391213022931</v>
      </c>
      <c r="E102" s="18">
        <v>35343698</v>
      </c>
      <c r="F102" s="28" t="s">
        <v>304</v>
      </c>
      <c r="G102" s="33" t="s">
        <v>427</v>
      </c>
    </row>
    <row r="103" spans="1:9">
      <c r="A103" s="2" t="s">
        <v>517</v>
      </c>
      <c r="C103" s="18">
        <v>18172</v>
      </c>
      <c r="D103" s="19">
        <f t="shared" si="4"/>
        <v>2840.943539511336</v>
      </c>
      <c r="E103" s="18">
        <v>51625626</v>
      </c>
      <c r="F103" s="28" t="s">
        <v>304</v>
      </c>
      <c r="G103" s="33" t="s">
        <v>427</v>
      </c>
    </row>
    <row r="104" spans="1:9">
      <c r="A104" s="2" t="s">
        <v>518</v>
      </c>
      <c r="C104" s="18">
        <v>27321</v>
      </c>
      <c r="D104" s="19">
        <f t="shared" si="4"/>
        <v>1438.9993045642545</v>
      </c>
      <c r="E104" s="18">
        <v>39314900</v>
      </c>
      <c r="F104" s="28" t="s">
        <v>304</v>
      </c>
      <c r="G104" s="33" t="s">
        <v>427</v>
      </c>
    </row>
    <row r="112" spans="1:9">
      <c r="F112" s="16"/>
      <c r="G112" s="16"/>
      <c r="H112" s="16"/>
      <c r="I112" s="16"/>
    </row>
  </sheetData>
  <sheetCalcPr fullCalcOnLoad="1"/>
  <sortState ref="A9:G14">
    <sortCondition ref="G9:G14"/>
  </sortState>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Q120"/>
  <sheetViews>
    <sheetView workbookViewId="0">
      <pane ySplit="6900" topLeftCell="A88" activePane="bottomLeft"/>
      <selection activeCell="C23" sqref="C23:F26"/>
      <selection pane="bottomLeft" activeCell="E100" sqref="E100"/>
    </sheetView>
  </sheetViews>
  <sheetFormatPr baseColWidth="10" defaultRowHeight="15"/>
  <cols>
    <col min="1" max="1" width="7.85546875" style="1" customWidth="1"/>
    <col min="2" max="2" width="10.7109375" style="1"/>
    <col min="3" max="3" width="29.140625" style="1" customWidth="1"/>
    <col min="4" max="4" width="10.7109375" style="1"/>
    <col min="5" max="5" width="11.5703125" style="1" customWidth="1"/>
    <col min="6" max="6" width="11.42578125" style="63" customWidth="1"/>
    <col min="7" max="7" width="10.7109375" style="1"/>
    <col min="8" max="8" width="4.7109375" style="59" customWidth="1"/>
    <col min="9" max="11" width="10.7109375" style="1"/>
    <col min="12" max="12" width="10.85546875" style="1" bestFit="1" customWidth="1"/>
    <col min="13" max="13" width="11.5703125" style="1" bestFit="1" customWidth="1"/>
    <col min="14" max="14" width="12.85546875" style="1" customWidth="1"/>
    <col min="15" max="16384" width="10.7109375" style="1"/>
  </cols>
  <sheetData>
    <row r="1" spans="1:14" ht="18" thickBot="1">
      <c r="C1" s="8" t="s">
        <v>542</v>
      </c>
      <c r="J1" s="1" t="s">
        <v>472</v>
      </c>
    </row>
    <row r="2" spans="1:14" ht="17">
      <c r="C2" s="8" t="s">
        <v>543</v>
      </c>
      <c r="J2" s="57">
        <v>13721412.4972509</v>
      </c>
      <c r="K2" s="1" t="s">
        <v>541</v>
      </c>
    </row>
    <row r="3" spans="1:14" ht="16" thickBot="1">
      <c r="D3" s="148">
        <f>SUM(D9:D14)</f>
        <v>48419</v>
      </c>
      <c r="J3" s="58">
        <v>752881</v>
      </c>
      <c r="K3" s="1" t="s">
        <v>473</v>
      </c>
    </row>
    <row r="4" spans="1:14">
      <c r="A4" s="1" t="s">
        <v>527</v>
      </c>
      <c r="C4" s="1" t="s">
        <v>438</v>
      </c>
      <c r="J4" s="23">
        <f>J2-J3</f>
        <v>12968531.4972509</v>
      </c>
      <c r="K4" s="1" t="s">
        <v>455</v>
      </c>
    </row>
    <row r="5" spans="1:14" ht="16" thickBot="1">
      <c r="A5" s="1" t="s">
        <v>528</v>
      </c>
      <c r="C5" s="1" t="s">
        <v>434</v>
      </c>
      <c r="J5" s="23"/>
      <c r="L5" s="23"/>
    </row>
    <row r="6" spans="1:14" ht="16" thickBot="1">
      <c r="A6" s="1">
        <v>1</v>
      </c>
      <c r="C6" s="2" t="s">
        <v>435</v>
      </c>
      <c r="D6" s="74">
        <v>18284896.419562466</v>
      </c>
      <c r="E6" s="76">
        <f>1000000*F6/D6</f>
        <v>500.56586615519143</v>
      </c>
      <c r="F6" s="75">
        <v>9152.7950138162432</v>
      </c>
      <c r="G6" s="1" t="s">
        <v>475</v>
      </c>
      <c r="H6" s="59" t="s">
        <v>477</v>
      </c>
      <c r="I6" s="1" t="s">
        <v>417</v>
      </c>
    </row>
    <row r="7" spans="1:14">
      <c r="A7" s="1">
        <v>2</v>
      </c>
      <c r="D7" s="1" t="s">
        <v>315</v>
      </c>
      <c r="E7" s="2" t="s">
        <v>314</v>
      </c>
      <c r="F7" s="64" t="s">
        <v>316</v>
      </c>
      <c r="I7" s="1" t="s">
        <v>418</v>
      </c>
    </row>
    <row r="8" spans="1:14">
      <c r="A8" s="1">
        <v>3</v>
      </c>
      <c r="B8" s="14" t="s">
        <v>478</v>
      </c>
      <c r="C8" s="45" t="s">
        <v>551</v>
      </c>
      <c r="D8" s="45" t="s">
        <v>479</v>
      </c>
      <c r="E8" s="14" t="s">
        <v>465</v>
      </c>
      <c r="F8" s="65" t="s">
        <v>480</v>
      </c>
      <c r="G8" s="45" t="s">
        <v>481</v>
      </c>
    </row>
    <row r="9" spans="1:14">
      <c r="A9" s="1">
        <v>4</v>
      </c>
      <c r="B9" s="26" t="s">
        <v>454</v>
      </c>
      <c r="C9" s="50" t="s">
        <v>243</v>
      </c>
      <c r="D9" s="25">
        <v>587.11655102054306</v>
      </c>
      <c r="E9" s="51">
        <v>115568</v>
      </c>
      <c r="F9" s="66">
        <f>D9*E9</f>
        <v>67851885.568342119</v>
      </c>
      <c r="G9" s="52" t="s">
        <v>229</v>
      </c>
      <c r="H9" s="59" t="s">
        <v>476</v>
      </c>
      <c r="J9" s="24" t="s">
        <v>271</v>
      </c>
    </row>
    <row r="10" spans="1:14">
      <c r="A10" s="1">
        <v>5</v>
      </c>
      <c r="B10" s="26" t="s">
        <v>454</v>
      </c>
      <c r="C10" s="50" t="s">
        <v>352</v>
      </c>
      <c r="D10" s="29">
        <v>1686.3634173149821</v>
      </c>
      <c r="E10" s="51">
        <v>29612</v>
      </c>
      <c r="F10" s="66">
        <f t="shared" ref="F10:F14" si="0">D10*E10</f>
        <v>49936593.513531253</v>
      </c>
      <c r="G10" s="52" t="s">
        <v>229</v>
      </c>
      <c r="I10" s="52"/>
      <c r="J10" s="50" t="s">
        <v>243</v>
      </c>
      <c r="K10" s="50" t="s">
        <v>360</v>
      </c>
      <c r="L10" s="51">
        <v>587.11655102054306</v>
      </c>
      <c r="M10" s="51">
        <v>115568</v>
      </c>
      <c r="N10" s="52"/>
    </row>
    <row r="11" spans="1:14">
      <c r="A11" s="1">
        <v>6</v>
      </c>
      <c r="B11" s="26" t="s">
        <v>454</v>
      </c>
      <c r="C11" s="50" t="s">
        <v>354</v>
      </c>
      <c r="D11" s="29">
        <v>3360.0279801280753</v>
      </c>
      <c r="E11" s="51">
        <v>13745</v>
      </c>
      <c r="F11" s="66">
        <f t="shared" si="0"/>
        <v>46183584.586860396</v>
      </c>
      <c r="G11" s="52" t="s">
        <v>229</v>
      </c>
      <c r="I11" s="52"/>
      <c r="J11" s="50" t="s">
        <v>352</v>
      </c>
      <c r="K11" s="50" t="s">
        <v>353</v>
      </c>
      <c r="L11" s="53">
        <v>1686.3634173149821</v>
      </c>
      <c r="M11" s="51">
        <v>29612</v>
      </c>
      <c r="N11" s="52"/>
    </row>
    <row r="12" spans="1:14">
      <c r="A12" s="1">
        <v>7</v>
      </c>
      <c r="B12" s="26" t="s">
        <v>454</v>
      </c>
      <c r="C12" s="50" t="s">
        <v>356</v>
      </c>
      <c r="D12" s="29">
        <v>6728.1075872508154</v>
      </c>
      <c r="E12" s="51">
        <v>6964</v>
      </c>
      <c r="F12" s="66">
        <f t="shared" si="0"/>
        <v>46854541.237614676</v>
      </c>
      <c r="G12" s="52" t="s">
        <v>229</v>
      </c>
      <c r="I12" s="52"/>
      <c r="J12" s="50" t="s">
        <v>354</v>
      </c>
      <c r="K12" s="50" t="s">
        <v>355</v>
      </c>
      <c r="L12" s="53">
        <v>3360.0279801280753</v>
      </c>
      <c r="M12" s="52">
        <v>13745</v>
      </c>
      <c r="N12" s="52"/>
    </row>
    <row r="13" spans="1:14">
      <c r="A13" s="1">
        <v>8</v>
      </c>
      <c r="B13" s="26" t="s">
        <v>454</v>
      </c>
      <c r="C13" s="50" t="s">
        <v>358</v>
      </c>
      <c r="D13" s="29">
        <v>16324.744460550826</v>
      </c>
      <c r="E13" s="51">
        <v>3118</v>
      </c>
      <c r="F13" s="66">
        <f t="shared" si="0"/>
        <v>50900553.227997474</v>
      </c>
      <c r="G13" s="52" t="s">
        <v>229</v>
      </c>
      <c r="I13" s="52"/>
      <c r="J13" s="50" t="s">
        <v>356</v>
      </c>
      <c r="K13" s="50" t="s">
        <v>357</v>
      </c>
      <c r="L13" s="53">
        <v>6728.1075872508154</v>
      </c>
      <c r="M13" s="52">
        <v>6964</v>
      </c>
      <c r="N13" s="52"/>
    </row>
    <row r="14" spans="1:14">
      <c r="A14" s="1">
        <v>9</v>
      </c>
      <c r="B14" s="26" t="s">
        <v>454</v>
      </c>
      <c r="C14" s="50" t="s">
        <v>329</v>
      </c>
      <c r="D14" s="29">
        <v>19732.640003734759</v>
      </c>
      <c r="E14" s="51">
        <v>1385</v>
      </c>
      <c r="F14" s="66">
        <f t="shared" si="0"/>
        <v>27329706.405172642</v>
      </c>
      <c r="G14" s="52" t="s">
        <v>229</v>
      </c>
      <c r="I14" s="52"/>
      <c r="J14" s="50" t="s">
        <v>358</v>
      </c>
      <c r="K14" s="50" t="s">
        <v>328</v>
      </c>
      <c r="L14" s="53">
        <v>16324.744460550826</v>
      </c>
      <c r="M14" s="52">
        <v>3118</v>
      </c>
      <c r="N14" s="52"/>
    </row>
    <row r="15" spans="1:14">
      <c r="A15" s="1">
        <v>10</v>
      </c>
      <c r="B15" s="26" t="s">
        <v>454</v>
      </c>
      <c r="C15" s="50" t="s">
        <v>402</v>
      </c>
      <c r="D15" s="29">
        <v>58828</v>
      </c>
      <c r="E15" s="71">
        <v>231.14401466210185</v>
      </c>
      <c r="F15" s="66">
        <v>13597740.094542127</v>
      </c>
      <c r="G15" s="52" t="s">
        <v>229</v>
      </c>
      <c r="I15" s="52"/>
      <c r="J15" s="50" t="s">
        <v>329</v>
      </c>
      <c r="K15" s="50" t="s">
        <v>330</v>
      </c>
      <c r="L15" s="53">
        <v>19732.640003734759</v>
      </c>
      <c r="M15" s="51">
        <v>1385</v>
      </c>
      <c r="N15" s="52"/>
    </row>
    <row r="16" spans="1:14">
      <c r="A16" s="1">
        <v>11</v>
      </c>
      <c r="B16" s="26" t="s">
        <v>454</v>
      </c>
      <c r="C16" s="50" t="s">
        <v>576</v>
      </c>
      <c r="D16" s="29">
        <v>490393</v>
      </c>
      <c r="E16" s="72">
        <v>242.47273181987481</v>
      </c>
      <c r="F16" s="66">
        <v>118906930.37534387</v>
      </c>
      <c r="G16" s="52" t="s">
        <v>229</v>
      </c>
      <c r="I16" s="52"/>
      <c r="J16" s="50" t="s">
        <v>402</v>
      </c>
      <c r="K16" s="50" t="s">
        <v>404</v>
      </c>
      <c r="L16" s="53">
        <v>58828</v>
      </c>
      <c r="M16" s="52">
        <v>400</v>
      </c>
      <c r="N16" s="52"/>
    </row>
    <row r="17" spans="1:14">
      <c r="A17" s="1">
        <v>12</v>
      </c>
      <c r="B17" s="26" t="s">
        <v>454</v>
      </c>
      <c r="C17" s="50" t="s">
        <v>505</v>
      </c>
      <c r="D17" s="29">
        <v>9840</v>
      </c>
      <c r="E17" s="61">
        <v>324.74108811839056</v>
      </c>
      <c r="F17" s="66">
        <v>3195452.3070849632</v>
      </c>
      <c r="G17" s="52" t="s">
        <v>229</v>
      </c>
      <c r="I17" s="52"/>
      <c r="J17" s="50" t="s">
        <v>403</v>
      </c>
      <c r="K17" s="52"/>
      <c r="L17" s="54">
        <v>4345</v>
      </c>
      <c r="M17" s="55">
        <v>6089.500397998635</v>
      </c>
      <c r="N17" s="52"/>
    </row>
    <row r="18" spans="1:14">
      <c r="A18" s="1">
        <v>13</v>
      </c>
      <c r="B18" s="26" t="s">
        <v>454</v>
      </c>
      <c r="C18" s="52" t="s">
        <v>453</v>
      </c>
      <c r="D18" s="26">
        <v>4345</v>
      </c>
      <c r="E18" s="56">
        <f>F18/D18</f>
        <v>5410.215062463848</v>
      </c>
      <c r="F18" s="66">
        <v>23507384.446405418</v>
      </c>
      <c r="G18" s="52" t="s">
        <v>229</v>
      </c>
      <c r="I18" s="52"/>
      <c r="J18" s="50" t="s">
        <v>403</v>
      </c>
      <c r="K18" s="52" t="s">
        <v>276</v>
      </c>
      <c r="L18" s="54"/>
      <c r="M18" s="52"/>
      <c r="N18" s="52"/>
    </row>
    <row r="19" spans="1:14">
      <c r="A19" s="1">
        <v>14</v>
      </c>
      <c r="B19" s="26" t="s">
        <v>454</v>
      </c>
      <c r="C19" s="52" t="s">
        <v>470</v>
      </c>
      <c r="D19" s="83">
        <v>141056</v>
      </c>
      <c r="E19" s="60">
        <v>287.87703198041226</v>
      </c>
      <c r="F19" s="63">
        <v>40606782.623029031</v>
      </c>
      <c r="G19" s="52" t="s">
        <v>229</v>
      </c>
      <c r="I19" s="52"/>
      <c r="J19" s="50" t="s">
        <v>230</v>
      </c>
      <c r="K19" s="52"/>
      <c r="L19" s="54">
        <v>141056</v>
      </c>
      <c r="M19" s="52"/>
      <c r="N19" s="52"/>
    </row>
    <row r="20" spans="1:14">
      <c r="A20" s="1">
        <v>15</v>
      </c>
      <c r="B20" s="26" t="s">
        <v>454</v>
      </c>
      <c r="C20" s="2" t="s">
        <v>471</v>
      </c>
      <c r="D20" s="84">
        <v>12968531.4972509</v>
      </c>
      <c r="E20" s="23"/>
      <c r="G20" s="9" t="s">
        <v>348</v>
      </c>
      <c r="I20" s="52"/>
      <c r="J20" s="50" t="s">
        <v>230</v>
      </c>
      <c r="K20" s="52" t="s">
        <v>275</v>
      </c>
      <c r="L20" s="52"/>
      <c r="M20" s="52"/>
      <c r="N20" s="52"/>
    </row>
    <row r="21" spans="1:14">
      <c r="A21" s="1">
        <v>16</v>
      </c>
      <c r="B21" s="23">
        <v>1042</v>
      </c>
      <c r="C21" s="1" t="s">
        <v>474</v>
      </c>
      <c r="D21" s="1" t="s">
        <v>451</v>
      </c>
      <c r="E21" s="62">
        <v>17330.920537428021</v>
      </c>
      <c r="F21" s="63">
        <v>18058819.199999999</v>
      </c>
      <c r="G21" s="52" t="s">
        <v>450</v>
      </c>
      <c r="I21" s="52"/>
      <c r="J21" s="50" t="s">
        <v>231</v>
      </c>
      <c r="K21" s="52" t="s">
        <v>388</v>
      </c>
      <c r="L21" s="53">
        <v>9840</v>
      </c>
      <c r="M21" s="52"/>
      <c r="N21" s="52"/>
    </row>
    <row r="22" spans="1:14">
      <c r="A22" s="1">
        <v>17</v>
      </c>
      <c r="B22" s="50">
        <v>552</v>
      </c>
      <c r="C22" s="1" t="s">
        <v>590</v>
      </c>
      <c r="D22" s="27"/>
      <c r="E22" s="70">
        <v>562.73913043478262</v>
      </c>
      <c r="F22" s="63">
        <v>310632</v>
      </c>
      <c r="G22" s="52" t="s">
        <v>450</v>
      </c>
      <c r="H22" s="59" t="s">
        <v>452</v>
      </c>
      <c r="I22" s="52"/>
      <c r="J22" s="50" t="s">
        <v>232</v>
      </c>
      <c r="K22" s="52" t="s">
        <v>389</v>
      </c>
      <c r="L22" s="53">
        <v>490393</v>
      </c>
      <c r="M22" s="51"/>
      <c r="N22" s="52"/>
    </row>
    <row r="23" spans="1:14">
      <c r="A23" s="1">
        <v>18</v>
      </c>
      <c r="B23" s="90">
        <v>17665</v>
      </c>
      <c r="C23" s="1" t="s">
        <v>391</v>
      </c>
      <c r="E23" s="73">
        <v>1013.353501273705</v>
      </c>
      <c r="F23" s="63">
        <v>17900889.599999998</v>
      </c>
      <c r="G23" s="52" t="s">
        <v>450</v>
      </c>
      <c r="H23" s="59" t="s">
        <v>477</v>
      </c>
    </row>
    <row r="24" spans="1:14">
      <c r="A24" s="1">
        <v>19</v>
      </c>
      <c r="B24" s="90">
        <v>53016</v>
      </c>
      <c r="C24" s="1" t="s">
        <v>392</v>
      </c>
      <c r="D24" s="27"/>
      <c r="E24" s="73">
        <v>692.9837935717519</v>
      </c>
      <c r="F24" s="63">
        <v>36739228.799999997</v>
      </c>
      <c r="G24" s="52" t="s">
        <v>450</v>
      </c>
      <c r="H24" s="59" t="s">
        <v>477</v>
      </c>
      <c r="J24" s="24" t="s">
        <v>228</v>
      </c>
    </row>
    <row r="25" spans="1:14">
      <c r="A25" s="1">
        <v>20</v>
      </c>
      <c r="B25" s="90">
        <v>2373</v>
      </c>
      <c r="C25" s="1" t="s">
        <v>235</v>
      </c>
      <c r="E25" s="73">
        <v>1149.6333754740836</v>
      </c>
      <c r="F25" s="63">
        <v>2728080</v>
      </c>
      <c r="G25" s="52" t="s">
        <v>450</v>
      </c>
      <c r="H25" s="59" t="s">
        <v>477</v>
      </c>
      <c r="L25" s="2"/>
      <c r="M25" s="2" t="s">
        <v>313</v>
      </c>
      <c r="N25" s="2"/>
    </row>
    <row r="26" spans="1:14">
      <c r="A26" s="1">
        <v>21</v>
      </c>
      <c r="B26" s="90"/>
      <c r="C26" s="1" t="s">
        <v>234</v>
      </c>
      <c r="D26" s="27"/>
      <c r="E26" s="23"/>
      <c r="F26" s="63">
        <v>666084417.60000002</v>
      </c>
      <c r="G26" s="52" t="s">
        <v>450</v>
      </c>
      <c r="H26" s="59" t="s">
        <v>477</v>
      </c>
      <c r="L26" s="2"/>
      <c r="M26" s="2" t="s">
        <v>380</v>
      </c>
      <c r="N26" s="2" t="s">
        <v>379</v>
      </c>
    </row>
    <row r="27" spans="1:14">
      <c r="A27" s="1">
        <v>22</v>
      </c>
      <c r="B27" s="90"/>
      <c r="C27" s="1" t="s">
        <v>278</v>
      </c>
      <c r="D27" s="27"/>
      <c r="E27" s="23"/>
      <c r="F27" s="63">
        <v>742509662.39999998</v>
      </c>
      <c r="G27" s="52" t="s">
        <v>450</v>
      </c>
      <c r="H27" s="59" t="s">
        <v>477</v>
      </c>
      <c r="L27" s="2" t="s">
        <v>381</v>
      </c>
      <c r="M27" s="2" t="s">
        <v>383</v>
      </c>
      <c r="N27" s="2" t="s">
        <v>382</v>
      </c>
    </row>
    <row r="28" spans="1:14">
      <c r="A28" s="1">
        <v>23</v>
      </c>
      <c r="B28" s="90"/>
      <c r="C28" s="1" t="s">
        <v>485</v>
      </c>
      <c r="D28" s="27"/>
      <c r="E28" s="23"/>
      <c r="G28" s="52" t="s">
        <v>406</v>
      </c>
      <c r="H28" s="59" t="s">
        <v>477</v>
      </c>
      <c r="L28" s="2" t="s">
        <v>384</v>
      </c>
      <c r="M28" s="2" t="s">
        <v>386</v>
      </c>
      <c r="N28" s="2" t="s">
        <v>385</v>
      </c>
    </row>
    <row r="29" spans="1:14">
      <c r="A29" s="1">
        <v>24</v>
      </c>
      <c r="B29" s="90"/>
      <c r="C29" s="1" t="s">
        <v>486</v>
      </c>
      <c r="D29" s="27"/>
      <c r="E29" s="23"/>
      <c r="G29" s="52" t="s">
        <v>491</v>
      </c>
      <c r="H29" s="59" t="s">
        <v>477</v>
      </c>
      <c r="K29" s="2" t="s">
        <v>270</v>
      </c>
      <c r="L29" s="1">
        <v>21964</v>
      </c>
      <c r="M29" s="35">
        <v>1390.0073301766527</v>
      </c>
      <c r="N29" s="1">
        <v>30530121</v>
      </c>
    </row>
    <row r="30" spans="1:14">
      <c r="A30" s="1">
        <v>25</v>
      </c>
      <c r="B30" s="90"/>
      <c r="C30" s="1" t="s">
        <v>487</v>
      </c>
      <c r="D30" s="27"/>
      <c r="E30" s="23"/>
      <c r="G30" s="52" t="s">
        <v>490</v>
      </c>
      <c r="H30" s="59" t="s">
        <v>477</v>
      </c>
      <c r="K30" s="2" t="s">
        <v>272</v>
      </c>
      <c r="L30" s="1">
        <v>14388</v>
      </c>
      <c r="M30" s="35">
        <v>3102.0834723380594</v>
      </c>
      <c r="N30" s="1">
        <v>44632777</v>
      </c>
    </row>
    <row r="31" spans="1:14">
      <c r="A31" s="1">
        <v>26</v>
      </c>
      <c r="B31" s="90"/>
      <c r="C31" s="1" t="s">
        <v>488</v>
      </c>
      <c r="D31" s="27"/>
      <c r="E31" s="23"/>
      <c r="G31" s="52" t="s">
        <v>489</v>
      </c>
      <c r="H31" s="59" t="s">
        <v>477</v>
      </c>
      <c r="K31" s="2" t="s">
        <v>273</v>
      </c>
      <c r="L31" s="1">
        <v>5474</v>
      </c>
      <c r="M31" s="35">
        <v>6911.7309097552061</v>
      </c>
      <c r="N31" s="1">
        <v>37834815</v>
      </c>
    </row>
    <row r="32" spans="1:14">
      <c r="A32" s="1">
        <v>27</v>
      </c>
      <c r="C32" s="1" t="s">
        <v>437</v>
      </c>
      <c r="D32" s="85">
        <v>80106.632428027588</v>
      </c>
      <c r="E32" s="23"/>
      <c r="K32" s="2" t="s">
        <v>274</v>
      </c>
      <c r="L32" s="1">
        <v>2830</v>
      </c>
      <c r="M32" s="35">
        <v>13631.281272084805</v>
      </c>
      <c r="N32" s="1">
        <v>38576526</v>
      </c>
    </row>
    <row r="33" spans="1:14">
      <c r="A33" s="1">
        <v>28</v>
      </c>
      <c r="C33" s="1" t="s">
        <v>326</v>
      </c>
      <c r="D33" s="85">
        <v>1441413.1503652756</v>
      </c>
      <c r="E33" s="23"/>
      <c r="K33" s="2" t="s">
        <v>226</v>
      </c>
      <c r="L33" s="1">
        <v>1156</v>
      </c>
      <c r="M33" s="35">
        <v>29099.180795847751</v>
      </c>
      <c r="N33" s="1">
        <v>33638653</v>
      </c>
    </row>
    <row r="34" spans="1:14">
      <c r="A34" s="1">
        <v>29</v>
      </c>
      <c r="C34" s="1" t="s">
        <v>327</v>
      </c>
      <c r="D34" s="85">
        <v>282371.89641776925</v>
      </c>
      <c r="E34" s="23"/>
      <c r="K34" s="2"/>
      <c r="M34" s="35"/>
    </row>
    <row r="35" spans="1:14">
      <c r="A35" s="1">
        <v>30</v>
      </c>
      <c r="C35" s="1" t="s">
        <v>512</v>
      </c>
      <c r="D35" s="85">
        <v>290465.32906279468</v>
      </c>
      <c r="E35" s="23"/>
      <c r="H35" s="59" t="s">
        <v>477</v>
      </c>
      <c r="K35" s="2"/>
      <c r="M35" s="35"/>
    </row>
    <row r="36" spans="1:14">
      <c r="A36" s="1">
        <v>31</v>
      </c>
      <c r="C36" s="1" t="s">
        <v>513</v>
      </c>
      <c r="D36" s="85">
        <v>706306.00697705662</v>
      </c>
      <c r="E36" s="23"/>
      <c r="K36" s="32" t="s">
        <v>227</v>
      </c>
      <c r="L36" s="21">
        <v>122293.08801146071</v>
      </c>
      <c r="M36" s="37" t="s">
        <v>260</v>
      </c>
      <c r="N36" s="37" t="s">
        <v>259</v>
      </c>
    </row>
    <row r="37" spans="1:14">
      <c r="A37" s="1">
        <v>32</v>
      </c>
      <c r="C37" s="50" t="s">
        <v>436</v>
      </c>
      <c r="D37" s="85">
        <v>30878.868578946847</v>
      </c>
      <c r="K37" s="2" t="s">
        <v>282</v>
      </c>
      <c r="L37" s="20">
        <v>1508</v>
      </c>
      <c r="M37" s="39">
        <f>N37/L37</f>
        <v>1601.6624668435013</v>
      </c>
      <c r="N37" s="38">
        <v>2415307</v>
      </c>
    </row>
    <row r="38" spans="1:14">
      <c r="A38" s="1">
        <v>33</v>
      </c>
      <c r="C38" s="50" t="s">
        <v>456</v>
      </c>
      <c r="D38" s="85">
        <v>9840</v>
      </c>
      <c r="G38" s="1" t="s">
        <v>458</v>
      </c>
      <c r="K38" s="2" t="s">
        <v>281</v>
      </c>
      <c r="L38" s="20">
        <v>5197</v>
      </c>
      <c r="M38" s="39">
        <f>N38/L38</f>
        <v>3329.0604194727725</v>
      </c>
      <c r="N38" s="38">
        <v>17301127</v>
      </c>
    </row>
    <row r="39" spans="1:14">
      <c r="A39" s="1">
        <v>34</v>
      </c>
      <c r="C39" s="50" t="s">
        <v>457</v>
      </c>
      <c r="D39" s="85">
        <v>85247.501804277956</v>
      </c>
      <c r="K39" s="2" t="s">
        <v>280</v>
      </c>
      <c r="L39" s="20">
        <v>1398</v>
      </c>
      <c r="M39" s="40">
        <v>6732.8597997138768</v>
      </c>
      <c r="N39" s="20">
        <v>9412538</v>
      </c>
    </row>
    <row r="40" spans="1:14">
      <c r="A40" s="1">
        <v>35</v>
      </c>
      <c r="C40" s="2" t="s">
        <v>257</v>
      </c>
      <c r="D40" s="86">
        <v>65775</v>
      </c>
      <c r="E40" s="47">
        <v>1468.8071759787153</v>
      </c>
      <c r="F40" s="67">
        <v>96610792</v>
      </c>
      <c r="K40" s="2" t="s">
        <v>279</v>
      </c>
      <c r="L40" s="21">
        <v>128</v>
      </c>
      <c r="M40" s="40">
        <v>13088.9375</v>
      </c>
      <c r="N40" s="20">
        <v>1675384</v>
      </c>
    </row>
    <row r="41" spans="1:14">
      <c r="A41" s="1">
        <v>36</v>
      </c>
      <c r="C41" s="2" t="s">
        <v>252</v>
      </c>
      <c r="D41" s="86">
        <v>23116</v>
      </c>
      <c r="E41" s="47">
        <v>2845.33941858453</v>
      </c>
      <c r="F41" s="67">
        <v>65772866</v>
      </c>
      <c r="K41" s="2" t="s">
        <v>345</v>
      </c>
      <c r="L41" s="21">
        <v>6</v>
      </c>
      <c r="M41" s="40">
        <v>24974.5</v>
      </c>
      <c r="N41" s="20">
        <v>149847</v>
      </c>
    </row>
    <row r="42" spans="1:14">
      <c r="A42" s="1">
        <v>37</v>
      </c>
      <c r="C42" s="2" t="s">
        <v>253</v>
      </c>
      <c r="D42" s="86">
        <v>1981</v>
      </c>
      <c r="E42" s="47">
        <v>6465.3296314992431</v>
      </c>
      <c r="F42" s="67">
        <v>12807818</v>
      </c>
      <c r="K42" s="2" t="s">
        <v>287</v>
      </c>
      <c r="L42" s="20">
        <v>930</v>
      </c>
      <c r="M42" s="39">
        <f>N42/L42</f>
        <v>1492.2688172043011</v>
      </c>
      <c r="N42" s="38">
        <v>1387810</v>
      </c>
    </row>
    <row r="43" spans="1:14">
      <c r="A43" s="1">
        <v>38</v>
      </c>
      <c r="C43" s="2" t="s">
        <v>254</v>
      </c>
      <c r="D43" s="86">
        <v>282</v>
      </c>
      <c r="E43" s="47">
        <v>13290.202127659575</v>
      </c>
      <c r="F43" s="67">
        <v>3747837</v>
      </c>
      <c r="K43" s="2" t="s">
        <v>286</v>
      </c>
      <c r="L43" s="20">
        <v>2908</v>
      </c>
      <c r="M43" s="39">
        <f>N43/L43</f>
        <v>3319.7881705639616</v>
      </c>
      <c r="N43" s="38">
        <v>9653944</v>
      </c>
    </row>
    <row r="44" spans="1:14">
      <c r="A44" s="1">
        <v>39</v>
      </c>
      <c r="C44" s="2" t="s">
        <v>255</v>
      </c>
      <c r="D44" s="86">
        <v>40</v>
      </c>
      <c r="E44" s="47">
        <v>28393.375</v>
      </c>
      <c r="F44" s="67">
        <v>1135735</v>
      </c>
      <c r="K44" s="2" t="s">
        <v>285</v>
      </c>
      <c r="L44" s="20">
        <v>769</v>
      </c>
      <c r="M44" s="40">
        <v>6784.1404421326397</v>
      </c>
      <c r="N44" s="20">
        <v>5217004</v>
      </c>
    </row>
    <row r="45" spans="1:14">
      <c r="A45" s="1">
        <v>40</v>
      </c>
      <c r="C45" s="2" t="s">
        <v>256</v>
      </c>
      <c r="D45" s="86">
        <v>10</v>
      </c>
      <c r="E45" s="47">
        <v>67007.5</v>
      </c>
      <c r="F45" s="67">
        <v>670075</v>
      </c>
      <c r="K45" s="2" t="s">
        <v>284</v>
      </c>
      <c r="L45" s="20">
        <v>94</v>
      </c>
      <c r="M45" s="40">
        <v>12957.063829787234</v>
      </c>
      <c r="N45" s="20">
        <v>1217964</v>
      </c>
    </row>
    <row r="46" spans="1:14">
      <c r="A46" s="1">
        <v>41</v>
      </c>
      <c r="C46" s="2" t="s">
        <v>258</v>
      </c>
      <c r="D46" s="85">
        <v>47497.607345246128</v>
      </c>
      <c r="E46" s="1">
        <v>400</v>
      </c>
      <c r="F46" s="63">
        <f>D46*E46</f>
        <v>18999042.938098453</v>
      </c>
      <c r="K46" s="2" t="s">
        <v>283</v>
      </c>
      <c r="L46" s="20">
        <v>4</v>
      </c>
      <c r="M46" s="40">
        <v>21822.25</v>
      </c>
      <c r="N46" s="20">
        <v>87289</v>
      </c>
    </row>
    <row r="47" spans="1:14">
      <c r="A47" s="1">
        <v>42</v>
      </c>
      <c r="C47" s="2" t="s">
        <v>282</v>
      </c>
      <c r="D47" s="87">
        <v>1508</v>
      </c>
      <c r="E47" s="39">
        <f>F47/D47</f>
        <v>1601.6624668435013</v>
      </c>
      <c r="F47" s="68">
        <v>2415307</v>
      </c>
      <c r="K47" s="2" t="s">
        <v>292</v>
      </c>
      <c r="L47" s="20">
        <v>519</v>
      </c>
      <c r="M47" s="39">
        <f>N47/L47</f>
        <v>1512.1098265895953</v>
      </c>
      <c r="N47" s="38">
        <v>784785</v>
      </c>
    </row>
    <row r="48" spans="1:14">
      <c r="A48" s="1">
        <v>43</v>
      </c>
      <c r="C48" s="2" t="s">
        <v>281</v>
      </c>
      <c r="D48" s="87">
        <v>5197</v>
      </c>
      <c r="E48" s="39">
        <f>F48/D48</f>
        <v>3329.0604194727725</v>
      </c>
      <c r="F48" s="68">
        <v>17301127</v>
      </c>
      <c r="K48" s="2" t="s">
        <v>291</v>
      </c>
      <c r="L48" s="20">
        <v>684</v>
      </c>
      <c r="M48" s="39">
        <f>N48/L44</f>
        <v>3333.780234070221</v>
      </c>
      <c r="N48" s="38">
        <v>2563677</v>
      </c>
    </row>
    <row r="49" spans="1:14">
      <c r="A49" s="1">
        <v>44</v>
      </c>
      <c r="C49" s="2" t="s">
        <v>280</v>
      </c>
      <c r="D49" s="87">
        <v>1398</v>
      </c>
      <c r="E49" s="40">
        <v>6732.8597997138768</v>
      </c>
      <c r="F49" s="69">
        <v>9412538</v>
      </c>
      <c r="K49" s="2" t="s">
        <v>290</v>
      </c>
      <c r="L49" s="20">
        <v>54</v>
      </c>
      <c r="M49" s="40">
        <v>6756.7407407407409</v>
      </c>
      <c r="N49" s="20">
        <v>364864</v>
      </c>
    </row>
    <row r="50" spans="1:14">
      <c r="A50" s="1">
        <v>45</v>
      </c>
      <c r="C50" s="2" t="s">
        <v>279</v>
      </c>
      <c r="D50" s="88">
        <v>128</v>
      </c>
      <c r="E50" s="40">
        <v>13088.9375</v>
      </c>
      <c r="F50" s="69">
        <v>1675384</v>
      </c>
      <c r="K50" s="2" t="s">
        <v>289</v>
      </c>
      <c r="L50" s="20">
        <v>9</v>
      </c>
      <c r="M50" s="40">
        <v>12270.111111111111</v>
      </c>
      <c r="N50" s="20">
        <v>110431</v>
      </c>
    </row>
    <row r="51" spans="1:14">
      <c r="A51" s="1">
        <v>46</v>
      </c>
      <c r="C51" s="2" t="s">
        <v>345</v>
      </c>
      <c r="D51" s="88">
        <v>6</v>
      </c>
      <c r="E51" s="40">
        <v>24974.5</v>
      </c>
      <c r="F51" s="69">
        <v>149847</v>
      </c>
      <c r="K51" s="2" t="s">
        <v>288</v>
      </c>
      <c r="L51" s="20">
        <v>1</v>
      </c>
      <c r="M51" s="40">
        <v>26111</v>
      </c>
      <c r="N51" s="20">
        <v>26111</v>
      </c>
    </row>
    <row r="52" spans="1:14">
      <c r="A52" s="1">
        <v>47</v>
      </c>
      <c r="C52" s="2" t="s">
        <v>287</v>
      </c>
      <c r="D52" s="87">
        <v>930</v>
      </c>
      <c r="E52" s="39">
        <f>F52/D52</f>
        <v>1492.2688172043011</v>
      </c>
      <c r="F52" s="68">
        <v>1387810</v>
      </c>
      <c r="K52" s="2" t="s">
        <v>299</v>
      </c>
      <c r="L52" s="20">
        <v>109</v>
      </c>
      <c r="M52" s="39">
        <f>N52/L52</f>
        <v>1548.1100917431193</v>
      </c>
      <c r="N52" s="38">
        <v>168744</v>
      </c>
    </row>
    <row r="53" spans="1:14">
      <c r="A53" s="1">
        <v>48</v>
      </c>
      <c r="C53" s="2" t="s">
        <v>286</v>
      </c>
      <c r="D53" s="87">
        <v>2908</v>
      </c>
      <c r="E53" s="39">
        <f>F53/D53</f>
        <v>3319.7881705639616</v>
      </c>
      <c r="F53" s="68">
        <v>9653944</v>
      </c>
      <c r="K53" s="2" t="s">
        <v>298</v>
      </c>
      <c r="L53" s="20">
        <v>221</v>
      </c>
      <c r="M53" s="39">
        <f>N53/L45</f>
        <v>7709.4148936170213</v>
      </c>
      <c r="N53" s="38">
        <v>724685</v>
      </c>
    </row>
    <row r="54" spans="1:14">
      <c r="A54" s="1">
        <v>49</v>
      </c>
      <c r="C54" s="2" t="s">
        <v>285</v>
      </c>
      <c r="D54" s="87">
        <v>769</v>
      </c>
      <c r="E54" s="40">
        <v>6784.1404421326397</v>
      </c>
      <c r="F54" s="69">
        <v>5217004</v>
      </c>
      <c r="K54" s="2" t="s">
        <v>294</v>
      </c>
      <c r="L54" s="20">
        <v>91</v>
      </c>
      <c r="M54" s="40">
        <v>6839.6593406593411</v>
      </c>
      <c r="N54" s="20">
        <v>622409</v>
      </c>
    </row>
    <row r="55" spans="1:14">
      <c r="A55" s="1">
        <v>50</v>
      </c>
      <c r="C55" s="2" t="s">
        <v>284</v>
      </c>
      <c r="D55" s="87">
        <v>94</v>
      </c>
      <c r="E55" s="40">
        <v>12957.063829787234</v>
      </c>
      <c r="F55" s="69">
        <v>1217964</v>
      </c>
      <c r="K55" s="2" t="s">
        <v>293</v>
      </c>
      <c r="L55" s="20">
        <v>13</v>
      </c>
      <c r="M55" s="40">
        <v>13591.384615384615</v>
      </c>
      <c r="N55" s="20">
        <v>176688</v>
      </c>
    </row>
    <row r="56" spans="1:14">
      <c r="A56" s="1">
        <v>51</v>
      </c>
      <c r="C56" s="2" t="s">
        <v>283</v>
      </c>
      <c r="D56" s="87">
        <v>4</v>
      </c>
      <c r="E56" s="40">
        <v>21822.25</v>
      </c>
      <c r="F56" s="69">
        <v>87289</v>
      </c>
      <c r="K56" s="2" t="s">
        <v>300</v>
      </c>
      <c r="L56" s="20">
        <v>1</v>
      </c>
      <c r="M56" s="39">
        <f>N56/L56</f>
        <v>76222</v>
      </c>
      <c r="N56" s="38">
        <v>76222</v>
      </c>
    </row>
    <row r="57" spans="1:14">
      <c r="A57" s="1">
        <v>52</v>
      </c>
      <c r="C57" s="2" t="s">
        <v>292</v>
      </c>
      <c r="D57" s="87">
        <v>519</v>
      </c>
      <c r="E57" s="39">
        <f>F57/D57</f>
        <v>1512.1098265895953</v>
      </c>
      <c r="F57" s="68">
        <v>784785</v>
      </c>
      <c r="K57" s="2" t="s">
        <v>432</v>
      </c>
      <c r="L57" s="36">
        <f>L36-SUM(L37:L56)</f>
        <v>107649.08801146071</v>
      </c>
      <c r="M57" s="1" t="s">
        <v>433</v>
      </c>
    </row>
    <row r="58" spans="1:14">
      <c r="A58" s="1">
        <v>53</v>
      </c>
      <c r="C58" s="2" t="s">
        <v>291</v>
      </c>
      <c r="D58" s="87">
        <v>684</v>
      </c>
      <c r="E58" s="39">
        <f>F58/D54</f>
        <v>3333.780234070221</v>
      </c>
      <c r="F58" s="68">
        <v>2563677</v>
      </c>
      <c r="K58" s="2"/>
      <c r="L58" s="34"/>
    </row>
    <row r="59" spans="1:14">
      <c r="A59" s="1">
        <v>54</v>
      </c>
      <c r="C59" s="2" t="s">
        <v>290</v>
      </c>
      <c r="D59" s="87">
        <v>54</v>
      </c>
      <c r="E59" s="40">
        <v>6756.7407407407409</v>
      </c>
      <c r="F59" s="69">
        <v>364864</v>
      </c>
      <c r="K59" s="24" t="s">
        <v>368</v>
      </c>
    </row>
    <row r="60" spans="1:14">
      <c r="A60" s="1">
        <v>55</v>
      </c>
      <c r="C60" s="2" t="s">
        <v>289</v>
      </c>
      <c r="D60" s="87">
        <v>9</v>
      </c>
      <c r="E60" s="40">
        <v>12270.111111111111</v>
      </c>
      <c r="F60" s="69">
        <v>110431</v>
      </c>
      <c r="K60" s="2" t="s">
        <v>362</v>
      </c>
      <c r="L60" s="41">
        <v>105027</v>
      </c>
      <c r="M60" s="41">
        <f t="shared" ref="M60:M65" si="1">N60/L60</f>
        <v>1591.1624725070697</v>
      </c>
      <c r="N60" s="41">
        <v>167115021</v>
      </c>
    </row>
    <row r="61" spans="1:14">
      <c r="A61" s="1">
        <v>56</v>
      </c>
      <c r="C61" s="2" t="s">
        <v>288</v>
      </c>
      <c r="D61" s="87">
        <v>1</v>
      </c>
      <c r="E61" s="40">
        <v>26111</v>
      </c>
      <c r="F61" s="69">
        <v>26111</v>
      </c>
      <c r="K61" s="2" t="s">
        <v>363</v>
      </c>
      <c r="L61" s="41">
        <v>36086</v>
      </c>
      <c r="M61" s="41">
        <f t="shared" si="1"/>
        <v>2994.6238430416229</v>
      </c>
      <c r="N61" s="41">
        <v>108063996</v>
      </c>
    </row>
    <row r="62" spans="1:14">
      <c r="A62" s="1">
        <v>57</v>
      </c>
      <c r="C62" s="2" t="s">
        <v>299</v>
      </c>
      <c r="D62" s="87">
        <v>109</v>
      </c>
      <c r="E62" s="39">
        <f>F62/D62</f>
        <v>1548.1100917431193</v>
      </c>
      <c r="F62" s="68">
        <v>168744</v>
      </c>
      <c r="K62" s="2" t="s">
        <v>364</v>
      </c>
      <c r="L62" s="41">
        <v>5726</v>
      </c>
      <c r="M62" s="41">
        <f t="shared" si="1"/>
        <v>6779.0036674816629</v>
      </c>
      <c r="N62" s="41">
        <v>38816575</v>
      </c>
    </row>
    <row r="63" spans="1:14">
      <c r="A63" s="1">
        <v>58</v>
      </c>
      <c r="C63" s="2" t="s">
        <v>298</v>
      </c>
      <c r="D63" s="87">
        <v>221</v>
      </c>
      <c r="E63" s="39">
        <f>F63/D55</f>
        <v>7709.4148936170213</v>
      </c>
      <c r="F63" s="68">
        <v>724685</v>
      </c>
      <c r="K63" s="2" t="s">
        <v>365</v>
      </c>
      <c r="L63" s="41">
        <v>1131</v>
      </c>
      <c r="M63" s="41">
        <f t="shared" si="1"/>
        <v>13420.144120247569</v>
      </c>
      <c r="N63" s="41">
        <v>15178183</v>
      </c>
    </row>
    <row r="64" spans="1:14">
      <c r="A64" s="1">
        <v>59</v>
      </c>
      <c r="C64" s="2" t="s">
        <v>294</v>
      </c>
      <c r="D64" s="87">
        <v>91</v>
      </c>
      <c r="E64" s="40">
        <v>6839.6593406593411</v>
      </c>
      <c r="F64" s="69">
        <v>622409</v>
      </c>
      <c r="K64" s="2" t="s">
        <v>366</v>
      </c>
      <c r="L64" s="41">
        <v>307</v>
      </c>
      <c r="M64" s="41">
        <f t="shared" si="1"/>
        <v>28115.042345276874</v>
      </c>
      <c r="N64" s="41">
        <v>8631318</v>
      </c>
    </row>
    <row r="65" spans="1:17">
      <c r="A65" s="1">
        <v>60</v>
      </c>
      <c r="C65" s="2" t="s">
        <v>293</v>
      </c>
      <c r="D65" s="87">
        <v>13</v>
      </c>
      <c r="E65" s="40">
        <v>13591.384615384615</v>
      </c>
      <c r="F65" s="69">
        <v>176688</v>
      </c>
      <c r="K65" s="2" t="s">
        <v>266</v>
      </c>
      <c r="L65" s="41">
        <v>66</v>
      </c>
      <c r="M65" s="41">
        <f t="shared" si="1"/>
        <v>72130.712121212127</v>
      </c>
      <c r="N65" s="41">
        <v>4760627</v>
      </c>
    </row>
    <row r="66" spans="1:17">
      <c r="A66" s="1">
        <v>61</v>
      </c>
      <c r="C66" s="2" t="s">
        <v>300</v>
      </c>
      <c r="D66" s="87">
        <v>1</v>
      </c>
      <c r="E66" s="39">
        <f>F66/D66</f>
        <v>76222</v>
      </c>
      <c r="F66" s="68">
        <v>76222</v>
      </c>
      <c r="K66" s="2"/>
    </row>
    <row r="67" spans="1:17">
      <c r="A67" s="1">
        <v>62</v>
      </c>
      <c r="C67" s="1" t="s">
        <v>312</v>
      </c>
      <c r="D67" s="89">
        <v>107649.08801146071</v>
      </c>
      <c r="E67" s="1">
        <v>400</v>
      </c>
      <c r="K67" s="2"/>
      <c r="P67" s="1" t="s">
        <v>267</v>
      </c>
    </row>
    <row r="68" spans="1:17">
      <c r="A68" s="1">
        <v>63</v>
      </c>
      <c r="C68" s="2" t="s">
        <v>270</v>
      </c>
      <c r="D68" s="1">
        <v>21964</v>
      </c>
      <c r="E68" s="35">
        <v>1390.0073301766527</v>
      </c>
      <c r="F68" s="63">
        <v>30530121</v>
      </c>
      <c r="K68" s="24" t="s">
        <v>375</v>
      </c>
      <c r="P68" s="2" t="s">
        <v>376</v>
      </c>
      <c r="Q68" s="1" t="s">
        <v>377</v>
      </c>
    </row>
    <row r="69" spans="1:17">
      <c r="A69" s="1">
        <v>64</v>
      </c>
      <c r="C69" s="2" t="s">
        <v>272</v>
      </c>
      <c r="D69" s="1">
        <v>14388</v>
      </c>
      <c r="E69" s="35">
        <v>3102.0834723380594</v>
      </c>
      <c r="F69" s="63">
        <v>44632777</v>
      </c>
      <c r="K69" s="2" t="s">
        <v>374</v>
      </c>
      <c r="L69" s="41">
        <v>29252</v>
      </c>
      <c r="M69" s="44">
        <f t="shared" ref="M69:M74" si="2">N69/L69</f>
        <v>1494.476856283331</v>
      </c>
      <c r="N69" s="41">
        <v>43716437</v>
      </c>
      <c r="O69" s="42"/>
      <c r="P69" s="42">
        <v>29674</v>
      </c>
      <c r="Q69" s="42">
        <v>44354915</v>
      </c>
    </row>
    <row r="70" spans="1:17">
      <c r="A70" s="1">
        <v>65</v>
      </c>
      <c r="C70" s="2" t="s">
        <v>273</v>
      </c>
      <c r="D70" s="1">
        <v>5474</v>
      </c>
      <c r="E70" s="35">
        <v>6911.7309097552061</v>
      </c>
      <c r="F70" s="63">
        <v>37834815</v>
      </c>
      <c r="K70" s="2" t="s">
        <v>369</v>
      </c>
      <c r="L70" s="41">
        <v>21572</v>
      </c>
      <c r="M70" s="44">
        <f t="shared" si="2"/>
        <v>3214.3619506768032</v>
      </c>
      <c r="N70" s="41">
        <v>69340216</v>
      </c>
      <c r="O70" s="42"/>
      <c r="P70" s="42">
        <v>22338</v>
      </c>
      <c r="Q70" s="42">
        <v>71942996</v>
      </c>
    </row>
    <row r="71" spans="1:17">
      <c r="A71" s="1">
        <v>66</v>
      </c>
      <c r="C71" s="2" t="s">
        <v>274</v>
      </c>
      <c r="D71" s="1">
        <v>2830</v>
      </c>
      <c r="E71" s="35">
        <v>13631.281272084805</v>
      </c>
      <c r="F71" s="63">
        <v>38576526</v>
      </c>
      <c r="K71" s="2" t="s">
        <v>370</v>
      </c>
      <c r="L71" s="41">
        <v>7502</v>
      </c>
      <c r="M71" s="44">
        <f t="shared" si="2"/>
        <v>7094.9678752332711</v>
      </c>
      <c r="N71" s="41">
        <v>53226449</v>
      </c>
      <c r="O71" s="42"/>
      <c r="P71" s="42">
        <v>8152</v>
      </c>
      <c r="Q71" s="42">
        <v>57942454</v>
      </c>
    </row>
    <row r="72" spans="1:17">
      <c r="A72" s="1">
        <v>67</v>
      </c>
      <c r="C72" s="2" t="s">
        <v>226</v>
      </c>
      <c r="D72" s="1">
        <v>1156</v>
      </c>
      <c r="E72" s="35">
        <v>29099.180795847751</v>
      </c>
      <c r="F72" s="63">
        <v>33638653</v>
      </c>
      <c r="K72" s="2" t="s">
        <v>371</v>
      </c>
      <c r="L72" s="41">
        <v>3299</v>
      </c>
      <c r="M72" s="44">
        <f t="shared" si="2"/>
        <v>13982.63200969991</v>
      </c>
      <c r="N72" s="41">
        <v>46128703</v>
      </c>
      <c r="O72" s="42"/>
      <c r="P72" s="42">
        <v>3895</v>
      </c>
      <c r="Q72" s="42">
        <v>54805744</v>
      </c>
    </row>
    <row r="73" spans="1:17">
      <c r="A73" s="1">
        <v>68</v>
      </c>
      <c r="C73" s="2" t="s">
        <v>362</v>
      </c>
      <c r="D73" s="41">
        <v>105027</v>
      </c>
      <c r="E73" s="41">
        <v>167115021</v>
      </c>
      <c r="F73" s="67">
        <f t="shared" ref="F73:F77" si="3">E73/D73</f>
        <v>1591.1624725070697</v>
      </c>
      <c r="K73" s="2" t="s">
        <v>372</v>
      </c>
      <c r="L73" s="41">
        <v>1357</v>
      </c>
      <c r="M73" s="44">
        <f t="shared" si="2"/>
        <v>29882.998526160649</v>
      </c>
      <c r="N73" s="41">
        <v>40551229</v>
      </c>
      <c r="O73" s="42"/>
      <c r="P73" s="42">
        <v>1944</v>
      </c>
      <c r="Q73" s="42">
        <v>59104419</v>
      </c>
    </row>
    <row r="74" spans="1:17">
      <c r="A74" s="1">
        <v>69</v>
      </c>
      <c r="C74" s="2" t="s">
        <v>363</v>
      </c>
      <c r="D74" s="41">
        <v>36086</v>
      </c>
      <c r="E74" s="41">
        <v>108063996</v>
      </c>
      <c r="F74" s="67">
        <f t="shared" si="3"/>
        <v>2994.6238430416229</v>
      </c>
      <c r="K74" s="2" t="s">
        <v>373</v>
      </c>
      <c r="L74" s="41">
        <v>409</v>
      </c>
      <c r="M74" s="44">
        <f t="shared" si="2"/>
        <v>117257.03911980439</v>
      </c>
      <c r="N74" s="41">
        <v>47958129</v>
      </c>
      <c r="O74" s="42"/>
      <c r="P74" s="42">
        <v>1167</v>
      </c>
      <c r="Q74" s="42">
        <v>243184889</v>
      </c>
    </row>
    <row r="75" spans="1:17">
      <c r="A75" s="1">
        <v>70</v>
      </c>
      <c r="C75" s="2" t="s">
        <v>364</v>
      </c>
      <c r="D75" s="41">
        <v>5726</v>
      </c>
      <c r="E75" s="41">
        <v>38816575</v>
      </c>
      <c r="F75" s="67">
        <f t="shared" si="3"/>
        <v>6779.0036674816629</v>
      </c>
    </row>
    <row r="76" spans="1:17">
      <c r="A76" s="1">
        <v>71</v>
      </c>
      <c r="C76" s="2" t="s">
        <v>365</v>
      </c>
      <c r="D76" s="41">
        <v>1131</v>
      </c>
      <c r="E76" s="41">
        <v>15178183</v>
      </c>
      <c r="F76" s="67">
        <f t="shared" si="3"/>
        <v>13420.144120247569</v>
      </c>
    </row>
    <row r="77" spans="1:17">
      <c r="A77" s="1">
        <v>72</v>
      </c>
      <c r="C77" s="2" t="s">
        <v>366</v>
      </c>
      <c r="D77" s="41">
        <v>307</v>
      </c>
      <c r="E77" s="41">
        <v>8631318</v>
      </c>
      <c r="F77" s="67">
        <f t="shared" si="3"/>
        <v>28115.042345276874</v>
      </c>
      <c r="K77" s="45" t="s">
        <v>249</v>
      </c>
    </row>
    <row r="78" spans="1:17">
      <c r="A78" s="1">
        <v>73</v>
      </c>
      <c r="C78" s="2" t="s">
        <v>266</v>
      </c>
      <c r="D78" s="41">
        <v>66</v>
      </c>
      <c r="E78" s="41">
        <v>4760627</v>
      </c>
      <c r="F78" s="67">
        <f>E78/D78</f>
        <v>72130.712121212127</v>
      </c>
      <c r="K78" s="2" t="s">
        <v>374</v>
      </c>
      <c r="L78" s="43">
        <v>422</v>
      </c>
      <c r="M78" s="44">
        <f t="shared" ref="M78:M83" si="4">N78/L78</f>
        <v>1512.9810426540284</v>
      </c>
      <c r="N78" s="43">
        <v>638478</v>
      </c>
    </row>
    <row r="79" spans="1:17">
      <c r="A79" s="1">
        <v>74</v>
      </c>
      <c r="C79" s="2" t="s">
        <v>324</v>
      </c>
      <c r="D79" s="41">
        <v>29252</v>
      </c>
      <c r="E79" s="44">
        <f t="shared" ref="E79:E90" si="5">F79/D79</f>
        <v>1494.476856283331</v>
      </c>
      <c r="F79" s="67">
        <v>43716437</v>
      </c>
      <c r="K79" s="2" t="s">
        <v>369</v>
      </c>
      <c r="L79" s="43">
        <v>766</v>
      </c>
      <c r="M79" s="44">
        <f t="shared" si="4"/>
        <v>3397.8851174934725</v>
      </c>
      <c r="N79" s="43">
        <v>2602780</v>
      </c>
    </row>
    <row r="80" spans="1:17">
      <c r="A80" s="1">
        <v>75</v>
      </c>
      <c r="C80" s="2" t="s">
        <v>319</v>
      </c>
      <c r="D80" s="41">
        <v>21572</v>
      </c>
      <c r="E80" s="44">
        <f t="shared" si="5"/>
        <v>3214.3619506768032</v>
      </c>
      <c r="F80" s="67">
        <v>69340216</v>
      </c>
      <c r="K80" s="2" t="s">
        <v>370</v>
      </c>
      <c r="L80" s="43">
        <v>650</v>
      </c>
      <c r="M80" s="44">
        <f t="shared" si="4"/>
        <v>7255.3923076923074</v>
      </c>
      <c r="N80" s="43">
        <v>4716005</v>
      </c>
    </row>
    <row r="81" spans="1:14">
      <c r="A81" s="1">
        <v>76</v>
      </c>
      <c r="C81" s="2" t="s">
        <v>320</v>
      </c>
      <c r="D81" s="41">
        <v>7502</v>
      </c>
      <c r="E81" s="44">
        <f t="shared" si="5"/>
        <v>7094.9678752332711</v>
      </c>
      <c r="F81" s="67">
        <v>53226449</v>
      </c>
      <c r="K81" s="2" t="s">
        <v>371</v>
      </c>
      <c r="L81" s="43">
        <v>596</v>
      </c>
      <c r="M81" s="44">
        <f t="shared" si="4"/>
        <v>14558.793624161073</v>
      </c>
      <c r="N81" s="43">
        <v>8677041</v>
      </c>
    </row>
    <row r="82" spans="1:14">
      <c r="A82" s="1">
        <v>77</v>
      </c>
      <c r="C82" s="2" t="s">
        <v>321</v>
      </c>
      <c r="D82" s="41">
        <v>3299</v>
      </c>
      <c r="E82" s="44">
        <f t="shared" si="5"/>
        <v>13982.63200969991</v>
      </c>
      <c r="F82" s="67">
        <v>46128703</v>
      </c>
      <c r="K82" s="2" t="s">
        <v>372</v>
      </c>
      <c r="L82" s="43">
        <v>587</v>
      </c>
      <c r="M82" s="44">
        <f t="shared" si="4"/>
        <v>31606.797274275981</v>
      </c>
      <c r="N82" s="43">
        <v>18553190</v>
      </c>
    </row>
    <row r="83" spans="1:14">
      <c r="A83" s="1">
        <v>78</v>
      </c>
      <c r="C83" s="2" t="s">
        <v>322</v>
      </c>
      <c r="D83" s="41">
        <v>1357</v>
      </c>
      <c r="E83" s="44">
        <f t="shared" si="5"/>
        <v>29882.998526160649</v>
      </c>
      <c r="F83" s="67">
        <v>40551229</v>
      </c>
      <c r="K83" s="2" t="s">
        <v>373</v>
      </c>
      <c r="L83" s="43">
        <v>758</v>
      </c>
      <c r="M83" s="44">
        <f t="shared" si="4"/>
        <v>257555.09234828496</v>
      </c>
      <c r="N83" s="43">
        <v>195226760</v>
      </c>
    </row>
    <row r="84" spans="1:14">
      <c r="A84" s="1">
        <v>79</v>
      </c>
      <c r="C84" s="2" t="s">
        <v>323</v>
      </c>
      <c r="D84" s="41">
        <v>409</v>
      </c>
      <c r="E84" s="44">
        <f t="shared" si="5"/>
        <v>117257.03911980439</v>
      </c>
      <c r="F84" s="67">
        <v>47958129</v>
      </c>
    </row>
    <row r="85" spans="1:14">
      <c r="A85" s="1">
        <v>80</v>
      </c>
      <c r="C85" s="2" t="s">
        <v>318</v>
      </c>
      <c r="D85" s="43">
        <v>422</v>
      </c>
      <c r="E85" s="44">
        <f t="shared" si="5"/>
        <v>1512.9810426540284</v>
      </c>
      <c r="F85" s="63">
        <v>638478</v>
      </c>
    </row>
    <row r="86" spans="1:14">
      <c r="A86" s="1">
        <v>81</v>
      </c>
      <c r="C86" s="2" t="s">
        <v>307</v>
      </c>
      <c r="D86" s="43">
        <v>766</v>
      </c>
      <c r="E86" s="44">
        <f t="shared" si="5"/>
        <v>3397.8851174934725</v>
      </c>
      <c r="F86" s="63">
        <v>2602780</v>
      </c>
      <c r="K86" s="24" t="s">
        <v>250</v>
      </c>
    </row>
    <row r="87" spans="1:14">
      <c r="A87" s="1">
        <v>82</v>
      </c>
      <c r="C87" s="2" t="s">
        <v>308</v>
      </c>
      <c r="D87" s="43">
        <v>650</v>
      </c>
      <c r="E87" s="44">
        <f t="shared" si="5"/>
        <v>7255.3923076923074</v>
      </c>
      <c r="F87" s="63">
        <v>4716005</v>
      </c>
      <c r="K87" s="2" t="s">
        <v>350</v>
      </c>
      <c r="L87" s="41">
        <v>27321</v>
      </c>
      <c r="M87" s="41">
        <v>1439</v>
      </c>
      <c r="N87" s="41">
        <v>39314900</v>
      </c>
    </row>
    <row r="88" spans="1:14">
      <c r="A88" s="1">
        <v>83</v>
      </c>
      <c r="C88" s="2" t="s">
        <v>309</v>
      </c>
      <c r="D88" s="43">
        <v>596</v>
      </c>
      <c r="E88" s="44">
        <f t="shared" si="5"/>
        <v>14558.793624161073</v>
      </c>
      <c r="F88" s="63">
        <v>8677041</v>
      </c>
      <c r="K88" s="2" t="s">
        <v>378</v>
      </c>
      <c r="L88" s="41">
        <v>18172</v>
      </c>
      <c r="M88" s="41">
        <v>2841</v>
      </c>
      <c r="N88" s="41">
        <v>51625626</v>
      </c>
    </row>
    <row r="89" spans="1:14">
      <c r="A89" s="1">
        <v>84</v>
      </c>
      <c r="C89" s="2" t="s">
        <v>310</v>
      </c>
      <c r="D89" s="43">
        <v>587</v>
      </c>
      <c r="E89" s="44">
        <f t="shared" si="5"/>
        <v>31606.797274275981</v>
      </c>
      <c r="F89" s="63">
        <v>18553190</v>
      </c>
      <c r="K89" s="2" t="s">
        <v>244</v>
      </c>
      <c r="L89" s="41">
        <v>5713</v>
      </c>
      <c r="M89" s="41">
        <v>6187</v>
      </c>
      <c r="N89" s="41">
        <v>35343698</v>
      </c>
    </row>
    <row r="90" spans="1:14">
      <c r="A90" s="1">
        <v>85</v>
      </c>
      <c r="C90" s="2" t="s">
        <v>317</v>
      </c>
      <c r="D90" s="43">
        <v>758</v>
      </c>
      <c r="E90" s="44">
        <f t="shared" si="5"/>
        <v>257555.09234828496</v>
      </c>
      <c r="F90" s="63">
        <v>195226760</v>
      </c>
      <c r="K90" s="2" t="s">
        <v>245</v>
      </c>
      <c r="L90" s="41">
        <v>2570</v>
      </c>
      <c r="M90" s="41">
        <v>12053</v>
      </c>
      <c r="N90" s="41">
        <v>30975376</v>
      </c>
    </row>
    <row r="91" spans="1:14">
      <c r="A91" s="1">
        <v>86</v>
      </c>
      <c r="C91" s="2" t="s">
        <v>350</v>
      </c>
      <c r="D91" s="41">
        <v>27321</v>
      </c>
      <c r="E91" s="41">
        <v>1439</v>
      </c>
      <c r="F91" s="67">
        <v>39314900</v>
      </c>
      <c r="K91" s="2" t="s">
        <v>246</v>
      </c>
      <c r="L91" s="41">
        <v>1128</v>
      </c>
      <c r="M91" s="41">
        <v>26053</v>
      </c>
      <c r="N91" s="41">
        <v>29386895</v>
      </c>
    </row>
    <row r="92" spans="1:14">
      <c r="A92" s="1">
        <v>87</v>
      </c>
      <c r="C92" s="2" t="s">
        <v>378</v>
      </c>
      <c r="D92" s="41">
        <v>18172</v>
      </c>
      <c r="E92" s="41">
        <v>2841</v>
      </c>
      <c r="F92" s="67">
        <v>51625626</v>
      </c>
      <c r="K92" s="2" t="s">
        <v>247</v>
      </c>
      <c r="L92" s="41">
        <v>331</v>
      </c>
      <c r="M92" s="41">
        <v>158403</v>
      </c>
      <c r="N92" s="41">
        <v>52419866</v>
      </c>
    </row>
    <row r="93" spans="1:14">
      <c r="A93" s="1">
        <v>88</v>
      </c>
      <c r="C93" s="2" t="s">
        <v>244</v>
      </c>
      <c r="D93" s="41">
        <v>5713</v>
      </c>
      <c r="E93" s="41">
        <v>6187</v>
      </c>
      <c r="F93" s="67">
        <v>35343698</v>
      </c>
      <c r="H93" s="59" t="s">
        <v>463</v>
      </c>
    </row>
    <row r="94" spans="1:14">
      <c r="A94" s="1">
        <v>89</v>
      </c>
      <c r="C94" s="2" t="s">
        <v>245</v>
      </c>
      <c r="D94" s="41">
        <v>2570</v>
      </c>
      <c r="E94" s="41">
        <v>12053</v>
      </c>
      <c r="F94" s="67">
        <v>30975376</v>
      </c>
      <c r="H94" s="59" t="s">
        <v>463</v>
      </c>
    </row>
    <row r="95" spans="1:14">
      <c r="A95" s="1">
        <v>90</v>
      </c>
      <c r="C95" s="2" t="s">
        <v>246</v>
      </c>
      <c r="D95" s="41">
        <v>1128</v>
      </c>
      <c r="E95" s="41">
        <v>26053</v>
      </c>
      <c r="F95" s="67">
        <v>29386895</v>
      </c>
      <c r="H95" s="59" t="s">
        <v>463</v>
      </c>
      <c r="K95" s="24" t="s">
        <v>251</v>
      </c>
    </row>
    <row r="96" spans="1:14">
      <c r="A96" s="1">
        <v>91</v>
      </c>
      <c r="C96" s="2" t="s">
        <v>247</v>
      </c>
      <c r="D96" s="41">
        <v>331</v>
      </c>
      <c r="E96" s="41">
        <v>158403</v>
      </c>
      <c r="F96" s="67">
        <v>52419866</v>
      </c>
      <c r="H96" s="59" t="s">
        <v>463</v>
      </c>
      <c r="K96" s="2" t="s">
        <v>257</v>
      </c>
      <c r="L96" s="41">
        <v>65775</v>
      </c>
      <c r="M96" s="47">
        <v>1468.8071759787153</v>
      </c>
      <c r="N96" s="41">
        <v>96610792</v>
      </c>
    </row>
    <row r="97" spans="1:14">
      <c r="A97" s="1">
        <v>92</v>
      </c>
      <c r="C97" s="1" t="s">
        <v>514</v>
      </c>
      <c r="D97" s="85">
        <v>774299.00656744395</v>
      </c>
      <c r="H97" s="59" t="s">
        <v>463</v>
      </c>
      <c r="K97" s="2" t="s">
        <v>252</v>
      </c>
      <c r="L97" s="41">
        <v>23116</v>
      </c>
      <c r="M97" s="47">
        <v>2845.33941858453</v>
      </c>
      <c r="N97" s="41">
        <v>65772866</v>
      </c>
    </row>
    <row r="98" spans="1:14">
      <c r="A98" s="1">
        <v>93</v>
      </c>
      <c r="C98" s="1" t="s">
        <v>515</v>
      </c>
      <c r="D98" s="85">
        <v>601560.83475327992</v>
      </c>
      <c r="H98" s="59" t="s">
        <v>463</v>
      </c>
      <c r="K98" s="2" t="s">
        <v>253</v>
      </c>
      <c r="L98" s="41">
        <v>1981</v>
      </c>
      <c r="M98" s="47">
        <v>6465.3296314992431</v>
      </c>
      <c r="N98" s="41">
        <v>12807818</v>
      </c>
    </row>
    <row r="99" spans="1:14">
      <c r="A99" s="1">
        <v>94</v>
      </c>
      <c r="C99" s="1" t="s">
        <v>469</v>
      </c>
      <c r="E99" s="49">
        <v>396.44318681318691</v>
      </c>
      <c r="G99" s="1" t="s">
        <v>349</v>
      </c>
      <c r="H99" s="59" t="s">
        <v>463</v>
      </c>
      <c r="K99" s="2" t="s">
        <v>254</v>
      </c>
      <c r="L99" s="41">
        <v>282</v>
      </c>
      <c r="M99" s="47">
        <v>13290.202127659575</v>
      </c>
      <c r="N99" s="41">
        <v>3747837</v>
      </c>
    </row>
    <row r="100" spans="1:14">
      <c r="A100" s="1">
        <v>95</v>
      </c>
      <c r="C100" s="1" t="s">
        <v>459</v>
      </c>
      <c r="E100" s="77">
        <v>340.34207317073174</v>
      </c>
      <c r="G100" s="1" t="s">
        <v>462</v>
      </c>
      <c r="H100" s="59" t="s">
        <v>463</v>
      </c>
      <c r="K100" s="2" t="s">
        <v>255</v>
      </c>
      <c r="L100" s="41">
        <v>40</v>
      </c>
      <c r="M100" s="47">
        <v>28393.375</v>
      </c>
      <c r="N100" s="41">
        <v>1135735</v>
      </c>
    </row>
    <row r="101" spans="1:14">
      <c r="A101" s="1">
        <v>96</v>
      </c>
      <c r="C101" s="1" t="s">
        <v>460</v>
      </c>
      <c r="G101" s="1" t="s">
        <v>461</v>
      </c>
      <c r="H101" s="59" t="s">
        <v>463</v>
      </c>
      <c r="K101" s="2" t="s">
        <v>256</v>
      </c>
      <c r="L101" s="41">
        <v>10</v>
      </c>
      <c r="M101" s="47">
        <v>67007.5</v>
      </c>
      <c r="N101" s="41">
        <v>670075</v>
      </c>
    </row>
    <row r="102" spans="1:14">
      <c r="A102" s="1">
        <v>97</v>
      </c>
      <c r="C102" s="1" t="s">
        <v>524</v>
      </c>
      <c r="E102" s="82">
        <v>967</v>
      </c>
      <c r="H102" s="59" t="s">
        <v>463</v>
      </c>
    </row>
    <row r="103" spans="1:14">
      <c r="A103" s="1">
        <v>98</v>
      </c>
      <c r="C103" s="1" t="s">
        <v>442</v>
      </c>
      <c r="E103" s="78">
        <v>398</v>
      </c>
      <c r="G103" s="1" t="s">
        <v>462</v>
      </c>
      <c r="H103" s="59" t="s">
        <v>463</v>
      </c>
    </row>
    <row r="104" spans="1:14">
      <c r="A104" s="1">
        <v>99</v>
      </c>
      <c r="C104" s="1" t="s">
        <v>466</v>
      </c>
      <c r="G104" s="1" t="s">
        <v>467</v>
      </c>
      <c r="H104" s="59" t="s">
        <v>463</v>
      </c>
    </row>
    <row r="105" spans="1:14">
      <c r="A105" s="1">
        <v>100</v>
      </c>
      <c r="C105" s="1" t="s">
        <v>443</v>
      </c>
      <c r="E105" s="78">
        <v>609.30999999999995</v>
      </c>
      <c r="G105" s="1" t="s">
        <v>468</v>
      </c>
      <c r="H105" s="59" t="s">
        <v>463</v>
      </c>
    </row>
    <row r="106" spans="1:14">
      <c r="A106" s="1">
        <v>101</v>
      </c>
      <c r="C106" s="1" t="s">
        <v>444</v>
      </c>
      <c r="E106" s="79">
        <v>144.37381043014847</v>
      </c>
      <c r="G106" s="1" t="s">
        <v>445</v>
      </c>
      <c r="H106" s="59" t="s">
        <v>463</v>
      </c>
    </row>
    <row r="107" spans="1:14">
      <c r="A107" s="1">
        <v>102</v>
      </c>
      <c r="C107" s="1" t="s">
        <v>446</v>
      </c>
      <c r="E107" s="79">
        <v>390.85773529063573</v>
      </c>
      <c r="G107" s="1" t="s">
        <v>447</v>
      </c>
      <c r="H107" s="59" t="s">
        <v>463</v>
      </c>
    </row>
    <row r="108" spans="1:14">
      <c r="A108" s="1">
        <v>103</v>
      </c>
      <c r="C108" s="1" t="s">
        <v>448</v>
      </c>
      <c r="E108" s="80">
        <v>12662.14</v>
      </c>
      <c r="H108" s="59" t="s">
        <v>463</v>
      </c>
    </row>
    <row r="109" spans="1:14">
      <c r="A109" s="1">
        <v>104</v>
      </c>
      <c r="C109" s="1" t="s">
        <v>449</v>
      </c>
      <c r="E109" s="81">
        <v>10500</v>
      </c>
      <c r="H109" s="59" t="s">
        <v>463</v>
      </c>
    </row>
    <row r="110" spans="1:14">
      <c r="A110" s="1">
        <v>105</v>
      </c>
      <c r="C110" s="1" t="s">
        <v>464</v>
      </c>
      <c r="E110" s="78">
        <v>588</v>
      </c>
      <c r="G110" s="1" t="s">
        <v>462</v>
      </c>
      <c r="H110" s="59" t="s">
        <v>463</v>
      </c>
    </row>
    <row r="111" spans="1:14">
      <c r="A111" s="1">
        <v>106</v>
      </c>
      <c r="C111" s="1" t="s">
        <v>494</v>
      </c>
      <c r="G111" s="1" t="s">
        <v>495</v>
      </c>
      <c r="H111" s="59" t="s">
        <v>463</v>
      </c>
    </row>
    <row r="112" spans="1:14">
      <c r="A112" s="1">
        <v>107</v>
      </c>
      <c r="C112" s="1" t="s">
        <v>496</v>
      </c>
      <c r="G112" s="1" t="s">
        <v>497</v>
      </c>
      <c r="H112" s="59" t="s">
        <v>463</v>
      </c>
    </row>
    <row r="113" spans="1:8">
      <c r="A113" s="1">
        <v>108</v>
      </c>
      <c r="C113" s="1" t="s">
        <v>498</v>
      </c>
      <c r="G113" s="1" t="s">
        <v>499</v>
      </c>
      <c r="H113" s="59" t="s">
        <v>463</v>
      </c>
    </row>
    <row r="114" spans="1:8">
      <c r="A114" s="1">
        <v>109</v>
      </c>
      <c r="C114" s="1" t="s">
        <v>500</v>
      </c>
      <c r="G114" s="1" t="s">
        <v>501</v>
      </c>
      <c r="H114" s="59" t="s">
        <v>463</v>
      </c>
    </row>
    <row r="115" spans="1:8">
      <c r="A115" s="1">
        <v>110</v>
      </c>
      <c r="C115" s="1" t="s">
        <v>502</v>
      </c>
      <c r="G115" s="1" t="s">
        <v>523</v>
      </c>
      <c r="H115" s="59" t="s">
        <v>463</v>
      </c>
    </row>
    <row r="116" spans="1:8">
      <c r="A116" s="1">
        <v>111</v>
      </c>
      <c r="C116" s="1" t="s">
        <v>525</v>
      </c>
      <c r="E116" s="48">
        <v>355.964</v>
      </c>
      <c r="G116" s="1" t="s">
        <v>526</v>
      </c>
      <c r="H116" s="59" t="s">
        <v>463</v>
      </c>
    </row>
    <row r="117" spans="1:8">
      <c r="H117" s="59" t="s">
        <v>463</v>
      </c>
    </row>
    <row r="118" spans="1:8">
      <c r="F118" s="149"/>
    </row>
    <row r="119" spans="1:8">
      <c r="F119" s="149"/>
    </row>
    <row r="120" spans="1:8">
      <c r="F120" s="149"/>
    </row>
  </sheetData>
  <sortState ref="A45:F49">
    <sortCondition ref="A45:A49"/>
  </sortState>
  <phoneticPr fontId="2" type="noConversion"/>
  <pageMargins left="0.75" right="0.75" top="1" bottom="1" header="0.5" footer="0.5"/>
  <colBreaks count="1" manualBreakCount="1">
    <brk id="5"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212"/>
  <sheetViews>
    <sheetView topLeftCell="C2" workbookViewId="0">
      <pane ySplit="3000" topLeftCell="A189" activePane="bottomLeft"/>
      <selection activeCell="F2" sqref="F1:F1048576"/>
      <selection pane="bottomLeft" activeCell="F203" sqref="F203:F208"/>
    </sheetView>
  </sheetViews>
  <sheetFormatPr baseColWidth="10" defaultRowHeight="15"/>
  <cols>
    <col min="1" max="1" width="6.85546875" style="1" customWidth="1"/>
    <col min="2" max="2" width="21.7109375" style="1" customWidth="1"/>
    <col min="3" max="3" width="29.42578125" style="1" customWidth="1"/>
    <col min="4" max="4" width="10.7109375" style="1"/>
    <col min="5" max="5" width="12.85546875" style="1" customWidth="1"/>
    <col min="6" max="6" width="13.42578125" style="111" customWidth="1"/>
    <col min="7" max="7" width="10.7109375" style="1"/>
    <col min="8" max="8" width="11.140625" style="1" bestFit="1" customWidth="1"/>
    <col min="9" max="9" width="12.85546875" style="1" customWidth="1"/>
    <col min="10" max="10" width="10.7109375" style="1"/>
    <col min="11" max="11" width="14.85546875" style="1" bestFit="1" customWidth="1"/>
    <col min="12" max="16384" width="10.7109375" style="1"/>
  </cols>
  <sheetData>
    <row r="1" spans="2:7" ht="17">
      <c r="C1" s="8" t="s">
        <v>305</v>
      </c>
    </row>
    <row r="3" spans="2:7">
      <c r="C3" s="1" t="s">
        <v>426</v>
      </c>
    </row>
    <row r="4" spans="2:7">
      <c r="C4" s="1" t="s">
        <v>199</v>
      </c>
    </row>
    <row r="5" spans="2:7">
      <c r="C5" s="1" t="s">
        <v>482</v>
      </c>
    </row>
    <row r="6" spans="2:7">
      <c r="C6" s="1" t="s">
        <v>367</v>
      </c>
    </row>
    <row r="7" spans="2:7">
      <c r="D7" s="1" t="s">
        <v>248</v>
      </c>
    </row>
    <row r="8" spans="2:7" ht="16" thickBot="1"/>
    <row r="9" spans="2:7" ht="16" thickBot="1">
      <c r="B9" s="102" t="s">
        <v>158</v>
      </c>
      <c r="C9" s="2" t="s">
        <v>435</v>
      </c>
      <c r="D9" s="74">
        <v>18284896.419562466</v>
      </c>
      <c r="E9" s="76">
        <f>1000000*F9/D9</f>
        <v>500.56586615519143</v>
      </c>
      <c r="F9" s="112">
        <v>9152.7950138162432</v>
      </c>
      <c r="G9" s="1" t="s">
        <v>540</v>
      </c>
    </row>
    <row r="10" spans="2:7" s="52" customFormat="1">
      <c r="C10" s="50"/>
      <c r="D10" s="95"/>
      <c r="E10" s="96"/>
      <c r="F10" s="113"/>
    </row>
    <row r="11" spans="2:7">
      <c r="D11" s="1" t="s">
        <v>315</v>
      </c>
      <c r="E11" s="2" t="s">
        <v>314</v>
      </c>
      <c r="F11" s="114" t="s">
        <v>316</v>
      </c>
    </row>
    <row r="12" spans="2:7">
      <c r="B12" s="14" t="s">
        <v>478</v>
      </c>
      <c r="C12" s="45" t="s">
        <v>551</v>
      </c>
      <c r="D12" s="45" t="s">
        <v>479</v>
      </c>
      <c r="E12" s="14" t="s">
        <v>465</v>
      </c>
      <c r="F12" s="115" t="s">
        <v>480</v>
      </c>
      <c r="G12" s="45" t="s">
        <v>481</v>
      </c>
    </row>
    <row r="13" spans="2:7">
      <c r="B13" s="97" t="s">
        <v>200</v>
      </c>
      <c r="C13" s="45"/>
      <c r="D13" s="45"/>
      <c r="E13" s="14"/>
      <c r="F13" s="115"/>
      <c r="G13" s="45"/>
    </row>
    <row r="14" spans="2:7">
      <c r="B14" s="26" t="s">
        <v>454</v>
      </c>
      <c r="C14" s="50" t="s">
        <v>243</v>
      </c>
      <c r="D14" s="25">
        <v>587.11655102054306</v>
      </c>
      <c r="E14" s="51">
        <v>120186</v>
      </c>
      <c r="F14" s="116">
        <v>70563189.800954983</v>
      </c>
      <c r="G14" s="52" t="s">
        <v>212</v>
      </c>
    </row>
    <row r="15" spans="2:7">
      <c r="B15" s="26" t="s">
        <v>454</v>
      </c>
      <c r="C15" s="50" t="s">
        <v>352</v>
      </c>
      <c r="D15" s="29">
        <v>1686.3634173149821</v>
      </c>
      <c r="E15" s="51">
        <v>31921</v>
      </c>
      <c r="F15" s="116">
        <v>53830406.644111544</v>
      </c>
      <c r="G15" s="52" t="s">
        <v>212</v>
      </c>
    </row>
    <row r="16" spans="2:7">
      <c r="B16" s="26" t="s">
        <v>454</v>
      </c>
      <c r="C16" s="50" t="s">
        <v>354</v>
      </c>
      <c r="D16" s="29">
        <v>3360.0279801280753</v>
      </c>
      <c r="E16" s="51">
        <v>16054</v>
      </c>
      <c r="F16" s="116">
        <v>53941889.192976125</v>
      </c>
      <c r="G16" s="52" t="s">
        <v>212</v>
      </c>
    </row>
    <row r="17" spans="1:7">
      <c r="B17" s="26" t="s">
        <v>454</v>
      </c>
      <c r="C17" s="50" t="s">
        <v>356</v>
      </c>
      <c r="D17" s="29">
        <v>6728.1075872508154</v>
      </c>
      <c r="E17" s="51">
        <v>9273</v>
      </c>
      <c r="F17" s="116">
        <v>62389741.656576812</v>
      </c>
      <c r="G17" s="52" t="s">
        <v>212</v>
      </c>
    </row>
    <row r="18" spans="1:7">
      <c r="B18" s="26" t="s">
        <v>454</v>
      </c>
      <c r="C18" s="50" t="s">
        <v>358</v>
      </c>
      <c r="D18" s="29">
        <v>16324.744460550826</v>
      </c>
      <c r="E18" s="51">
        <v>5427</v>
      </c>
      <c r="F18" s="116">
        <v>88594388.187409341</v>
      </c>
      <c r="G18" s="52" t="s">
        <v>212</v>
      </c>
    </row>
    <row r="19" spans="1:7">
      <c r="B19" s="26" t="s">
        <v>454</v>
      </c>
      <c r="C19" s="50" t="s">
        <v>329</v>
      </c>
      <c r="D19" s="29">
        <v>19732.640003734759</v>
      </c>
      <c r="E19" s="51">
        <v>3694</v>
      </c>
      <c r="F19" s="116">
        <v>72892372.173796207</v>
      </c>
      <c r="G19" s="52" t="s">
        <v>212</v>
      </c>
    </row>
    <row r="20" spans="1:7">
      <c r="B20" s="26" t="s">
        <v>454</v>
      </c>
      <c r="C20" s="50" t="s">
        <v>402</v>
      </c>
      <c r="D20" s="29">
        <v>58828</v>
      </c>
      <c r="E20" s="71">
        <v>631.14401466210199</v>
      </c>
      <c r="F20" s="116">
        <v>37128940.094542138</v>
      </c>
      <c r="G20" s="52" t="s">
        <v>409</v>
      </c>
    </row>
    <row r="21" spans="1:7">
      <c r="B21" s="26" t="s">
        <v>454</v>
      </c>
      <c r="C21" s="50" t="s">
        <v>408</v>
      </c>
      <c r="D21" s="29">
        <v>490393</v>
      </c>
      <c r="E21" s="72">
        <v>412.96273181987499</v>
      </c>
      <c r="F21" s="116">
        <v>202514032.94534394</v>
      </c>
      <c r="G21" s="52" t="s">
        <v>484</v>
      </c>
    </row>
    <row r="22" spans="1:7">
      <c r="B22" s="26" t="s">
        <v>454</v>
      </c>
      <c r="C22" s="2" t="s">
        <v>471</v>
      </c>
      <c r="D22" s="84">
        <v>12968531.4972509</v>
      </c>
      <c r="E22" s="82">
        <v>340.34207317073174</v>
      </c>
      <c r="F22" s="116">
        <v>4413736895.7543049</v>
      </c>
      <c r="G22" s="9" t="s">
        <v>306</v>
      </c>
    </row>
    <row r="23" spans="1:7">
      <c r="F23" s="116"/>
      <c r="G23" s="9" t="s">
        <v>224</v>
      </c>
    </row>
    <row r="24" spans="1:7">
      <c r="F24" s="116"/>
      <c r="G24" s="9" t="s">
        <v>136</v>
      </c>
    </row>
    <row r="25" spans="1:7">
      <c r="B25" s="9" t="s">
        <v>510</v>
      </c>
      <c r="C25" s="2"/>
      <c r="D25" s="2"/>
      <c r="E25" s="82"/>
      <c r="F25" s="116"/>
      <c r="G25" s="9"/>
    </row>
    <row r="26" spans="1:7">
      <c r="C26" s="2" t="s">
        <v>208</v>
      </c>
      <c r="D26" s="2"/>
      <c r="E26" s="82"/>
      <c r="F26" s="116"/>
      <c r="G26" s="1" t="s">
        <v>209</v>
      </c>
    </row>
    <row r="27" spans="1:7">
      <c r="C27" s="2" t="s">
        <v>509</v>
      </c>
      <c r="D27" s="2"/>
      <c r="E27" s="82"/>
      <c r="F27" s="116"/>
      <c r="G27" s="1" t="s">
        <v>210</v>
      </c>
    </row>
    <row r="28" spans="1:7">
      <c r="C28" s="2" t="s">
        <v>201</v>
      </c>
      <c r="D28" s="2"/>
      <c r="E28" s="82"/>
      <c r="F28" s="116"/>
      <c r="G28" s="1" t="s">
        <v>202</v>
      </c>
    </row>
    <row r="29" spans="1:7">
      <c r="C29" s="2"/>
      <c r="D29" s="2"/>
      <c r="E29" s="82"/>
      <c r="F29" s="116"/>
      <c r="G29" s="9"/>
    </row>
    <row r="30" spans="1:7">
      <c r="B30" s="26" t="s">
        <v>454</v>
      </c>
      <c r="C30" s="52" t="s">
        <v>453</v>
      </c>
      <c r="D30" s="26">
        <v>4345</v>
      </c>
      <c r="E30" s="56">
        <v>5410.215062463848</v>
      </c>
      <c r="F30" s="116">
        <v>23507384.446405418</v>
      </c>
      <c r="G30" s="52" t="s">
        <v>229</v>
      </c>
    </row>
    <row r="31" spans="1:7">
      <c r="B31" s="26" t="s">
        <v>454</v>
      </c>
      <c r="C31" s="52" t="s">
        <v>470</v>
      </c>
      <c r="D31" s="83">
        <v>141056</v>
      </c>
      <c r="E31" s="60">
        <v>287.87703198041226</v>
      </c>
      <c r="F31" s="116">
        <v>40606782.623029031</v>
      </c>
      <c r="G31" s="52" t="s">
        <v>229</v>
      </c>
    </row>
    <row r="32" spans="1:7" s="52" customFormat="1">
      <c r="A32" s="1"/>
      <c r="B32" s="50"/>
      <c r="C32" s="2" t="s">
        <v>270</v>
      </c>
      <c r="D32" s="1">
        <v>21964</v>
      </c>
      <c r="E32" s="46">
        <v>1390.0073301766527</v>
      </c>
      <c r="F32" s="116">
        <v>30530121</v>
      </c>
    </row>
    <row r="33" spans="1:6" s="52" customFormat="1">
      <c r="A33" s="1"/>
      <c r="B33" s="50"/>
      <c r="C33" s="2" t="s">
        <v>272</v>
      </c>
      <c r="D33" s="1">
        <v>14388</v>
      </c>
      <c r="E33" s="46">
        <v>3102.0834723380594</v>
      </c>
      <c r="F33" s="116">
        <v>44632777</v>
      </c>
    </row>
    <row r="34" spans="1:6" s="52" customFormat="1">
      <c r="A34" s="1"/>
      <c r="B34" s="50"/>
      <c r="C34" s="2" t="s">
        <v>273</v>
      </c>
      <c r="D34" s="1">
        <v>5474</v>
      </c>
      <c r="E34" s="46">
        <v>6911.7309097552061</v>
      </c>
      <c r="F34" s="116">
        <v>37834815</v>
      </c>
    </row>
    <row r="35" spans="1:6" s="52" customFormat="1">
      <c r="A35" s="1"/>
      <c r="B35" s="50"/>
      <c r="C35" s="2" t="s">
        <v>274</v>
      </c>
      <c r="D35" s="1">
        <v>2830</v>
      </c>
      <c r="E35" s="46">
        <v>13631.281272084805</v>
      </c>
      <c r="F35" s="116">
        <v>38576526</v>
      </c>
    </row>
    <row r="36" spans="1:6" s="52" customFormat="1">
      <c r="A36" s="1"/>
      <c r="B36" s="50"/>
      <c r="C36" s="2" t="s">
        <v>226</v>
      </c>
      <c r="D36" s="1">
        <v>1156</v>
      </c>
      <c r="E36" s="46">
        <v>29099.180795847751</v>
      </c>
      <c r="F36" s="116">
        <v>33638653</v>
      </c>
    </row>
    <row r="37" spans="1:6" s="52" customFormat="1">
      <c r="A37" s="1"/>
      <c r="B37" s="50"/>
      <c r="C37" s="2" t="s">
        <v>362</v>
      </c>
      <c r="D37" s="41">
        <v>105027</v>
      </c>
      <c r="E37" s="67">
        <v>1591.1624725070697</v>
      </c>
      <c r="F37" s="116">
        <v>167115021</v>
      </c>
    </row>
    <row r="38" spans="1:6" s="52" customFormat="1">
      <c r="A38" s="1"/>
      <c r="B38" s="50"/>
      <c r="C38" s="2" t="s">
        <v>363</v>
      </c>
      <c r="D38" s="41">
        <v>36086</v>
      </c>
      <c r="E38" s="67">
        <v>2994.6238430416229</v>
      </c>
      <c r="F38" s="116">
        <v>108063996</v>
      </c>
    </row>
    <row r="39" spans="1:6" s="52" customFormat="1">
      <c r="A39" s="1"/>
      <c r="B39" s="50"/>
      <c r="C39" s="2" t="s">
        <v>364</v>
      </c>
      <c r="D39" s="41">
        <v>5726</v>
      </c>
      <c r="E39" s="67">
        <v>6779.0036674816629</v>
      </c>
      <c r="F39" s="116">
        <v>38816575</v>
      </c>
    </row>
    <row r="40" spans="1:6" s="52" customFormat="1">
      <c r="A40" s="1"/>
      <c r="B40" s="50"/>
      <c r="C40" s="2" t="s">
        <v>365</v>
      </c>
      <c r="D40" s="41">
        <v>1131</v>
      </c>
      <c r="E40" s="67">
        <v>13420.144120247569</v>
      </c>
      <c r="F40" s="116">
        <v>15178183</v>
      </c>
    </row>
    <row r="41" spans="1:6" s="52" customFormat="1">
      <c r="A41" s="1"/>
      <c r="B41" s="50"/>
      <c r="C41" s="2" t="s">
        <v>366</v>
      </c>
      <c r="D41" s="41">
        <v>307</v>
      </c>
      <c r="E41" s="67">
        <v>28115.042345276874</v>
      </c>
      <c r="F41" s="116">
        <v>8631318</v>
      </c>
    </row>
    <row r="42" spans="1:6" s="52" customFormat="1">
      <c r="A42" s="1"/>
      <c r="B42" s="50"/>
      <c r="C42" s="2" t="s">
        <v>266</v>
      </c>
      <c r="D42" s="41">
        <v>66</v>
      </c>
      <c r="E42" s="67">
        <v>72130.712121212127</v>
      </c>
      <c r="F42" s="116">
        <v>4760627</v>
      </c>
    </row>
    <row r="43" spans="1:6" s="52" customFormat="1">
      <c r="A43" s="1"/>
      <c r="B43" s="50"/>
      <c r="C43" s="2" t="s">
        <v>324</v>
      </c>
      <c r="D43" s="41">
        <v>29252</v>
      </c>
      <c r="E43" s="82">
        <v>1494.476856283331</v>
      </c>
      <c r="F43" s="116">
        <v>43716437</v>
      </c>
    </row>
    <row r="44" spans="1:6" s="52" customFormat="1">
      <c r="A44" s="1"/>
      <c r="B44" s="50"/>
      <c r="C44" s="2" t="s">
        <v>319</v>
      </c>
      <c r="D44" s="41">
        <v>21572</v>
      </c>
      <c r="E44" s="82">
        <v>3214.3619506768032</v>
      </c>
      <c r="F44" s="116">
        <v>69340216</v>
      </c>
    </row>
    <row r="45" spans="1:6" s="52" customFormat="1">
      <c r="A45" s="1"/>
      <c r="B45" s="50"/>
      <c r="C45" s="2" t="s">
        <v>320</v>
      </c>
      <c r="D45" s="41">
        <v>7502</v>
      </c>
      <c r="E45" s="82">
        <v>7094.9678752332711</v>
      </c>
      <c r="F45" s="116">
        <v>53226449</v>
      </c>
    </row>
    <row r="46" spans="1:6" s="52" customFormat="1">
      <c r="A46" s="1"/>
      <c r="B46" s="50"/>
      <c r="C46" s="2" t="s">
        <v>321</v>
      </c>
      <c r="D46" s="41">
        <v>3299</v>
      </c>
      <c r="E46" s="82">
        <v>13982.63200969991</v>
      </c>
      <c r="F46" s="116">
        <v>46128703</v>
      </c>
    </row>
    <row r="47" spans="1:6" s="52" customFormat="1">
      <c r="A47" s="1"/>
      <c r="B47" s="50"/>
      <c r="C47" s="2" t="s">
        <v>322</v>
      </c>
      <c r="D47" s="41">
        <v>1357</v>
      </c>
      <c r="E47" s="82">
        <v>29882.998526160649</v>
      </c>
      <c r="F47" s="116">
        <v>40551229</v>
      </c>
    </row>
    <row r="48" spans="1:6" s="52" customFormat="1">
      <c r="A48" s="1"/>
      <c r="B48" s="50"/>
      <c r="C48" s="2" t="s">
        <v>323</v>
      </c>
      <c r="D48" s="41">
        <v>409</v>
      </c>
      <c r="E48" s="82">
        <v>117257.03911980439</v>
      </c>
      <c r="F48" s="116">
        <v>47958129</v>
      </c>
    </row>
    <row r="49" spans="1:6" s="52" customFormat="1">
      <c r="A49" s="1"/>
      <c r="B49" s="50"/>
      <c r="C49" s="2" t="s">
        <v>318</v>
      </c>
      <c r="D49" s="43">
        <v>422</v>
      </c>
      <c r="E49" s="82">
        <v>1512.9810426540284</v>
      </c>
      <c r="F49" s="116">
        <v>638478</v>
      </c>
    </row>
    <row r="50" spans="1:6" s="52" customFormat="1">
      <c r="A50" s="1"/>
      <c r="B50" s="50"/>
      <c r="C50" s="2" t="s">
        <v>307</v>
      </c>
      <c r="D50" s="43">
        <v>766</v>
      </c>
      <c r="E50" s="82">
        <v>3397.8851174934725</v>
      </c>
      <c r="F50" s="116">
        <v>2602780</v>
      </c>
    </row>
    <row r="51" spans="1:6" s="52" customFormat="1">
      <c r="A51" s="1"/>
      <c r="B51" s="50"/>
      <c r="C51" s="2" t="s">
        <v>308</v>
      </c>
      <c r="D51" s="43">
        <v>650</v>
      </c>
      <c r="E51" s="82">
        <v>7255.3923076923074</v>
      </c>
      <c r="F51" s="116">
        <v>4716005</v>
      </c>
    </row>
    <row r="52" spans="1:6" s="52" customFormat="1">
      <c r="A52" s="1"/>
      <c r="B52" s="50"/>
      <c r="C52" s="2" t="s">
        <v>309</v>
      </c>
      <c r="D52" s="43">
        <v>596</v>
      </c>
      <c r="E52" s="82">
        <v>14558.793624161073</v>
      </c>
      <c r="F52" s="116">
        <v>8677041</v>
      </c>
    </row>
    <row r="53" spans="1:6" s="52" customFormat="1">
      <c r="A53" s="1"/>
      <c r="B53" s="50"/>
      <c r="C53" s="2" t="s">
        <v>310</v>
      </c>
      <c r="D53" s="43">
        <v>587</v>
      </c>
      <c r="E53" s="82">
        <v>31606.797274275981</v>
      </c>
      <c r="F53" s="116">
        <v>18553190</v>
      </c>
    </row>
    <row r="54" spans="1:6" s="52" customFormat="1">
      <c r="A54" s="1"/>
      <c r="B54" s="50"/>
      <c r="C54" s="2" t="s">
        <v>317</v>
      </c>
      <c r="D54" s="43">
        <v>758</v>
      </c>
      <c r="E54" s="82">
        <v>257555.09234828496</v>
      </c>
      <c r="F54" s="116">
        <v>195226760</v>
      </c>
    </row>
    <row r="55" spans="1:6" s="52" customFormat="1">
      <c r="A55" s="1"/>
      <c r="B55" s="50"/>
      <c r="C55" s="2" t="s">
        <v>350</v>
      </c>
      <c r="D55" s="41">
        <v>27321</v>
      </c>
      <c r="E55" s="41">
        <v>1439</v>
      </c>
      <c r="F55" s="116">
        <v>39314919</v>
      </c>
    </row>
    <row r="56" spans="1:6" s="52" customFormat="1">
      <c r="A56" s="1"/>
      <c r="B56" s="50"/>
      <c r="C56" s="2" t="s">
        <v>378</v>
      </c>
      <c r="D56" s="41">
        <v>18172</v>
      </c>
      <c r="E56" s="41">
        <v>2841</v>
      </c>
      <c r="F56" s="116">
        <v>51626652</v>
      </c>
    </row>
    <row r="57" spans="1:6" s="52" customFormat="1">
      <c r="A57" s="1"/>
      <c r="B57" s="50"/>
      <c r="C57" s="2" t="s">
        <v>244</v>
      </c>
      <c r="D57" s="41">
        <v>5713</v>
      </c>
      <c r="E57" s="41">
        <v>6187</v>
      </c>
      <c r="F57" s="116">
        <v>35346331</v>
      </c>
    </row>
    <row r="58" spans="1:6" s="52" customFormat="1">
      <c r="A58" s="1"/>
      <c r="B58" s="50"/>
      <c r="C58" s="2" t="s">
        <v>245</v>
      </c>
      <c r="D58" s="41">
        <v>2570</v>
      </c>
      <c r="E58" s="41">
        <v>12053</v>
      </c>
      <c r="F58" s="116">
        <v>30976210</v>
      </c>
    </row>
    <row r="59" spans="1:6" s="52" customFormat="1">
      <c r="A59" s="1"/>
      <c r="B59" s="50"/>
      <c r="C59" s="2" t="s">
        <v>246</v>
      </c>
      <c r="D59" s="41">
        <v>1128</v>
      </c>
      <c r="E59" s="41">
        <v>26053</v>
      </c>
      <c r="F59" s="116">
        <v>29387784</v>
      </c>
    </row>
    <row r="60" spans="1:6" s="52" customFormat="1">
      <c r="A60" s="1"/>
      <c r="B60" s="50"/>
      <c r="C60" s="2" t="s">
        <v>247</v>
      </c>
      <c r="D60" s="41">
        <v>331</v>
      </c>
      <c r="E60" s="41">
        <v>158403</v>
      </c>
      <c r="F60" s="116">
        <v>52431393</v>
      </c>
    </row>
    <row r="61" spans="1:6" s="52" customFormat="1">
      <c r="A61" s="1"/>
      <c r="B61" s="50"/>
      <c r="C61" s="2"/>
      <c r="D61" s="41"/>
      <c r="E61" s="41"/>
      <c r="F61" s="116"/>
    </row>
    <row r="62" spans="1:6" s="52" customFormat="1">
      <c r="A62" s="1"/>
      <c r="B62" s="98" t="s">
        <v>575</v>
      </c>
      <c r="D62" s="72"/>
      <c r="E62" s="72"/>
      <c r="F62" s="116"/>
    </row>
    <row r="63" spans="1:6" s="52" customFormat="1">
      <c r="A63" s="1"/>
      <c r="B63" s="50" t="s">
        <v>262</v>
      </c>
      <c r="C63" s="100">
        <f>SUM(D30:D60)</f>
        <v>461961</v>
      </c>
      <c r="D63" s="72"/>
      <c r="E63" s="72"/>
      <c r="F63" s="116"/>
    </row>
    <row r="64" spans="1:6" s="52" customFormat="1">
      <c r="A64" s="1"/>
      <c r="B64" s="50" t="s">
        <v>203</v>
      </c>
      <c r="C64" s="100">
        <v>2800663.015250924</v>
      </c>
      <c r="D64" s="72"/>
      <c r="E64" s="72"/>
      <c r="F64" s="116"/>
    </row>
    <row r="65" spans="1:7" s="52" customFormat="1">
      <c r="A65" s="1"/>
      <c r="C65" s="50" t="s">
        <v>297</v>
      </c>
      <c r="D65" s="72"/>
      <c r="E65" s="72"/>
      <c r="F65" s="116"/>
    </row>
    <row r="66" spans="1:7" s="52" customFormat="1">
      <c r="A66" s="1"/>
      <c r="B66" s="1"/>
      <c r="C66" s="2" t="s">
        <v>263</v>
      </c>
      <c r="D66" s="72"/>
      <c r="E66" s="72"/>
      <c r="F66" s="116"/>
    </row>
    <row r="67" spans="1:7" s="52" customFormat="1">
      <c r="A67" s="1"/>
      <c r="B67" s="1"/>
      <c r="C67" s="2" t="s">
        <v>264</v>
      </c>
      <c r="D67" s="72"/>
      <c r="E67" s="72"/>
      <c r="F67" s="116"/>
    </row>
    <row r="68" spans="1:7" s="52" customFormat="1">
      <c r="A68" s="1"/>
      <c r="B68" s="50"/>
      <c r="D68" s="72"/>
      <c r="E68" s="72"/>
      <c r="F68" s="116"/>
    </row>
    <row r="69" spans="1:7" s="52" customFormat="1">
      <c r="A69" s="1"/>
      <c r="B69" s="1" t="s">
        <v>211</v>
      </c>
      <c r="C69" s="2" t="s">
        <v>190</v>
      </c>
      <c r="D69" s="89">
        <v>73585.952548386136</v>
      </c>
      <c r="E69" s="99">
        <v>500.5658661551912</v>
      </c>
      <c r="F69" s="116">
        <v>36834616.074237704</v>
      </c>
      <c r="G69" s="52" t="s">
        <v>265</v>
      </c>
    </row>
    <row r="70" spans="1:7" s="52" customFormat="1">
      <c r="A70" s="1"/>
      <c r="B70" s="1" t="s">
        <v>211</v>
      </c>
      <c r="C70" s="2" t="s">
        <v>192</v>
      </c>
      <c r="D70" s="89">
        <v>1324082.119925542</v>
      </c>
      <c r="E70" s="99">
        <v>500.5658661551912</v>
      </c>
      <c r="F70" s="116">
        <v>662790313.22113073</v>
      </c>
      <c r="G70" s="52" t="s">
        <v>269</v>
      </c>
    </row>
    <row r="71" spans="1:7" s="52" customFormat="1">
      <c r="A71" s="1"/>
      <c r="B71" s="1" t="s">
        <v>211</v>
      </c>
      <c r="C71" s="2" t="s">
        <v>194</v>
      </c>
      <c r="D71" s="89">
        <v>259386.82404936283</v>
      </c>
      <c r="E71" s="99">
        <v>500.5658661551912</v>
      </c>
      <c r="F71" s="116">
        <v>129840190.24951348</v>
      </c>
      <c r="G71" s="52" t="s">
        <v>187</v>
      </c>
    </row>
    <row r="72" spans="1:7" s="52" customFormat="1">
      <c r="A72" s="1"/>
      <c r="B72" s="1" t="s">
        <v>211</v>
      </c>
      <c r="C72" s="2" t="s">
        <v>196</v>
      </c>
      <c r="D72" s="89">
        <v>266821.45127708319</v>
      </c>
      <c r="E72" s="99">
        <v>500.5658661551912</v>
      </c>
      <c r="F72" s="116">
        <v>133561710.86729829</v>
      </c>
      <c r="G72" s="52" t="s">
        <v>188</v>
      </c>
    </row>
    <row r="73" spans="1:7" s="52" customFormat="1">
      <c r="A73" s="1"/>
      <c r="B73" s="1" t="s">
        <v>211</v>
      </c>
      <c r="C73" s="2" t="s">
        <v>198</v>
      </c>
      <c r="D73" s="89">
        <v>648812.69800912414</v>
      </c>
      <c r="E73" s="99">
        <v>500.5658661551912</v>
      </c>
      <c r="F73" s="116">
        <v>324773490.15142375</v>
      </c>
    </row>
    <row r="74" spans="1:7" s="52" customFormat="1">
      <c r="A74" s="1"/>
      <c r="B74" s="50"/>
      <c r="D74" s="72"/>
      <c r="E74" s="72"/>
      <c r="F74" s="116"/>
    </row>
    <row r="75" spans="1:7" s="52" customFormat="1">
      <c r="A75" s="1"/>
      <c r="B75" s="50"/>
      <c r="C75" s="72"/>
      <c r="D75" s="72"/>
      <c r="E75" s="72"/>
      <c r="F75" s="116"/>
    </row>
    <row r="76" spans="1:7" s="52" customFormat="1">
      <c r="A76" s="1"/>
      <c r="B76" s="98" t="s">
        <v>154</v>
      </c>
      <c r="D76" s="72"/>
      <c r="E76" s="72"/>
      <c r="F76" s="116"/>
    </row>
    <row r="77" spans="1:7">
      <c r="C77" s="50" t="s">
        <v>436</v>
      </c>
      <c r="D77" s="85">
        <v>30878.868578946847</v>
      </c>
      <c r="E77" s="1">
        <v>250</v>
      </c>
      <c r="F77" s="116">
        <v>7719717.1447367119</v>
      </c>
    </row>
    <row r="78" spans="1:7">
      <c r="B78" s="26" t="s">
        <v>454</v>
      </c>
      <c r="C78" s="50" t="s">
        <v>505</v>
      </c>
      <c r="D78" s="29">
        <v>9840</v>
      </c>
      <c r="E78" s="61">
        <v>574.74108811839096</v>
      </c>
      <c r="F78" s="116">
        <v>5655452.3070849674</v>
      </c>
      <c r="G78" s="52" t="s">
        <v>153</v>
      </c>
    </row>
    <row r="79" spans="1:7">
      <c r="C79" s="50" t="s">
        <v>457</v>
      </c>
      <c r="D79" s="85">
        <v>85247.501804277956</v>
      </c>
      <c r="E79" s="1">
        <v>174</v>
      </c>
      <c r="F79" s="116">
        <v>14833065.313944364</v>
      </c>
      <c r="G79" s="1" t="s">
        <v>152</v>
      </c>
    </row>
    <row r="80" spans="1:7">
      <c r="C80" s="2" t="s">
        <v>257</v>
      </c>
      <c r="D80" s="86">
        <v>65775</v>
      </c>
      <c r="E80" s="47">
        <v>1468.8071759787153</v>
      </c>
      <c r="F80" s="116">
        <v>96610792</v>
      </c>
    </row>
    <row r="81" spans="3:6">
      <c r="C81" s="2" t="s">
        <v>252</v>
      </c>
      <c r="D81" s="86">
        <v>23116</v>
      </c>
      <c r="E81" s="47">
        <v>2845.33941858453</v>
      </c>
      <c r="F81" s="116">
        <v>65772865.999999993</v>
      </c>
    </row>
    <row r="82" spans="3:6">
      <c r="C82" s="2" t="s">
        <v>253</v>
      </c>
      <c r="D82" s="86">
        <v>1981</v>
      </c>
      <c r="E82" s="47">
        <v>6465.3296314992431</v>
      </c>
      <c r="F82" s="116">
        <v>12807818</v>
      </c>
    </row>
    <row r="83" spans="3:6">
      <c r="C83" s="2" t="s">
        <v>254</v>
      </c>
      <c r="D83" s="86">
        <v>282</v>
      </c>
      <c r="E83" s="47">
        <v>13290.202127659575</v>
      </c>
      <c r="F83" s="116">
        <v>3747837</v>
      </c>
    </row>
    <row r="84" spans="3:6">
      <c r="C84" s="2" t="s">
        <v>255</v>
      </c>
      <c r="D84" s="86">
        <v>40</v>
      </c>
      <c r="E84" s="47">
        <v>28393.375</v>
      </c>
      <c r="F84" s="116">
        <v>1135735</v>
      </c>
    </row>
    <row r="85" spans="3:6">
      <c r="C85" s="2" t="s">
        <v>256</v>
      </c>
      <c r="D85" s="86">
        <v>10</v>
      </c>
      <c r="E85" s="47">
        <v>67007.5</v>
      </c>
      <c r="F85" s="116">
        <v>670075</v>
      </c>
    </row>
    <row r="86" spans="3:6">
      <c r="C86" s="2" t="s">
        <v>258</v>
      </c>
      <c r="D86" s="85">
        <v>47497.607345246128</v>
      </c>
      <c r="E86" s="1">
        <v>400</v>
      </c>
      <c r="F86" s="116">
        <v>18999042.938098453</v>
      </c>
    </row>
    <row r="87" spans="3:6">
      <c r="C87" s="2" t="s">
        <v>282</v>
      </c>
      <c r="D87" s="87">
        <v>1508</v>
      </c>
      <c r="E87" s="39">
        <v>1601.6624668435013</v>
      </c>
      <c r="F87" s="116">
        <v>2415307</v>
      </c>
    </row>
    <row r="88" spans="3:6">
      <c r="C88" s="2" t="s">
        <v>281</v>
      </c>
      <c r="D88" s="87">
        <v>5197</v>
      </c>
      <c r="E88" s="39">
        <v>3329.0604194727725</v>
      </c>
      <c r="F88" s="116">
        <v>17301127</v>
      </c>
    </row>
    <row r="89" spans="3:6">
      <c r="C89" s="2" t="s">
        <v>280</v>
      </c>
      <c r="D89" s="87">
        <v>1398</v>
      </c>
      <c r="E89" s="40">
        <v>6732.8597997138768</v>
      </c>
      <c r="F89" s="116">
        <v>9412538</v>
      </c>
    </row>
    <row r="90" spans="3:6">
      <c r="C90" s="2" t="s">
        <v>279</v>
      </c>
      <c r="D90" s="88">
        <v>128</v>
      </c>
      <c r="E90" s="40">
        <v>13088.9375</v>
      </c>
      <c r="F90" s="116">
        <v>1675384</v>
      </c>
    </row>
    <row r="91" spans="3:6">
      <c r="C91" s="2" t="s">
        <v>345</v>
      </c>
      <c r="D91" s="88">
        <v>6</v>
      </c>
      <c r="E91" s="40">
        <v>24974.5</v>
      </c>
      <c r="F91" s="116">
        <v>149847</v>
      </c>
    </row>
    <row r="92" spans="3:6">
      <c r="C92" s="2" t="s">
        <v>287</v>
      </c>
      <c r="D92" s="87">
        <v>930</v>
      </c>
      <c r="E92" s="39">
        <v>1492.2688172043011</v>
      </c>
      <c r="F92" s="116">
        <v>1387810</v>
      </c>
    </row>
    <row r="93" spans="3:6">
      <c r="C93" s="2" t="s">
        <v>286</v>
      </c>
      <c r="D93" s="87">
        <v>2908</v>
      </c>
      <c r="E93" s="39">
        <v>3319.7881705639616</v>
      </c>
      <c r="F93" s="116">
        <v>9653944</v>
      </c>
    </row>
    <row r="94" spans="3:6">
      <c r="C94" s="2" t="s">
        <v>285</v>
      </c>
      <c r="D94" s="87">
        <v>769</v>
      </c>
      <c r="E94" s="40">
        <v>6784.1404421326397</v>
      </c>
      <c r="F94" s="116">
        <v>5217004</v>
      </c>
    </row>
    <row r="95" spans="3:6">
      <c r="C95" s="2" t="s">
        <v>284</v>
      </c>
      <c r="D95" s="87">
        <v>94</v>
      </c>
      <c r="E95" s="40">
        <v>12957.063829787234</v>
      </c>
      <c r="F95" s="116">
        <v>1217964</v>
      </c>
    </row>
    <row r="96" spans="3:6">
      <c r="C96" s="2" t="s">
        <v>283</v>
      </c>
      <c r="D96" s="87">
        <v>4</v>
      </c>
      <c r="E96" s="40">
        <v>21822.25</v>
      </c>
      <c r="F96" s="116">
        <v>87289</v>
      </c>
    </row>
    <row r="97" spans="2:8">
      <c r="C97" s="2" t="s">
        <v>292</v>
      </c>
      <c r="D97" s="87">
        <v>519</v>
      </c>
      <c r="E97" s="39">
        <v>1512.1098265895953</v>
      </c>
      <c r="F97" s="116">
        <v>784785</v>
      </c>
    </row>
    <row r="98" spans="2:8">
      <c r="C98" s="2" t="s">
        <v>291</v>
      </c>
      <c r="D98" s="87">
        <v>684</v>
      </c>
      <c r="E98" s="39">
        <v>3333.780234070221</v>
      </c>
      <c r="F98" s="116">
        <v>2280305.6801040312</v>
      </c>
    </row>
    <row r="99" spans="2:8">
      <c r="C99" s="2" t="s">
        <v>290</v>
      </c>
      <c r="D99" s="87">
        <v>54</v>
      </c>
      <c r="E99" s="40">
        <v>6756.7407407407409</v>
      </c>
      <c r="F99" s="116">
        <v>364864</v>
      </c>
    </row>
    <row r="100" spans="2:8">
      <c r="C100" s="2" t="s">
        <v>289</v>
      </c>
      <c r="D100" s="87">
        <v>9</v>
      </c>
      <c r="E100" s="40">
        <v>12270.111111111111</v>
      </c>
      <c r="F100" s="116">
        <v>110431</v>
      </c>
    </row>
    <row r="101" spans="2:8">
      <c r="C101" s="2" t="s">
        <v>288</v>
      </c>
      <c r="D101" s="87">
        <v>1</v>
      </c>
      <c r="E101" s="40">
        <v>26111</v>
      </c>
      <c r="F101" s="116">
        <v>26111</v>
      </c>
    </row>
    <row r="102" spans="2:8">
      <c r="C102" s="2" t="s">
        <v>299</v>
      </c>
      <c r="D102" s="87">
        <v>109</v>
      </c>
      <c r="E102" s="39">
        <v>1548.1100917431193</v>
      </c>
      <c r="F102" s="116">
        <v>168744</v>
      </c>
    </row>
    <row r="103" spans="2:8">
      <c r="C103" s="2" t="s">
        <v>298</v>
      </c>
      <c r="D103" s="87">
        <v>221</v>
      </c>
      <c r="E103" s="39">
        <v>7709.4148936170213</v>
      </c>
      <c r="F103" s="116">
        <v>1703780.6914893617</v>
      </c>
    </row>
    <row r="104" spans="2:8">
      <c r="C104" s="2" t="s">
        <v>294</v>
      </c>
      <c r="D104" s="87">
        <v>91</v>
      </c>
      <c r="E104" s="40">
        <v>6839.6593406593411</v>
      </c>
      <c r="F104" s="116">
        <v>622409</v>
      </c>
    </row>
    <row r="105" spans="2:8">
      <c r="C105" s="2" t="s">
        <v>293</v>
      </c>
      <c r="D105" s="87">
        <v>13</v>
      </c>
      <c r="E105" s="40">
        <v>13591.384615384615</v>
      </c>
      <c r="F105" s="116">
        <v>176688</v>
      </c>
    </row>
    <row r="106" spans="2:8">
      <c r="C106" s="2" t="s">
        <v>300</v>
      </c>
      <c r="D106" s="87">
        <v>1</v>
      </c>
      <c r="E106" s="39">
        <v>76222</v>
      </c>
      <c r="F106" s="116">
        <v>76222</v>
      </c>
      <c r="H106" s="1" t="s">
        <v>155</v>
      </c>
    </row>
    <row r="107" spans="2:8">
      <c r="C107" s="1" t="s">
        <v>312</v>
      </c>
      <c r="D107" s="89">
        <v>107649.08801146071</v>
      </c>
      <c r="E107" s="1">
        <v>400</v>
      </c>
      <c r="F107" s="116">
        <v>43059635.204584286</v>
      </c>
      <c r="H107" s="91">
        <v>386961.06573993166</v>
      </c>
    </row>
    <row r="109" spans="2:8">
      <c r="C109" s="2" t="s">
        <v>514</v>
      </c>
      <c r="D109" s="85">
        <v>774299.00656744395</v>
      </c>
      <c r="E109" s="103">
        <v>100</v>
      </c>
      <c r="F109" s="116">
        <f t="shared" ref="F109" si="0">D109*E109</f>
        <v>77429900.656744391</v>
      </c>
    </row>
    <row r="110" spans="2:8">
      <c r="B110" s="1">
        <v>601560.83475327992</v>
      </c>
      <c r="C110" s="2" t="s">
        <v>515</v>
      </c>
      <c r="D110" s="85">
        <f>601560.83475328 - 78746</f>
        <v>522814.83475328004</v>
      </c>
      <c r="E110" s="104">
        <f>F110/D110</f>
        <v>576.31723173976297</v>
      </c>
      <c r="F110" s="116">
        <f>261721106.277492+39586092</f>
        <v>301307198.27749199</v>
      </c>
      <c r="G110" s="1" t="s">
        <v>159</v>
      </c>
    </row>
    <row r="111" spans="2:8" ht="16" thickBot="1">
      <c r="B111" s="91">
        <f>B110-D110</f>
        <v>78745.999999999884</v>
      </c>
    </row>
    <row r="112" spans="2:8" ht="16" thickBot="1">
      <c r="C112" s="1" t="s">
        <v>407</v>
      </c>
      <c r="D112" s="74">
        <v>18284896.419562466</v>
      </c>
      <c r="E112" s="76">
        <f>F112/D112</f>
        <v>500.5658661551912</v>
      </c>
      <c r="F112" s="112">
        <v>9152795013.8162403</v>
      </c>
    </row>
    <row r="113" spans="2:13">
      <c r="B113" s="94" t="s">
        <v>325</v>
      </c>
      <c r="C113" s="1" t="s">
        <v>278</v>
      </c>
      <c r="D113" s="27"/>
      <c r="E113" s="93"/>
      <c r="F113" s="111">
        <v>742509662.39999998</v>
      </c>
      <c r="G113" s="52" t="s">
        <v>225</v>
      </c>
    </row>
    <row r="114" spans="2:13">
      <c r="C114" s="101" t="s">
        <v>156</v>
      </c>
      <c r="D114" s="91">
        <f>SUM(D14:D110)</f>
        <v>18284896.450121053</v>
      </c>
      <c r="E114" s="109">
        <f>F114/D114</f>
        <v>459.95805194957245</v>
      </c>
      <c r="F114" s="111">
        <f>SUM(F14:F110)</f>
        <v>8410285351.2973318</v>
      </c>
      <c r="G114" s="106" t="s">
        <v>156</v>
      </c>
    </row>
    <row r="115" spans="2:13">
      <c r="C115" s="101" t="s">
        <v>157</v>
      </c>
      <c r="D115" s="91">
        <f>D114-D112</f>
        <v>3.0558586120605469E-2</v>
      </c>
      <c r="F115" s="111">
        <f>F114-(F112-F113)</f>
        <v>-0.11890888214111328</v>
      </c>
      <c r="G115" s="106" t="s">
        <v>157</v>
      </c>
    </row>
    <row r="117" spans="2:13">
      <c r="H117" s="9" t="s">
        <v>219</v>
      </c>
    </row>
    <row r="118" spans="2:13">
      <c r="H118" s="1" t="s">
        <v>220</v>
      </c>
    </row>
    <row r="119" spans="2:13">
      <c r="H119" s="2" t="s">
        <v>216</v>
      </c>
      <c r="I119" s="2" t="s">
        <v>216</v>
      </c>
      <c r="J119" s="2" t="s">
        <v>217</v>
      </c>
    </row>
    <row r="120" spans="2:13">
      <c r="B120" s="9" t="s">
        <v>215</v>
      </c>
      <c r="H120" s="14" t="s">
        <v>218</v>
      </c>
      <c r="I120" s="14" t="s">
        <v>221</v>
      </c>
      <c r="J120" s="14" t="s">
        <v>222</v>
      </c>
    </row>
    <row r="121" spans="2:13">
      <c r="C121" s="1" t="s">
        <v>213</v>
      </c>
      <c r="D121" s="105">
        <v>774299.00656744395</v>
      </c>
      <c r="E121" s="105">
        <v>100</v>
      </c>
      <c r="F121" s="111">
        <v>77429900.656744391</v>
      </c>
      <c r="H121" s="92">
        <f>D121/D$199</f>
        <v>4.2346370879355895E-2</v>
      </c>
      <c r="I121" s="92">
        <f>F121/F$199</f>
        <v>9.2065723602113448E-3</v>
      </c>
      <c r="J121" s="108">
        <f>H121*(H121-I121)</f>
        <v>1.4033501989588245E-3</v>
      </c>
      <c r="K121" s="108" t="s">
        <v>149</v>
      </c>
    </row>
    <row r="122" spans="2:13">
      <c r="C122" s="1" t="s">
        <v>185</v>
      </c>
      <c r="D122" s="105">
        <v>85247.501804277956</v>
      </c>
      <c r="E122" s="105">
        <v>174</v>
      </c>
      <c r="F122" s="111">
        <v>14833065.313944364</v>
      </c>
      <c r="H122" s="92">
        <f>(D122/D$199)+H121</f>
        <v>4.7008552152125072E-2</v>
      </c>
      <c r="I122" s="92">
        <f>(F122/F$199)+I121</f>
        <v>1.0970253935136301E-2</v>
      </c>
      <c r="J122" s="108">
        <f>(H122-H121)*(H122-I122+H121-I121)</f>
        <v>3.225208270890153E-4</v>
      </c>
      <c r="K122" s="108" t="s">
        <v>150</v>
      </c>
    </row>
    <row r="123" spans="2:13">
      <c r="C123" s="1" t="s">
        <v>183</v>
      </c>
      <c r="D123" s="105">
        <v>30878.868578946847</v>
      </c>
      <c r="E123" s="105">
        <v>250</v>
      </c>
      <c r="F123" s="111">
        <v>7719717.1447367119</v>
      </c>
      <c r="H123" s="92">
        <f t="shared" ref="H123:H186" si="1">(D123/D$199)+H122</f>
        <v>4.8697315808139234E-2</v>
      </c>
      <c r="I123" s="92">
        <f t="shared" ref="I123:I186" si="2">(F123/F$199)+I122</f>
        <v>1.1888143973617088E-2</v>
      </c>
      <c r="J123" s="108">
        <f t="shared" ref="J123:J186" si="3">(H123-H122)*(H123-I123+H122-I122)</f>
        <v>1.2302215985557179E-4</v>
      </c>
    </row>
    <row r="124" spans="2:13">
      <c r="C124" s="1" t="s">
        <v>171</v>
      </c>
      <c r="D124" s="105">
        <v>141056</v>
      </c>
      <c r="E124" s="105">
        <v>287.87703198041226</v>
      </c>
      <c r="F124" s="111">
        <v>40606782.623029031</v>
      </c>
      <c r="H124" s="92">
        <f t="shared" si="1"/>
        <v>5.6411660835182918E-2</v>
      </c>
      <c r="I124" s="92">
        <f t="shared" si="2"/>
        <v>1.6716372853718665E-2</v>
      </c>
      <c r="J124" s="108">
        <f t="shared" si="3"/>
        <v>5.9018179912811791E-4</v>
      </c>
    </row>
    <row r="125" spans="2:13">
      <c r="C125" s="1" t="s">
        <v>169</v>
      </c>
      <c r="D125" s="105">
        <v>12968531.4972509</v>
      </c>
      <c r="E125" s="105">
        <v>340.34207317073174</v>
      </c>
      <c r="F125" s="111">
        <v>4413736895.7543049</v>
      </c>
      <c r="H125" s="92">
        <f t="shared" si="1"/>
        <v>0.76565994849311192</v>
      </c>
      <c r="I125" s="92">
        <f t="shared" si="2"/>
        <v>0.54151864904206004</v>
      </c>
      <c r="J125" s="108">
        <f t="shared" si="3"/>
        <v>0.18712564785802352</v>
      </c>
      <c r="L125" s="28">
        <f>(0.4-H124)/(H125-H124)</f>
        <v>0.48444013914987416</v>
      </c>
      <c r="M125" s="28">
        <f>100*(I124+(L125*(I125-I124)))</f>
        <v>27.09516605565695</v>
      </c>
    </row>
    <row r="126" spans="2:13">
      <c r="C126" s="1" t="s">
        <v>261</v>
      </c>
      <c r="D126" s="105">
        <v>47497.607345246128</v>
      </c>
      <c r="E126" s="105">
        <v>400</v>
      </c>
      <c r="F126" s="111">
        <v>18999042.938098453</v>
      </c>
      <c r="H126" s="92">
        <f t="shared" si="1"/>
        <v>0.76825759007532235</v>
      </c>
      <c r="I126" s="92">
        <f t="shared" si="2"/>
        <v>0.54377767381286257</v>
      </c>
      <c r="J126" s="108">
        <f t="shared" si="3"/>
        <v>1.1653571245992132E-3</v>
      </c>
      <c r="L126"/>
      <c r="M126" s="28">
        <f>100-M125</f>
        <v>72.904833944343054</v>
      </c>
    </row>
    <row r="127" spans="2:13">
      <c r="C127" s="1" t="s">
        <v>312</v>
      </c>
      <c r="D127" s="105">
        <v>107649.08801146071</v>
      </c>
      <c r="E127" s="105">
        <v>400</v>
      </c>
      <c r="F127" s="111">
        <v>43059635.204584286</v>
      </c>
      <c r="H127" s="92">
        <f t="shared" si="1"/>
        <v>0.77414491288872267</v>
      </c>
      <c r="I127" s="92">
        <f t="shared" si="2"/>
        <v>0.54889755184386679</v>
      </c>
      <c r="J127" s="108">
        <f t="shared" si="3"/>
        <v>2.6476896594997711E-3</v>
      </c>
      <c r="L127" s="28">
        <f>(SUM(F121:F124)+(L125*F125))/(SUM(D121:D124)+(L125*D125))</f>
        <v>311.56599490525377</v>
      </c>
      <c r="M127" s="28"/>
    </row>
    <row r="128" spans="2:13">
      <c r="C128" s="1" t="s">
        <v>168</v>
      </c>
      <c r="D128" s="105">
        <v>490393</v>
      </c>
      <c r="E128" s="105">
        <v>412.96273181987499</v>
      </c>
      <c r="F128" s="111">
        <v>202514032.94534394</v>
      </c>
      <c r="H128" s="92">
        <f t="shared" si="1"/>
        <v>0.8009644795916423</v>
      </c>
      <c r="I128" s="92">
        <f t="shared" si="2"/>
        <v>0.57297688143689962</v>
      </c>
      <c r="J128" s="108">
        <f t="shared" si="3"/>
        <v>1.2155565220348689E-2</v>
      </c>
      <c r="L128" s="28">
        <f>(0.8-H127)/(H128-H127)</f>
        <v>0.96403821126844458</v>
      </c>
      <c r="M128" s="28">
        <f>100*(I127+(L128*(I128-I127)))</f>
        <v>57.211094567327748</v>
      </c>
    </row>
    <row r="129" spans="3:13">
      <c r="C129" s="1" t="s">
        <v>189</v>
      </c>
      <c r="D129" s="105">
        <v>73585.952548386136</v>
      </c>
      <c r="E129" s="105">
        <v>500.5658661551912</v>
      </c>
      <c r="F129" s="111">
        <v>36834616.074237704</v>
      </c>
      <c r="H129" s="92">
        <f t="shared" si="1"/>
        <v>0.80498889136499407</v>
      </c>
      <c r="I129" s="92">
        <f t="shared" si="2"/>
        <v>0.57735659205736689</v>
      </c>
      <c r="J129" s="108">
        <f t="shared" si="3"/>
        <v>1.8336020795208902E-3</v>
      </c>
      <c r="L129"/>
      <c r="M129" s="28">
        <f>100-M128</f>
        <v>42.788905432672252</v>
      </c>
    </row>
    <row r="130" spans="3:13">
      <c r="C130" s="1" t="s">
        <v>191</v>
      </c>
      <c r="D130" s="105">
        <v>1324082.119925542</v>
      </c>
      <c r="E130" s="105">
        <v>500.5658661551912</v>
      </c>
      <c r="F130" s="111">
        <v>662790313.22113073</v>
      </c>
      <c r="H130" s="92">
        <f t="shared" si="1"/>
        <v>0.87740287104147052</v>
      </c>
      <c r="I130" s="92">
        <f t="shared" si="2"/>
        <v>0.65616370567318394</v>
      </c>
      <c r="J130" s="108">
        <f t="shared" si="3"/>
        <v>3.2504569120391832E-2</v>
      </c>
      <c r="L130" s="28">
        <f>(SUM(F129:F$198)+((1-L128)*F128))/(SUM(D129:D$198)+((1-L128)*D128))</f>
        <v>984.05507939331983</v>
      </c>
      <c r="M130" s="28"/>
    </row>
    <row r="131" spans="3:13">
      <c r="C131" s="1" t="s">
        <v>193</v>
      </c>
      <c r="D131" s="105">
        <v>259386.82404936283</v>
      </c>
      <c r="E131" s="105">
        <v>500.5658661551912</v>
      </c>
      <c r="F131" s="111">
        <v>129840190.24951348</v>
      </c>
      <c r="H131" s="92">
        <f t="shared" si="1"/>
        <v>0.89158872244932175</v>
      </c>
      <c r="I131" s="92">
        <f t="shared" si="2"/>
        <v>0.67160196785170623</v>
      </c>
      <c r="J131" s="108">
        <f t="shared" si="3"/>
        <v>6.2591653379287437E-3</v>
      </c>
    </row>
    <row r="132" spans="3:13">
      <c r="C132" s="1" t="s">
        <v>195</v>
      </c>
      <c r="D132" s="105">
        <v>266821.45127708319</v>
      </c>
      <c r="E132" s="105">
        <v>500.5658661551912</v>
      </c>
      <c r="F132" s="111">
        <v>133561710.86729829</v>
      </c>
      <c r="H132" s="92">
        <f t="shared" si="1"/>
        <v>0.90618117321900149</v>
      </c>
      <c r="I132" s="92">
        <f t="shared" si="2"/>
        <v>0.68748272638586172</v>
      </c>
      <c r="J132" s="108">
        <f t="shared" si="3"/>
        <v>6.4014922052653368E-3</v>
      </c>
      <c r="L132" s="28">
        <f>(0.9-H131)/(H132-H131)</f>
        <v>0.57641294690233003</v>
      </c>
      <c r="M132" s="28">
        <f>100*(I131+(L132*(I132-I131)))</f>
        <v>68.075584267742315</v>
      </c>
    </row>
    <row r="133" spans="3:13">
      <c r="C133" s="1" t="s">
        <v>197</v>
      </c>
      <c r="D133" s="105">
        <v>648812.69800912414</v>
      </c>
      <c r="E133" s="105">
        <v>500.5658661551912</v>
      </c>
      <c r="F133" s="111">
        <v>324773490.15142375</v>
      </c>
      <c r="H133" s="92">
        <f t="shared" si="1"/>
        <v>0.94166470465594487</v>
      </c>
      <c r="I133" s="92">
        <f t="shared" si="2"/>
        <v>0.72609895361069965</v>
      </c>
      <c r="J133" s="108">
        <f t="shared" si="3"/>
        <v>1.540922731735668E-2</v>
      </c>
      <c r="L133"/>
      <c r="M133" s="28">
        <f>100-M132</f>
        <v>31.924415732257685</v>
      </c>
    </row>
    <row r="134" spans="3:13">
      <c r="C134" s="1" t="s">
        <v>184</v>
      </c>
      <c r="D134" s="105">
        <v>9840</v>
      </c>
      <c r="E134" s="105">
        <v>574.74108811839096</v>
      </c>
      <c r="F134" s="111">
        <v>5655452.3070849674</v>
      </c>
      <c r="H134" s="92">
        <f t="shared" si="1"/>
        <v>0.94220285372486867</v>
      </c>
      <c r="I134" s="92">
        <f t="shared" si="2"/>
        <v>0.72677139836980797</v>
      </c>
      <c r="J134" s="108">
        <f t="shared" si="3"/>
        <v>2.3194074533308294E-4</v>
      </c>
      <c r="L134" s="28">
        <f>(SUM(F133:F$198)+((1-L132)*F132))/(SUM(D133:D$198)+((1-L132)*D132))</f>
        <v>1468.3892069837511</v>
      </c>
      <c r="M134" s="28"/>
    </row>
    <row r="135" spans="3:13">
      <c r="C135" s="1" t="s">
        <v>214</v>
      </c>
      <c r="D135" s="105">
        <v>522814.83475328004</v>
      </c>
      <c r="E135" s="105">
        <v>576.31723173976297</v>
      </c>
      <c r="F135" s="111">
        <v>301307198.27749199</v>
      </c>
      <c r="H135" s="92">
        <f t="shared" si="1"/>
        <v>0.97079556882060103</v>
      </c>
      <c r="I135" s="92">
        <f t="shared" si="2"/>
        <v>0.76259743585746753</v>
      </c>
      <c r="J135" s="108">
        <f t="shared" si="3"/>
        <v>1.2112720124904518E-2</v>
      </c>
      <c r="L135" s="28">
        <f>(0.95-H134)/(H135-H134)</f>
        <v>0.27269695266872562</v>
      </c>
      <c r="M135" s="28">
        <f>100*(I134+(L135*(I135-I134)))</f>
        <v>73.65410496188882</v>
      </c>
    </row>
    <row r="136" spans="3:13">
      <c r="C136" s="1" t="s">
        <v>167</v>
      </c>
      <c r="D136" s="105">
        <v>58828</v>
      </c>
      <c r="E136" s="105">
        <v>631.14401466210199</v>
      </c>
      <c r="F136" s="111">
        <v>37128940.094542138</v>
      </c>
      <c r="H136" s="92">
        <f t="shared" si="1"/>
        <v>0.97401286896558548</v>
      </c>
      <c r="I136" s="92">
        <f t="shared" si="2"/>
        <v>0.76701214220138658</v>
      </c>
      <c r="J136" s="108">
        <f t="shared" si="3"/>
        <v>1.3358193515981241E-3</v>
      </c>
      <c r="L136"/>
      <c r="M136" s="28">
        <f>100-M135</f>
        <v>26.34589503811118</v>
      </c>
    </row>
    <row r="137" spans="3:13">
      <c r="C137" s="1" t="s">
        <v>172</v>
      </c>
      <c r="D137" s="105">
        <v>21964</v>
      </c>
      <c r="E137" s="105">
        <v>1390.0073301766527</v>
      </c>
      <c r="F137" s="111">
        <v>30530121</v>
      </c>
      <c r="H137" s="92">
        <f t="shared" si="1"/>
        <v>0.97521407894016288</v>
      </c>
      <c r="I137" s="92">
        <f t="shared" si="2"/>
        <v>0.77064223556026301</v>
      </c>
      <c r="J137" s="108">
        <f t="shared" si="3"/>
        <v>4.9438507651954793E-4</v>
      </c>
      <c r="L137" s="28">
        <f>(SUM(F136:F$198)+((1-L135)*F135))/(SUM(D136:D$198)+((1-L135)*D135))</f>
        <v>2423.6013117194921</v>
      </c>
      <c r="M137" s="28"/>
    </row>
    <row r="138" spans="3:13">
      <c r="C138" s="1" t="s">
        <v>350</v>
      </c>
      <c r="D138" s="105">
        <v>27321</v>
      </c>
      <c r="E138" s="105">
        <v>1439</v>
      </c>
      <c r="F138" s="111">
        <v>39314919</v>
      </c>
      <c r="H138" s="92">
        <f t="shared" si="1"/>
        <v>0.97670826295561675</v>
      </c>
      <c r="I138" s="92">
        <f t="shared" si="2"/>
        <v>0.77531685923327975</v>
      </c>
      <c r="J138" s="108">
        <f t="shared" si="3"/>
        <v>6.0658379468191191E-4</v>
      </c>
    </row>
    <row r="139" spans="3:13">
      <c r="C139" s="1" t="s">
        <v>257</v>
      </c>
      <c r="D139" s="105">
        <v>65775</v>
      </c>
      <c r="E139" s="105">
        <v>1468.8071759787153</v>
      </c>
      <c r="F139" s="111">
        <v>96610792</v>
      </c>
      <c r="H139" s="92">
        <f t="shared" si="1"/>
        <v>0.98030549415566348</v>
      </c>
      <c r="I139" s="92">
        <f t="shared" si="2"/>
        <v>0.7868040785087943</v>
      </c>
      <c r="J139" s="108">
        <f t="shared" si="3"/>
        <v>1.4205207705093286E-3</v>
      </c>
    </row>
    <row r="140" spans="3:13">
      <c r="C140" s="1" t="s">
        <v>287</v>
      </c>
      <c r="D140" s="105">
        <v>930</v>
      </c>
      <c r="E140" s="105">
        <v>1492.2688172043011</v>
      </c>
      <c r="F140" s="111">
        <v>1387810</v>
      </c>
      <c r="H140" s="92">
        <f t="shared" si="1"/>
        <v>0.98035635580547031</v>
      </c>
      <c r="I140" s="92">
        <f t="shared" si="2"/>
        <v>0.78696909193485909</v>
      </c>
      <c r="J140" s="108">
        <f t="shared" si="3"/>
        <v>1.9677796531845976E-5</v>
      </c>
    </row>
    <row r="141" spans="3:13">
      <c r="C141" s="1" t="s">
        <v>324</v>
      </c>
      <c r="D141" s="105">
        <v>29252</v>
      </c>
      <c r="E141" s="105">
        <v>1494.476856283331</v>
      </c>
      <c r="F141" s="111">
        <v>43716437</v>
      </c>
      <c r="H141" s="92">
        <f t="shared" si="1"/>
        <v>0.9819561461067059</v>
      </c>
      <c r="I141" s="92">
        <f t="shared" si="2"/>
        <v>0.79216706503255629</v>
      </c>
      <c r="J141" s="108">
        <f t="shared" si="3"/>
        <v>6.1300180030552797E-4</v>
      </c>
    </row>
    <row r="142" spans="3:13">
      <c r="C142" s="1" t="s">
        <v>292</v>
      </c>
      <c r="D142" s="105">
        <v>519</v>
      </c>
      <c r="E142" s="105">
        <v>1512.1098265895953</v>
      </c>
      <c r="F142" s="111">
        <v>784785</v>
      </c>
      <c r="H142" s="92">
        <f t="shared" si="1"/>
        <v>0.98198453018869492</v>
      </c>
      <c r="I142" s="92">
        <f t="shared" si="2"/>
        <v>0.79226037756206269</v>
      </c>
      <c r="J142" s="108">
        <f t="shared" si="3"/>
        <v>1.0772134741280756E-5</v>
      </c>
    </row>
    <row r="143" spans="3:13">
      <c r="C143" s="1" t="s">
        <v>318</v>
      </c>
      <c r="D143" s="105">
        <v>422</v>
      </c>
      <c r="E143" s="105">
        <v>1512.9810426540284</v>
      </c>
      <c r="F143" s="111">
        <v>638478</v>
      </c>
      <c r="H143" s="92">
        <f t="shared" si="1"/>
        <v>0.98200760934591913</v>
      </c>
      <c r="I143" s="92">
        <f t="shared" si="2"/>
        <v>0.79233629389228588</v>
      </c>
      <c r="J143" s="108">
        <f t="shared" si="3"/>
        <v>8.756127657979108E-6</v>
      </c>
    </row>
    <row r="144" spans="3:13">
      <c r="C144" s="1" t="s">
        <v>299</v>
      </c>
      <c r="D144" s="105">
        <v>109</v>
      </c>
      <c r="E144" s="105">
        <v>1548.1100917431193</v>
      </c>
      <c r="F144" s="111">
        <v>168744</v>
      </c>
      <c r="H144" s="92">
        <f t="shared" si="1"/>
        <v>0.98201357055003624</v>
      </c>
      <c r="I144" s="92">
        <f t="shared" si="2"/>
        <v>0.79235635789641312</v>
      </c>
      <c r="J144" s="108">
        <f t="shared" si="3"/>
        <v>2.2612547834905848E-6</v>
      </c>
    </row>
    <row r="145" spans="3:13">
      <c r="C145" s="1" t="s">
        <v>177</v>
      </c>
      <c r="D145" s="105">
        <v>105027</v>
      </c>
      <c r="E145" s="105">
        <v>1591.1624725070697</v>
      </c>
      <c r="F145" s="111">
        <v>167115021</v>
      </c>
      <c r="H145" s="92">
        <f t="shared" si="1"/>
        <v>0.98775749151160697</v>
      </c>
      <c r="I145" s="92">
        <f t="shared" si="2"/>
        <v>0.81222667311398433</v>
      </c>
      <c r="J145" s="108">
        <f t="shared" si="3"/>
        <v>2.0976111864699915E-3</v>
      </c>
    </row>
    <row r="146" spans="3:13">
      <c r="C146" s="1" t="s">
        <v>282</v>
      </c>
      <c r="D146" s="105">
        <v>1508</v>
      </c>
      <c r="E146" s="105">
        <v>1601.6624668435013</v>
      </c>
      <c r="F146" s="111">
        <v>2415307</v>
      </c>
      <c r="H146" s="92">
        <f t="shared" si="1"/>
        <v>0.98783996395021845</v>
      </c>
      <c r="I146" s="92">
        <f t="shared" si="2"/>
        <v>0.81251385801902776</v>
      </c>
      <c r="J146" s="108">
        <f t="shared" si="3"/>
        <v>2.8936026153120951E-5</v>
      </c>
    </row>
    <row r="147" spans="3:13">
      <c r="C147" s="1" t="s">
        <v>378</v>
      </c>
      <c r="D147" s="105">
        <v>18172</v>
      </c>
      <c r="E147" s="105">
        <v>2841</v>
      </c>
      <c r="F147" s="111">
        <v>51626652</v>
      </c>
      <c r="H147" s="92">
        <f t="shared" si="1"/>
        <v>0.98883378964945445</v>
      </c>
      <c r="I147" s="92">
        <f t="shared" si="2"/>
        <v>0.8186523717368811</v>
      </c>
      <c r="J147" s="108">
        <f t="shared" si="3"/>
        <v>3.4337425647532987E-4</v>
      </c>
    </row>
    <row r="148" spans="3:13">
      <c r="C148" s="1" t="s">
        <v>252</v>
      </c>
      <c r="D148" s="105">
        <v>23116</v>
      </c>
      <c r="E148" s="105">
        <v>2845.33941858453</v>
      </c>
      <c r="F148" s="111">
        <v>65772865.999999993</v>
      </c>
      <c r="H148" s="92">
        <f t="shared" si="1"/>
        <v>0.99009800244185708</v>
      </c>
      <c r="I148" s="92">
        <f t="shared" si="2"/>
        <v>0.82647289901421706</v>
      </c>
      <c r="J148" s="108">
        <f t="shared" si="3"/>
        <v>4.2200247446571936E-4</v>
      </c>
      <c r="L148" s="28">
        <f>(0.99-H147)/(H148-H147)</f>
        <v>0.92247947303963029</v>
      </c>
      <c r="M148" s="28">
        <f>100*(I147+(L148*(I148-I147)))</f>
        <v>82.586664761856994</v>
      </c>
    </row>
    <row r="149" spans="3:13">
      <c r="C149" s="1" t="s">
        <v>178</v>
      </c>
      <c r="D149" s="105">
        <v>36086</v>
      </c>
      <c r="E149" s="105">
        <v>2994.6238430416229</v>
      </c>
      <c r="F149" s="111">
        <v>108063996</v>
      </c>
      <c r="H149" s="92">
        <f t="shared" si="1"/>
        <v>0.99207154383425367</v>
      </c>
      <c r="I149" s="92">
        <f t="shared" si="2"/>
        <v>0.83932192749377166</v>
      </c>
      <c r="J149" s="108">
        <f t="shared" si="3"/>
        <v>6.2437860497025822E-4</v>
      </c>
      <c r="L149"/>
      <c r="M149" s="28">
        <f>100-M148</f>
        <v>17.413335238143006</v>
      </c>
    </row>
    <row r="150" spans="3:13">
      <c r="C150" s="1" t="s">
        <v>173</v>
      </c>
      <c r="D150" s="105">
        <v>14388</v>
      </c>
      <c r="E150" s="105">
        <v>3102.0834723380594</v>
      </c>
      <c r="F150" s="111">
        <v>44632777</v>
      </c>
      <c r="H150" s="92">
        <f t="shared" si="1"/>
        <v>0.99285842277771663</v>
      </c>
      <c r="I150" s="92">
        <f t="shared" si="2"/>
        <v>0.84462885527751386</v>
      </c>
      <c r="J150" s="108">
        <f t="shared" si="3"/>
        <v>2.3683418218490353E-4</v>
      </c>
      <c r="L150" s="28">
        <f>(SUM(F149:F$198)+((1-L148)*F148))/(SUM(D149:D$198)+((1-L148)*D148))</f>
        <v>8009.4037540808667</v>
      </c>
      <c r="M150" s="28"/>
    </row>
    <row r="151" spans="3:13">
      <c r="C151" s="1" t="s">
        <v>319</v>
      </c>
      <c r="D151" s="105">
        <v>21572</v>
      </c>
      <c r="E151" s="105">
        <v>3214.3619506768032</v>
      </c>
      <c r="F151" s="111">
        <v>69340216</v>
      </c>
      <c r="H151" s="92">
        <f t="shared" si="1"/>
        <v>0.99403819429345075</v>
      </c>
      <c r="I151" s="92">
        <f t="shared" si="2"/>
        <v>0.85287354771108315</v>
      </c>
      <c r="J151" s="108">
        <f t="shared" si="3"/>
        <v>3.4141905059287806E-4</v>
      </c>
    </row>
    <row r="152" spans="3:13">
      <c r="C152" s="1" t="s">
        <v>286</v>
      </c>
      <c r="D152" s="105">
        <v>2908</v>
      </c>
      <c r="E152" s="105">
        <v>3319.7881705639616</v>
      </c>
      <c r="F152" s="111">
        <v>9653944</v>
      </c>
      <c r="H152" s="92">
        <f t="shared" si="1"/>
        <v>0.99419723265650262</v>
      </c>
      <c r="I152" s="92">
        <f t="shared" si="2"/>
        <v>0.85402142124887115</v>
      </c>
      <c r="J152" s="108">
        <f t="shared" si="3"/>
        <v>4.4743925898991905E-5</v>
      </c>
    </row>
    <row r="153" spans="3:13">
      <c r="C153" s="1" t="s">
        <v>281</v>
      </c>
      <c r="D153" s="105">
        <v>5197</v>
      </c>
      <c r="E153" s="105">
        <v>3329.0604194727725</v>
      </c>
      <c r="F153" s="111">
        <v>17301127</v>
      </c>
      <c r="H153" s="92">
        <f t="shared" si="1"/>
        <v>0.99448145630601448</v>
      </c>
      <c r="I153" s="92">
        <f t="shared" si="2"/>
        <v>0.85607856036809626</v>
      </c>
      <c r="J153" s="108">
        <f t="shared" si="3"/>
        <v>7.9178656878048869E-5</v>
      </c>
    </row>
    <row r="154" spans="3:13">
      <c r="C154" s="1" t="s">
        <v>291</v>
      </c>
      <c r="D154" s="105">
        <v>684</v>
      </c>
      <c r="E154" s="105">
        <v>3333.780234070221</v>
      </c>
      <c r="F154" s="111">
        <v>2280305.6801040312</v>
      </c>
      <c r="H154" s="92">
        <f t="shared" si="1"/>
        <v>0.99451886422909819</v>
      </c>
      <c r="I154" s="92">
        <f t="shared" si="2"/>
        <v>0.85634969334216982</v>
      </c>
      <c r="J154" s="108">
        <f t="shared" si="3"/>
        <v>1.0345986602886531E-5</v>
      </c>
    </row>
    <row r="155" spans="3:13">
      <c r="C155" s="1" t="s">
        <v>307</v>
      </c>
      <c r="D155" s="105">
        <v>766</v>
      </c>
      <c r="E155" s="105">
        <v>3397.8851174934725</v>
      </c>
      <c r="F155" s="111">
        <v>2602780</v>
      </c>
      <c r="H155" s="92">
        <f t="shared" si="1"/>
        <v>0.99456075672775623</v>
      </c>
      <c r="I155" s="92">
        <f t="shared" si="2"/>
        <v>0.85665916916745777</v>
      </c>
      <c r="J155" s="108">
        <f t="shared" si="3"/>
        <v>1.1565293877776504E-5</v>
      </c>
    </row>
    <row r="156" spans="3:13">
      <c r="C156" s="1" t="s">
        <v>166</v>
      </c>
      <c r="D156" s="105">
        <v>19732.640003734759</v>
      </c>
      <c r="E156" s="105">
        <v>3694</v>
      </c>
      <c r="F156" s="111">
        <v>72892372.173796207</v>
      </c>
      <c r="H156" s="92">
        <f t="shared" si="1"/>
        <v>0.99563993374456694</v>
      </c>
      <c r="I156" s="92">
        <f t="shared" si="2"/>
        <v>0.86532622018048344</v>
      </c>
      <c r="J156" s="108">
        <f t="shared" si="3"/>
        <v>2.894517885303959E-4</v>
      </c>
    </row>
    <row r="157" spans="3:13">
      <c r="C157" s="1" t="s">
        <v>170</v>
      </c>
      <c r="D157" s="105">
        <v>4345</v>
      </c>
      <c r="E157" s="105">
        <v>5410.215062463848</v>
      </c>
      <c r="F157" s="111">
        <v>23507384.446405418</v>
      </c>
      <c r="H157" s="92">
        <f t="shared" si="1"/>
        <v>0.99587756156006224</v>
      </c>
      <c r="I157" s="92">
        <f t="shared" si="2"/>
        <v>0.86812129590794129</v>
      </c>
      <c r="J157" s="108">
        <f t="shared" si="3"/>
        <v>6.1324605406064254E-5</v>
      </c>
    </row>
    <row r="158" spans="3:13">
      <c r="C158" s="1" t="s">
        <v>165</v>
      </c>
      <c r="D158" s="105">
        <v>16324.744460550826</v>
      </c>
      <c r="E158" s="105">
        <v>5427</v>
      </c>
      <c r="F158" s="111">
        <v>88594388.187409341</v>
      </c>
      <c r="H158" s="92">
        <f t="shared" si="1"/>
        <v>0.99677036095354432</v>
      </c>
      <c r="I158" s="92">
        <f t="shared" si="2"/>
        <v>0.87865534849793381</v>
      </c>
      <c r="J158" s="108">
        <f t="shared" si="3"/>
        <v>2.1951372796924655E-4</v>
      </c>
    </row>
    <row r="159" spans="3:13">
      <c r="C159" s="1" t="s">
        <v>244</v>
      </c>
      <c r="D159" s="105">
        <v>5713</v>
      </c>
      <c r="E159" s="105">
        <v>6187</v>
      </c>
      <c r="F159" s="111">
        <v>35346331</v>
      </c>
      <c r="H159" s="92">
        <f t="shared" si="1"/>
        <v>0.99708280461520704</v>
      </c>
      <c r="I159" s="92">
        <f t="shared" si="2"/>
        <v>0.8828580990020588</v>
      </c>
      <c r="J159" s="108">
        <f t="shared" si="3"/>
        <v>7.2593072263087063E-5</v>
      </c>
    </row>
    <row r="160" spans="3:13">
      <c r="C160" s="1" t="s">
        <v>253</v>
      </c>
      <c r="D160" s="105">
        <v>1981</v>
      </c>
      <c r="E160" s="105">
        <v>6465.3296314992431</v>
      </c>
      <c r="F160" s="111">
        <v>12807818</v>
      </c>
      <c r="H160" s="92">
        <f t="shared" si="1"/>
        <v>0.99719114539829012</v>
      </c>
      <c r="I160" s="92">
        <f t="shared" si="2"/>
        <v>0.88438097456038034</v>
      </c>
      <c r="J160" s="108">
        <f t="shared" si="3"/>
        <v>2.4597136301878609E-5</v>
      </c>
    </row>
    <row r="161" spans="3:10">
      <c r="C161" s="1" t="s">
        <v>280</v>
      </c>
      <c r="D161" s="105">
        <v>1398</v>
      </c>
      <c r="E161" s="105">
        <v>6732.8597997138768</v>
      </c>
      <c r="F161" s="111">
        <v>9412538</v>
      </c>
      <c r="H161" s="92">
        <f t="shared" si="1"/>
        <v>0.99726760194283848</v>
      </c>
      <c r="I161" s="92">
        <f t="shared" si="2"/>
        <v>0.88550014443474712</v>
      </c>
      <c r="J161" s="108">
        <f t="shared" si="3"/>
        <v>1.7170429446199593E-5</v>
      </c>
    </row>
    <row r="162" spans="3:10">
      <c r="C162" s="1" t="s">
        <v>290</v>
      </c>
      <c r="D162" s="105">
        <v>54</v>
      </c>
      <c r="E162" s="105">
        <v>6756.7407407407409</v>
      </c>
      <c r="F162" s="111">
        <v>364864</v>
      </c>
      <c r="H162" s="92">
        <f t="shared" si="1"/>
        <v>0.99727055519992402</v>
      </c>
      <c r="I162" s="92">
        <f t="shared" si="2"/>
        <v>0.88554352750497123</v>
      </c>
      <c r="J162" s="108">
        <f t="shared" si="3"/>
        <v>6.600366720066315E-7</v>
      </c>
    </row>
    <row r="163" spans="3:10">
      <c r="C163" s="1" t="s">
        <v>179</v>
      </c>
      <c r="D163" s="105">
        <v>5726</v>
      </c>
      <c r="E163" s="105">
        <v>6779.0036674816629</v>
      </c>
      <c r="F163" s="111">
        <v>38816575</v>
      </c>
      <c r="H163" s="92">
        <f t="shared" si="1"/>
        <v>0.99758370983088518</v>
      </c>
      <c r="I163" s="92">
        <f t="shared" si="2"/>
        <v>0.89015889706481766</v>
      </c>
      <c r="J163" s="108">
        <f t="shared" si="3"/>
        <v>6.8628413724028568E-5</v>
      </c>
    </row>
    <row r="164" spans="3:10">
      <c r="C164" s="1" t="s">
        <v>285</v>
      </c>
      <c r="D164" s="105">
        <v>769</v>
      </c>
      <c r="E164" s="105">
        <v>6784.1404421326397</v>
      </c>
      <c r="F164" s="111">
        <v>5217004</v>
      </c>
      <c r="H164" s="92">
        <f t="shared" si="1"/>
        <v>0.99762576639938139</v>
      </c>
      <c r="I164" s="92">
        <f t="shared" si="2"/>
        <v>0.89077920943022337</v>
      </c>
      <c r="J164" s="108">
        <f t="shared" si="3"/>
        <v>9.0115185380456273E-6</v>
      </c>
    </row>
    <row r="165" spans="3:10">
      <c r="C165" s="1" t="s">
        <v>294</v>
      </c>
      <c r="D165" s="105">
        <v>91</v>
      </c>
      <c r="E165" s="105">
        <v>6839.6593406593411</v>
      </c>
      <c r="F165" s="111">
        <v>622409</v>
      </c>
      <c r="H165" s="92">
        <f t="shared" si="1"/>
        <v>0.99763074318446998</v>
      </c>
      <c r="I165" s="92">
        <f t="shared" si="2"/>
        <v>0.89085321512372861</v>
      </c>
      <c r="J165" s="108">
        <f t="shared" si="3"/>
        <v>1.0631611609415781E-6</v>
      </c>
    </row>
    <row r="166" spans="3:10">
      <c r="C166" s="1" t="s">
        <v>174</v>
      </c>
      <c r="D166" s="105">
        <v>5474</v>
      </c>
      <c r="E166" s="105">
        <v>6911.7309097552061</v>
      </c>
      <c r="F166" s="111">
        <v>37834815</v>
      </c>
      <c r="H166" s="92">
        <f t="shared" si="1"/>
        <v>0.9979301159490318</v>
      </c>
      <c r="I166" s="92">
        <f t="shared" si="2"/>
        <v>0.89535185142673634</v>
      </c>
      <c r="J166" s="108">
        <f t="shared" si="3"/>
        <v>6.2675422402615278E-5</v>
      </c>
    </row>
    <row r="167" spans="3:10">
      <c r="C167" s="1" t="s">
        <v>320</v>
      </c>
      <c r="D167" s="105">
        <v>7502</v>
      </c>
      <c r="E167" s="105">
        <v>7094.9678752332711</v>
      </c>
      <c r="F167" s="111">
        <v>53226449</v>
      </c>
      <c r="H167" s="92">
        <f t="shared" si="1"/>
        <v>0.99834039992414014</v>
      </c>
      <c r="I167" s="92">
        <f t="shared" si="2"/>
        <v>0.90168058425525921</v>
      </c>
      <c r="J167" s="108">
        <f t="shared" si="3"/>
        <v>8.174419153378976E-5</v>
      </c>
    </row>
    <row r="168" spans="3:10">
      <c r="C168" s="1" t="s">
        <v>308</v>
      </c>
      <c r="D168" s="105">
        <v>650</v>
      </c>
      <c r="E168" s="105">
        <v>7255.3923076923074</v>
      </c>
      <c r="F168" s="111">
        <v>4716005</v>
      </c>
      <c r="H168" s="92">
        <f t="shared" si="1"/>
        <v>0.99837594838905885</v>
      </c>
      <c r="I168" s="92">
        <f t="shared" si="2"/>
        <v>0.90224132682260538</v>
      </c>
      <c r="J168" s="108">
        <f t="shared" si="3"/>
        <v>6.8535462885829144E-6</v>
      </c>
    </row>
    <row r="169" spans="3:10">
      <c r="C169" s="1" t="s">
        <v>298</v>
      </c>
      <c r="D169" s="105">
        <v>221</v>
      </c>
      <c r="E169" s="105">
        <v>7709.4148936170213</v>
      </c>
      <c r="F169" s="111">
        <v>1703780.6914893617</v>
      </c>
      <c r="H169" s="92">
        <f t="shared" si="1"/>
        <v>0.99838803486713124</v>
      </c>
      <c r="I169" s="92">
        <f t="shared" si="2"/>
        <v>0.90244390980526557</v>
      </c>
      <c r="J169" s="108">
        <f t="shared" si="3"/>
        <v>2.3215555592937457E-6</v>
      </c>
    </row>
    <row r="170" spans="3:10">
      <c r="C170" s="1" t="s">
        <v>164</v>
      </c>
      <c r="D170" s="105">
        <v>6728.1075872508154</v>
      </c>
      <c r="E170" s="105">
        <v>9273</v>
      </c>
      <c r="F170" s="111">
        <v>62389741.656576812</v>
      </c>
      <c r="H170" s="92">
        <f t="shared" si="1"/>
        <v>0.99875599470795418</v>
      </c>
      <c r="I170" s="92">
        <f t="shared" si="2"/>
        <v>0.90986217673088809</v>
      </c>
      <c r="J170" s="108">
        <f t="shared" si="3"/>
        <v>6.8012940098645034E-5</v>
      </c>
    </row>
    <row r="171" spans="3:10">
      <c r="C171" s="1" t="s">
        <v>245</v>
      </c>
      <c r="D171" s="105">
        <v>2570</v>
      </c>
      <c r="E171" s="105">
        <v>12053</v>
      </c>
      <c r="F171" s="111">
        <v>30976210</v>
      </c>
      <c r="H171" s="92">
        <f t="shared" si="1"/>
        <v>0.99889654786924831</v>
      </c>
      <c r="I171" s="92">
        <f t="shared" si="2"/>
        <v>0.91354531097736424</v>
      </c>
      <c r="J171" s="108">
        <f t="shared" si="3"/>
        <v>2.4490693301700518E-5</v>
      </c>
    </row>
    <row r="172" spans="3:10">
      <c r="C172" s="1" t="s">
        <v>289</v>
      </c>
      <c r="D172" s="105">
        <v>9</v>
      </c>
      <c r="E172" s="105">
        <v>12270.111111111111</v>
      </c>
      <c r="F172" s="111">
        <v>110431</v>
      </c>
      <c r="H172" s="92">
        <f t="shared" si="1"/>
        <v>0.99889704007876257</v>
      </c>
      <c r="I172" s="92">
        <f t="shared" si="2"/>
        <v>0.91355844144742404</v>
      </c>
      <c r="J172" s="108">
        <f t="shared" si="3"/>
        <v>8.4015161031642772E-8</v>
      </c>
    </row>
    <row r="173" spans="3:10">
      <c r="C173" s="1" t="s">
        <v>284</v>
      </c>
      <c r="D173" s="105">
        <v>94</v>
      </c>
      <c r="E173" s="105">
        <v>12957.063829787234</v>
      </c>
      <c r="F173" s="111">
        <v>1217964</v>
      </c>
      <c r="H173" s="92">
        <f t="shared" si="1"/>
        <v>0.99890218093368932</v>
      </c>
      <c r="I173" s="92">
        <f t="shared" si="2"/>
        <v>0.91370325983932466</v>
      </c>
      <c r="J173" s="108">
        <f t="shared" si="3"/>
        <v>8.7670864847847508E-7</v>
      </c>
    </row>
    <row r="174" spans="3:10">
      <c r="C174" s="1" t="s">
        <v>279</v>
      </c>
      <c r="D174" s="105">
        <v>128</v>
      </c>
      <c r="E174" s="105">
        <v>13088.9375</v>
      </c>
      <c r="F174" s="111">
        <v>1675384</v>
      </c>
      <c r="H174" s="92">
        <f t="shared" si="1"/>
        <v>0.99890918124678096</v>
      </c>
      <c r="I174" s="92">
        <f t="shared" si="2"/>
        <v>0.91390246639772543</v>
      </c>
      <c r="J174" s="108">
        <f t="shared" si="3"/>
        <v>1.1914927415661392E-6</v>
      </c>
    </row>
    <row r="175" spans="3:10">
      <c r="C175" s="1" t="s">
        <v>254</v>
      </c>
      <c r="D175" s="105">
        <v>282</v>
      </c>
      <c r="E175" s="105">
        <v>13290.202127659575</v>
      </c>
      <c r="F175" s="111">
        <v>3747837</v>
      </c>
      <c r="H175" s="92">
        <f t="shared" si="1"/>
        <v>0.99892460381156112</v>
      </c>
      <c r="I175" s="92">
        <f t="shared" si="2"/>
        <v>0.91434809182462273</v>
      </c>
      <c r="J175" s="108">
        <f t="shared" si="3"/>
        <v>2.6154083015057082E-6</v>
      </c>
    </row>
    <row r="176" spans="3:10">
      <c r="C176" s="1" t="s">
        <v>180</v>
      </c>
      <c r="D176" s="105">
        <v>1131</v>
      </c>
      <c r="E176" s="105">
        <v>13420.144120247569</v>
      </c>
      <c r="F176" s="111">
        <v>15178183</v>
      </c>
      <c r="H176" s="92">
        <f t="shared" si="1"/>
        <v>0.99898645814051978</v>
      </c>
      <c r="I176" s="92">
        <f t="shared" si="2"/>
        <v>0.91615280859296144</v>
      </c>
      <c r="J176" s="108">
        <f t="shared" si="3"/>
        <v>1.0355043202578164E-5</v>
      </c>
    </row>
    <row r="177" spans="3:10">
      <c r="C177" s="1" t="s">
        <v>293</v>
      </c>
      <c r="D177" s="105">
        <v>13</v>
      </c>
      <c r="E177" s="105">
        <v>13591.384615384615</v>
      </c>
      <c r="F177" s="111">
        <v>176688</v>
      </c>
      <c r="H177" s="92">
        <f t="shared" si="1"/>
        <v>0.99898716910981811</v>
      </c>
      <c r="I177" s="92">
        <f t="shared" si="2"/>
        <v>0.91617381715481394</v>
      </c>
      <c r="J177" s="108">
        <f t="shared" si="3"/>
        <v>1.1776993242761059E-7</v>
      </c>
    </row>
    <row r="178" spans="3:10">
      <c r="C178" s="1" t="s">
        <v>175</v>
      </c>
      <c r="D178" s="105">
        <v>2830</v>
      </c>
      <c r="E178" s="105">
        <v>13631.281272084805</v>
      </c>
      <c r="F178" s="111">
        <v>38576526</v>
      </c>
      <c r="H178" s="92">
        <f t="shared" si="1"/>
        <v>0.9991419416570797</v>
      </c>
      <c r="I178" s="92">
        <f t="shared" si="2"/>
        <v>0.92076064440129368</v>
      </c>
      <c r="J178" s="108">
        <f t="shared" si="3"/>
        <v>2.4948506463293208E-5</v>
      </c>
    </row>
    <row r="179" spans="3:10">
      <c r="C179" s="1" t="s">
        <v>321</v>
      </c>
      <c r="D179" s="105">
        <v>3299</v>
      </c>
      <c r="E179" s="105">
        <v>13982.63200969991</v>
      </c>
      <c r="F179" s="111">
        <v>46128703</v>
      </c>
      <c r="H179" s="92">
        <f t="shared" si="1"/>
        <v>0.99932236378902883</v>
      </c>
      <c r="I179" s="92">
        <f t="shared" si="2"/>
        <v>0.92624544082296134</v>
      </c>
      <c r="J179" s="108">
        <f t="shared" si="3"/>
        <v>2.7326414993647901E-5</v>
      </c>
    </row>
    <row r="180" spans="3:10">
      <c r="C180" s="1" t="s">
        <v>309</v>
      </c>
      <c r="D180" s="105">
        <v>596</v>
      </c>
      <c r="E180" s="105">
        <v>14558.793624161073</v>
      </c>
      <c r="F180" s="111">
        <v>8677041</v>
      </c>
      <c r="H180" s="92">
        <f t="shared" si="1"/>
        <v>0.999354958996862</v>
      </c>
      <c r="I180" s="92">
        <f t="shared" si="2"/>
        <v>0.92727715861106963</v>
      </c>
      <c r="J180" s="108">
        <f t="shared" si="3"/>
        <v>4.7313483756192554E-6</v>
      </c>
    </row>
    <row r="181" spans="3:10">
      <c r="C181" s="1" t="s">
        <v>163</v>
      </c>
      <c r="D181" s="105">
        <v>3360.0279801280753</v>
      </c>
      <c r="E181" s="105">
        <v>16054</v>
      </c>
      <c r="F181" s="111">
        <v>53941889.192976125</v>
      </c>
      <c r="H181" s="92">
        <f t="shared" si="1"/>
        <v>0.99953871874575062</v>
      </c>
      <c r="I181" s="92">
        <f t="shared" si="2"/>
        <v>0.93369095873078323</v>
      </c>
      <c r="J181" s="108">
        <f t="shared" si="3"/>
        <v>2.5345166344566267E-5</v>
      </c>
    </row>
    <row r="182" spans="3:10">
      <c r="C182" s="1" t="s">
        <v>283</v>
      </c>
      <c r="D182" s="105">
        <v>4</v>
      </c>
      <c r="E182" s="105">
        <v>21822.25</v>
      </c>
      <c r="F182" s="111">
        <v>87289</v>
      </c>
      <c r="H182" s="92">
        <f t="shared" si="1"/>
        <v>0.99953893750553469</v>
      </c>
      <c r="I182" s="92">
        <f t="shared" si="2"/>
        <v>0.93370133757006801</v>
      </c>
      <c r="J182" s="108">
        <f t="shared" si="3"/>
        <v>2.8807460907314306E-8</v>
      </c>
    </row>
    <row r="183" spans="3:10">
      <c r="C183" s="1" t="s">
        <v>345</v>
      </c>
      <c r="D183" s="105">
        <v>6</v>
      </c>
      <c r="E183" s="105">
        <v>24974.5</v>
      </c>
      <c r="F183" s="111">
        <v>149847</v>
      </c>
      <c r="H183" s="92">
        <f t="shared" si="1"/>
        <v>0.99953926564521089</v>
      </c>
      <c r="I183" s="92">
        <f t="shared" si="2"/>
        <v>0.93371915468253697</v>
      </c>
      <c r="J183" s="108">
        <f t="shared" si="3"/>
        <v>4.3202118624524377E-8</v>
      </c>
    </row>
    <row r="184" spans="3:10">
      <c r="C184" s="1" t="s">
        <v>246</v>
      </c>
      <c r="D184" s="105">
        <v>1128</v>
      </c>
      <c r="E184" s="105">
        <v>26053</v>
      </c>
      <c r="F184" s="111">
        <v>29387784</v>
      </c>
      <c r="H184" s="92">
        <f t="shared" si="1"/>
        <v>0.9996009559043314</v>
      </c>
      <c r="I184" s="92">
        <f t="shared" si="2"/>
        <v>0.93721342185332523</v>
      </c>
      <c r="J184" s="108">
        <f t="shared" si="3"/>
        <v>7.9091628421237626E-6</v>
      </c>
    </row>
    <row r="185" spans="3:10">
      <c r="C185" s="1" t="s">
        <v>288</v>
      </c>
      <c r="D185" s="105">
        <v>1</v>
      </c>
      <c r="E185" s="105">
        <v>26111</v>
      </c>
      <c r="F185" s="111">
        <v>26111</v>
      </c>
      <c r="H185" s="92">
        <f t="shared" si="1"/>
        <v>0.99960101059427742</v>
      </c>
      <c r="I185" s="92">
        <f t="shared" si="2"/>
        <v>0.93721652650422704</v>
      </c>
      <c r="J185" s="108">
        <f t="shared" si="3"/>
        <v>6.8237749364813689E-9</v>
      </c>
    </row>
    <row r="186" spans="3:10">
      <c r="C186" s="1" t="s">
        <v>181</v>
      </c>
      <c r="D186" s="105">
        <v>307</v>
      </c>
      <c r="E186" s="105">
        <v>28115.042345276874</v>
      </c>
      <c r="F186" s="111">
        <v>8631318</v>
      </c>
      <c r="H186" s="92">
        <f t="shared" si="1"/>
        <v>0.99961780040770831</v>
      </c>
      <c r="I186" s="92">
        <f t="shared" si="2"/>
        <v>0.93824280773482394</v>
      </c>
      <c r="J186" s="108">
        <f t="shared" si="3"/>
        <v>2.0778985251548907E-6</v>
      </c>
    </row>
    <row r="187" spans="3:10">
      <c r="C187" s="1" t="s">
        <v>255</v>
      </c>
      <c r="D187" s="105">
        <v>40</v>
      </c>
      <c r="E187" s="105">
        <v>28393.375</v>
      </c>
      <c r="F187" s="111">
        <v>1135735</v>
      </c>
      <c r="H187" s="92">
        <f t="shared" ref="H187:H198" si="4">(D187/D$199)+H186</f>
        <v>0.99961998800554952</v>
      </c>
      <c r="I187" s="92">
        <f t="shared" ref="I187:I198" si="5">(F187/F$199)+I186</f>
        <v>0.93837784893171083</v>
      </c>
      <c r="J187" s="108">
        <f t="shared" ref="J187:J198" si="6">(H187-H186)*(H187-I187+H186-I186)</f>
        <v>2.6823697270422515E-7</v>
      </c>
    </row>
    <row r="188" spans="3:10">
      <c r="C188" s="1" t="s">
        <v>176</v>
      </c>
      <c r="D188" s="105">
        <v>1156</v>
      </c>
      <c r="E188" s="105">
        <v>29099.180795847751</v>
      </c>
      <c r="F188" s="111">
        <v>33638653</v>
      </c>
      <c r="H188" s="92">
        <f t="shared" si="4"/>
        <v>0.99968320958315882</v>
      </c>
      <c r="I188" s="92">
        <f t="shared" si="5"/>
        <v>0.9423775530552827</v>
      </c>
      <c r="J188" s="108">
        <f t="shared" si="6"/>
        <v>7.4947786600447622E-6</v>
      </c>
    </row>
    <row r="189" spans="3:10">
      <c r="C189" s="1" t="s">
        <v>322</v>
      </c>
      <c r="D189" s="105">
        <v>1357</v>
      </c>
      <c r="E189" s="105">
        <v>29882.998526160649</v>
      </c>
      <c r="F189" s="111">
        <v>40551229</v>
      </c>
      <c r="H189" s="92">
        <f t="shared" si="4"/>
        <v>0.99975742383991995</v>
      </c>
      <c r="I189" s="92">
        <f t="shared" si="5"/>
        <v>0.94719917649683982</v>
      </c>
      <c r="J189" s="108">
        <f t="shared" si="6"/>
        <v>8.1534679706591767E-6</v>
      </c>
    </row>
    <row r="190" spans="3:10">
      <c r="C190" s="1" t="s">
        <v>310</v>
      </c>
      <c r="D190" s="105">
        <v>587</v>
      </c>
      <c r="E190" s="105">
        <v>31606.797274275981</v>
      </c>
      <c r="F190" s="111">
        <v>18553190</v>
      </c>
      <c r="H190" s="92">
        <f t="shared" si="4"/>
        <v>0.99978952683823885</v>
      </c>
      <c r="I190" s="92">
        <f t="shared" si="5"/>
        <v>0.94940518844828192</v>
      </c>
      <c r="J190" s="108">
        <f t="shared" si="6"/>
        <v>3.3047656567315125E-6</v>
      </c>
    </row>
    <row r="191" spans="3:10">
      <c r="C191" s="1" t="s">
        <v>162</v>
      </c>
      <c r="D191" s="105">
        <v>1686.3634173149821</v>
      </c>
      <c r="E191" s="105">
        <v>31921</v>
      </c>
      <c r="F191" s="111">
        <v>53830406.644111544</v>
      </c>
      <c r="H191" s="92">
        <f t="shared" si="4"/>
        <v>0.99988175396251677</v>
      </c>
      <c r="I191" s="92">
        <f t="shared" si="5"/>
        <v>0.95580573306664118</v>
      </c>
      <c r="J191" s="108">
        <f t="shared" si="6"/>
        <v>8.7118072951915879E-6</v>
      </c>
    </row>
    <row r="192" spans="3:10">
      <c r="C192" s="1" t="s">
        <v>256</v>
      </c>
      <c r="D192" s="105">
        <v>10</v>
      </c>
      <c r="E192" s="105">
        <v>67007.5</v>
      </c>
      <c r="F192" s="111">
        <v>670075</v>
      </c>
      <c r="H192" s="92">
        <f t="shared" si="4"/>
        <v>0.99988230086197705</v>
      </c>
      <c r="I192" s="92">
        <f t="shared" si="5"/>
        <v>0.95588540634430197</v>
      </c>
      <c r="J192" s="108">
        <f t="shared" si="6"/>
        <v>4.8167029904445882E-8</v>
      </c>
    </row>
    <row r="193" spans="3:10">
      <c r="C193" s="1" t="s">
        <v>182</v>
      </c>
      <c r="D193" s="105">
        <v>66</v>
      </c>
      <c r="E193" s="105">
        <v>72130.712121212127</v>
      </c>
      <c r="F193" s="111">
        <v>4760627</v>
      </c>
      <c r="H193" s="92">
        <f t="shared" si="4"/>
        <v>0.9998859103984149</v>
      </c>
      <c r="I193" s="92">
        <f t="shared" si="5"/>
        <v>0.95645145455802472</v>
      </c>
      <c r="J193" s="108">
        <f t="shared" si="6"/>
        <v>3.1558664492822602E-7</v>
      </c>
    </row>
    <row r="194" spans="3:10">
      <c r="C194" s="1" t="s">
        <v>300</v>
      </c>
      <c r="D194" s="105">
        <v>1</v>
      </c>
      <c r="E194" s="105">
        <v>76222</v>
      </c>
      <c r="F194" s="111">
        <v>76222</v>
      </c>
      <c r="H194" s="92">
        <f t="shared" si="4"/>
        <v>0.99988596508836092</v>
      </c>
      <c r="I194" s="92">
        <f t="shared" si="5"/>
        <v>0.95646051750854499</v>
      </c>
      <c r="J194" s="108">
        <f t="shared" si="6"/>
        <v>4.7503634290336172E-9</v>
      </c>
    </row>
    <row r="195" spans="3:10">
      <c r="C195" s="1" t="s">
        <v>323</v>
      </c>
      <c r="D195" s="105">
        <v>409</v>
      </c>
      <c r="E195" s="105">
        <v>117257.03911980439</v>
      </c>
      <c r="F195" s="111">
        <v>47958129</v>
      </c>
      <c r="H195" s="92">
        <f t="shared" si="4"/>
        <v>0.9999083332762867</v>
      </c>
      <c r="I195" s="92">
        <f t="shared" si="5"/>
        <v>0.9621628363950977</v>
      </c>
      <c r="J195" s="108">
        <f t="shared" si="6"/>
        <v>1.8156469398168808E-6</v>
      </c>
    </row>
    <row r="196" spans="3:10">
      <c r="C196" s="1" t="s">
        <v>161</v>
      </c>
      <c r="D196" s="105">
        <v>587.11655102054306</v>
      </c>
      <c r="E196" s="105">
        <v>120186</v>
      </c>
      <c r="F196" s="111">
        <v>70563189.800954983</v>
      </c>
      <c r="H196" s="92">
        <f t="shared" si="4"/>
        <v>0.99994044264877469</v>
      </c>
      <c r="I196" s="92">
        <f t="shared" si="5"/>
        <v>0.97055294289607041</v>
      </c>
      <c r="J196" s="108">
        <f t="shared" si="6"/>
        <v>2.1555983951524756E-6</v>
      </c>
    </row>
    <row r="197" spans="3:10">
      <c r="C197" s="1" t="s">
        <v>247</v>
      </c>
      <c r="D197" s="105">
        <v>331</v>
      </c>
      <c r="E197" s="105">
        <v>158403</v>
      </c>
      <c r="F197" s="111">
        <v>52431393</v>
      </c>
      <c r="H197" s="92">
        <f t="shared" si="4"/>
        <v>0.99995854502091019</v>
      </c>
      <c r="I197" s="92">
        <f t="shared" si="5"/>
        <v>0.97678714195233818</v>
      </c>
      <c r="J197" s="108">
        <f t="shared" si="6"/>
        <v>9.5144081790479281E-7</v>
      </c>
    </row>
    <row r="198" spans="3:10">
      <c r="C198" s="1" t="s">
        <v>317</v>
      </c>
      <c r="D198" s="105">
        <v>758</v>
      </c>
      <c r="E198" s="105">
        <v>257555.09234828496</v>
      </c>
      <c r="F198" s="111">
        <v>195226760</v>
      </c>
      <c r="H198" s="92">
        <f t="shared" si="4"/>
        <v>1</v>
      </c>
      <c r="I198" s="92">
        <f t="shared" si="5"/>
        <v>1.0000000000000007</v>
      </c>
      <c r="J198" s="108">
        <f t="shared" si="6"/>
        <v>9.6057002968908161E-7</v>
      </c>
    </row>
    <row r="199" spans="3:10">
      <c r="C199" s="1" t="s">
        <v>151</v>
      </c>
      <c r="D199" s="105">
        <f>SUM(D121:D198)</f>
        <v>18284896.450121049</v>
      </c>
      <c r="E199" s="110">
        <f>F199/D199</f>
        <v>459.95805194957262</v>
      </c>
      <c r="F199" s="111">
        <f>SUM(F121:F198)</f>
        <v>8410285351.2973337</v>
      </c>
    </row>
    <row r="200" spans="3:10" ht="16" thickBot="1">
      <c r="D200" s="105"/>
    </row>
    <row r="201" spans="3:10" ht="16" thickBot="1">
      <c r="D201" s="1" t="s">
        <v>223</v>
      </c>
      <c r="E201" s="107">
        <f>SUM(J121:J198)</f>
        <v>0.29019017435496181</v>
      </c>
      <c r="F201" s="114" t="s">
        <v>146</v>
      </c>
    </row>
    <row r="202" spans="3:10">
      <c r="E202" s="2" t="s">
        <v>138</v>
      </c>
      <c r="F202" s="114" t="s">
        <v>139</v>
      </c>
    </row>
    <row r="203" spans="3:10">
      <c r="D203" s="2" t="s">
        <v>140</v>
      </c>
      <c r="E203" s="82">
        <v>17.413335238143006</v>
      </c>
      <c r="F203" s="111">
        <v>8009.4037540808667</v>
      </c>
    </row>
    <row r="204" spans="3:10">
      <c r="D204" s="2" t="s">
        <v>141</v>
      </c>
      <c r="E204" s="82">
        <v>26.34589503811118</v>
      </c>
      <c r="F204" s="111">
        <v>2423.6013117194921</v>
      </c>
    </row>
    <row r="205" spans="3:10">
      <c r="D205" s="2" t="s">
        <v>142</v>
      </c>
      <c r="E205" s="82">
        <v>31.924415732257685</v>
      </c>
      <c r="F205" s="111">
        <v>1468.3892069837511</v>
      </c>
    </row>
    <row r="206" spans="3:10">
      <c r="D206" s="2" t="s">
        <v>143</v>
      </c>
      <c r="E206" s="82">
        <v>42.788905432672252</v>
      </c>
      <c r="F206" s="172">
        <v>984.05507939331983</v>
      </c>
    </row>
    <row r="207" spans="3:10">
      <c r="D207" s="2" t="s">
        <v>144</v>
      </c>
      <c r="E207" s="82">
        <f>100-E206-E208</f>
        <v>30.115928511670798</v>
      </c>
      <c r="F207" s="172">
        <v>346.30159527201738</v>
      </c>
      <c r="G207" s="28">
        <f>(E210-(F206*0.2)-(F208*0.4))/0.4</f>
        <v>346.30159527201738</v>
      </c>
    </row>
    <row r="208" spans="3:10">
      <c r="D208" s="2" t="s">
        <v>145</v>
      </c>
      <c r="E208" s="82">
        <v>27.09516605565695</v>
      </c>
      <c r="F208" s="172">
        <v>311.56599490525377</v>
      </c>
    </row>
    <row r="209" spans="4:5">
      <c r="E209" s="82"/>
    </row>
    <row r="210" spans="4:5">
      <c r="D210" s="2" t="s">
        <v>147</v>
      </c>
      <c r="E210" s="82">
        <v>459.95805194957245</v>
      </c>
    </row>
    <row r="211" spans="4:5">
      <c r="D211" s="2" t="s">
        <v>148</v>
      </c>
      <c r="E211" s="82">
        <v>340</v>
      </c>
    </row>
    <row r="212" spans="4:5">
      <c r="E212" s="82"/>
    </row>
  </sheetData>
  <sortState ref="A118:XFD195">
    <sortCondition ref="E118:E195"/>
  </sortState>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A81"/>
  <sheetViews>
    <sheetView topLeftCell="A55" zoomScale="125" workbookViewId="0">
      <selection activeCell="B80" sqref="B80:D80"/>
    </sheetView>
  </sheetViews>
  <sheetFormatPr baseColWidth="10" defaultRowHeight="15"/>
  <cols>
    <col min="1" max="1" width="30.85546875" style="1" customWidth="1"/>
    <col min="2" max="3" width="10.7109375" style="1"/>
    <col min="4" max="4" width="12.85546875" style="1" customWidth="1"/>
    <col min="5" max="19" width="10.7109375" style="1"/>
    <col min="20" max="20" width="11" style="1" customWidth="1"/>
    <col min="21" max="21" width="13.7109375" style="1" customWidth="1"/>
    <col min="22" max="25" width="10.7109375" style="1"/>
    <col min="26" max="26" width="12.5703125" style="1" bestFit="1" customWidth="1"/>
    <col min="27" max="16384" width="10.7109375" style="1"/>
  </cols>
  <sheetData>
    <row r="1" spans="1:27">
      <c r="A1" s="117"/>
      <c r="B1" s="118" t="s">
        <v>137</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row>
    <row r="2" spans="1:27">
      <c r="A2" s="117"/>
      <c r="B2" s="117"/>
      <c r="C2" s="117"/>
      <c r="D2" s="117"/>
      <c r="E2" s="117"/>
      <c r="F2" s="117"/>
      <c r="G2" s="117"/>
      <c r="H2" s="117"/>
      <c r="I2" s="117"/>
      <c r="J2" s="117"/>
      <c r="K2" s="117"/>
      <c r="L2" s="117"/>
      <c r="M2" s="117"/>
      <c r="N2" s="117"/>
      <c r="O2" s="117"/>
      <c r="P2" s="117"/>
      <c r="Q2" s="117"/>
      <c r="R2" s="117"/>
      <c r="S2" s="117"/>
      <c r="T2" s="117"/>
      <c r="U2" s="117"/>
      <c r="V2" s="117"/>
      <c r="W2" s="117" t="s">
        <v>205</v>
      </c>
      <c r="X2" s="117"/>
      <c r="Y2" s="117"/>
      <c r="Z2" s="117"/>
      <c r="AA2" s="117"/>
    </row>
    <row r="3" spans="1:27" ht="16" thickBot="1">
      <c r="A3" s="119" t="s">
        <v>43</v>
      </c>
      <c r="B3" s="117"/>
      <c r="C3" s="117"/>
      <c r="D3" s="117"/>
      <c r="E3" s="117"/>
      <c r="F3" s="117"/>
      <c r="G3" s="117"/>
      <c r="H3" s="117"/>
      <c r="I3" s="117"/>
      <c r="J3" s="117"/>
      <c r="K3" s="117"/>
      <c r="L3" s="117"/>
      <c r="M3" s="117"/>
      <c r="N3" s="117"/>
      <c r="O3" s="117"/>
      <c r="P3" s="117"/>
      <c r="Q3" s="117"/>
      <c r="R3" s="117"/>
      <c r="S3" s="117"/>
      <c r="T3" s="117"/>
      <c r="U3" s="120" t="s">
        <v>206</v>
      </c>
      <c r="V3" s="117"/>
      <c r="W3" s="117" t="s">
        <v>207</v>
      </c>
      <c r="X3" s="117"/>
      <c r="Y3" s="117"/>
      <c r="Z3" s="117"/>
      <c r="AA3" s="117"/>
    </row>
    <row r="4" spans="1:27" ht="16" thickBot="1">
      <c r="A4" s="121" t="s">
        <v>97</v>
      </c>
      <c r="B4" s="117"/>
      <c r="C4" s="117"/>
      <c r="D4" s="117"/>
      <c r="E4" s="117"/>
      <c r="F4" s="117"/>
      <c r="G4" s="117"/>
      <c r="H4" s="117"/>
      <c r="I4" s="117"/>
      <c r="J4" s="117"/>
      <c r="K4" s="117"/>
      <c r="L4" s="117"/>
      <c r="M4" s="117"/>
      <c r="N4" s="117"/>
      <c r="O4" s="117"/>
      <c r="P4" s="117"/>
      <c r="Q4" s="117"/>
      <c r="R4" s="117"/>
      <c r="S4" s="117"/>
      <c r="T4" s="117"/>
      <c r="U4" s="120" t="s">
        <v>98</v>
      </c>
      <c r="V4" s="117"/>
      <c r="W4" s="122">
        <v>18284896.419562466</v>
      </c>
      <c r="X4" s="117"/>
      <c r="Y4" s="117"/>
      <c r="Z4" s="117"/>
      <c r="AA4" s="117"/>
    </row>
    <row r="5" spans="1:27" ht="16" thickBot="1">
      <c r="A5" s="136"/>
      <c r="B5" s="137"/>
      <c r="C5" s="137"/>
      <c r="D5" s="137"/>
      <c r="E5" s="137"/>
      <c r="F5" s="137"/>
      <c r="G5" s="117"/>
      <c r="H5" s="137"/>
      <c r="I5" s="137"/>
      <c r="J5" s="117"/>
      <c r="K5" s="137"/>
      <c r="L5" s="137"/>
      <c r="M5" s="117"/>
      <c r="N5" s="137"/>
      <c r="O5" s="137"/>
      <c r="P5" s="117"/>
      <c r="Q5" s="137"/>
      <c r="R5" s="137"/>
      <c r="S5" s="117"/>
      <c r="T5" s="137"/>
      <c r="U5" s="117"/>
      <c r="V5" s="117"/>
      <c r="W5" s="117"/>
      <c r="X5" s="117"/>
      <c r="Y5" s="117"/>
      <c r="Z5" s="117"/>
      <c r="AA5" s="117"/>
    </row>
    <row r="6" spans="1:27" ht="16" thickBot="1">
      <c r="A6" s="120" t="s">
        <v>42</v>
      </c>
      <c r="B6" s="123" t="s">
        <v>99</v>
      </c>
      <c r="C6" s="124"/>
      <c r="D6" s="125"/>
      <c r="E6" s="123" t="s">
        <v>100</v>
      </c>
      <c r="F6" s="124"/>
      <c r="G6" s="125"/>
      <c r="H6" s="123" t="s">
        <v>101</v>
      </c>
      <c r="I6" s="124"/>
      <c r="J6" s="125"/>
      <c r="K6" s="123" t="s">
        <v>102</v>
      </c>
      <c r="L6" s="124"/>
      <c r="M6" s="125"/>
      <c r="N6" s="123" t="s">
        <v>103</v>
      </c>
      <c r="O6" s="124"/>
      <c r="P6" s="125"/>
      <c r="Q6" s="123" t="s">
        <v>104</v>
      </c>
      <c r="R6" s="124"/>
      <c r="S6" s="124"/>
      <c r="T6" s="126" t="s">
        <v>105</v>
      </c>
      <c r="U6" s="127"/>
      <c r="V6" s="128"/>
      <c r="W6" s="117"/>
      <c r="X6" s="117"/>
      <c r="Y6" s="117"/>
      <c r="Z6" s="117"/>
      <c r="AA6" s="117"/>
    </row>
    <row r="7" spans="1:27">
      <c r="A7" s="117"/>
      <c r="B7" s="129" t="s">
        <v>64</v>
      </c>
      <c r="C7" s="129" t="s">
        <v>106</v>
      </c>
      <c r="D7" s="129" t="s">
        <v>107</v>
      </c>
      <c r="E7" s="129" t="s">
        <v>64</v>
      </c>
      <c r="F7" s="129" t="s">
        <v>106</v>
      </c>
      <c r="G7" s="129" t="s">
        <v>107</v>
      </c>
      <c r="H7" s="129" t="s">
        <v>64</v>
      </c>
      <c r="I7" s="129" t="s">
        <v>106</v>
      </c>
      <c r="J7" s="129" t="s">
        <v>107</v>
      </c>
      <c r="K7" s="129" t="s">
        <v>64</v>
      </c>
      <c r="L7" s="129" t="s">
        <v>106</v>
      </c>
      <c r="M7" s="129" t="s">
        <v>107</v>
      </c>
      <c r="N7" s="129" t="s">
        <v>64</v>
      </c>
      <c r="O7" s="129" t="s">
        <v>106</v>
      </c>
      <c r="P7" s="129" t="s">
        <v>107</v>
      </c>
      <c r="Q7" s="129" t="s">
        <v>64</v>
      </c>
      <c r="R7" s="129" t="s">
        <v>106</v>
      </c>
      <c r="S7" s="129" t="s">
        <v>107</v>
      </c>
      <c r="T7" s="129" t="s">
        <v>64</v>
      </c>
      <c r="U7" s="129" t="s">
        <v>106</v>
      </c>
      <c r="V7" s="129" t="s">
        <v>107</v>
      </c>
      <c r="W7" s="117"/>
      <c r="X7" s="117"/>
      <c r="Y7" s="117"/>
      <c r="Z7" s="117"/>
      <c r="AA7" s="117"/>
    </row>
    <row r="8" spans="1:27">
      <c r="A8" s="117"/>
      <c r="B8" s="130" t="s">
        <v>108</v>
      </c>
      <c r="C8" s="130" t="s">
        <v>109</v>
      </c>
      <c r="D8" s="130" t="s">
        <v>110</v>
      </c>
      <c r="E8" s="130" t="s">
        <v>111</v>
      </c>
      <c r="F8" s="130" t="s">
        <v>112</v>
      </c>
      <c r="G8" s="130" t="s">
        <v>113</v>
      </c>
      <c r="H8" s="130" t="s">
        <v>114</v>
      </c>
      <c r="I8" s="130" t="s">
        <v>115</v>
      </c>
      <c r="J8" s="130" t="s">
        <v>116</v>
      </c>
      <c r="K8" s="130" t="s">
        <v>117</v>
      </c>
      <c r="L8" s="131" t="s">
        <v>118</v>
      </c>
      <c r="M8" s="131" t="s">
        <v>119</v>
      </c>
      <c r="N8" s="131" t="s">
        <v>120</v>
      </c>
      <c r="O8" s="131" t="s">
        <v>121</v>
      </c>
      <c r="P8" s="131" t="s">
        <v>122</v>
      </c>
      <c r="Q8" s="131" t="s">
        <v>123</v>
      </c>
      <c r="R8" s="131" t="s">
        <v>124</v>
      </c>
      <c r="S8" s="131" t="s">
        <v>125</v>
      </c>
      <c r="T8" s="131" t="s">
        <v>126</v>
      </c>
      <c r="U8" s="131" t="s">
        <v>127</v>
      </c>
      <c r="V8" s="131" t="s">
        <v>128</v>
      </c>
      <c r="W8" s="117"/>
      <c r="X8" s="117"/>
      <c r="Y8" s="117"/>
      <c r="Z8" s="117"/>
      <c r="AA8" s="117"/>
    </row>
    <row r="9" spans="1:27">
      <c r="A9" s="132" t="s">
        <v>129</v>
      </c>
      <c r="B9" s="150">
        <v>21369</v>
      </c>
      <c r="C9" s="150">
        <v>29595007</v>
      </c>
      <c r="D9" s="133">
        <f>C9/B9</f>
        <v>1384.9504890261594</v>
      </c>
      <c r="E9" s="133">
        <v>17774</v>
      </c>
      <c r="F9" s="133">
        <v>55413292</v>
      </c>
      <c r="G9" s="133">
        <f>F9/E9</f>
        <v>3117.66017778778</v>
      </c>
      <c r="H9" s="150">
        <v>7377</v>
      </c>
      <c r="I9" s="150">
        <v>54376510</v>
      </c>
      <c r="J9" s="133">
        <f>I9/H9</f>
        <v>7371.0871628033074</v>
      </c>
      <c r="K9" s="150">
        <v>3725</v>
      </c>
      <c r="L9" s="150">
        <v>51200379</v>
      </c>
      <c r="M9" s="133">
        <f>L9/K9</f>
        <v>13745.068187919464</v>
      </c>
      <c r="N9" s="133">
        <v>1866</v>
      </c>
      <c r="O9" s="150">
        <v>55255359</v>
      </c>
      <c r="P9" s="133">
        <f>O9/N9</f>
        <v>29611.660771704181</v>
      </c>
      <c r="Q9" s="133">
        <v>653</v>
      </c>
      <c r="R9" s="150">
        <v>75465852</v>
      </c>
      <c r="S9" s="133">
        <v>115567.92036753446</v>
      </c>
      <c r="T9" s="133">
        <v>52764</v>
      </c>
      <c r="U9" s="133">
        <v>321306399</v>
      </c>
      <c r="V9" s="133">
        <v>6089.500397998635</v>
      </c>
      <c r="W9" s="138">
        <f>B9+E9+H9+K9+N9+Q9</f>
        <v>52764</v>
      </c>
      <c r="X9" s="138">
        <f>C9+F9+I9+L9+O9+R9</f>
        <v>321306399</v>
      </c>
      <c r="Y9" s="117"/>
      <c r="Z9" s="117"/>
      <c r="AA9" s="117"/>
    </row>
    <row r="10" spans="1:27" ht="16" thickBot="1">
      <c r="A10" s="132" t="s">
        <v>130</v>
      </c>
      <c r="B10" s="133">
        <v>21964</v>
      </c>
      <c r="C10" s="133">
        <v>30530121</v>
      </c>
      <c r="D10" s="133">
        <v>1390.0073301766527</v>
      </c>
      <c r="E10" s="133">
        <v>14388</v>
      </c>
      <c r="F10" s="133">
        <v>44632777</v>
      </c>
      <c r="G10" s="133">
        <v>3102.0834723380594</v>
      </c>
      <c r="H10" s="133">
        <v>5474</v>
      </c>
      <c r="I10" s="133">
        <v>37834815</v>
      </c>
      <c r="J10" s="133">
        <v>6911.7309097552061</v>
      </c>
      <c r="K10" s="133">
        <v>2830</v>
      </c>
      <c r="L10" s="133">
        <v>38576526</v>
      </c>
      <c r="M10" s="133">
        <v>13631.281272084805</v>
      </c>
      <c r="N10" s="133">
        <v>1156</v>
      </c>
      <c r="O10" s="133">
        <v>33638653</v>
      </c>
      <c r="P10" s="133">
        <v>29099.180795847751</v>
      </c>
      <c r="Q10" s="133">
        <v>331</v>
      </c>
      <c r="R10" s="133">
        <v>29057469</v>
      </c>
      <c r="S10" s="133">
        <v>4643.6157380317709</v>
      </c>
      <c r="T10" s="133">
        <v>46143</v>
      </c>
      <c r="U10" s="133">
        <v>214270361</v>
      </c>
      <c r="V10" s="133">
        <v>4643.6157380317709</v>
      </c>
      <c r="W10" s="138">
        <f t="shared" ref="W10:X14" si="0">B10+E10+H10+K10+N10+Q10</f>
        <v>46143</v>
      </c>
      <c r="X10" s="138">
        <f t="shared" si="0"/>
        <v>214270361</v>
      </c>
      <c r="Y10" s="117"/>
      <c r="Z10" s="117"/>
      <c r="AA10" s="117"/>
    </row>
    <row r="11" spans="1:27" ht="16" thickBot="1">
      <c r="A11" s="144" t="s">
        <v>131</v>
      </c>
      <c r="B11" s="145">
        <v>29674</v>
      </c>
      <c r="C11" s="145">
        <v>44354915</v>
      </c>
      <c r="D11" s="145">
        <f>C11/B11</f>
        <v>1494.7400080878883</v>
      </c>
      <c r="E11" s="145">
        <v>22338</v>
      </c>
      <c r="F11" s="145">
        <v>71942996</v>
      </c>
      <c r="G11" s="133">
        <f>F11/E11</f>
        <v>3220.6552063747872</v>
      </c>
      <c r="H11" s="151">
        <v>8152</v>
      </c>
      <c r="I11" s="121">
        <v>57942454</v>
      </c>
      <c r="J11" s="133">
        <f>I11/H11</f>
        <v>7107.7593228655542</v>
      </c>
      <c r="K11" s="143">
        <v>3895</v>
      </c>
      <c r="L11" s="133">
        <v>54805744</v>
      </c>
      <c r="M11" s="133">
        <f>L11/K11</f>
        <v>14070.794351732991</v>
      </c>
      <c r="N11" s="143">
        <v>1944</v>
      </c>
      <c r="O11" s="133">
        <v>59104419</v>
      </c>
      <c r="P11" s="133">
        <f>O11/N11</f>
        <v>30403.507716049382</v>
      </c>
      <c r="Q11" s="143">
        <v>1167</v>
      </c>
      <c r="R11" s="133">
        <v>243184889</v>
      </c>
      <c r="S11" s="133">
        <v>208384.65209940018</v>
      </c>
      <c r="T11" s="133">
        <v>67170</v>
      </c>
      <c r="U11" s="133">
        <v>531335417</v>
      </c>
      <c r="V11" s="133">
        <v>4747.0644570995883</v>
      </c>
      <c r="W11" s="138">
        <f t="shared" si="0"/>
        <v>67170</v>
      </c>
      <c r="X11" s="138">
        <f t="shared" si="0"/>
        <v>531335417</v>
      </c>
      <c r="Y11" s="117"/>
      <c r="Z11" s="117"/>
      <c r="AA11" s="117"/>
    </row>
    <row r="12" spans="1:27" ht="16" thickBot="1">
      <c r="A12" s="132" t="s">
        <v>45</v>
      </c>
      <c r="B12" s="133">
        <v>27321</v>
      </c>
      <c r="C12" s="133">
        <v>39314900</v>
      </c>
      <c r="D12" s="133">
        <v>1439</v>
      </c>
      <c r="E12" s="133">
        <v>18172</v>
      </c>
      <c r="F12" s="133">
        <v>51625626</v>
      </c>
      <c r="G12" s="133">
        <v>2841</v>
      </c>
      <c r="H12" s="133">
        <v>5713</v>
      </c>
      <c r="I12" s="133">
        <v>35343698</v>
      </c>
      <c r="J12" s="133">
        <v>6187</v>
      </c>
      <c r="K12" s="133">
        <v>2570</v>
      </c>
      <c r="L12" s="133">
        <v>30975376</v>
      </c>
      <c r="M12" s="133">
        <v>12053</v>
      </c>
      <c r="N12" s="133">
        <v>1128</v>
      </c>
      <c r="O12" s="133">
        <v>29386895</v>
      </c>
      <c r="P12" s="133">
        <v>26053</v>
      </c>
      <c r="Q12" s="133">
        <v>331</v>
      </c>
      <c r="R12" s="133">
        <v>52419866</v>
      </c>
      <c r="S12" s="133">
        <v>158403</v>
      </c>
      <c r="T12" s="133">
        <v>55235</v>
      </c>
      <c r="U12" s="133">
        <v>239066361</v>
      </c>
      <c r="V12" s="133">
        <v>4328</v>
      </c>
      <c r="W12" s="138">
        <f t="shared" si="0"/>
        <v>55235</v>
      </c>
      <c r="X12" s="138">
        <f t="shared" si="0"/>
        <v>239066361</v>
      </c>
      <c r="Y12" s="117"/>
      <c r="Z12" s="117"/>
      <c r="AA12" s="117"/>
    </row>
    <row r="13" spans="1:27" ht="16" thickBot="1">
      <c r="A13" s="134" t="s">
        <v>46</v>
      </c>
      <c r="B13" s="143">
        <v>105027</v>
      </c>
      <c r="C13" s="135">
        <v>167115021</v>
      </c>
      <c r="D13" s="135">
        <v>1591</v>
      </c>
      <c r="E13" s="143">
        <v>36086</v>
      </c>
      <c r="F13" s="135">
        <v>108063996</v>
      </c>
      <c r="G13" s="135">
        <v>2995</v>
      </c>
      <c r="H13" s="135">
        <v>5726</v>
      </c>
      <c r="I13" s="135">
        <v>38816575</v>
      </c>
      <c r="J13" s="135">
        <v>6779</v>
      </c>
      <c r="K13" s="135">
        <v>1131</v>
      </c>
      <c r="L13" s="135">
        <v>15178183</v>
      </c>
      <c r="M13" s="135">
        <v>13420</v>
      </c>
      <c r="N13" s="135">
        <v>307</v>
      </c>
      <c r="O13" s="135">
        <v>8631318</v>
      </c>
      <c r="P13" s="135">
        <v>28115</v>
      </c>
      <c r="Q13" s="135">
        <v>66</v>
      </c>
      <c r="R13" s="135">
        <v>4760627</v>
      </c>
      <c r="S13" s="135">
        <v>72131</v>
      </c>
      <c r="T13" s="143">
        <v>148343</v>
      </c>
      <c r="U13" s="135">
        <v>342565720</v>
      </c>
      <c r="V13" s="135">
        <v>2309</v>
      </c>
      <c r="W13" s="138">
        <f t="shared" si="0"/>
        <v>148343</v>
      </c>
      <c r="X13" s="138">
        <f t="shared" si="0"/>
        <v>342565720</v>
      </c>
      <c r="Y13" s="117"/>
      <c r="Z13" s="117"/>
      <c r="AA13" s="117"/>
    </row>
    <row r="14" spans="1:27">
      <c r="A14" s="136" t="s">
        <v>132</v>
      </c>
      <c r="B14" s="121">
        <f>SUM(B9:B13)</f>
        <v>205355</v>
      </c>
      <c r="C14" s="121">
        <f>SUM(C9:C13)</f>
        <v>310909964</v>
      </c>
      <c r="D14" s="121">
        <f>C14/B14</f>
        <v>1514.0121448223808</v>
      </c>
      <c r="E14" s="121">
        <f>SUM(E9:E13)</f>
        <v>108758</v>
      </c>
      <c r="F14" s="121">
        <f>SUM(F9:F13)</f>
        <v>331678687</v>
      </c>
      <c r="G14" s="121">
        <f>F14/E14</f>
        <v>3049.69461556851</v>
      </c>
      <c r="H14" s="121">
        <f>SUM(H9:H13)</f>
        <v>32442</v>
      </c>
      <c r="I14" s="121">
        <f>SUM(I9:I13)</f>
        <v>224314052</v>
      </c>
      <c r="J14" s="121">
        <f>I14/H14</f>
        <v>6914.3102151531966</v>
      </c>
      <c r="K14" s="121">
        <f>SUM(K9:K13)</f>
        <v>14151</v>
      </c>
      <c r="L14" s="121">
        <f>SUM(L9:L13)</f>
        <v>190736208</v>
      </c>
      <c r="M14" s="121">
        <f>L14/K14</f>
        <v>13478.63811744753</v>
      </c>
      <c r="N14" s="121">
        <f>SUM(N9:N13)</f>
        <v>6401</v>
      </c>
      <c r="O14" s="121">
        <f>SUM(O9:O13)</f>
        <v>186016644</v>
      </c>
      <c r="P14" s="121">
        <f>O14/N14</f>
        <v>29060.559912513669</v>
      </c>
      <c r="Q14" s="121">
        <f>SUM(Q9:Q13)</f>
        <v>2548</v>
      </c>
      <c r="R14" s="121">
        <f>SUM(R9:R13)</f>
        <v>404888703</v>
      </c>
      <c r="S14" s="121">
        <f>R14/Q14</f>
        <v>158904.51452119308</v>
      </c>
      <c r="T14" s="121">
        <f>SUM(T9:T13)</f>
        <v>369655</v>
      </c>
      <c r="U14" s="121">
        <f>SUM(U9:U13)</f>
        <v>1648544258</v>
      </c>
      <c r="V14" s="121">
        <f>U14/T14</f>
        <v>4459.6833750388878</v>
      </c>
      <c r="W14" s="138">
        <f t="shared" si="0"/>
        <v>369655</v>
      </c>
      <c r="X14" s="138">
        <f t="shared" si="0"/>
        <v>1648544258</v>
      </c>
      <c r="Y14" s="117"/>
      <c r="Z14" s="117"/>
      <c r="AA14" s="117"/>
    </row>
    <row r="15" spans="1:27">
      <c r="A15" s="136"/>
      <c r="B15" s="137"/>
      <c r="C15" s="137"/>
      <c r="D15" s="137"/>
      <c r="E15" s="137"/>
      <c r="F15" s="137"/>
      <c r="G15" s="117"/>
      <c r="H15" s="137"/>
      <c r="I15" s="137"/>
      <c r="J15" s="117"/>
      <c r="K15" s="137"/>
      <c r="L15" s="137"/>
      <c r="M15" s="117"/>
      <c r="N15" s="137"/>
      <c r="O15" s="137"/>
      <c r="P15" s="117"/>
      <c r="Q15" s="137"/>
      <c r="R15" s="137"/>
      <c r="S15" s="117"/>
      <c r="T15" s="137"/>
      <c r="U15" s="117"/>
      <c r="V15" s="117"/>
      <c r="W15" s="117"/>
      <c r="X15" s="117"/>
      <c r="Y15" s="117"/>
      <c r="Z15" s="117"/>
      <c r="AA15" s="117"/>
    </row>
    <row r="16" spans="1:27">
      <c r="A16" s="136"/>
      <c r="B16" s="137"/>
      <c r="C16" s="137"/>
      <c r="D16" s="137"/>
      <c r="E16" s="137"/>
      <c r="F16" s="137"/>
      <c r="G16" s="117"/>
      <c r="H16" s="137"/>
      <c r="I16" s="137"/>
      <c r="J16" s="117"/>
      <c r="K16" s="137"/>
      <c r="L16" s="137"/>
      <c r="M16" s="117"/>
      <c r="N16" s="137"/>
      <c r="O16" s="137"/>
      <c r="P16" s="117"/>
      <c r="Q16" s="137"/>
      <c r="R16" s="137"/>
      <c r="S16" s="117"/>
      <c r="T16" s="137"/>
      <c r="U16" s="117"/>
      <c r="V16" s="117"/>
      <c r="W16" s="117"/>
      <c r="X16" s="117"/>
      <c r="Y16" s="117"/>
      <c r="Z16" s="117"/>
      <c r="AA16" s="117"/>
    </row>
    <row r="17" spans="1:27">
      <c r="A17" s="24" t="s">
        <v>89</v>
      </c>
      <c r="G17" s="117"/>
      <c r="H17" s="137"/>
      <c r="I17" s="137"/>
      <c r="J17" s="117"/>
      <c r="K17" s="137"/>
      <c r="L17" s="137"/>
      <c r="M17" s="117"/>
      <c r="N17" s="137"/>
      <c r="O17" s="137"/>
      <c r="P17" s="117"/>
      <c r="Q17" s="137"/>
      <c r="R17" s="137"/>
      <c r="S17" s="117"/>
      <c r="T17" s="137"/>
      <c r="U17" s="117" t="s">
        <v>94</v>
      </c>
      <c r="V17" s="117"/>
      <c r="W17" s="117"/>
      <c r="X17" s="117"/>
      <c r="Y17" s="117"/>
      <c r="Z17" s="117"/>
      <c r="AA17" s="117"/>
    </row>
    <row r="18" spans="1:27" ht="16" thickBot="1">
      <c r="A18" s="1" t="s">
        <v>90</v>
      </c>
      <c r="N18" s="117"/>
      <c r="O18" s="117"/>
      <c r="P18" s="117"/>
      <c r="Q18" s="117"/>
      <c r="R18" s="117"/>
      <c r="S18" s="117"/>
      <c r="T18" s="137"/>
      <c r="U18" s="117" t="s">
        <v>204</v>
      </c>
      <c r="V18" s="117"/>
      <c r="W18" s="141"/>
      <c r="X18" s="117"/>
      <c r="Y18" s="117"/>
      <c r="Z18" s="117"/>
      <c r="AA18" s="117"/>
    </row>
    <row r="19" spans="1:27" ht="16" thickBot="1">
      <c r="A19" s="1" t="s">
        <v>73</v>
      </c>
      <c r="N19" s="117"/>
      <c r="O19" s="117"/>
      <c r="P19" s="117"/>
      <c r="Q19" s="117"/>
      <c r="R19" s="117"/>
      <c r="S19" s="117"/>
      <c r="T19" s="117"/>
      <c r="U19" s="139">
        <v>9152.7950138162432</v>
      </c>
      <c r="V19" s="117"/>
      <c r="W19" s="117"/>
      <c r="X19" s="117"/>
      <c r="Y19" s="117"/>
      <c r="Z19" s="117"/>
      <c r="AA19" s="117"/>
    </row>
    <row r="20" spans="1:27">
      <c r="A20" s="1" t="s">
        <v>74</v>
      </c>
      <c r="N20" s="117"/>
      <c r="O20" s="117"/>
      <c r="P20" s="117"/>
      <c r="Q20" s="117"/>
      <c r="R20" s="117"/>
      <c r="S20" s="117"/>
      <c r="T20" s="117"/>
      <c r="U20" s="117" t="s">
        <v>91</v>
      </c>
      <c r="V20" s="117"/>
      <c r="W20" s="117"/>
      <c r="X20" s="117"/>
      <c r="Y20" s="117"/>
      <c r="Z20" s="117"/>
      <c r="AA20" s="117"/>
    </row>
    <row r="21" spans="1:27">
      <c r="A21" s="1" t="s">
        <v>75</v>
      </c>
      <c r="N21" s="117"/>
      <c r="O21" s="117"/>
      <c r="P21" s="117"/>
      <c r="Q21" s="117"/>
      <c r="R21" s="117"/>
      <c r="S21" s="117"/>
      <c r="T21" s="117"/>
      <c r="U21" s="117" t="s">
        <v>47</v>
      </c>
      <c r="V21" s="117"/>
      <c r="W21" s="117"/>
      <c r="X21" s="117"/>
      <c r="Y21" s="117"/>
      <c r="Z21" s="117"/>
      <c r="AA21" s="117"/>
    </row>
    <row r="22" spans="1:27">
      <c r="A22" s="1" t="s">
        <v>76</v>
      </c>
      <c r="N22" s="117"/>
      <c r="O22" s="117"/>
      <c r="P22" s="117"/>
      <c r="Q22" s="117"/>
      <c r="R22" s="117"/>
      <c r="S22" s="117"/>
      <c r="T22" s="117"/>
      <c r="U22" s="140" t="s">
        <v>92</v>
      </c>
      <c r="V22" s="117"/>
      <c r="W22" s="117"/>
      <c r="X22" s="117"/>
      <c r="Y22" s="117"/>
      <c r="Z22" s="117"/>
      <c r="AA22" s="117"/>
    </row>
    <row r="23" spans="1:27">
      <c r="A23" s="1" t="s">
        <v>77</v>
      </c>
      <c r="N23" s="117"/>
      <c r="O23" s="117"/>
      <c r="P23" s="117"/>
      <c r="Q23" s="117"/>
      <c r="R23" s="117"/>
      <c r="S23" s="117"/>
      <c r="T23" s="117"/>
      <c r="U23" s="140" t="s">
        <v>93</v>
      </c>
      <c r="V23" s="117"/>
      <c r="W23" s="117"/>
      <c r="X23" s="117"/>
      <c r="Y23" s="117"/>
      <c r="Z23" s="117"/>
      <c r="AA23" s="117"/>
    </row>
    <row r="24" spans="1:27">
      <c r="A24" s="1" t="s">
        <v>78</v>
      </c>
      <c r="N24" s="117"/>
      <c r="O24" s="117"/>
      <c r="P24" s="117"/>
      <c r="Q24" s="117"/>
      <c r="R24" s="117"/>
      <c r="S24" s="117"/>
      <c r="T24" s="117"/>
      <c r="U24" s="117" t="s">
        <v>44</v>
      </c>
      <c r="V24" s="117"/>
      <c r="W24" s="117"/>
      <c r="X24" s="117"/>
      <c r="Y24" s="117"/>
      <c r="Z24" s="142"/>
      <c r="AA24" s="117"/>
    </row>
    <row r="25" spans="1:27">
      <c r="A25" s="1" t="s">
        <v>186</v>
      </c>
      <c r="N25" s="117"/>
      <c r="O25" s="117"/>
      <c r="P25" s="117"/>
      <c r="Q25" s="117"/>
      <c r="R25" s="117"/>
      <c r="S25" s="117"/>
      <c r="T25" s="117"/>
      <c r="U25" s="117" t="s">
        <v>548</v>
      </c>
      <c r="V25" s="117"/>
      <c r="W25" s="117"/>
      <c r="X25" s="117"/>
      <c r="Y25" s="117"/>
      <c r="Z25" s="117"/>
      <c r="AA25" s="117"/>
    </row>
    <row r="26" spans="1:27">
      <c r="A26" s="1" t="s">
        <v>84</v>
      </c>
      <c r="N26" s="117"/>
      <c r="O26" s="117"/>
      <c r="P26" s="117"/>
      <c r="Q26" s="117"/>
      <c r="R26" s="117"/>
      <c r="S26" s="117"/>
      <c r="T26" s="117"/>
      <c r="U26" s="117"/>
      <c r="V26" s="117"/>
      <c r="W26" s="117"/>
      <c r="X26" s="117"/>
      <c r="Y26" s="117"/>
      <c r="Z26" s="117"/>
      <c r="AA26" s="117"/>
    </row>
    <row r="27" spans="1:27">
      <c r="A27" s="1" t="s">
        <v>85</v>
      </c>
      <c r="N27" s="117"/>
      <c r="O27" s="117"/>
      <c r="P27" s="117"/>
      <c r="Q27" s="117"/>
      <c r="R27" s="117"/>
      <c r="S27" s="117"/>
      <c r="T27" s="117"/>
      <c r="U27" s="117"/>
      <c r="V27" s="117"/>
      <c r="W27" s="117"/>
      <c r="X27" s="117"/>
      <c r="Y27" s="117"/>
      <c r="Z27" s="117"/>
      <c r="AA27" s="117"/>
    </row>
    <row r="28" spans="1:27">
      <c r="A28" s="1" t="s">
        <v>86</v>
      </c>
      <c r="N28" s="117"/>
      <c r="O28" s="117"/>
      <c r="P28" s="117"/>
      <c r="Q28" s="117"/>
      <c r="R28" s="117"/>
      <c r="S28" s="117"/>
      <c r="T28" s="117"/>
      <c r="U28" s="117"/>
      <c r="V28" s="117"/>
      <c r="W28" s="117"/>
      <c r="X28" s="117"/>
      <c r="Y28" s="117"/>
      <c r="Z28" s="117"/>
      <c r="AA28" s="117"/>
    </row>
    <row r="29" spans="1:27">
      <c r="A29" s="1" t="s">
        <v>87</v>
      </c>
      <c r="N29" s="117"/>
      <c r="O29" s="117"/>
      <c r="P29" s="117"/>
      <c r="Q29" s="117"/>
      <c r="R29" s="117"/>
      <c r="S29" s="117"/>
      <c r="T29" s="117"/>
      <c r="X29" s="117"/>
      <c r="Y29" s="117"/>
      <c r="Z29" s="117"/>
      <c r="AA29" s="117"/>
    </row>
    <row r="30" spans="1:27">
      <c r="A30" s="1" t="s">
        <v>88</v>
      </c>
      <c r="N30" s="117"/>
      <c r="O30" s="117"/>
      <c r="P30" s="117"/>
      <c r="Q30" s="117"/>
      <c r="R30" s="117"/>
      <c r="S30" s="117"/>
      <c r="T30" s="117"/>
      <c r="Y30" s="117"/>
      <c r="Z30" s="117"/>
      <c r="AA30" s="117"/>
    </row>
    <row r="31" spans="1:27">
      <c r="N31" s="117"/>
      <c r="O31" s="117"/>
      <c r="P31" s="117"/>
      <c r="Q31" s="117"/>
      <c r="R31" s="117"/>
      <c r="S31" s="117"/>
      <c r="Y31" s="117"/>
      <c r="Z31" s="117"/>
      <c r="AA31" s="117"/>
    </row>
    <row r="32" spans="1:27">
      <c r="A32" s="1" t="s">
        <v>160</v>
      </c>
      <c r="N32" s="117"/>
      <c r="O32" s="117"/>
      <c r="P32" s="117"/>
      <c r="Q32" s="117"/>
      <c r="R32" s="117"/>
      <c r="S32" s="117"/>
      <c r="Z32" s="117"/>
      <c r="AA32" s="117"/>
    </row>
    <row r="33" spans="1:27">
      <c r="N33" s="117"/>
      <c r="O33" s="117"/>
      <c r="P33" s="117"/>
      <c r="Q33" s="117"/>
      <c r="R33" s="117"/>
      <c r="S33" s="117"/>
      <c r="Z33" s="117"/>
      <c r="AA33" s="117"/>
    </row>
    <row r="34" spans="1:27">
      <c r="A34" s="24" t="s">
        <v>72</v>
      </c>
    </row>
    <row r="35" spans="1:27">
      <c r="A35" s="1" t="s">
        <v>68</v>
      </c>
    </row>
    <row r="36" spans="1:27">
      <c r="B36" s="1" t="s">
        <v>66</v>
      </c>
    </row>
    <row r="37" spans="1:27">
      <c r="B37" s="1" t="s">
        <v>67</v>
      </c>
    </row>
    <row r="38" spans="1:27">
      <c r="B38" s="1" t="s">
        <v>49</v>
      </c>
    </row>
    <row r="39" spans="1:27">
      <c r="A39" s="1" t="s">
        <v>59</v>
      </c>
    </row>
    <row r="41" spans="1:27">
      <c r="B41" s="1" t="s">
        <v>60</v>
      </c>
      <c r="C41" s="1" t="s">
        <v>61</v>
      </c>
      <c r="D41" s="1" t="s">
        <v>62</v>
      </c>
    </row>
    <row r="42" spans="1:27">
      <c r="A42" s="1" t="s">
        <v>80</v>
      </c>
      <c r="B42" s="1">
        <v>1167</v>
      </c>
      <c r="C42" s="147">
        <f t="shared" ref="C42:C47" si="1">D42/B42</f>
        <v>266418.1353898886</v>
      </c>
      <c r="D42" s="146">
        <v>310909964</v>
      </c>
      <c r="E42" s="1" t="s">
        <v>82</v>
      </c>
    </row>
    <row r="43" spans="1:27">
      <c r="A43" s="1" t="s">
        <v>79</v>
      </c>
      <c r="B43" s="1">
        <v>1944</v>
      </c>
      <c r="C43" s="147">
        <f t="shared" si="1"/>
        <v>170616.60853909465</v>
      </c>
      <c r="D43" s="1">
        <v>331678687</v>
      </c>
      <c r="E43" s="1" t="s">
        <v>21</v>
      </c>
    </row>
    <row r="44" spans="1:27">
      <c r="A44" s="1" t="s">
        <v>17</v>
      </c>
      <c r="B44" s="1">
        <v>3895</v>
      </c>
      <c r="C44" s="147">
        <f t="shared" si="1"/>
        <v>57590.257252888317</v>
      </c>
      <c r="D44" s="1">
        <v>224314052</v>
      </c>
      <c r="E44" s="1" t="s">
        <v>19</v>
      </c>
    </row>
    <row r="45" spans="1:27">
      <c r="A45" s="1" t="s">
        <v>13</v>
      </c>
      <c r="B45" s="1">
        <v>8152</v>
      </c>
      <c r="C45" s="147">
        <f t="shared" si="1"/>
        <v>23397.473994111875</v>
      </c>
      <c r="D45" s="1">
        <v>190736208</v>
      </c>
      <c r="E45" s="1" t="s">
        <v>16</v>
      </c>
    </row>
    <row r="46" spans="1:27">
      <c r="A46" s="1" t="s">
        <v>14</v>
      </c>
      <c r="B46" s="1">
        <v>36086</v>
      </c>
      <c r="C46" s="147">
        <f t="shared" si="1"/>
        <v>5154.814720390179</v>
      </c>
      <c r="D46" s="1">
        <v>186016644</v>
      </c>
      <c r="E46" s="1" t="s">
        <v>95</v>
      </c>
    </row>
    <row r="47" spans="1:27">
      <c r="A47" s="1" t="s">
        <v>50</v>
      </c>
      <c r="B47" s="1">
        <v>105027</v>
      </c>
      <c r="C47" s="147">
        <f t="shared" si="1"/>
        <v>3855.0915764517695</v>
      </c>
      <c r="D47" s="1">
        <v>404888703</v>
      </c>
      <c r="E47" s="1" t="s">
        <v>96</v>
      </c>
    </row>
    <row r="48" spans="1:27">
      <c r="A48" s="2" t="s">
        <v>83</v>
      </c>
      <c r="B48" s="152">
        <f>SUM(B42:B47)</f>
        <v>156271</v>
      </c>
      <c r="D48" s="153">
        <f>SUM(D42:D47)</f>
        <v>1648544258</v>
      </c>
    </row>
    <row r="50" spans="1:5">
      <c r="A50" s="1" t="s">
        <v>588</v>
      </c>
      <c r="D50" s="154">
        <v>18058819.199999999</v>
      </c>
      <c r="E50" s="1" t="s">
        <v>587</v>
      </c>
    </row>
    <row r="51" spans="1:5">
      <c r="A51" s="1" t="s">
        <v>589</v>
      </c>
      <c r="D51" s="149">
        <v>310632</v>
      </c>
      <c r="E51" s="1" t="s">
        <v>591</v>
      </c>
    </row>
    <row r="52" spans="1:5">
      <c r="A52" s="1" t="s">
        <v>592</v>
      </c>
      <c r="D52" s="149">
        <v>2728080</v>
      </c>
      <c r="E52" s="1" t="s">
        <v>593</v>
      </c>
    </row>
    <row r="53" spans="1:5">
      <c r="D53" s="154"/>
    </row>
    <row r="54" spans="1:5">
      <c r="A54" s="1" t="s">
        <v>521</v>
      </c>
      <c r="D54" s="154"/>
    </row>
    <row r="55" spans="1:5">
      <c r="B55" s="1" t="s">
        <v>60</v>
      </c>
      <c r="D55" s="154"/>
    </row>
    <row r="56" spans="1:5">
      <c r="A56" s="1" t="s">
        <v>80</v>
      </c>
      <c r="B56" s="1">
        <v>1167</v>
      </c>
      <c r="C56" s="155">
        <f>D55:D56/B56</f>
        <v>281892.70197086548</v>
      </c>
      <c r="D56" s="154">
        <f>D42+D50</f>
        <v>328968783.19999999</v>
      </c>
    </row>
    <row r="57" spans="1:5">
      <c r="A57" s="1" t="s">
        <v>79</v>
      </c>
      <c r="B57" s="1">
        <v>1944</v>
      </c>
      <c r="C57" s="155">
        <f t="shared" ref="C57:C61" si="2">D56:D57/B57</f>
        <v>170776.39866255145</v>
      </c>
      <c r="D57" s="154">
        <f t="shared" ref="D57:D58" si="3">D43+D51</f>
        <v>331989319</v>
      </c>
    </row>
    <row r="58" spans="1:5">
      <c r="A58" s="1" t="s">
        <v>17</v>
      </c>
      <c r="B58" s="1">
        <v>3895</v>
      </c>
      <c r="C58" s="155">
        <f t="shared" si="2"/>
        <v>58290.66290115533</v>
      </c>
      <c r="D58" s="154">
        <f t="shared" si="3"/>
        <v>227042132</v>
      </c>
    </row>
    <row r="59" spans="1:5">
      <c r="A59" s="1" t="s">
        <v>13</v>
      </c>
      <c r="B59" s="1">
        <v>8152</v>
      </c>
      <c r="C59" s="155">
        <f t="shared" si="2"/>
        <v>23397.473994111875</v>
      </c>
      <c r="D59" s="1">
        <v>190736208</v>
      </c>
    </row>
    <row r="60" spans="1:5">
      <c r="A60" s="1" t="s">
        <v>14</v>
      </c>
      <c r="B60" s="1">
        <v>36086</v>
      </c>
      <c r="C60" s="155">
        <f t="shared" si="2"/>
        <v>5154.814720390179</v>
      </c>
      <c r="D60" s="1">
        <v>186016644</v>
      </c>
    </row>
    <row r="61" spans="1:5">
      <c r="A61" s="1" t="s">
        <v>50</v>
      </c>
      <c r="B61" s="1">
        <v>105027</v>
      </c>
      <c r="C61" s="155">
        <f t="shared" si="2"/>
        <v>3855.0915764517695</v>
      </c>
      <c r="D61" s="1">
        <v>404888703</v>
      </c>
    </row>
    <row r="62" spans="1:5">
      <c r="A62" s="2" t="s">
        <v>83</v>
      </c>
      <c r="B62" s="152">
        <f>SUM(B56:B61)</f>
        <v>156271</v>
      </c>
      <c r="D62" s="153">
        <f>SUM(D56:D61)</f>
        <v>1669641789.2</v>
      </c>
    </row>
    <row r="63" spans="1:5">
      <c r="B63" s="1">
        <v>369655</v>
      </c>
      <c r="D63" s="154"/>
    </row>
    <row r="65" spans="1:5">
      <c r="A65" s="24" t="s">
        <v>63</v>
      </c>
    </row>
    <row r="66" spans="1:5">
      <c r="A66" s="1" t="s">
        <v>135</v>
      </c>
    </row>
    <row r="67" spans="1:5">
      <c r="A67" s="1" t="s">
        <v>65</v>
      </c>
    </row>
    <row r="68" spans="1:5">
      <c r="A68" s="1" t="s">
        <v>48</v>
      </c>
    </row>
    <row r="70" spans="1:5">
      <c r="A70" s="2" t="s">
        <v>546</v>
      </c>
      <c r="B70" s="30">
        <v>148343</v>
      </c>
      <c r="C70" s="148">
        <f>D70/B70</f>
        <v>11113.057292895519</v>
      </c>
      <c r="D70" s="153">
        <v>1648544258</v>
      </c>
    </row>
    <row r="71" spans="1:5">
      <c r="A71" s="2" t="s">
        <v>547</v>
      </c>
    </row>
    <row r="72" spans="1:5">
      <c r="B72" s="1" t="s">
        <v>549</v>
      </c>
      <c r="D72" s="1" t="s">
        <v>584</v>
      </c>
    </row>
    <row r="73" spans="1:5">
      <c r="B73" s="1" t="s">
        <v>550</v>
      </c>
      <c r="D73" s="1" t="s">
        <v>585</v>
      </c>
    </row>
    <row r="74" spans="1:5">
      <c r="D74" s="1" t="s">
        <v>586</v>
      </c>
    </row>
    <row r="76" spans="1:5">
      <c r="A76" s="1" t="s">
        <v>522</v>
      </c>
      <c r="D76" s="154">
        <v>18058819.199999999</v>
      </c>
      <c r="E76" s="1" t="s">
        <v>587</v>
      </c>
    </row>
    <row r="77" spans="1:5">
      <c r="D77" s="149">
        <v>310632</v>
      </c>
      <c r="E77" s="1" t="s">
        <v>591</v>
      </c>
    </row>
    <row r="78" spans="1:5">
      <c r="D78" s="149">
        <v>2728080</v>
      </c>
      <c r="E78" s="1" t="s">
        <v>593</v>
      </c>
    </row>
    <row r="80" spans="1:5">
      <c r="A80" s="2" t="s">
        <v>546</v>
      </c>
      <c r="B80" s="30">
        <v>148343</v>
      </c>
      <c r="C80" s="148">
        <f>D80/B80</f>
        <v>11255.278571958232</v>
      </c>
      <c r="D80" s="153">
        <f>D70+SUM(D76:D78)</f>
        <v>1669641789.2</v>
      </c>
    </row>
    <row r="81" spans="1:1">
      <c r="A81" s="2" t="s">
        <v>547</v>
      </c>
    </row>
  </sheetData>
  <sheetCalcPr fullCalcOnLoad="1"/>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91"/>
  <sheetViews>
    <sheetView topLeftCell="A77" workbookViewId="0">
      <selection activeCell="F82" sqref="F82:F87"/>
    </sheetView>
  </sheetViews>
  <sheetFormatPr baseColWidth="10" defaultRowHeight="15"/>
  <cols>
    <col min="1" max="1" width="7.7109375" style="52" customWidth="1"/>
    <col min="2" max="2" width="10.7109375" style="1"/>
    <col min="3" max="3" width="24.7109375" style="1" customWidth="1"/>
    <col min="4" max="4" width="10.7109375" style="1"/>
    <col min="5" max="5" width="12.42578125" style="1" customWidth="1"/>
    <col min="6" max="6" width="14.140625" style="1" customWidth="1"/>
    <col min="7" max="7" width="19.140625" style="1" customWidth="1"/>
    <col min="8" max="9" width="10.7109375" style="1"/>
    <col min="10" max="10" width="12" style="1" bestFit="1" customWidth="1"/>
    <col min="11" max="16384" width="10.7109375" style="1"/>
  </cols>
  <sheetData>
    <row r="1" spans="2:12" ht="17">
      <c r="C1" s="8" t="s">
        <v>544</v>
      </c>
    </row>
    <row r="3" spans="2:12">
      <c r="C3" s="1" t="s">
        <v>483</v>
      </c>
    </row>
    <row r="4" spans="2:12">
      <c r="C4" s="1" t="s">
        <v>22</v>
      </c>
    </row>
    <row r="5" spans="2:12">
      <c r="C5" s="1" t="s">
        <v>23</v>
      </c>
    </row>
    <row r="7" spans="2:12">
      <c r="F7" s="63"/>
    </row>
    <row r="8" spans="2:12" ht="16" thickBot="1">
      <c r="F8" s="63"/>
      <c r="G8" s="1" t="s">
        <v>134</v>
      </c>
    </row>
    <row r="9" spans="2:12" ht="16" thickBot="1">
      <c r="C9" s="2" t="s">
        <v>435</v>
      </c>
      <c r="D9" s="74">
        <v>18284896.419562466</v>
      </c>
      <c r="E9" s="76">
        <f>1000000*F9/D9</f>
        <v>500.56586615519143</v>
      </c>
      <c r="F9" s="75">
        <v>9152.7950138162432</v>
      </c>
      <c r="G9" s="1" t="s">
        <v>133</v>
      </c>
    </row>
    <row r="10" spans="2:12">
      <c r="D10" s="1" t="s">
        <v>315</v>
      </c>
      <c r="E10" s="2" t="s">
        <v>314</v>
      </c>
      <c r="F10" s="64" t="s">
        <v>316</v>
      </c>
      <c r="G10" s="1" t="s">
        <v>268</v>
      </c>
      <c r="L10" s="163"/>
    </row>
    <row r="11" spans="2:12">
      <c r="B11" s="14" t="s">
        <v>478</v>
      </c>
      <c r="C11" s="45" t="s">
        <v>551</v>
      </c>
      <c r="D11" s="45" t="s">
        <v>479</v>
      </c>
      <c r="E11" s="14" t="s">
        <v>465</v>
      </c>
      <c r="F11" s="65" t="s">
        <v>480</v>
      </c>
      <c r="G11" s="45" t="s">
        <v>481</v>
      </c>
    </row>
    <row r="12" spans="2:12">
      <c r="B12" s="157" t="s">
        <v>581</v>
      </c>
      <c r="C12" s="45"/>
      <c r="D12" s="45"/>
      <c r="E12" s="14"/>
      <c r="F12" s="115"/>
      <c r="G12" s="45"/>
    </row>
    <row r="13" spans="2:12">
      <c r="B13" s="14"/>
      <c r="C13" s="2" t="s">
        <v>80</v>
      </c>
      <c r="D13" s="1">
        <v>1167</v>
      </c>
      <c r="E13" s="147">
        <v>281892.70197086548</v>
      </c>
      <c r="F13" s="146">
        <f>D13*E13</f>
        <v>328968783.20000005</v>
      </c>
      <c r="G13" s="1" t="s">
        <v>81</v>
      </c>
    </row>
    <row r="14" spans="2:12">
      <c r="B14" s="14"/>
      <c r="C14" s="2" t="s">
        <v>79</v>
      </c>
      <c r="D14" s="1">
        <v>1944</v>
      </c>
      <c r="E14" s="147">
        <v>170776.39866255145</v>
      </c>
      <c r="F14" s="149">
        <f t="shared" ref="F14:F18" si="0">D14*E14</f>
        <v>331989319</v>
      </c>
      <c r="G14" s="1" t="s">
        <v>20</v>
      </c>
    </row>
    <row r="15" spans="2:12">
      <c r="B15" s="14"/>
      <c r="C15" s="2" t="s">
        <v>17</v>
      </c>
      <c r="D15" s="1">
        <v>3895</v>
      </c>
      <c r="E15" s="147">
        <v>58290.66290115533</v>
      </c>
      <c r="F15" s="149">
        <f t="shared" si="0"/>
        <v>227042132</v>
      </c>
      <c r="G15" s="1" t="s">
        <v>18</v>
      </c>
    </row>
    <row r="16" spans="2:12">
      <c r="B16" s="14"/>
      <c r="C16" s="2" t="s">
        <v>13</v>
      </c>
      <c r="D16" s="1">
        <v>8152</v>
      </c>
      <c r="E16" s="147">
        <v>23397.473994111875</v>
      </c>
      <c r="F16" s="149">
        <f t="shared" si="0"/>
        <v>190736208</v>
      </c>
      <c r="G16" s="1" t="s">
        <v>15</v>
      </c>
    </row>
    <row r="17" spans="2:10">
      <c r="B17" s="14"/>
      <c r="C17" s="2" t="s">
        <v>578</v>
      </c>
      <c r="D17" s="1">
        <v>36086</v>
      </c>
      <c r="E17" s="147">
        <v>5154.814720390179</v>
      </c>
      <c r="F17" s="149">
        <f t="shared" si="0"/>
        <v>186016644</v>
      </c>
      <c r="G17" s="1" t="s">
        <v>52</v>
      </c>
    </row>
    <row r="18" spans="2:10">
      <c r="B18" s="14"/>
      <c r="C18" s="2" t="s">
        <v>580</v>
      </c>
      <c r="D18" s="163">
        <v>105027</v>
      </c>
      <c r="E18" s="147">
        <v>3855.0915764517695</v>
      </c>
      <c r="F18" s="149">
        <f t="shared" si="0"/>
        <v>404888703</v>
      </c>
      <c r="G18" s="1" t="s">
        <v>51</v>
      </c>
    </row>
    <row r="19" spans="2:10">
      <c r="B19" s="14"/>
      <c r="C19" s="2"/>
      <c r="D19" s="163"/>
      <c r="E19" s="148"/>
    </row>
    <row r="20" spans="2:10">
      <c r="B20" s="157" t="s">
        <v>582</v>
      </c>
      <c r="C20" s="2"/>
      <c r="D20" s="163"/>
      <c r="E20" s="148"/>
      <c r="J20" s="149"/>
    </row>
    <row r="21" spans="2:10">
      <c r="B21" s="26" t="s">
        <v>454</v>
      </c>
      <c r="C21" s="50" t="s">
        <v>402</v>
      </c>
      <c r="D21" s="164">
        <f>58828+12181</f>
        <v>71009</v>
      </c>
      <c r="E21" s="72">
        <v>631.14401466210199</v>
      </c>
      <c r="F21" s="149">
        <f t="shared" ref="F21:F23" si="1">D21*E21</f>
        <v>44816905.337141201</v>
      </c>
      <c r="G21" s="52" t="s">
        <v>54</v>
      </c>
      <c r="I21" s="52"/>
    </row>
    <row r="22" spans="2:10">
      <c r="B22" s="26" t="s">
        <v>454</v>
      </c>
      <c r="C22" s="52" t="s">
        <v>470</v>
      </c>
      <c r="D22" s="164">
        <v>141056</v>
      </c>
      <c r="E22" s="148">
        <f>400+287.877031980412</f>
        <v>687.87703198041208</v>
      </c>
      <c r="F22" s="149">
        <v>40606782.623029031</v>
      </c>
      <c r="G22" s="52" t="s">
        <v>563</v>
      </c>
      <c r="I22" s="52"/>
    </row>
    <row r="23" spans="2:10">
      <c r="B23" s="26" t="s">
        <v>454</v>
      </c>
      <c r="C23" s="50" t="s">
        <v>576</v>
      </c>
      <c r="D23" s="164">
        <v>490393</v>
      </c>
      <c r="E23" s="72">
        <f>1.29*412.962731819875</f>
        <v>532.72192404763871</v>
      </c>
      <c r="F23" s="149">
        <f t="shared" si="1"/>
        <v>261243102.49949369</v>
      </c>
      <c r="G23" s="52" t="s">
        <v>583</v>
      </c>
    </row>
    <row r="24" spans="2:10">
      <c r="B24" s="90" t="s">
        <v>564</v>
      </c>
      <c r="D24" s="165"/>
      <c r="E24" s="149"/>
      <c r="F24" s="149"/>
      <c r="G24" s="52"/>
    </row>
    <row r="25" spans="2:10">
      <c r="B25" s="90"/>
      <c r="C25" s="1" t="s">
        <v>566</v>
      </c>
      <c r="D25" s="165">
        <v>3242132.8743127249</v>
      </c>
      <c r="E25" s="159">
        <f>3.5*81.845*1.29</f>
        <v>369.53017499999999</v>
      </c>
      <c r="F25" s="149">
        <f t="shared" ref="F25:F28" si="2">D25*E25</f>
        <v>1198065928.4180343</v>
      </c>
      <c r="G25" s="52" t="s">
        <v>573</v>
      </c>
    </row>
    <row r="26" spans="2:10">
      <c r="B26" s="90"/>
      <c r="C26" s="1" t="s">
        <v>568</v>
      </c>
      <c r="D26" s="165">
        <v>3242132.8743127249</v>
      </c>
      <c r="E26" s="159">
        <f>3.5*58.8*1.29</f>
        <v>265.48199999999997</v>
      </c>
      <c r="F26" s="149">
        <f t="shared" si="2"/>
        <v>860727919.73829079</v>
      </c>
      <c r="G26" s="52" t="s">
        <v>574</v>
      </c>
    </row>
    <row r="27" spans="2:10">
      <c r="B27" s="90"/>
      <c r="C27" s="1" t="s">
        <v>570</v>
      </c>
      <c r="D27" s="165">
        <v>3242132.8743127249</v>
      </c>
      <c r="E27" s="159">
        <f>3.5*49.9*1.29</f>
        <v>225.29850000000002</v>
      </c>
      <c r="F27" s="149">
        <f t="shared" si="2"/>
        <v>730447673.38334548</v>
      </c>
      <c r="G27" s="52" t="s">
        <v>492</v>
      </c>
    </row>
    <row r="28" spans="2:10">
      <c r="B28" s="90"/>
      <c r="C28" s="1" t="s">
        <v>572</v>
      </c>
      <c r="D28" s="165">
        <v>3242132.8743127249</v>
      </c>
      <c r="E28" s="158">
        <f>3.5*44*1.29</f>
        <v>198.66</v>
      </c>
      <c r="F28" s="149">
        <f t="shared" si="2"/>
        <v>644082116.8109659</v>
      </c>
      <c r="G28" s="52" t="s">
        <v>493</v>
      </c>
    </row>
    <row r="29" spans="2:10" s="52" customFormat="1">
      <c r="D29" s="160"/>
      <c r="E29" s="161"/>
      <c r="F29" s="116"/>
    </row>
    <row r="30" spans="2:10" s="52" customFormat="1">
      <c r="B30" s="97" t="s">
        <v>530</v>
      </c>
      <c r="D30" s="160"/>
      <c r="E30" s="161"/>
      <c r="F30" s="116"/>
      <c r="J30" s="116"/>
    </row>
    <row r="31" spans="2:10">
      <c r="C31" s="1" t="s">
        <v>642</v>
      </c>
      <c r="D31" s="85">
        <v>700165.75</v>
      </c>
      <c r="E31" s="158">
        <f>2*412.901052631579</f>
        <v>825.80210526315796</v>
      </c>
      <c r="F31" s="149">
        <f t="shared" ref="F31:F34" si="3">D31*E31</f>
        <v>578198350.38315797</v>
      </c>
      <c r="G31" s="158" t="s">
        <v>643</v>
      </c>
    </row>
    <row r="32" spans="2:10">
      <c r="C32" s="1" t="s">
        <v>568</v>
      </c>
      <c r="D32" s="85">
        <v>700165.75</v>
      </c>
      <c r="E32" s="158">
        <f>2*308.147368421053</f>
        <v>616.29473684210598</v>
      </c>
      <c r="F32" s="149">
        <f t="shared" si="3"/>
        <v>431508466.64210576</v>
      </c>
      <c r="G32" s="158" t="s">
        <v>560</v>
      </c>
    </row>
    <row r="33" spans="2:7">
      <c r="C33" s="1" t="s">
        <v>570</v>
      </c>
      <c r="D33" s="85">
        <v>700165.75</v>
      </c>
      <c r="E33" s="158">
        <f>2*191.775789473684</f>
        <v>383.551578947368</v>
      </c>
      <c r="F33" s="149">
        <f t="shared" si="3"/>
        <v>268549678.93736815</v>
      </c>
      <c r="G33" s="158" t="s">
        <v>561</v>
      </c>
    </row>
    <row r="34" spans="2:7">
      <c r="C34" s="1" t="s">
        <v>572</v>
      </c>
      <c r="D34" s="85">
        <v>700165.75</v>
      </c>
      <c r="E34" s="162">
        <f>2*106.566315789474</f>
        <v>213.13263157894801</v>
      </c>
      <c r="F34" s="149">
        <f t="shared" si="3"/>
        <v>149228168.8389478</v>
      </c>
      <c r="G34" s="158" t="s">
        <v>562</v>
      </c>
    </row>
    <row r="35" spans="2:7">
      <c r="C35" s="50" t="s">
        <v>436</v>
      </c>
      <c r="D35" s="85">
        <v>30878.868578946847</v>
      </c>
      <c r="E35" s="1">
        <v>250</v>
      </c>
      <c r="F35" s="116">
        <f>E35*D35</f>
        <v>7719717.1447367119</v>
      </c>
    </row>
    <row r="36" spans="2:7">
      <c r="C36" s="50" t="s">
        <v>505</v>
      </c>
      <c r="D36" s="29">
        <v>9840</v>
      </c>
      <c r="E36" s="72">
        <v>574.74108811839096</v>
      </c>
      <c r="F36" s="116">
        <f t="shared" ref="F36:F37" si="4">E36*D36</f>
        <v>5655452.3070849674</v>
      </c>
      <c r="G36" s="52" t="s">
        <v>153</v>
      </c>
    </row>
    <row r="37" spans="2:7">
      <c r="C37" s="50" t="s">
        <v>457</v>
      </c>
      <c r="D37" s="85">
        <v>85247.501804277956</v>
      </c>
      <c r="E37" s="1">
        <v>174</v>
      </c>
      <c r="F37" s="116">
        <f t="shared" si="4"/>
        <v>14833065.313944364</v>
      </c>
      <c r="G37" s="1" t="s">
        <v>152</v>
      </c>
    </row>
    <row r="38" spans="2:7">
      <c r="C38" s="2" t="s">
        <v>258</v>
      </c>
      <c r="D38" s="85">
        <v>47497.607345246128</v>
      </c>
      <c r="E38" s="1">
        <v>500</v>
      </c>
      <c r="F38" s="91">
        <f>D38*E38</f>
        <v>23748803.672623064</v>
      </c>
    </row>
    <row r="39" spans="2:7">
      <c r="C39" s="1" t="s">
        <v>312</v>
      </c>
      <c r="D39" s="89">
        <v>107649.08801146071</v>
      </c>
      <c r="E39" s="1">
        <v>500</v>
      </c>
      <c r="F39" s="149">
        <f t="shared" ref="F39:F41" si="5">D39*E39</f>
        <v>53824544.005730353</v>
      </c>
    </row>
    <row r="40" spans="2:7">
      <c r="C40" s="2" t="s">
        <v>514</v>
      </c>
      <c r="D40" s="85">
        <v>774299.00656744395</v>
      </c>
      <c r="E40" s="1">
        <v>100</v>
      </c>
      <c r="F40" s="149">
        <f t="shared" si="5"/>
        <v>77429900.656744391</v>
      </c>
    </row>
    <row r="41" spans="2:7">
      <c r="C41" s="2" t="s">
        <v>515</v>
      </c>
      <c r="D41" s="85">
        <v>601560.83475327992</v>
      </c>
      <c r="E41" s="166">
        <v>2244.0905480000001</v>
      </c>
      <c r="F41" s="149">
        <f t="shared" si="5"/>
        <v>1349956983.3168254</v>
      </c>
      <c r="G41" s="1" t="s">
        <v>529</v>
      </c>
    </row>
    <row r="42" spans="2:7" ht="16" thickBot="1"/>
    <row r="43" spans="2:7" ht="16" thickBot="1">
      <c r="C43" s="2" t="s">
        <v>407</v>
      </c>
      <c r="D43" s="74">
        <v>18284896.419562466</v>
      </c>
      <c r="E43" s="76">
        <f>F43/D43</f>
        <v>500.5658661551912</v>
      </c>
      <c r="F43" s="75">
        <v>9152795013.8162403</v>
      </c>
    </row>
    <row r="44" spans="2:7">
      <c r="B44" s="94" t="s">
        <v>325</v>
      </c>
      <c r="C44" s="1" t="s">
        <v>278</v>
      </c>
      <c r="D44" s="114"/>
      <c r="E44" s="110"/>
      <c r="F44" s="149">
        <v>742509662.39999998</v>
      </c>
      <c r="G44" s="52" t="s">
        <v>225</v>
      </c>
    </row>
    <row r="45" spans="2:7">
      <c r="C45" s="101" t="s">
        <v>156</v>
      </c>
      <c r="D45" s="149">
        <f>SUM(D13:D41)</f>
        <v>18284896.404311556</v>
      </c>
      <c r="E45" s="110">
        <f>F45/D45</f>
        <v>459.95805298882817</v>
      </c>
      <c r="F45" s="149">
        <f>SUM(F13:F41)</f>
        <v>8410285349.2295685</v>
      </c>
      <c r="G45" s="106" t="s">
        <v>156</v>
      </c>
    </row>
    <row r="46" spans="2:7">
      <c r="C46" s="101" t="s">
        <v>157</v>
      </c>
      <c r="D46" s="166">
        <f>D45-D43</f>
        <v>-1.5250910073518753E-2</v>
      </c>
      <c r="E46" s="166"/>
      <c r="F46" s="166">
        <f>F45-(F43-F44)</f>
        <v>-2.1866722106933594</v>
      </c>
      <c r="G46" s="106" t="s">
        <v>157</v>
      </c>
    </row>
    <row r="49" spans="2:13">
      <c r="B49" s="9" t="s">
        <v>531</v>
      </c>
    </row>
    <row r="50" spans="2:13">
      <c r="F50" s="149"/>
      <c r="H50" s="9" t="s">
        <v>219</v>
      </c>
    </row>
    <row r="51" spans="2:13">
      <c r="F51" s="149"/>
      <c r="H51" s="1" t="s">
        <v>220</v>
      </c>
    </row>
    <row r="52" spans="2:13">
      <c r="D52" s="1" t="s">
        <v>534</v>
      </c>
      <c r="E52" s="1" t="s">
        <v>313</v>
      </c>
      <c r="F52" s="1" t="s">
        <v>105</v>
      </c>
      <c r="H52" s="2" t="s">
        <v>216</v>
      </c>
      <c r="I52" s="2" t="s">
        <v>216</v>
      </c>
      <c r="J52" s="2" t="s">
        <v>217</v>
      </c>
    </row>
    <row r="53" spans="2:13">
      <c r="C53" s="1" t="s">
        <v>535</v>
      </c>
      <c r="D53" s="1" t="s">
        <v>536</v>
      </c>
      <c r="E53" s="1" t="s">
        <v>537</v>
      </c>
      <c r="F53" s="1" t="s">
        <v>538</v>
      </c>
      <c r="H53" s="14" t="s">
        <v>218</v>
      </c>
      <c r="I53" s="14" t="s">
        <v>221</v>
      </c>
      <c r="J53" s="14" t="s">
        <v>222</v>
      </c>
    </row>
    <row r="54" spans="2:13">
      <c r="C54" s="2" t="s">
        <v>213</v>
      </c>
      <c r="D54" s="168">
        <v>774299.00656744395</v>
      </c>
      <c r="E54" s="168">
        <v>100</v>
      </c>
      <c r="F54" s="169">
        <v>77429900.656744391</v>
      </c>
      <c r="H54" s="167">
        <f>D54/D$78</f>
        <v>4.2346370985447052E-2</v>
      </c>
      <c r="I54" s="167">
        <f>F54/F$78</f>
        <v>9.2065723624748848E-3</v>
      </c>
      <c r="J54" s="108">
        <f>H54*(H54-I54)</f>
        <v>1.4033502068713866E-3</v>
      </c>
      <c r="K54" s="108" t="s">
        <v>532</v>
      </c>
    </row>
    <row r="55" spans="2:13">
      <c r="C55" s="2" t="s">
        <v>185</v>
      </c>
      <c r="D55" s="168">
        <v>85247.501804277956</v>
      </c>
      <c r="E55" s="168">
        <v>174</v>
      </c>
      <c r="F55" s="169">
        <v>14833065.313944364</v>
      </c>
      <c r="H55" s="167">
        <f>(D55/D$78)+H54</f>
        <v>4.7008552269896475E-2</v>
      </c>
      <c r="I55" s="167">
        <f>(F55/F$78)+I54</f>
        <v>1.0970253937833461E-2</v>
      </c>
      <c r="J55" s="108">
        <f>(H55-H54)*(H55-I55+H54-I54)</f>
        <v>3.2252082891759268E-4</v>
      </c>
      <c r="K55" s="108" t="s">
        <v>533</v>
      </c>
    </row>
    <row r="56" spans="2:13">
      <c r="C56" s="2" t="s">
        <v>571</v>
      </c>
      <c r="D56" s="168">
        <v>3242132.8743127249</v>
      </c>
      <c r="E56" s="168">
        <v>198.66</v>
      </c>
      <c r="F56" s="169">
        <v>644082116.8109659</v>
      </c>
      <c r="H56" s="167">
        <f t="shared" ref="H56:H77" si="6">(D56/D$78)+H55</f>
        <v>0.224320624628602</v>
      </c>
      <c r="I56" s="167">
        <f t="shared" ref="I56:I77" si="7">(F56/F$78)+I55</f>
        <v>8.7552925044226723E-2</v>
      </c>
      <c r="J56" s="108">
        <f t="shared" ref="J56:J77" si="8">(H56-H55)*(H56-I56+H55-I55)</f>
        <v>3.0640589606577825E-2</v>
      </c>
    </row>
    <row r="57" spans="2:13">
      <c r="C57" s="2" t="s">
        <v>571</v>
      </c>
      <c r="D57" s="168">
        <v>700165.75</v>
      </c>
      <c r="E57" s="168">
        <v>213.13263157894801</v>
      </c>
      <c r="F57" s="169">
        <v>149228168.8389478</v>
      </c>
      <c r="H57" s="167">
        <f t="shared" si="6"/>
        <v>0.26261265180327614</v>
      </c>
      <c r="I57" s="167">
        <f t="shared" si="7"/>
        <v>0.10529645723634408</v>
      </c>
      <c r="J57" s="108">
        <f t="shared" si="8"/>
        <v>1.1261068466475854E-2</v>
      </c>
    </row>
    <row r="58" spans="2:13">
      <c r="C58" s="2" t="s">
        <v>569</v>
      </c>
      <c r="D58" s="168">
        <v>3242132.8743127249</v>
      </c>
      <c r="E58" s="168">
        <v>225.29850000000002</v>
      </c>
      <c r="F58" s="169">
        <v>730447673.38334548</v>
      </c>
      <c r="H58" s="167">
        <f t="shared" si="6"/>
        <v>0.4399247241619817</v>
      </c>
      <c r="I58" s="167">
        <f t="shared" si="7"/>
        <v>0.19214816833200371</v>
      </c>
      <c r="J58" s="108">
        <f t="shared" si="8"/>
        <v>7.1827835070363971E-2</v>
      </c>
      <c r="L58" s="28">
        <f>(0.4-H57)/(H58-H57)</f>
        <v>0.77483358222099374</v>
      </c>
      <c r="M58" s="28">
        <f>100*(I57+(L58*(I58-I57)))</f>
        <v>17.259207966661684</v>
      </c>
    </row>
    <row r="59" spans="2:13">
      <c r="C59" s="2" t="s">
        <v>183</v>
      </c>
      <c r="D59" s="168">
        <v>30878.868578946847</v>
      </c>
      <c r="E59" s="168">
        <v>250</v>
      </c>
      <c r="F59" s="169">
        <v>7719717.1447367119</v>
      </c>
      <c r="H59" s="167">
        <f t="shared" si="6"/>
        <v>0.44161348782222676</v>
      </c>
      <c r="I59" s="167">
        <f t="shared" si="7"/>
        <v>0.19306605837071017</v>
      </c>
      <c r="J59" s="108">
        <f t="shared" si="8"/>
        <v>8.3817391005139362E-4</v>
      </c>
      <c r="L59"/>
      <c r="M59" s="28">
        <f>100-M58</f>
        <v>82.740792033338323</v>
      </c>
    </row>
    <row r="60" spans="2:13">
      <c r="C60" s="2" t="s">
        <v>567</v>
      </c>
      <c r="D60" s="168">
        <v>3242132.8743127249</v>
      </c>
      <c r="E60" s="168">
        <v>265.48199999999997</v>
      </c>
      <c r="F60" s="169">
        <v>860727919.73829079</v>
      </c>
      <c r="H60" s="167">
        <f t="shared" si="6"/>
        <v>0.61892556018093225</v>
      </c>
      <c r="I60" s="167">
        <f t="shared" si="7"/>
        <v>0.29540835521289027</v>
      </c>
      <c r="J60" s="108">
        <f t="shared" si="8"/>
        <v>0.10143396585205718</v>
      </c>
      <c r="L60" s="28">
        <f>(SUM(F54:F57)+(L58*F58))/(SUM(D54:D57)+(L58*D58))</f>
        <v>198.46279231187455</v>
      </c>
      <c r="M60" s="28"/>
    </row>
    <row r="61" spans="2:13">
      <c r="C61" s="2" t="s">
        <v>565</v>
      </c>
      <c r="D61" s="168">
        <v>3242132.8743127249</v>
      </c>
      <c r="E61" s="168">
        <v>369.53017499999999</v>
      </c>
      <c r="F61" s="169">
        <v>1198065928.4180343</v>
      </c>
      <c r="H61" s="167">
        <f t="shared" si="6"/>
        <v>0.79623763253963775</v>
      </c>
      <c r="I61" s="167">
        <f t="shared" si="7"/>
        <v>0.43786082604704385</v>
      </c>
      <c r="J61" s="108">
        <f t="shared" si="8"/>
        <v>0.1209080403010762</v>
      </c>
    </row>
    <row r="62" spans="2:13">
      <c r="C62" s="2" t="s">
        <v>569</v>
      </c>
      <c r="D62" s="168">
        <v>700165.75</v>
      </c>
      <c r="E62" s="168">
        <v>383.551578947368</v>
      </c>
      <c r="F62" s="169">
        <v>268549678.93736815</v>
      </c>
      <c r="H62" s="167">
        <f t="shared" si="6"/>
        <v>0.83452965971431192</v>
      </c>
      <c r="I62" s="167">
        <f t="shared" si="7"/>
        <v>0.46979192799972241</v>
      </c>
      <c r="J62" s="108">
        <f t="shared" si="8"/>
        <v>2.7689521547431435E-2</v>
      </c>
      <c r="L62" s="28">
        <f>(0.8-H61)/(H62-H61)</f>
        <v>9.8254590784649598E-2</v>
      </c>
      <c r="M62" s="28">
        <f>100*(I61+(L62*(I62-I61)))</f>
        <v>44.099820340270725</v>
      </c>
    </row>
    <row r="63" spans="2:13">
      <c r="C63" s="2" t="s">
        <v>261</v>
      </c>
      <c r="D63" s="168">
        <v>47497.607345246128</v>
      </c>
      <c r="E63" s="168">
        <v>500</v>
      </c>
      <c r="F63" s="169">
        <v>23748803.672623064</v>
      </c>
      <c r="H63" s="167">
        <f t="shared" si="6"/>
        <v>0.83712730130303026</v>
      </c>
      <c r="I63" s="167">
        <f t="shared" si="7"/>
        <v>0.47261570896391986</v>
      </c>
      <c r="J63" s="108">
        <f t="shared" si="8"/>
        <v>1.8943283727066256E-3</v>
      </c>
      <c r="L63"/>
      <c r="M63" s="28">
        <f>100-M62</f>
        <v>55.900179659729275</v>
      </c>
    </row>
    <row r="64" spans="2:13">
      <c r="C64" s="2" t="s">
        <v>312</v>
      </c>
      <c r="D64" s="168">
        <v>107649.08801146071</v>
      </c>
      <c r="E64" s="168">
        <v>500</v>
      </c>
      <c r="F64" s="169">
        <v>53824544.005730353</v>
      </c>
      <c r="H64" s="167">
        <f t="shared" si="6"/>
        <v>0.84301462413118022</v>
      </c>
      <c r="I64" s="167">
        <f t="shared" si="7"/>
        <v>0.47901555650424865</v>
      </c>
      <c r="J64" s="108">
        <f t="shared" si="8"/>
        <v>4.2889774389686768E-3</v>
      </c>
      <c r="L64" s="28">
        <f>(SUM(F63:F$77)+((1-L62)*F62))/(SUM(D63:D$77)+((1-L62)*D62))</f>
        <v>1285.5868899007392</v>
      </c>
      <c r="M64" s="28"/>
    </row>
    <row r="65" spans="3:13">
      <c r="C65" s="2" t="s">
        <v>168</v>
      </c>
      <c r="D65" s="168">
        <v>490393</v>
      </c>
      <c r="E65" s="168">
        <v>532.72192404763871</v>
      </c>
      <c r="F65" s="169">
        <v>261243102.49949369</v>
      </c>
      <c r="H65" s="167">
        <f t="shared" si="6"/>
        <v>0.86983419090129144</v>
      </c>
      <c r="I65" s="167">
        <f t="shared" si="7"/>
        <v>0.51007789168689799</v>
      </c>
      <c r="J65" s="108">
        <f t="shared" si="8"/>
        <v>1.9410805386227251E-2</v>
      </c>
    </row>
    <row r="66" spans="3:13">
      <c r="C66" s="2" t="s">
        <v>184</v>
      </c>
      <c r="D66" s="168">
        <v>9840</v>
      </c>
      <c r="E66" s="168">
        <v>574.74108811839096</v>
      </c>
      <c r="F66" s="169">
        <v>5655452.3070849674</v>
      </c>
      <c r="H66" s="167">
        <f t="shared" si="6"/>
        <v>0.87037233997156338</v>
      </c>
      <c r="I66" s="167">
        <f t="shared" si="7"/>
        <v>0.51075033644617163</v>
      </c>
      <c r="J66" s="108">
        <f t="shared" si="8"/>
        <v>3.8713276479322348E-4</v>
      </c>
    </row>
    <row r="67" spans="3:13">
      <c r="C67" s="2" t="s">
        <v>567</v>
      </c>
      <c r="D67" s="168">
        <v>700165.75</v>
      </c>
      <c r="E67" s="168">
        <v>616.29473684210598</v>
      </c>
      <c r="F67" s="169">
        <v>431508466.64210576</v>
      </c>
      <c r="H67" s="167">
        <f t="shared" si="6"/>
        <v>0.90866436714623755</v>
      </c>
      <c r="I67" s="167">
        <f t="shared" si="7"/>
        <v>0.56205756904579252</v>
      </c>
      <c r="J67" s="108">
        <f t="shared" si="8"/>
        <v>2.7042932463394113E-2</v>
      </c>
      <c r="L67" s="28">
        <f>(0.9-H66)/(H67-H66)</f>
        <v>0.77372921243595005</v>
      </c>
      <c r="M67" s="28">
        <f>100*(I66+(L67*(I67-I66)))</f>
        <v>55.044824111774439</v>
      </c>
    </row>
    <row r="68" spans="3:13">
      <c r="C68" s="2" t="s">
        <v>167</v>
      </c>
      <c r="D68" s="168">
        <v>71009</v>
      </c>
      <c r="E68" s="168">
        <v>631.14401466210199</v>
      </c>
      <c r="F68" s="169">
        <v>44816905.337141201</v>
      </c>
      <c r="H68" s="167">
        <f t="shared" si="6"/>
        <v>0.91254784553352863</v>
      </c>
      <c r="I68" s="167">
        <f t="shared" si="7"/>
        <v>0.56738639006388636</v>
      </c>
      <c r="J68" s="108">
        <f t="shared" si="8"/>
        <v>2.6864670617535321E-3</v>
      </c>
      <c r="L68"/>
      <c r="M68" s="28">
        <f>100-M67</f>
        <v>44.955175888225561</v>
      </c>
    </row>
    <row r="69" spans="3:13">
      <c r="C69" s="2" t="s">
        <v>171</v>
      </c>
      <c r="D69" s="168">
        <v>141056</v>
      </c>
      <c r="E69" s="168">
        <v>687.87703198041208</v>
      </c>
      <c r="F69" s="169">
        <v>40606782.623029031</v>
      </c>
      <c r="H69" s="167">
        <f t="shared" si="6"/>
        <v>0.92026219057989922</v>
      </c>
      <c r="I69" s="167">
        <f t="shared" si="7"/>
        <v>0.572214618945175</v>
      </c>
      <c r="J69" s="108">
        <f t="shared" si="8"/>
        <v>5.3476536243419418E-3</v>
      </c>
      <c r="L69" s="28">
        <f>(SUM(F68:F$77)+((1-L67)*F67))/(SUM(D68:D$77)+((1-L67)*D67))</f>
        <v>2067.7495173318562</v>
      </c>
      <c r="M69" s="28"/>
    </row>
    <row r="70" spans="3:13">
      <c r="C70" s="2" t="s">
        <v>641</v>
      </c>
      <c r="D70" s="168">
        <v>700165.75</v>
      </c>
      <c r="E70" s="168">
        <v>825.80210526315796</v>
      </c>
      <c r="F70" s="169">
        <v>578198350.38315797</v>
      </c>
      <c r="H70" s="167">
        <f t="shared" si="6"/>
        <v>0.95855421775457339</v>
      </c>
      <c r="I70" s="167">
        <f t="shared" si="7"/>
        <v>0.64096357648632718</v>
      </c>
      <c r="J70" s="108">
        <f t="shared" si="8"/>
        <v>2.5488636536982096E-2</v>
      </c>
      <c r="L70" s="28">
        <f>(0.95-H69)/(H70-H69)</f>
        <v>0.77660577447226198</v>
      </c>
      <c r="M70" s="28">
        <f>100*(I69+(L70*(I70-I69)))</f>
        <v>62.560545636058215</v>
      </c>
    </row>
    <row r="71" spans="3:13">
      <c r="C71" s="2" t="s">
        <v>214</v>
      </c>
      <c r="D71" s="168">
        <v>601560.83475327992</v>
      </c>
      <c r="E71" s="168">
        <v>2244.0905480000001</v>
      </c>
      <c r="F71" s="169">
        <v>1349956983.3168254</v>
      </c>
      <c r="H71" s="167">
        <f t="shared" si="6"/>
        <v>0.99145354742271596</v>
      </c>
      <c r="I71" s="167">
        <f t="shared" si="7"/>
        <v>0.80147620207048642</v>
      </c>
      <c r="J71" s="108">
        <f t="shared" si="8"/>
        <v>1.6698646520822411E-2</v>
      </c>
      <c r="L71"/>
      <c r="M71" s="28">
        <f>100-M70</f>
        <v>37.439454363941785</v>
      </c>
    </row>
    <row r="72" spans="3:13">
      <c r="C72" s="2" t="s">
        <v>579</v>
      </c>
      <c r="D72" s="168">
        <v>105027</v>
      </c>
      <c r="E72" s="168">
        <v>3855.0915764517695</v>
      </c>
      <c r="F72" s="169">
        <v>404888703</v>
      </c>
      <c r="H72" s="167">
        <f t="shared" si="6"/>
        <v>0.99719746839867707</v>
      </c>
      <c r="I72" s="167">
        <f t="shared" si="7"/>
        <v>0.84961829073779782</v>
      </c>
      <c r="J72" s="108">
        <f t="shared" si="8"/>
        <v>1.9388979931074925E-3</v>
      </c>
      <c r="L72" s="28">
        <f>(SUM(F71:F$77)+((1-L70)*F70))/(SUM(D71:D$77)+((1-L70)*D70))</f>
        <v>3444.115706840551</v>
      </c>
      <c r="M72" s="28"/>
    </row>
    <row r="73" spans="3:13">
      <c r="C73" s="2" t="s">
        <v>577</v>
      </c>
      <c r="D73" s="168">
        <v>36086</v>
      </c>
      <c r="E73" s="168">
        <v>5154.814720390179</v>
      </c>
      <c r="F73" s="169">
        <v>186016644</v>
      </c>
      <c r="H73" s="167">
        <f t="shared" si="6"/>
        <v>0.99917100979601803</v>
      </c>
      <c r="I73" s="167">
        <f t="shared" si="7"/>
        <v>0.87173604730322041</v>
      </c>
      <c r="J73" s="108">
        <f t="shared" si="8"/>
        <v>5.4275179044741017E-4</v>
      </c>
      <c r="L73" s="28"/>
      <c r="M73" s="28"/>
    </row>
    <row r="74" spans="3:13">
      <c r="C74" s="2" t="s">
        <v>639</v>
      </c>
      <c r="D74" s="168">
        <v>8152</v>
      </c>
      <c r="E74" s="168">
        <v>23397.473994111875</v>
      </c>
      <c r="F74" s="169">
        <v>190736208</v>
      </c>
      <c r="H74" s="167">
        <f t="shared" si="6"/>
        <v>0.99961684223716207</v>
      </c>
      <c r="I74" s="167">
        <f t="shared" si="7"/>
        <v>0.89441496960845146</v>
      </c>
      <c r="J74" s="108">
        <f t="shared" si="8"/>
        <v>1.0371704810224668E-4</v>
      </c>
    </row>
    <row r="75" spans="3:13">
      <c r="C75" s="2" t="s">
        <v>638</v>
      </c>
      <c r="D75" s="168">
        <v>3895</v>
      </c>
      <c r="E75" s="168">
        <v>58290.66290115533</v>
      </c>
      <c r="F75" s="169">
        <v>227042132</v>
      </c>
      <c r="H75" s="167">
        <f t="shared" si="6"/>
        <v>0.99982985957747805</v>
      </c>
      <c r="I75" s="167">
        <f t="shared" si="7"/>
        <v>0.92141073997441159</v>
      </c>
      <c r="J75" s="108">
        <f t="shared" si="8"/>
        <v>3.9114455391394331E-5</v>
      </c>
    </row>
    <row r="76" spans="3:13">
      <c r="C76" s="2" t="s">
        <v>637</v>
      </c>
      <c r="D76" s="168">
        <v>1944</v>
      </c>
      <c r="E76" s="168">
        <v>170776.39866255145</v>
      </c>
      <c r="F76" s="169">
        <v>331989319</v>
      </c>
      <c r="H76" s="167">
        <f t="shared" si="6"/>
        <v>0.99993617683282443</v>
      </c>
      <c r="I76" s="167">
        <f t="shared" si="7"/>
        <v>0.96088494390619761</v>
      </c>
      <c r="J76" s="108">
        <f t="shared" si="8"/>
        <v>1.2489125465528383E-5</v>
      </c>
    </row>
    <row r="77" spans="3:13">
      <c r="C77" s="2" t="s">
        <v>539</v>
      </c>
      <c r="D77" s="168">
        <v>1167</v>
      </c>
      <c r="E77" s="168">
        <v>281892.70197086548</v>
      </c>
      <c r="F77" s="169">
        <v>328968783.20000005</v>
      </c>
      <c r="H77" s="167">
        <f t="shared" si="6"/>
        <v>1</v>
      </c>
      <c r="I77" s="167">
        <f t="shared" si="7"/>
        <v>1.0000000000000002</v>
      </c>
      <c r="J77" s="108">
        <f t="shared" si="8"/>
        <v>2.4923733674881964E-6</v>
      </c>
    </row>
    <row r="78" spans="3:13">
      <c r="D78" s="168">
        <f>SUM(D54:D77)</f>
        <v>18284896.404311556</v>
      </c>
      <c r="E78" s="156">
        <f>F78/D78</f>
        <v>459.95805298882823</v>
      </c>
      <c r="F78" s="168">
        <f>SUM(F54:F77)</f>
        <v>8410285349.2295694</v>
      </c>
    </row>
    <row r="79" spans="3:13" ht="16" thickBot="1"/>
    <row r="80" spans="3:13" ht="16" thickBot="1">
      <c r="D80" s="1" t="s">
        <v>223</v>
      </c>
      <c r="E80" s="107">
        <f>SUM(J54:J77)</f>
        <v>0.47221010874569425</v>
      </c>
      <c r="F80" s="114" t="s">
        <v>146</v>
      </c>
    </row>
    <row r="81" spans="4:7">
      <c r="E81" s="2" t="s">
        <v>138</v>
      </c>
      <c r="F81" s="114" t="s">
        <v>139</v>
      </c>
    </row>
    <row r="82" spans="4:7">
      <c r="D82" s="2" t="s">
        <v>140</v>
      </c>
      <c r="E82" s="110">
        <v>20.561551425275383</v>
      </c>
      <c r="F82" s="110">
        <v>9457.4511599993311</v>
      </c>
    </row>
    <row r="83" spans="4:7">
      <c r="D83" s="2" t="s">
        <v>141</v>
      </c>
      <c r="E83" s="110">
        <v>37.439454363941785</v>
      </c>
      <c r="F83" s="110">
        <v>3444.115706840551</v>
      </c>
    </row>
    <row r="84" spans="4:7">
      <c r="D84" s="2" t="s">
        <v>142</v>
      </c>
      <c r="E84" s="110">
        <v>44.955175888225561</v>
      </c>
      <c r="F84" s="110">
        <v>2067.7495173318562</v>
      </c>
    </row>
    <row r="85" spans="4:7">
      <c r="D85" s="2" t="s">
        <v>143</v>
      </c>
      <c r="E85" s="110">
        <v>55.900179659729275</v>
      </c>
      <c r="F85" s="110">
        <v>1285.5868899007392</v>
      </c>
    </row>
    <row r="86" spans="4:7">
      <c r="D86" s="2" t="s">
        <v>144</v>
      </c>
      <c r="E86" s="110">
        <f>100-E85-E87</f>
        <v>26.840612373609041</v>
      </c>
      <c r="F86" s="110">
        <v>308.63889261168691</v>
      </c>
      <c r="G86" s="28">
        <f>(E89-(F85*0.2)-(F87*0.4))/0.4</f>
        <v>308.63889261168691</v>
      </c>
    </row>
    <row r="87" spans="4:7">
      <c r="D87" s="2" t="s">
        <v>145</v>
      </c>
      <c r="E87" s="110">
        <v>17.259207966661684</v>
      </c>
      <c r="F87" s="110">
        <v>198.46279231187455</v>
      </c>
    </row>
    <row r="88" spans="4:7">
      <c r="E88" s="110"/>
      <c r="F88" s="110"/>
    </row>
    <row r="89" spans="4:7">
      <c r="D89" s="2" t="s">
        <v>147</v>
      </c>
      <c r="E89" s="110">
        <v>459.95805194957245</v>
      </c>
      <c r="F89" s="149"/>
    </row>
    <row r="90" spans="4:7">
      <c r="D90" s="2" t="s">
        <v>148</v>
      </c>
      <c r="E90" s="110">
        <v>533</v>
      </c>
      <c r="F90" s="149"/>
    </row>
    <row r="91" spans="4:7">
      <c r="D91" s="1" t="s">
        <v>640</v>
      </c>
    </row>
  </sheetData>
  <sheetCalcPr fullCalcOnLoad="1"/>
  <sortState ref="C55:F78">
    <sortCondition ref="E55:E78"/>
  </sortState>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86"/>
  <sheetViews>
    <sheetView topLeftCell="A51" workbookViewId="0">
      <selection activeCell="L76" sqref="L76"/>
    </sheetView>
  </sheetViews>
  <sheetFormatPr baseColWidth="10" defaultRowHeight="15"/>
  <cols>
    <col min="1" max="2" width="10.7109375" style="1"/>
    <col min="3" max="3" width="29" style="1" customWidth="1"/>
    <col min="4" max="4" width="10.7109375" style="1"/>
    <col min="5" max="5" width="13.42578125" style="1" customWidth="1"/>
    <col min="6" max="6" width="14.28515625" style="1" customWidth="1"/>
    <col min="7" max="16384" width="10.7109375" style="1"/>
  </cols>
  <sheetData>
    <row r="1" spans="1:12" ht="17">
      <c r="C1" s="8" t="s">
        <v>545</v>
      </c>
    </row>
    <row r="3" spans="1:12">
      <c r="C3" s="1" t="s">
        <v>69</v>
      </c>
    </row>
    <row r="4" spans="1:12">
      <c r="A4" s="52"/>
      <c r="C4" s="1" t="s">
        <v>483</v>
      </c>
    </row>
    <row r="5" spans="1:12">
      <c r="A5" s="52"/>
      <c r="C5" s="1" t="s">
        <v>24</v>
      </c>
    </row>
    <row r="6" spans="1:12">
      <c r="A6" s="52"/>
      <c r="C6" s="1" t="s">
        <v>23</v>
      </c>
    </row>
    <row r="7" spans="1:12">
      <c r="A7" s="52"/>
      <c r="C7" s="1" t="s">
        <v>38</v>
      </c>
    </row>
    <row r="8" spans="1:12">
      <c r="A8" s="52"/>
      <c r="C8" s="1" t="s">
        <v>58</v>
      </c>
    </row>
    <row r="9" spans="1:12">
      <c r="A9" s="52"/>
      <c r="C9" s="1" t="s">
        <v>56</v>
      </c>
    </row>
    <row r="10" spans="1:12">
      <c r="A10" s="52"/>
      <c r="C10" s="1" t="s">
        <v>39</v>
      </c>
    </row>
    <row r="11" spans="1:12">
      <c r="A11" s="52"/>
      <c r="C11" s="1" t="s">
        <v>40</v>
      </c>
    </row>
    <row r="12" spans="1:12">
      <c r="A12" s="52"/>
      <c r="F12" s="169"/>
    </row>
    <row r="13" spans="1:12" ht="16" thickBot="1">
      <c r="A13" s="52"/>
      <c r="F13" s="169"/>
      <c r="G13" s="1" t="s">
        <v>134</v>
      </c>
    </row>
    <row r="14" spans="1:12" ht="16" thickBot="1">
      <c r="A14" s="52"/>
      <c r="C14" s="2" t="s">
        <v>435</v>
      </c>
      <c r="D14" s="74">
        <v>18284896.419562466</v>
      </c>
      <c r="E14" s="76">
        <f>1000000*F14/D14</f>
        <v>500.56586615519143</v>
      </c>
      <c r="F14" s="112">
        <v>9152.7950138162432</v>
      </c>
      <c r="G14" s="1" t="s">
        <v>133</v>
      </c>
    </row>
    <row r="15" spans="1:12">
      <c r="A15" s="52"/>
      <c r="D15" s="1" t="s">
        <v>315</v>
      </c>
      <c r="E15" s="2" t="s">
        <v>314</v>
      </c>
      <c r="F15" s="165" t="s">
        <v>316</v>
      </c>
      <c r="G15" s="1" t="s">
        <v>268</v>
      </c>
      <c r="L15" s="169"/>
    </row>
    <row r="16" spans="1:12">
      <c r="A16" s="52"/>
      <c r="B16" s="14" t="s">
        <v>478</v>
      </c>
      <c r="C16" s="45" t="s">
        <v>551</v>
      </c>
      <c r="D16" s="45" t="s">
        <v>479</v>
      </c>
      <c r="E16" s="14" t="s">
        <v>465</v>
      </c>
      <c r="F16" s="115" t="s">
        <v>480</v>
      </c>
      <c r="G16" s="45" t="s">
        <v>481</v>
      </c>
    </row>
    <row r="17" spans="1:13">
      <c r="A17" s="52"/>
      <c r="B17" s="157" t="s">
        <v>70</v>
      </c>
      <c r="C17" s="20"/>
      <c r="D17" s="20">
        <v>148343</v>
      </c>
      <c r="E17" s="40">
        <v>11255.278571958232</v>
      </c>
      <c r="F17" s="69">
        <v>1669641789.2</v>
      </c>
      <c r="G17" s="20" t="s">
        <v>71</v>
      </c>
    </row>
    <row r="18" spans="1:13">
      <c r="A18" s="52"/>
      <c r="B18" s="14"/>
      <c r="C18" s="2"/>
      <c r="D18" s="169"/>
      <c r="E18" s="148"/>
    </row>
    <row r="19" spans="1:13">
      <c r="A19" s="52"/>
      <c r="B19" s="157" t="s">
        <v>582</v>
      </c>
      <c r="C19" s="2"/>
      <c r="D19" s="169"/>
      <c r="E19" s="148"/>
      <c r="J19" s="169"/>
    </row>
    <row r="20" spans="1:13">
      <c r="A20" s="52"/>
      <c r="B20" s="26" t="s">
        <v>454</v>
      </c>
      <c r="C20" s="50" t="s">
        <v>402</v>
      </c>
      <c r="D20" s="164">
        <f>58828+20109</f>
        <v>78937</v>
      </c>
      <c r="E20" s="72">
        <v>631.14401466210199</v>
      </c>
      <c r="F20" s="169">
        <f t="shared" ref="F20:F22" si="0">D20*E20</f>
        <v>49820615.085382342</v>
      </c>
      <c r="G20" s="52" t="s">
        <v>55</v>
      </c>
      <c r="I20" s="52"/>
    </row>
    <row r="21" spans="1:13">
      <c r="A21" s="52"/>
      <c r="B21" s="26" t="s">
        <v>454</v>
      </c>
      <c r="C21" s="52" t="s">
        <v>470</v>
      </c>
      <c r="D21" s="164">
        <v>141056</v>
      </c>
      <c r="E21" s="148">
        <f>400+287.877031980412</f>
        <v>687.87703198041208</v>
      </c>
      <c r="F21" s="169">
        <v>40606782.623029031</v>
      </c>
      <c r="G21" s="52" t="s">
        <v>563</v>
      </c>
      <c r="I21" s="52"/>
    </row>
    <row r="22" spans="1:13">
      <c r="A22" s="52"/>
      <c r="B22" s="26" t="s">
        <v>454</v>
      </c>
      <c r="C22" s="50" t="s">
        <v>576</v>
      </c>
      <c r="D22" s="164">
        <v>490393</v>
      </c>
      <c r="E22" s="72">
        <f>412.962731819875 *1.156</f>
        <v>477.38491798377544</v>
      </c>
      <c r="F22" s="169">
        <f t="shared" si="0"/>
        <v>234106222.08481759</v>
      </c>
      <c r="G22" s="52" t="s">
        <v>57</v>
      </c>
    </row>
    <row r="23" spans="1:13">
      <c r="A23" s="52"/>
      <c r="B23" s="90" t="s">
        <v>564</v>
      </c>
      <c r="D23" s="165"/>
      <c r="E23" s="169"/>
      <c r="F23" s="169"/>
      <c r="G23" s="52"/>
    </row>
    <row r="24" spans="1:13">
      <c r="A24" s="52"/>
      <c r="B24" s="90"/>
      <c r="C24" s="1" t="s">
        <v>566</v>
      </c>
      <c r="D24" s="165">
        <v>3242132.8743127249</v>
      </c>
      <c r="E24" s="168">
        <f>340.3*(81.845/58.5)</f>
        <v>476.10005982905983</v>
      </c>
      <c r="F24" s="169">
        <f t="shared" ref="F24:F27" si="1">D24*E24</f>
        <v>1543579655.4340501</v>
      </c>
      <c r="G24" s="52" t="s">
        <v>53</v>
      </c>
    </row>
    <row r="25" spans="1:13">
      <c r="A25" s="52"/>
      <c r="B25" s="90"/>
      <c r="C25" s="1" t="s">
        <v>568</v>
      </c>
      <c r="D25" s="165">
        <v>3242132.8743127249</v>
      </c>
      <c r="E25" s="168">
        <f>340.3*(58.8/58.5)</f>
        <v>342.04512820512821</v>
      </c>
      <c r="F25" s="169">
        <f t="shared" si="1"/>
        <v>1108955754.6523569</v>
      </c>
      <c r="G25" s="52" t="s">
        <v>1</v>
      </c>
    </row>
    <row r="26" spans="1:13">
      <c r="A26" s="52"/>
      <c r="B26" s="90"/>
      <c r="C26" s="1" t="s">
        <v>570</v>
      </c>
      <c r="D26" s="165">
        <v>3242132.8743127249</v>
      </c>
      <c r="E26" s="168">
        <f>340.3*(49.9/58.5)</f>
        <v>290.27299145299145</v>
      </c>
      <c r="F26" s="169">
        <f t="shared" si="1"/>
        <v>941103608.11484015</v>
      </c>
      <c r="G26" s="52" t="s">
        <v>2</v>
      </c>
    </row>
    <row r="27" spans="1:13">
      <c r="A27" s="52"/>
      <c r="B27" s="90"/>
      <c r="C27" s="1" t="s">
        <v>572</v>
      </c>
      <c r="D27" s="165">
        <v>3242132.8743127249</v>
      </c>
      <c r="E27" s="168">
        <f>340.3*(44/58.5)</f>
        <v>255.95213675213677</v>
      </c>
      <c r="F27" s="169">
        <f t="shared" si="1"/>
        <v>829830836.8146888</v>
      </c>
      <c r="G27" s="52" t="s">
        <v>3</v>
      </c>
    </row>
    <row r="28" spans="1:13">
      <c r="A28" s="52"/>
      <c r="B28" s="52"/>
      <c r="C28" s="52"/>
      <c r="D28" s="160"/>
      <c r="E28" s="161"/>
      <c r="F28" s="116"/>
      <c r="G28" s="52"/>
      <c r="H28" s="52"/>
      <c r="I28" s="52"/>
      <c r="J28" s="52"/>
      <c r="K28" s="52"/>
      <c r="L28" s="52"/>
      <c r="M28" s="52"/>
    </row>
    <row r="29" spans="1:13">
      <c r="A29" s="52"/>
      <c r="B29" s="97" t="s">
        <v>530</v>
      </c>
      <c r="C29" s="52"/>
      <c r="D29" s="160"/>
      <c r="E29" s="161"/>
      <c r="F29" s="116"/>
      <c r="G29" s="52"/>
      <c r="H29" s="52"/>
      <c r="I29" s="52"/>
      <c r="J29" s="116"/>
    </row>
    <row r="30" spans="1:13">
      <c r="A30" s="52"/>
      <c r="C30" s="1" t="s">
        <v>642</v>
      </c>
      <c r="D30" s="85">
        <v>700165.75</v>
      </c>
      <c r="E30" s="168">
        <f>2*412.901052631579</f>
        <v>825.80210526315796</v>
      </c>
      <c r="F30" s="169">
        <f t="shared" ref="F30:F33" si="2">D30*E30</f>
        <v>578198350.38315797</v>
      </c>
      <c r="G30" s="168" t="s">
        <v>643</v>
      </c>
    </row>
    <row r="31" spans="1:13">
      <c r="A31" s="52"/>
      <c r="C31" s="1" t="s">
        <v>568</v>
      </c>
      <c r="D31" s="85">
        <v>700165.75</v>
      </c>
      <c r="E31" s="168">
        <f>2*308.147368421053</f>
        <v>616.29473684210598</v>
      </c>
      <c r="F31" s="169">
        <f t="shared" si="2"/>
        <v>431508466.64210576</v>
      </c>
      <c r="G31" s="168" t="s">
        <v>560</v>
      </c>
    </row>
    <row r="32" spans="1:13">
      <c r="A32" s="52"/>
      <c r="C32" s="1" t="s">
        <v>570</v>
      </c>
      <c r="D32" s="85">
        <v>700165.75</v>
      </c>
      <c r="E32" s="168">
        <f>2*191.775789473684</f>
        <v>383.551578947368</v>
      </c>
      <c r="F32" s="169">
        <f t="shared" si="2"/>
        <v>268549678.93736815</v>
      </c>
      <c r="G32" s="168" t="s">
        <v>561</v>
      </c>
    </row>
    <row r="33" spans="1:7">
      <c r="A33" s="52"/>
      <c r="C33" s="1" t="s">
        <v>572</v>
      </c>
      <c r="D33" s="85">
        <v>700165.75</v>
      </c>
      <c r="E33" s="168">
        <f>2*106.566315789474</f>
        <v>213.13263157894801</v>
      </c>
      <c r="F33" s="169">
        <f t="shared" si="2"/>
        <v>149228168.8389478</v>
      </c>
      <c r="G33" s="168" t="s">
        <v>562</v>
      </c>
    </row>
    <row r="34" spans="1:7">
      <c r="A34" s="52"/>
      <c r="C34" s="50" t="s">
        <v>436</v>
      </c>
      <c r="D34" s="85">
        <v>30878.868578946847</v>
      </c>
      <c r="E34" s="1">
        <v>250</v>
      </c>
      <c r="F34" s="116">
        <f>E34*D34</f>
        <v>7719717.1447367119</v>
      </c>
    </row>
    <row r="35" spans="1:7">
      <c r="A35" s="52"/>
      <c r="C35" s="50" t="s">
        <v>505</v>
      </c>
      <c r="D35" s="164">
        <v>9840</v>
      </c>
      <c r="E35" s="72">
        <v>574.74108811839096</v>
      </c>
      <c r="F35" s="116">
        <f t="shared" ref="F35:F36" si="3">E35*D35</f>
        <v>5655452.3070849674</v>
      </c>
      <c r="G35" s="52" t="s">
        <v>153</v>
      </c>
    </row>
    <row r="36" spans="1:7">
      <c r="A36" s="52"/>
      <c r="C36" s="50" t="s">
        <v>457</v>
      </c>
      <c r="D36" s="85">
        <v>85247.501804277956</v>
      </c>
      <c r="E36" s="1">
        <v>174</v>
      </c>
      <c r="F36" s="116">
        <f t="shared" si="3"/>
        <v>14833065.313944364</v>
      </c>
      <c r="G36" s="1" t="s">
        <v>152</v>
      </c>
    </row>
    <row r="37" spans="1:7">
      <c r="A37" s="52"/>
      <c r="C37" s="2" t="s">
        <v>258</v>
      </c>
      <c r="D37" s="85">
        <v>47497.607345246128</v>
      </c>
      <c r="E37" s="1">
        <v>500</v>
      </c>
      <c r="F37" s="169">
        <f>D37*E37</f>
        <v>23748803.672623064</v>
      </c>
    </row>
    <row r="38" spans="1:7">
      <c r="A38" s="52"/>
      <c r="C38" s="1" t="s">
        <v>312</v>
      </c>
      <c r="D38" s="89">
        <v>107649.08801146071</v>
      </c>
      <c r="E38" s="1">
        <v>500</v>
      </c>
      <c r="F38" s="169">
        <f t="shared" ref="F38:F40" si="4">D38*E38</f>
        <v>53824544.005730353</v>
      </c>
    </row>
    <row r="39" spans="1:7">
      <c r="A39" s="52"/>
      <c r="C39" s="2" t="s">
        <v>514</v>
      </c>
      <c r="D39" s="85">
        <v>774299.00656744395</v>
      </c>
      <c r="E39" s="1">
        <v>100</v>
      </c>
      <c r="F39" s="169">
        <f t="shared" si="4"/>
        <v>77429900.656744391</v>
      </c>
    </row>
    <row r="40" spans="1:7">
      <c r="A40" s="52"/>
      <c r="C40" s="2" t="s">
        <v>515</v>
      </c>
      <c r="D40" s="85">
        <v>601560.83475327992</v>
      </c>
      <c r="E40" s="168">
        <f>2244.090548-1609.169</f>
        <v>634.92154800000003</v>
      </c>
      <c r="F40" s="169">
        <f t="shared" si="4"/>
        <v>381943936.41772473</v>
      </c>
      <c r="G40" s="1" t="s">
        <v>529</v>
      </c>
    </row>
    <row r="41" spans="1:7" ht="16" thickBot="1">
      <c r="A41" s="52"/>
    </row>
    <row r="42" spans="1:7" ht="16" thickBot="1">
      <c r="A42" s="52"/>
      <c r="C42" s="2" t="s">
        <v>407</v>
      </c>
      <c r="D42" s="74">
        <v>18284896.419562466</v>
      </c>
      <c r="E42" s="76">
        <f>F42/D42</f>
        <v>500.5658661551912</v>
      </c>
      <c r="F42" s="112">
        <v>9152795013.8162403</v>
      </c>
    </row>
    <row r="43" spans="1:7">
      <c r="A43" s="52"/>
      <c r="B43" s="94" t="s">
        <v>325</v>
      </c>
      <c r="C43" s="1" t="s">
        <v>278</v>
      </c>
      <c r="D43" s="165"/>
      <c r="E43" s="156"/>
      <c r="F43" s="169">
        <v>742509662.39999998</v>
      </c>
      <c r="G43" s="52" t="s">
        <v>225</v>
      </c>
    </row>
    <row r="44" spans="1:7">
      <c r="A44" s="52"/>
      <c r="C44" s="101" t="s">
        <v>156</v>
      </c>
      <c r="D44" s="169">
        <f>SUM(D17:D40)</f>
        <v>18284896.404311556</v>
      </c>
      <c r="E44" s="156">
        <f>F44/D44</f>
        <v>459.95805293959438</v>
      </c>
      <c r="F44" s="169">
        <f>SUM(F17:F40)</f>
        <v>8410285348.3293333</v>
      </c>
      <c r="G44" s="106" t="s">
        <v>156</v>
      </c>
    </row>
    <row r="45" spans="1:7">
      <c r="A45" s="52"/>
      <c r="C45" s="101" t="s">
        <v>157</v>
      </c>
      <c r="D45" s="168">
        <f>D44-D42</f>
        <v>-1.5250910073518753E-2</v>
      </c>
      <c r="E45" s="168"/>
      <c r="F45" s="168">
        <f>F44-(F42-F43)</f>
        <v>-3.0869073867797852</v>
      </c>
      <c r="G45" s="106" t="s">
        <v>157</v>
      </c>
    </row>
    <row r="46" spans="1:7">
      <c r="A46" s="52"/>
    </row>
    <row r="47" spans="1:7">
      <c r="A47" s="52"/>
    </row>
    <row r="48" spans="1:7">
      <c r="A48" s="52"/>
      <c r="B48" s="9" t="s">
        <v>531</v>
      </c>
    </row>
    <row r="49" spans="1:13">
      <c r="A49" s="52"/>
      <c r="B49" s="9"/>
    </row>
    <row r="50" spans="1:13">
      <c r="A50" s="52"/>
      <c r="B50" s="9"/>
    </row>
    <row r="51" spans="1:13">
      <c r="A51" s="52"/>
      <c r="F51" s="169"/>
      <c r="H51" s="9" t="s">
        <v>219</v>
      </c>
    </row>
    <row r="52" spans="1:13">
      <c r="A52" s="52"/>
      <c r="F52" s="169"/>
      <c r="H52" s="1" t="s">
        <v>220</v>
      </c>
    </row>
    <row r="53" spans="1:13">
      <c r="A53" s="52"/>
      <c r="D53" s="2" t="s">
        <v>534</v>
      </c>
      <c r="E53" s="2" t="s">
        <v>313</v>
      </c>
      <c r="F53" s="2" t="s">
        <v>105</v>
      </c>
      <c r="H53" s="2" t="s">
        <v>216</v>
      </c>
      <c r="I53" s="2" t="s">
        <v>216</v>
      </c>
      <c r="J53" s="2" t="s">
        <v>217</v>
      </c>
    </row>
    <row r="54" spans="1:13">
      <c r="A54" s="52"/>
      <c r="C54" s="45" t="s">
        <v>535</v>
      </c>
      <c r="D54" s="14" t="s">
        <v>536</v>
      </c>
      <c r="E54" s="14" t="s">
        <v>537</v>
      </c>
      <c r="F54" s="14" t="s">
        <v>538</v>
      </c>
      <c r="H54" s="14" t="s">
        <v>218</v>
      </c>
      <c r="I54" s="14" t="s">
        <v>221</v>
      </c>
      <c r="J54" s="14" t="s">
        <v>222</v>
      </c>
    </row>
    <row r="55" spans="1:13">
      <c r="A55" s="52"/>
      <c r="C55" s="1" t="s">
        <v>213</v>
      </c>
      <c r="D55" s="170">
        <v>774299.00656744395</v>
      </c>
      <c r="E55" s="170">
        <v>100</v>
      </c>
      <c r="F55" s="171">
        <v>77429900.656744391</v>
      </c>
      <c r="H55" s="167">
        <f>D55/D$74</f>
        <v>4.2346370985447052E-2</v>
      </c>
      <c r="I55" s="167">
        <f>F55/F$74</f>
        <v>9.206572363460357E-3</v>
      </c>
      <c r="J55" s="108">
        <f>H55*(H55-I55)</f>
        <v>1.4033502068296557E-3</v>
      </c>
      <c r="K55" s="108" t="s">
        <v>532</v>
      </c>
    </row>
    <row r="56" spans="1:13">
      <c r="A56" s="52"/>
      <c r="C56" s="1" t="s">
        <v>185</v>
      </c>
      <c r="D56" s="170">
        <v>85247.501804277956</v>
      </c>
      <c r="E56" s="170">
        <v>174</v>
      </c>
      <c r="F56" s="171">
        <v>14833065.313944364</v>
      </c>
      <c r="H56" s="167">
        <f>(D56/D$74)+H55</f>
        <v>4.7008552269896475E-2</v>
      </c>
      <c r="I56" s="167">
        <f>(F56/F$74)+I55</f>
        <v>1.0970253939007718E-2</v>
      </c>
      <c r="J56" s="108">
        <f>(H56-H55)*(H56-I56+H55-I55)</f>
        <v>3.2252082890752364E-4</v>
      </c>
      <c r="K56" s="108" t="s">
        <v>533</v>
      </c>
    </row>
    <row r="57" spans="1:13">
      <c r="A57" s="52"/>
      <c r="C57" s="1" t="s">
        <v>571</v>
      </c>
      <c r="D57" s="170">
        <v>700165.75</v>
      </c>
      <c r="E57" s="170">
        <v>213.13263157894801</v>
      </c>
      <c r="F57" s="171">
        <v>149228168.8389478</v>
      </c>
      <c r="H57" s="167">
        <f t="shared" ref="H57:H73" si="5">(D57/D$74)+H56</f>
        <v>8.5300579444570646E-2</v>
      </c>
      <c r="I57" s="167">
        <f t="shared" ref="I57:I73" si="6">(F57/F$74)+I56</f>
        <v>2.871378613302434E-2</v>
      </c>
      <c r="J57" s="108">
        <f t="shared" ref="J57:J73" si="7">(H57-H56)*(H57-I57+H56-I56)</f>
        <v>3.5468025262288092E-3</v>
      </c>
    </row>
    <row r="58" spans="1:13">
      <c r="A58" s="52"/>
      <c r="C58" s="1" t="s">
        <v>183</v>
      </c>
      <c r="D58" s="170">
        <v>30878.868578946847</v>
      </c>
      <c r="E58" s="170">
        <v>250</v>
      </c>
      <c r="F58" s="171">
        <v>7719717.1447367119</v>
      </c>
      <c r="H58" s="167">
        <f t="shared" si="5"/>
        <v>8.6989343104815708E-2</v>
      </c>
      <c r="I58" s="167">
        <f t="shared" si="6"/>
        <v>2.963167617182905E-2</v>
      </c>
      <c r="J58" s="108">
        <f t="shared" si="7"/>
        <v>1.9242526374720556E-4</v>
      </c>
    </row>
    <row r="59" spans="1:13">
      <c r="A59" s="52"/>
      <c r="C59" s="1" t="s">
        <v>571</v>
      </c>
      <c r="D59" s="170">
        <v>3242132.8743127249</v>
      </c>
      <c r="E59" s="170">
        <v>255.95213675213677</v>
      </c>
      <c r="F59" s="171">
        <v>829830836.8146888</v>
      </c>
      <c r="H59" s="167">
        <f t="shared" si="5"/>
        <v>0.26430141546352126</v>
      </c>
      <c r="I59" s="167">
        <f t="shared" si="6"/>
        <v>0.12830024714719213</v>
      </c>
      <c r="J59" s="108">
        <f t="shared" si="7"/>
        <v>3.4284855786921711E-2</v>
      </c>
    </row>
    <row r="60" spans="1:13">
      <c r="A60" s="52"/>
      <c r="C60" s="1" t="s">
        <v>569</v>
      </c>
      <c r="D60" s="170">
        <v>3242132.8743127249</v>
      </c>
      <c r="E60" s="170">
        <v>290.27299145299145</v>
      </c>
      <c r="F60" s="171">
        <v>941103608.11484015</v>
      </c>
      <c r="H60" s="167">
        <f t="shared" si="5"/>
        <v>0.44161348782222676</v>
      </c>
      <c r="I60" s="167">
        <f t="shared" si="6"/>
        <v>0.2401993765033425</v>
      </c>
      <c r="J60" s="108">
        <f t="shared" si="7"/>
        <v>5.9827802477611804E-2</v>
      </c>
      <c r="L60" s="28">
        <f>(0.4-H59)/(H60-H59)</f>
        <v>0.76530933698613646</v>
      </c>
      <c r="M60" s="28">
        <f>100*(I59+(L60*(I60-I59)))</f>
        <v>21.39376956440735</v>
      </c>
    </row>
    <row r="61" spans="1:13">
      <c r="A61" s="52"/>
      <c r="C61" s="1" t="s">
        <v>567</v>
      </c>
      <c r="D61" s="170">
        <v>3242132.8743127249</v>
      </c>
      <c r="E61" s="170">
        <v>342.04512820512821</v>
      </c>
      <c r="F61" s="171">
        <v>1108955754.6523569</v>
      </c>
      <c r="H61" s="167">
        <f t="shared" si="5"/>
        <v>0.61892556018093225</v>
      </c>
      <c r="I61" s="167">
        <f t="shared" si="6"/>
        <v>0.37205646680678223</v>
      </c>
      <c r="J61" s="108">
        <f t="shared" si="7"/>
        <v>7.9486024027723687E-2</v>
      </c>
      <c r="L61"/>
      <c r="M61" s="28">
        <f>100-M60</f>
        <v>78.60623043559265</v>
      </c>
    </row>
    <row r="62" spans="1:13">
      <c r="A62" s="52"/>
      <c r="C62" s="1" t="s">
        <v>569</v>
      </c>
      <c r="D62" s="170">
        <v>700165.75</v>
      </c>
      <c r="E62" s="170">
        <v>383.551578947368</v>
      </c>
      <c r="F62" s="171">
        <v>268549678.93736815</v>
      </c>
      <c r="H62" s="167">
        <f t="shared" si="5"/>
        <v>0.65721758735560643</v>
      </c>
      <c r="I62" s="167">
        <f t="shared" si="6"/>
        <v>0.40398756876287867</v>
      </c>
      <c r="J62" s="108">
        <f t="shared" si="7"/>
        <v>1.9149808785466106E-2</v>
      </c>
      <c r="L62" s="28">
        <f>(SUM(F55:F59)+(L60*F60))/(SUM(D55:D59)+(L60*D60))</f>
        <v>246.00591484707891</v>
      </c>
      <c r="M62" s="28"/>
    </row>
    <row r="63" spans="1:13">
      <c r="A63" s="52"/>
      <c r="C63" s="1" t="s">
        <v>565</v>
      </c>
      <c r="D63" s="170">
        <v>3242132.8743127249</v>
      </c>
      <c r="E63" s="170">
        <v>476.10005982905983</v>
      </c>
      <c r="F63" s="171">
        <v>1543579655.4340501</v>
      </c>
      <c r="H63" s="167">
        <f t="shared" si="5"/>
        <v>0.83452965971431192</v>
      </c>
      <c r="I63" s="167">
        <f t="shared" si="6"/>
        <v>0.58752232311466479</v>
      </c>
      <c r="J63" s="108">
        <f t="shared" si="7"/>
        <v>8.8698122120397835E-2</v>
      </c>
      <c r="L63" s="28">
        <f>(0.8-H62)/(H63-H62)</f>
        <v>0.80526052594739428</v>
      </c>
      <c r="M63" s="28">
        <f>100*(I62+(L63*(I63-I62)))</f>
        <v>55.178086158182381</v>
      </c>
    </row>
    <row r="64" spans="1:13">
      <c r="A64" s="52"/>
      <c r="C64" s="1" t="s">
        <v>168</v>
      </c>
      <c r="D64" s="170">
        <v>490393</v>
      </c>
      <c r="E64" s="170">
        <v>477.38491798377544</v>
      </c>
      <c r="F64" s="171">
        <v>234106222.08481759</v>
      </c>
      <c r="H64" s="167">
        <f t="shared" si="5"/>
        <v>0.86134922648442314</v>
      </c>
      <c r="I64" s="167">
        <f t="shared" si="6"/>
        <v>0.61535802813403395</v>
      </c>
      <c r="J64" s="108">
        <f t="shared" si="7"/>
        <v>1.3222007125659503E-2</v>
      </c>
      <c r="L64"/>
      <c r="M64" s="28">
        <f>100-M63</f>
        <v>44.821913841817619</v>
      </c>
    </row>
    <row r="65" spans="1:13">
      <c r="A65" s="52"/>
      <c r="C65" s="1" t="s">
        <v>261</v>
      </c>
      <c r="D65" s="170">
        <v>47497.607345246128</v>
      </c>
      <c r="E65" s="170">
        <v>500</v>
      </c>
      <c r="F65" s="171">
        <v>23748803.672623064</v>
      </c>
      <c r="H65" s="167">
        <f t="shared" si="5"/>
        <v>0.86394686807314147</v>
      </c>
      <c r="I65" s="167">
        <f t="shared" si="6"/>
        <v>0.6181818090985336</v>
      </c>
      <c r="J65" s="108">
        <f t="shared" si="7"/>
        <v>1.277406505539888E-3</v>
      </c>
      <c r="L65" s="28">
        <f>(SUM(F64:F$73)+((1-L63)*F63))/(SUM(D64:D$73)+((1-L63)*D63))</f>
        <v>1030.8100109854349</v>
      </c>
      <c r="M65" s="28"/>
    </row>
    <row r="66" spans="1:13">
      <c r="A66" s="52"/>
      <c r="C66" s="1" t="s">
        <v>312</v>
      </c>
      <c r="D66" s="170">
        <v>107649.08801146071</v>
      </c>
      <c r="E66" s="170">
        <v>500</v>
      </c>
      <c r="F66" s="171">
        <v>53824544.005730353</v>
      </c>
      <c r="H66" s="167">
        <f t="shared" si="5"/>
        <v>0.86983419090129144</v>
      </c>
      <c r="I66" s="167">
        <f t="shared" si="6"/>
        <v>0.62458165663954746</v>
      </c>
      <c r="J66" s="108">
        <f t="shared" si="7"/>
        <v>2.8907790856836286E-3</v>
      </c>
    </row>
    <row r="67" spans="1:13">
      <c r="A67" s="52"/>
      <c r="C67" s="1" t="s">
        <v>184</v>
      </c>
      <c r="D67" s="170">
        <v>9840</v>
      </c>
      <c r="E67" s="170">
        <v>574.74108811839096</v>
      </c>
      <c r="F67" s="171">
        <v>5655452.3070849674</v>
      </c>
      <c r="H67" s="167">
        <f t="shared" si="5"/>
        <v>0.87037233997156338</v>
      </c>
      <c r="I67" s="167">
        <f t="shared" si="6"/>
        <v>0.62525410139889304</v>
      </c>
      <c r="J67" s="108">
        <f t="shared" si="7"/>
        <v>2.6389257548937415E-4</v>
      </c>
    </row>
    <row r="68" spans="1:13">
      <c r="A68" s="52"/>
      <c r="C68" s="1" t="s">
        <v>567</v>
      </c>
      <c r="D68" s="170">
        <v>700165.75</v>
      </c>
      <c r="E68" s="170">
        <v>616.29473684210598</v>
      </c>
      <c r="F68" s="171">
        <v>431508466.64210576</v>
      </c>
      <c r="H68" s="167">
        <f t="shared" si="5"/>
        <v>0.90866436714623755</v>
      </c>
      <c r="I68" s="167">
        <f t="shared" si="6"/>
        <v>0.67656133400400587</v>
      </c>
      <c r="J68" s="108">
        <f t="shared" si="7"/>
        <v>1.8273769904839594E-2</v>
      </c>
      <c r="L68" s="28">
        <f>(0.9-H67)/(H68-H67)</f>
        <v>0.77372921243595005</v>
      </c>
      <c r="M68" s="28">
        <f>100*(I67+(L68*(I68-I67)))</f>
        <v>66.495200607471503</v>
      </c>
    </row>
    <row r="69" spans="1:13">
      <c r="A69" s="52"/>
      <c r="C69" s="1" t="s">
        <v>167</v>
      </c>
      <c r="D69" s="170">
        <v>78937</v>
      </c>
      <c r="E69" s="170">
        <v>631.14401466210199</v>
      </c>
      <c r="F69" s="171">
        <v>49820615.085382342</v>
      </c>
      <c r="H69" s="167">
        <f t="shared" si="5"/>
        <v>0.9129814274267315</v>
      </c>
      <c r="I69" s="167">
        <f t="shared" si="6"/>
        <v>0.68248510626879344</v>
      </c>
      <c r="J69" s="108">
        <f t="shared" si="7"/>
        <v>1.9970692982314085E-3</v>
      </c>
      <c r="L69"/>
      <c r="M69" s="28">
        <f>100-M68</f>
        <v>33.504799392528497</v>
      </c>
    </row>
    <row r="70" spans="1:13">
      <c r="A70" s="52"/>
      <c r="C70" s="1" t="s">
        <v>214</v>
      </c>
      <c r="D70" s="170">
        <v>601560.83475327992</v>
      </c>
      <c r="E70" s="170">
        <v>634.92154800000003</v>
      </c>
      <c r="F70" s="171">
        <v>381943936.41772473</v>
      </c>
      <c r="H70" s="167">
        <f t="shared" si="5"/>
        <v>0.94588075709487407</v>
      </c>
      <c r="I70" s="167">
        <f t="shared" si="6"/>
        <v>0.7278990156189199</v>
      </c>
      <c r="J70" s="108">
        <f t="shared" si="7"/>
        <v>1.4754627631522311E-2</v>
      </c>
      <c r="L70" s="28">
        <f>(SUM(F69:F$73)+((1-L68)*F68))/(SUM(D69:D$73)+((1-L68)*D68))</f>
        <v>1541.0802292719122</v>
      </c>
      <c r="M70" s="28"/>
    </row>
    <row r="71" spans="1:13">
      <c r="A71" s="52"/>
      <c r="C71" s="1" t="s">
        <v>171</v>
      </c>
      <c r="D71" s="170">
        <v>141056</v>
      </c>
      <c r="E71" s="170">
        <v>687.87703198041208</v>
      </c>
      <c r="F71" s="171">
        <v>40606782.623029031</v>
      </c>
      <c r="H71" s="167">
        <f t="shared" si="5"/>
        <v>0.95359510214124465</v>
      </c>
      <c r="I71" s="167">
        <f t="shared" si="6"/>
        <v>0.73272724450072535</v>
      </c>
      <c r="J71" s="108">
        <f t="shared" si="7"/>
        <v>3.3854372310458845E-3</v>
      </c>
    </row>
    <row r="72" spans="1:13">
      <c r="A72" s="52"/>
      <c r="C72" s="1" t="s">
        <v>641</v>
      </c>
      <c r="D72" s="170">
        <v>700165.75</v>
      </c>
      <c r="E72" s="170">
        <v>825.80210526315796</v>
      </c>
      <c r="F72" s="171">
        <v>578198350.38315797</v>
      </c>
      <c r="H72" s="167">
        <f t="shared" si="5"/>
        <v>0.99188712931591883</v>
      </c>
      <c r="I72" s="167">
        <f t="shared" si="6"/>
        <v>0.80147620204923642</v>
      </c>
      <c r="J72" s="108">
        <f t="shared" si="7"/>
        <v>1.5748698408033539E-2</v>
      </c>
      <c r="L72" s="28">
        <f>(0.98-H71)/(H72-H71)</f>
        <v>0.68956646610287509</v>
      </c>
      <c r="M72" s="28">
        <f>100*(I71+(L72*(I72-I71)))</f>
        <v>78.013422020570871</v>
      </c>
    </row>
    <row r="73" spans="1:13">
      <c r="A73" s="52"/>
      <c r="C73" s="1" t="s">
        <v>41</v>
      </c>
      <c r="D73" s="170">
        <v>148343</v>
      </c>
      <c r="E73" s="170">
        <v>11255.278571958232</v>
      </c>
      <c r="F73" s="171">
        <v>1669641789.2</v>
      </c>
      <c r="H73" s="167">
        <f t="shared" si="5"/>
        <v>1</v>
      </c>
      <c r="I73" s="167">
        <f t="shared" si="6"/>
        <v>1</v>
      </c>
      <c r="J73" s="108">
        <f t="shared" si="7"/>
        <v>1.5447792297505806E-3</v>
      </c>
      <c r="L73"/>
      <c r="M73" s="28">
        <f>100-M72</f>
        <v>21.986577979429129</v>
      </c>
    </row>
    <row r="74" spans="1:13">
      <c r="A74" s="52"/>
      <c r="D74" s="170">
        <f>SUM(D55:D73)</f>
        <v>18284896.404311556</v>
      </c>
      <c r="F74" s="170">
        <f>SUM(F55:F73)</f>
        <v>8410285348.3293324</v>
      </c>
      <c r="L74" s="28">
        <f>(SUM(F73:F$73)+((1-L72)*F72))/(SUM(D73:D$73)+((1-L72)*D72))</f>
        <v>5056.4517991113953</v>
      </c>
      <c r="M74" s="28"/>
    </row>
    <row r="75" spans="1:13" ht="16" thickBot="1">
      <c r="A75" s="52"/>
    </row>
    <row r="76" spans="1:13" ht="16" thickBot="1">
      <c r="A76" s="52"/>
      <c r="D76" s="1" t="s">
        <v>223</v>
      </c>
      <c r="E76" s="107">
        <f>SUM(J55:J73)</f>
        <v>0.36027017901963004</v>
      </c>
      <c r="F76" s="165" t="s">
        <v>146</v>
      </c>
    </row>
    <row r="77" spans="1:13">
      <c r="A77" s="52"/>
      <c r="E77" s="2" t="s">
        <v>138</v>
      </c>
      <c r="F77" s="165" t="s">
        <v>139</v>
      </c>
    </row>
    <row r="78" spans="1:13">
      <c r="A78" s="52"/>
      <c r="D78" s="2" t="s">
        <v>140</v>
      </c>
      <c r="E78" s="156">
        <v>20.191192291570303</v>
      </c>
      <c r="F78" s="156">
        <v>9287.101492959644</v>
      </c>
      <c r="H78" s="1" t="s">
        <v>636</v>
      </c>
    </row>
    <row r="79" spans="1:13">
      <c r="A79" s="52"/>
      <c r="D79" s="2" t="s">
        <v>141</v>
      </c>
      <c r="E79" s="156">
        <v>26.952284619227058</v>
      </c>
      <c r="F79" s="156">
        <v>2479.384071146691</v>
      </c>
    </row>
    <row r="80" spans="1:13">
      <c r="A80" s="52"/>
      <c r="D80" s="2" t="s">
        <v>142</v>
      </c>
      <c r="E80" s="156">
        <v>33.504799392528497</v>
      </c>
      <c r="F80" s="156">
        <v>1541.0802292719122</v>
      </c>
    </row>
    <row r="81" spans="1:7">
      <c r="A81" s="52"/>
      <c r="D81" s="2" t="s">
        <v>143</v>
      </c>
      <c r="E81" s="156">
        <v>44.821913841817619</v>
      </c>
      <c r="F81" s="156">
        <v>1030.8100109854349</v>
      </c>
    </row>
    <row r="82" spans="1:7">
      <c r="A82" s="52"/>
      <c r="D82" s="2" t="s">
        <v>144</v>
      </c>
      <c r="E82" s="156">
        <f>100-E81-E83</f>
        <v>33.784316593775031</v>
      </c>
      <c r="F82" s="156">
        <v>388.48420953413472</v>
      </c>
      <c r="G82" s="28">
        <f>(E85-(F81*0.2)-(F83*0.4))/0.4</f>
        <v>388.48420953413472</v>
      </c>
    </row>
    <row r="83" spans="1:7">
      <c r="A83" s="52"/>
      <c r="D83" s="2" t="s">
        <v>145</v>
      </c>
      <c r="E83" s="156">
        <v>21.39376956440735</v>
      </c>
      <c r="F83" s="156">
        <v>246.00591484707891</v>
      </c>
    </row>
    <row r="84" spans="1:7">
      <c r="E84" s="156"/>
      <c r="F84" s="156"/>
    </row>
    <row r="85" spans="1:7">
      <c r="D85" s="2" t="s">
        <v>147</v>
      </c>
      <c r="E85" s="156">
        <v>459.95805194957245</v>
      </c>
      <c r="F85" s="169"/>
    </row>
    <row r="86" spans="1:7">
      <c r="D86" s="2" t="s">
        <v>148</v>
      </c>
      <c r="E86" s="156">
        <v>342</v>
      </c>
      <c r="F86" s="169"/>
    </row>
  </sheetData>
  <sheetCalcPr fullCalcOnLoad="1"/>
  <sortState ref="C53:F71">
    <sortCondition ref="E53:E71"/>
  </sortState>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G29"/>
  <sheetViews>
    <sheetView workbookViewId="0">
      <selection activeCell="G11" sqref="G10:G11"/>
    </sheetView>
  </sheetViews>
  <sheetFormatPr baseColWidth="10" defaultRowHeight="15"/>
  <cols>
    <col min="1" max="1" width="12.42578125" style="1" customWidth="1"/>
    <col min="2" max="4" width="10.7109375" style="1"/>
    <col min="5" max="5" width="7.7109375" style="1" customWidth="1"/>
    <col min="6" max="16384" width="10.7109375" style="1"/>
  </cols>
  <sheetData>
    <row r="1" spans="1:7" ht="17">
      <c r="A1" s="188" t="s">
        <v>10</v>
      </c>
      <c r="B1" s="186" t="s">
        <v>6</v>
      </c>
      <c r="G1" s="8" t="s">
        <v>5</v>
      </c>
    </row>
    <row r="2" spans="1:7">
      <c r="A2" s="187"/>
      <c r="B2" s="186" t="s">
        <v>7</v>
      </c>
    </row>
    <row r="5" spans="1:7">
      <c r="A5" s="2" t="s">
        <v>30</v>
      </c>
      <c r="B5" s="2" t="s">
        <v>31</v>
      </c>
      <c r="C5" s="2" t="s">
        <v>33</v>
      </c>
      <c r="D5" s="2" t="s">
        <v>35</v>
      </c>
    </row>
    <row r="6" spans="1:7">
      <c r="A6" s="2"/>
      <c r="B6" s="2" t="s">
        <v>32</v>
      </c>
      <c r="C6" s="2" t="s">
        <v>34</v>
      </c>
      <c r="D6" s="2" t="s">
        <v>36</v>
      </c>
    </row>
    <row r="7" spans="1:7">
      <c r="A7" s="2"/>
      <c r="B7" s="2"/>
      <c r="C7" s="2"/>
      <c r="D7" s="2"/>
    </row>
    <row r="8" spans="1:7">
      <c r="A8" s="1" t="s">
        <v>25</v>
      </c>
      <c r="B8" s="173">
        <v>0.29019017435496181</v>
      </c>
      <c r="C8" s="173">
        <v>0.36027017901963004</v>
      </c>
      <c r="D8" s="173">
        <v>0.47221010874569425</v>
      </c>
    </row>
    <row r="9" spans="1:7">
      <c r="B9" s="174" t="s">
        <v>26</v>
      </c>
    </row>
    <row r="10" spans="1:7">
      <c r="A10" s="1" t="s">
        <v>27</v>
      </c>
      <c r="B10" s="156">
        <v>17.413335238143006</v>
      </c>
      <c r="C10" s="156">
        <v>20.191192291570303</v>
      </c>
      <c r="D10" s="156">
        <v>20.561551425275383</v>
      </c>
    </row>
    <row r="11" spans="1:7">
      <c r="A11" s="1" t="s">
        <v>141</v>
      </c>
      <c r="B11" s="156">
        <v>26.34589503811118</v>
      </c>
      <c r="C11" s="156">
        <v>26.952284619227058</v>
      </c>
      <c r="D11" s="156">
        <v>37.439454363941785</v>
      </c>
    </row>
    <row r="12" spans="1:7">
      <c r="A12" s="1" t="s">
        <v>142</v>
      </c>
      <c r="B12" s="156">
        <v>31.924415732257685</v>
      </c>
      <c r="C12" s="156">
        <v>33.504799392528497</v>
      </c>
      <c r="D12" s="156">
        <v>44.955175888225561</v>
      </c>
    </row>
    <row r="13" spans="1:7">
      <c r="A13" s="1" t="s">
        <v>143</v>
      </c>
      <c r="B13" s="156">
        <v>42.788905432672252</v>
      </c>
      <c r="C13" s="156">
        <v>44.821913841817619</v>
      </c>
      <c r="D13" s="156">
        <v>55.900179659729275</v>
      </c>
    </row>
    <row r="14" spans="1:7">
      <c r="A14" s="1" t="s">
        <v>144</v>
      </c>
      <c r="B14" s="156">
        <v>30.115928511670798</v>
      </c>
      <c r="C14" s="156">
        <v>33.784316593775031</v>
      </c>
      <c r="D14" s="156">
        <v>26.840612373609041</v>
      </c>
    </row>
    <row r="15" spans="1:7">
      <c r="A15" s="1" t="s">
        <v>145</v>
      </c>
      <c r="B15" s="156">
        <v>27.09516605565695</v>
      </c>
      <c r="C15" s="156">
        <v>21.39376956440735</v>
      </c>
      <c r="D15" s="156">
        <v>17.259207966661684</v>
      </c>
    </row>
    <row r="16" spans="1:7">
      <c r="B16" s="174" t="s">
        <v>37</v>
      </c>
    </row>
    <row r="17" spans="1:5">
      <c r="A17" s="1" t="s">
        <v>28</v>
      </c>
      <c r="B17" s="148">
        <v>459.95805194957245</v>
      </c>
      <c r="C17" s="148">
        <v>459.95805194957245</v>
      </c>
      <c r="D17" s="148">
        <v>459.95805194957245</v>
      </c>
      <c r="E17" s="148"/>
    </row>
    <row r="18" spans="1:5">
      <c r="A18" s="1" t="s">
        <v>29</v>
      </c>
      <c r="B18" s="148">
        <v>340</v>
      </c>
      <c r="C18" s="148">
        <v>342</v>
      </c>
      <c r="D18" s="148">
        <v>533</v>
      </c>
      <c r="E18" s="148"/>
    </row>
    <row r="19" spans="1:5">
      <c r="A19" s="1" t="s">
        <v>27</v>
      </c>
      <c r="B19" s="148">
        <v>8009.4037540808667</v>
      </c>
      <c r="C19" s="148">
        <v>9287.101492959644</v>
      </c>
      <c r="D19" s="148">
        <v>9457.4511599993311</v>
      </c>
      <c r="E19" s="148"/>
    </row>
    <row r="20" spans="1:5">
      <c r="A20" s="1" t="s">
        <v>141</v>
      </c>
      <c r="B20" s="148">
        <v>2423.6013117194921</v>
      </c>
      <c r="C20" s="148">
        <v>2479.384071146691</v>
      </c>
      <c r="D20" s="148">
        <v>3444.115706840551</v>
      </c>
      <c r="E20" s="148"/>
    </row>
    <row r="21" spans="1:5">
      <c r="A21" s="1" t="s">
        <v>142</v>
      </c>
      <c r="B21" s="148">
        <v>1468.3892069837511</v>
      </c>
      <c r="C21" s="148">
        <v>1541.0802292719122</v>
      </c>
      <c r="D21" s="148">
        <v>2067.7495173318562</v>
      </c>
      <c r="E21" s="148"/>
    </row>
    <row r="22" spans="1:5">
      <c r="A22" s="1" t="s">
        <v>143</v>
      </c>
      <c r="B22" s="148">
        <v>984.05507939331983</v>
      </c>
      <c r="C22" s="148">
        <v>1030.8100109854349</v>
      </c>
      <c r="D22" s="148">
        <v>1285.5868899007392</v>
      </c>
      <c r="E22" s="148"/>
    </row>
    <row r="23" spans="1:5">
      <c r="A23" s="1" t="s">
        <v>144</v>
      </c>
      <c r="B23" s="148">
        <v>346.30159527201738</v>
      </c>
      <c r="C23" s="148">
        <v>388.48420953413472</v>
      </c>
      <c r="D23" s="148">
        <v>308.63889261168691</v>
      </c>
      <c r="E23" s="148"/>
    </row>
    <row r="24" spans="1:5">
      <c r="A24" s="1" t="s">
        <v>145</v>
      </c>
      <c r="B24" s="148">
        <v>311.56599490525377</v>
      </c>
      <c r="C24" s="148">
        <v>246.00591484707891</v>
      </c>
      <c r="D24" s="148">
        <v>198.46279231187455</v>
      </c>
      <c r="E24" s="148"/>
    </row>
    <row r="25" spans="1:5">
      <c r="B25" s="148"/>
      <c r="C25" s="148"/>
      <c r="D25" s="148"/>
      <c r="E25" s="148"/>
    </row>
    <row r="26" spans="1:5">
      <c r="A26" s="1" t="s">
        <v>8</v>
      </c>
      <c r="B26" s="148"/>
      <c r="C26" s="148"/>
      <c r="D26" s="148"/>
      <c r="E26" s="148"/>
    </row>
    <row r="27" spans="1:5">
      <c r="A27" s="1" t="s">
        <v>9</v>
      </c>
      <c r="B27" s="148"/>
      <c r="C27" s="148"/>
      <c r="D27" s="148"/>
      <c r="E27" s="148"/>
    </row>
    <row r="28" spans="1:5">
      <c r="B28" s="148"/>
      <c r="C28" s="148"/>
      <c r="D28" s="148"/>
      <c r="E28" s="148"/>
    </row>
    <row r="29" spans="1:5">
      <c r="B29" s="148"/>
      <c r="C29" s="148"/>
      <c r="D29" s="148"/>
      <c r="E29" s="148"/>
    </row>
  </sheetData>
  <sheetCalcPr fullCalcOnLoad="1"/>
  <phoneticPr fontId="2"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J39"/>
  <sheetViews>
    <sheetView tabSelected="1" topLeftCell="A5" workbookViewId="0">
      <selection activeCell="A38" sqref="A38"/>
    </sheetView>
  </sheetViews>
  <sheetFormatPr baseColWidth="10" defaultRowHeight="15"/>
  <cols>
    <col min="1" max="1" width="17.85546875" style="1" customWidth="1"/>
    <col min="2" max="4" width="11.5703125" style="175" customWidth="1"/>
    <col min="5" max="5" width="2.7109375" style="175" customWidth="1"/>
    <col min="6" max="6" width="9" style="176" customWidth="1"/>
    <col min="7" max="16" width="2.7109375" style="1" customWidth="1"/>
    <col min="17" max="16384" width="10.7109375" style="1"/>
  </cols>
  <sheetData>
    <row r="1" spans="1:10" ht="17">
      <c r="A1" s="179" t="s">
        <v>4</v>
      </c>
      <c r="B1" s="180" t="s">
        <v>607</v>
      </c>
      <c r="J1" s="181" t="s">
        <v>619</v>
      </c>
    </row>
    <row r="2" spans="1:10">
      <c r="A2" s="180"/>
      <c r="B2" s="180" t="s">
        <v>606</v>
      </c>
    </row>
    <row r="4" spans="1:10">
      <c r="B4" s="175" t="s">
        <v>609</v>
      </c>
    </row>
    <row r="5" spans="1:10">
      <c r="B5" s="184" t="s">
        <v>602</v>
      </c>
      <c r="C5" s="184" t="s">
        <v>603</v>
      </c>
      <c r="D5" s="184" t="s">
        <v>604</v>
      </c>
      <c r="E5" s="184"/>
      <c r="F5" s="185" t="s">
        <v>605</v>
      </c>
    </row>
    <row r="6" spans="1:10">
      <c r="A6" s="1" t="s">
        <v>628</v>
      </c>
      <c r="B6" s="177">
        <v>20.191192291570303</v>
      </c>
      <c r="C6" s="175">
        <v>22</v>
      </c>
      <c r="D6" s="177">
        <v>26.952284619227058</v>
      </c>
      <c r="E6" s="177"/>
      <c r="F6" s="178">
        <v>0.36027017901963004</v>
      </c>
    </row>
    <row r="8" spans="1:10">
      <c r="A8" s="1" t="s">
        <v>629</v>
      </c>
      <c r="B8" s="175">
        <v>28.559411959984597</v>
      </c>
      <c r="C8" s="175">
        <v>31.726385458885211</v>
      </c>
      <c r="D8" s="175">
        <v>41.227305955587056</v>
      </c>
      <c r="F8" s="176">
        <v>0.48966253074842803</v>
      </c>
      <c r="J8" s="1" t="s">
        <v>621</v>
      </c>
    </row>
    <row r="9" spans="1:10">
      <c r="A9" s="1" t="s">
        <v>620</v>
      </c>
      <c r="B9" s="175">
        <v>26.993547274257292</v>
      </c>
      <c r="C9" s="175">
        <v>29.078811073207905</v>
      </c>
      <c r="D9" s="175">
        <v>35.33460247005975</v>
      </c>
      <c r="J9" s="1" t="s">
        <v>622</v>
      </c>
    </row>
    <row r="10" spans="1:10">
      <c r="A10" s="1" t="s">
        <v>626</v>
      </c>
      <c r="B10" s="175">
        <v>14.8544005700555</v>
      </c>
      <c r="C10" s="175">
        <v>19.135808878085598</v>
      </c>
      <c r="D10" s="175">
        <v>31.9800338021759</v>
      </c>
      <c r="J10" s="1" t="s">
        <v>622</v>
      </c>
    </row>
    <row r="11" spans="1:10">
      <c r="A11" s="1" t="s">
        <v>630</v>
      </c>
      <c r="B11" s="175">
        <v>17.599487458195231</v>
      </c>
      <c r="C11" s="175">
        <v>20.783252682976546</v>
      </c>
      <c r="D11" s="175">
        <v>30.334548357320493</v>
      </c>
      <c r="J11" s="1" t="s">
        <v>622</v>
      </c>
    </row>
    <row r="13" spans="1:10">
      <c r="A13" s="1" t="s">
        <v>611</v>
      </c>
      <c r="B13" s="175">
        <v>18.254999999999999</v>
      </c>
      <c r="C13" s="175">
        <v>21.754749999999998</v>
      </c>
      <c r="D13" s="175">
        <v>32.253999999999998</v>
      </c>
      <c r="J13" s="1" t="s">
        <v>623</v>
      </c>
    </row>
    <row r="14" spans="1:10">
      <c r="A14" s="1" t="s">
        <v>631</v>
      </c>
      <c r="B14" s="175">
        <v>19.658823529411762</v>
      </c>
      <c r="C14" s="175">
        <v>25.6</v>
      </c>
      <c r="F14" s="176">
        <v>0.23899999999999999</v>
      </c>
      <c r="J14" s="1" t="s">
        <v>624</v>
      </c>
    </row>
    <row r="15" spans="1:10">
      <c r="A15" s="1" t="s">
        <v>632</v>
      </c>
      <c r="B15" s="175">
        <v>11.2</v>
      </c>
      <c r="F15" s="176">
        <v>0.38700000000000001</v>
      </c>
      <c r="J15" s="1" t="s">
        <v>624</v>
      </c>
    </row>
    <row r="16" spans="1:10">
      <c r="A16" s="1" t="s">
        <v>633</v>
      </c>
      <c r="B16" s="175">
        <v>20.8</v>
      </c>
      <c r="F16" s="176">
        <v>0.41299999999999998</v>
      </c>
      <c r="J16" s="1" t="s">
        <v>624</v>
      </c>
    </row>
    <row r="17" spans="1:10">
      <c r="A17" s="1" t="s">
        <v>11</v>
      </c>
      <c r="B17" s="175">
        <v>20.5</v>
      </c>
      <c r="J17" s="1" t="s">
        <v>12</v>
      </c>
    </row>
    <row r="19" spans="1:10">
      <c r="A19" s="2"/>
      <c r="B19" s="182" t="s">
        <v>612</v>
      </c>
    </row>
    <row r="20" spans="1:10">
      <c r="A20" s="1" t="s">
        <v>634</v>
      </c>
      <c r="F20" s="176">
        <v>0.56999999999999995</v>
      </c>
      <c r="J20" s="1" t="s">
        <v>624</v>
      </c>
    </row>
    <row r="21" spans="1:10">
      <c r="A21" s="1" t="s">
        <v>613</v>
      </c>
      <c r="F21" s="176">
        <v>0.33100000000000002</v>
      </c>
      <c r="J21" s="1" t="s">
        <v>624</v>
      </c>
    </row>
    <row r="22" spans="1:10">
      <c r="A22" s="1" t="s">
        <v>614</v>
      </c>
      <c r="F22" s="176">
        <v>0.41600000000000004</v>
      </c>
      <c r="J22" s="1" t="s">
        <v>624</v>
      </c>
    </row>
    <row r="23" spans="1:10">
      <c r="A23" s="1" t="s">
        <v>617</v>
      </c>
      <c r="B23" s="175">
        <v>12.723611714468921</v>
      </c>
      <c r="J23" s="1" t="s">
        <v>625</v>
      </c>
    </row>
    <row r="24" spans="1:10">
      <c r="A24" s="1" t="s">
        <v>615</v>
      </c>
      <c r="F24" s="176">
        <v>0.38900000000000001</v>
      </c>
      <c r="J24" s="1" t="s">
        <v>624</v>
      </c>
    </row>
    <row r="25" spans="1:10">
      <c r="A25" s="1" t="s">
        <v>616</v>
      </c>
      <c r="B25" s="175">
        <v>14.418419999999999</v>
      </c>
      <c r="F25" s="176">
        <v>0.318</v>
      </c>
      <c r="J25" s="1" t="s">
        <v>624</v>
      </c>
    </row>
    <row r="26" spans="1:10">
      <c r="B26" s="183" t="s">
        <v>594</v>
      </c>
    </row>
    <row r="27" spans="1:10">
      <c r="A27" s="1" t="s">
        <v>599</v>
      </c>
      <c r="B27" s="183"/>
      <c r="F27" s="176">
        <v>0.45300000000000001</v>
      </c>
      <c r="J27" s="1" t="s">
        <v>596</v>
      </c>
    </row>
    <row r="28" spans="1:10">
      <c r="A28" s="1" t="s">
        <v>600</v>
      </c>
      <c r="B28" s="175">
        <v>14.872999999999999</v>
      </c>
      <c r="C28" s="175">
        <f>B28+(0.25*(D28-B28))</f>
        <v>18.641999999999999</v>
      </c>
      <c r="D28" s="175">
        <v>29.949000000000002</v>
      </c>
      <c r="F28" s="176">
        <v>0.46400000000000002</v>
      </c>
      <c r="J28" s="1" t="s">
        <v>608</v>
      </c>
    </row>
    <row r="29" spans="1:10">
      <c r="A29" s="1" t="s">
        <v>595</v>
      </c>
      <c r="B29" s="183"/>
      <c r="F29" s="176">
        <v>0.44908999999999999</v>
      </c>
      <c r="J29" s="1" t="s">
        <v>596</v>
      </c>
    </row>
    <row r="30" spans="1:10">
      <c r="A30" s="1" t="s">
        <v>601</v>
      </c>
      <c r="B30" s="183"/>
      <c r="F30" s="176">
        <v>0.61199999999999999</v>
      </c>
      <c r="J30" s="1" t="s">
        <v>596</v>
      </c>
    </row>
    <row r="32" spans="1:10">
      <c r="A32" s="24" t="s">
        <v>635</v>
      </c>
    </row>
    <row r="33" spans="1:1">
      <c r="A33" s="1" t="s">
        <v>610</v>
      </c>
    </row>
    <row r="34" spans="1:1">
      <c r="A34" s="1" t="s">
        <v>597</v>
      </c>
    </row>
    <row r="35" spans="1:1">
      <c r="A35" s="1" t="s">
        <v>598</v>
      </c>
    </row>
    <row r="37" spans="1:1">
      <c r="A37" s="1" t="s">
        <v>0</v>
      </c>
    </row>
    <row r="38" spans="1:1">
      <c r="A38" s="1" t="s">
        <v>627</v>
      </c>
    </row>
    <row r="39" spans="1:1">
      <c r="A39" s="1" t="s">
        <v>618</v>
      </c>
    </row>
  </sheetData>
  <sheetCalcPr fullCalcOnLoad="1"/>
  <phoneticPr fontId="2"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data on high incomes</vt:lpstr>
      <vt:lpstr>(2) input data re-stacked</vt:lpstr>
      <vt:lpstr>(3) too-equal distr</vt:lpstr>
      <vt:lpstr>(4) merging top incomes</vt:lpstr>
      <vt:lpstr>(5) too-unequal</vt:lpstr>
      <vt:lpstr>(6) preferred inc distrib</vt:lpstr>
      <vt:lpstr>(7) Inequality summary</vt:lpstr>
      <vt:lpstr>(8) Compare countries' ineq</vt:lpstr>
    </vt:vector>
  </TitlesOfParts>
  <Company>UC Davis</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Lindert</dc:creator>
  <cp:lastModifiedBy>Peter Lindert</cp:lastModifiedBy>
  <dcterms:created xsi:type="dcterms:W3CDTF">2011-03-08T15:10:58Z</dcterms:created>
  <dcterms:modified xsi:type="dcterms:W3CDTF">2011-03-16T20:08:24Z</dcterms:modified>
</cp:coreProperties>
</file>