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8020" yWindow="0" windowWidth="18940" windowHeight="15180" tabRatio="563" activeTab="2"/>
  </bookViews>
  <sheets>
    <sheet name="Sources &amp; general notes" sheetId="4" r:id="rId1"/>
    <sheet name="detailed notes" sheetId="8" r:id="rId2"/>
    <sheet name="RESULT - NewEng backcasts" sheetId="1" r:id="rId3"/>
    <sheet name="1774 occ group wts" sheetId="7" r:id="rId4"/>
    <sheet name="demog contrasts Boston v rural" sheetId="9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24" i="1"/>
  <c r="D25" i="1"/>
  <c r="D26" i="1"/>
  <c r="C25" i="1"/>
  <c r="C26" i="1"/>
  <c r="M28" i="1"/>
  <c r="L26" i="1"/>
  <c r="M24" i="1"/>
  <c r="G24" i="1"/>
  <c r="G37" i="1"/>
  <c r="B37" i="1"/>
  <c r="D37" i="1"/>
  <c r="B25" i="1"/>
  <c r="G25" i="1"/>
  <c r="G38" i="1"/>
  <c r="B41" i="1"/>
  <c r="B40" i="1"/>
  <c r="B39" i="1"/>
  <c r="B38" i="1"/>
  <c r="D38" i="1"/>
  <c r="D39" i="1"/>
  <c r="D40" i="1"/>
  <c r="D41" i="1"/>
  <c r="G41" i="1"/>
  <c r="F24" i="1"/>
  <c r="F37" i="1"/>
  <c r="C37" i="1"/>
  <c r="E37" i="1"/>
  <c r="B27" i="1"/>
  <c r="G39" i="1"/>
  <c r="H37" i="1"/>
  <c r="F59" i="1"/>
  <c r="D59" i="1"/>
  <c r="G59" i="1"/>
  <c r="H59" i="1"/>
  <c r="P59" i="1"/>
  <c r="C59" i="1"/>
  <c r="D60" i="1"/>
  <c r="D61" i="1"/>
  <c r="G61" i="1"/>
  <c r="L38" i="1"/>
  <c r="K37" i="1"/>
  <c r="L37" i="1"/>
  <c r="L39" i="1"/>
  <c r="L41" i="1"/>
  <c r="F92" i="1"/>
  <c r="C92" i="1"/>
  <c r="D92" i="1"/>
  <c r="D93" i="1"/>
  <c r="D94" i="1"/>
  <c r="D96" i="1"/>
  <c r="G96" i="1"/>
  <c r="F81" i="1"/>
  <c r="B81" i="1"/>
  <c r="C81" i="1"/>
  <c r="B82" i="1"/>
  <c r="D81" i="1"/>
  <c r="D82" i="1"/>
  <c r="D83" i="1"/>
  <c r="D85" i="1"/>
  <c r="G85" i="1"/>
  <c r="F70" i="1"/>
  <c r="C70" i="1"/>
  <c r="D70" i="1"/>
  <c r="D71" i="1"/>
  <c r="D72" i="1"/>
  <c r="D74" i="1"/>
  <c r="G74" i="1"/>
  <c r="D63" i="1"/>
  <c r="G63" i="1"/>
  <c r="F48" i="1"/>
  <c r="B48" i="1"/>
  <c r="C48" i="1"/>
  <c r="B52" i="1"/>
  <c r="B51" i="1"/>
  <c r="B50" i="1"/>
  <c r="B49" i="1"/>
  <c r="L8" i="1"/>
  <c r="D48" i="1"/>
  <c r="D49" i="1"/>
  <c r="D50" i="1"/>
  <c r="D52" i="1"/>
  <c r="G52" i="1"/>
  <c r="O41" i="1"/>
  <c r="E28" i="1"/>
  <c r="D29" i="1"/>
  <c r="G92" i="1"/>
  <c r="H92" i="1"/>
  <c r="P92" i="1"/>
  <c r="G94" i="1"/>
  <c r="G81" i="1"/>
  <c r="H81" i="1"/>
  <c r="P81" i="1"/>
  <c r="G83" i="1"/>
  <c r="G70" i="1"/>
  <c r="H70" i="1"/>
  <c r="P70" i="1"/>
  <c r="G72" i="1"/>
  <c r="L40" i="1"/>
  <c r="O40" i="1"/>
  <c r="O39" i="1"/>
  <c r="O38" i="1"/>
  <c r="N37" i="1"/>
  <c r="O37" i="1"/>
  <c r="P37" i="1"/>
  <c r="M37" i="1"/>
  <c r="C43" i="9"/>
  <c r="D43" i="9"/>
  <c r="B38" i="9"/>
  <c r="B41" i="9"/>
  <c r="C38" i="9"/>
  <c r="C41" i="9"/>
  <c r="D41" i="9"/>
  <c r="D40" i="9"/>
  <c r="D38" i="9"/>
  <c r="D37" i="9"/>
  <c r="D36" i="9"/>
  <c r="D35" i="9"/>
  <c r="D34" i="9"/>
  <c r="D33" i="9"/>
  <c r="D31" i="9"/>
  <c r="G23" i="9"/>
  <c r="C23" i="9"/>
  <c r="B23" i="9"/>
  <c r="C22" i="9"/>
  <c r="B22" i="9"/>
  <c r="C21" i="9"/>
  <c r="B21" i="9"/>
  <c r="B12" i="9"/>
  <c r="C12" i="9"/>
  <c r="D12" i="9"/>
  <c r="B11" i="9"/>
  <c r="C11" i="9"/>
  <c r="D11" i="9"/>
  <c r="B10" i="9"/>
  <c r="C10" i="9"/>
  <c r="D10" i="9"/>
  <c r="G26" i="1"/>
  <c r="G27" i="1"/>
  <c r="F28" i="1"/>
  <c r="G28" i="1"/>
  <c r="H28" i="1"/>
  <c r="E24" i="1"/>
  <c r="H24" i="1"/>
  <c r="L93" i="1"/>
  <c r="G93" i="1"/>
  <c r="O93" i="1"/>
  <c r="L94" i="1"/>
  <c r="E92" i="1"/>
  <c r="O94" i="1"/>
  <c r="L95" i="1"/>
  <c r="O95" i="1"/>
  <c r="L96" i="1"/>
  <c r="O96" i="1"/>
  <c r="L92" i="1"/>
  <c r="M92" i="1"/>
  <c r="N92" i="1"/>
  <c r="O92" i="1"/>
  <c r="K92" i="1"/>
  <c r="L82" i="1"/>
  <c r="G82" i="1"/>
  <c r="O82" i="1"/>
  <c r="L83" i="1"/>
  <c r="E81" i="1"/>
  <c r="O83" i="1"/>
  <c r="L84" i="1"/>
  <c r="O84" i="1"/>
  <c r="L85" i="1"/>
  <c r="O85" i="1"/>
  <c r="L81" i="1"/>
  <c r="M81" i="1"/>
  <c r="N81" i="1"/>
  <c r="O81" i="1"/>
  <c r="K81" i="1"/>
  <c r="L71" i="1"/>
  <c r="G71" i="1"/>
  <c r="O71" i="1"/>
  <c r="L72" i="1"/>
  <c r="E70" i="1"/>
  <c r="O72" i="1"/>
  <c r="L73" i="1"/>
  <c r="O73" i="1"/>
  <c r="L74" i="1"/>
  <c r="O74" i="1"/>
  <c r="L70" i="1"/>
  <c r="M70" i="1"/>
  <c r="N70" i="1"/>
  <c r="O70" i="1"/>
  <c r="K70" i="1"/>
  <c r="L60" i="1"/>
  <c r="G60" i="1"/>
  <c r="O60" i="1"/>
  <c r="L61" i="1"/>
  <c r="E59" i="1"/>
  <c r="O61" i="1"/>
  <c r="L62" i="1"/>
  <c r="O62" i="1"/>
  <c r="L63" i="1"/>
  <c r="O63" i="1"/>
  <c r="L59" i="1"/>
  <c r="M59" i="1"/>
  <c r="N59" i="1"/>
  <c r="O59" i="1"/>
  <c r="K59" i="1"/>
  <c r="L49" i="1"/>
  <c r="G49" i="1"/>
  <c r="O49" i="1"/>
  <c r="L50" i="1"/>
  <c r="G50" i="1"/>
  <c r="O50" i="1"/>
  <c r="L51" i="1"/>
  <c r="O51" i="1"/>
  <c r="L52" i="1"/>
  <c r="O52" i="1"/>
  <c r="L48" i="1"/>
  <c r="E48" i="1"/>
  <c r="M48" i="1"/>
  <c r="N48" i="1"/>
  <c r="G48" i="1"/>
  <c r="O48" i="1"/>
  <c r="H48" i="1"/>
  <c r="P48" i="1"/>
  <c r="K48" i="1"/>
  <c r="P11" i="7"/>
  <c r="M9" i="7"/>
  <c r="M10" i="7"/>
  <c r="M11" i="7"/>
  <c r="M12" i="7"/>
  <c r="M13" i="7"/>
  <c r="M17" i="7"/>
  <c r="M18" i="7"/>
  <c r="M19" i="7"/>
  <c r="M20" i="7"/>
  <c r="M21" i="7"/>
  <c r="M22" i="7"/>
  <c r="M8" i="7"/>
  <c r="N9" i="7"/>
  <c r="N10" i="7"/>
  <c r="N11" i="7"/>
  <c r="N12" i="7"/>
  <c r="N13" i="7"/>
  <c r="N17" i="7"/>
  <c r="N18" i="7"/>
  <c r="N19" i="7"/>
  <c r="N20" i="7"/>
  <c r="N21" i="7"/>
  <c r="N8" i="7"/>
  <c r="F10" i="7"/>
  <c r="F11" i="7"/>
  <c r="F12" i="7"/>
  <c r="F13" i="7"/>
  <c r="F14" i="7"/>
  <c r="F15" i="7"/>
  <c r="F16" i="7"/>
  <c r="F17" i="7"/>
  <c r="F18" i="7"/>
  <c r="F19" i="7"/>
  <c r="F9" i="7"/>
  <c r="F25" i="1"/>
  <c r="F49" i="1"/>
  <c r="C49" i="1"/>
  <c r="C50" i="1"/>
  <c r="F27" i="1"/>
  <c r="F51" i="1"/>
  <c r="C51" i="1"/>
  <c r="C52" i="1"/>
  <c r="F52" i="1"/>
  <c r="N52" i="1"/>
  <c r="E52" i="1"/>
  <c r="M52" i="1"/>
  <c r="K52" i="1"/>
  <c r="H51" i="1"/>
  <c r="P51" i="1"/>
  <c r="N51" i="1"/>
  <c r="E51" i="1"/>
  <c r="M51" i="1"/>
  <c r="K51" i="1"/>
  <c r="F50" i="1"/>
  <c r="H50" i="1"/>
  <c r="P50" i="1"/>
  <c r="N50" i="1"/>
  <c r="E50" i="1"/>
  <c r="M50" i="1"/>
  <c r="K50" i="1"/>
  <c r="H49" i="1"/>
  <c r="P49" i="1"/>
  <c r="N49" i="1"/>
  <c r="E49" i="1"/>
  <c r="M49" i="1"/>
  <c r="K49" i="1"/>
  <c r="F60" i="1"/>
  <c r="C60" i="1"/>
  <c r="C61" i="1"/>
  <c r="F62" i="1"/>
  <c r="C62" i="1"/>
  <c r="C63" i="1"/>
  <c r="F63" i="1"/>
  <c r="N63" i="1"/>
  <c r="E63" i="1"/>
  <c r="M63" i="1"/>
  <c r="K63" i="1"/>
  <c r="H62" i="1"/>
  <c r="P62" i="1"/>
  <c r="N62" i="1"/>
  <c r="E62" i="1"/>
  <c r="M62" i="1"/>
  <c r="K62" i="1"/>
  <c r="F61" i="1"/>
  <c r="N61" i="1"/>
  <c r="E60" i="1"/>
  <c r="E61" i="1"/>
  <c r="M61" i="1"/>
  <c r="K61" i="1"/>
  <c r="H60" i="1"/>
  <c r="P60" i="1"/>
  <c r="N60" i="1"/>
  <c r="M60" i="1"/>
  <c r="K60" i="1"/>
  <c r="F71" i="1"/>
  <c r="C71" i="1"/>
  <c r="C72" i="1"/>
  <c r="F73" i="1"/>
  <c r="C73" i="1"/>
  <c r="C74" i="1"/>
  <c r="F74" i="1"/>
  <c r="N74" i="1"/>
  <c r="E74" i="1"/>
  <c r="M74" i="1"/>
  <c r="K74" i="1"/>
  <c r="H73" i="1"/>
  <c r="P73" i="1"/>
  <c r="N73" i="1"/>
  <c r="E73" i="1"/>
  <c r="M73" i="1"/>
  <c r="K73" i="1"/>
  <c r="F72" i="1"/>
  <c r="N72" i="1"/>
  <c r="E71" i="1"/>
  <c r="E72" i="1"/>
  <c r="M72" i="1"/>
  <c r="K72" i="1"/>
  <c r="H71" i="1"/>
  <c r="P71" i="1"/>
  <c r="N71" i="1"/>
  <c r="M71" i="1"/>
  <c r="K71" i="1"/>
  <c r="F82" i="1"/>
  <c r="C82" i="1"/>
  <c r="C83" i="1"/>
  <c r="F84" i="1"/>
  <c r="C84" i="1"/>
  <c r="C85" i="1"/>
  <c r="F85" i="1"/>
  <c r="N85" i="1"/>
  <c r="E85" i="1"/>
  <c r="M85" i="1"/>
  <c r="K85" i="1"/>
  <c r="H84" i="1"/>
  <c r="P84" i="1"/>
  <c r="N84" i="1"/>
  <c r="E84" i="1"/>
  <c r="M84" i="1"/>
  <c r="K84" i="1"/>
  <c r="F83" i="1"/>
  <c r="N83" i="1"/>
  <c r="E82" i="1"/>
  <c r="E83" i="1"/>
  <c r="M83" i="1"/>
  <c r="K83" i="1"/>
  <c r="H82" i="1"/>
  <c r="P82" i="1"/>
  <c r="N82" i="1"/>
  <c r="M82" i="1"/>
  <c r="K82" i="1"/>
  <c r="F93" i="1"/>
  <c r="C93" i="1"/>
  <c r="C94" i="1"/>
  <c r="F95" i="1"/>
  <c r="C95" i="1"/>
  <c r="C96" i="1"/>
  <c r="F96" i="1"/>
  <c r="N96" i="1"/>
  <c r="E96" i="1"/>
  <c r="M96" i="1"/>
  <c r="K96" i="1"/>
  <c r="H95" i="1"/>
  <c r="P95" i="1"/>
  <c r="N95" i="1"/>
  <c r="E95" i="1"/>
  <c r="M95" i="1"/>
  <c r="K95" i="1"/>
  <c r="F94" i="1"/>
  <c r="N94" i="1"/>
  <c r="E93" i="1"/>
  <c r="E94" i="1"/>
  <c r="M94" i="1"/>
  <c r="K94" i="1"/>
  <c r="H93" i="1"/>
  <c r="P93" i="1"/>
  <c r="N93" i="1"/>
  <c r="M93" i="1"/>
  <c r="K93" i="1"/>
  <c r="H27" i="1"/>
  <c r="E27" i="1"/>
  <c r="F26" i="1"/>
  <c r="H26" i="1"/>
  <c r="E26" i="1"/>
  <c r="H25" i="1"/>
  <c r="E25" i="1"/>
  <c r="K38" i="1"/>
  <c r="K39" i="1"/>
  <c r="K40" i="1"/>
  <c r="K41" i="1"/>
  <c r="N41" i="1"/>
  <c r="P41" i="1"/>
  <c r="B5" i="1"/>
  <c r="H52" i="1"/>
  <c r="P52" i="1"/>
  <c r="C5" i="1"/>
  <c r="C9" i="1"/>
  <c r="H96" i="1"/>
  <c r="P96" i="1"/>
  <c r="G5" i="1"/>
  <c r="G9" i="1"/>
  <c r="H85" i="1"/>
  <c r="P85" i="1"/>
  <c r="F5" i="1"/>
  <c r="F9" i="1"/>
  <c r="H74" i="1"/>
  <c r="P74" i="1"/>
  <c r="E5" i="1"/>
  <c r="E9" i="1"/>
  <c r="H63" i="1"/>
  <c r="P63" i="1"/>
  <c r="D5" i="1"/>
  <c r="D9" i="1"/>
  <c r="D10" i="1"/>
  <c r="G10" i="1"/>
  <c r="F10" i="1"/>
  <c r="E10" i="1"/>
  <c r="E11" i="1"/>
  <c r="G11" i="1"/>
  <c r="F11" i="1"/>
  <c r="F12" i="1"/>
  <c r="G12" i="1"/>
  <c r="G13" i="1"/>
  <c r="M38" i="1"/>
  <c r="N38" i="1"/>
  <c r="P38" i="1"/>
  <c r="M39" i="1"/>
  <c r="N39" i="1"/>
  <c r="P39" i="1"/>
  <c r="M40" i="1"/>
  <c r="N40" i="1"/>
  <c r="P40" i="1"/>
  <c r="M41" i="1"/>
  <c r="R59" i="1"/>
  <c r="R70" i="1"/>
  <c r="H72" i="1"/>
  <c r="P72" i="1"/>
  <c r="R72" i="1"/>
  <c r="R81" i="1"/>
  <c r="H83" i="1"/>
  <c r="P83" i="1"/>
  <c r="R83" i="1"/>
  <c r="R92" i="1"/>
  <c r="H94" i="1"/>
  <c r="P94" i="1"/>
  <c r="R94" i="1"/>
  <c r="D53" i="1"/>
  <c r="D64" i="1"/>
  <c r="D75" i="1"/>
  <c r="D86" i="1"/>
  <c r="D97" i="1"/>
  <c r="H61" i="1"/>
  <c r="P61" i="1"/>
  <c r="R61" i="1"/>
  <c r="F38" i="1"/>
  <c r="C38" i="1"/>
  <c r="C39" i="1"/>
  <c r="F39" i="1"/>
  <c r="H39" i="1"/>
  <c r="H38" i="1"/>
  <c r="F40" i="1"/>
  <c r="C40" i="1"/>
  <c r="C41" i="1"/>
  <c r="F41" i="1"/>
  <c r="E38" i="1"/>
  <c r="E39" i="1"/>
  <c r="H40" i="1"/>
  <c r="E40" i="1"/>
  <c r="E41" i="1"/>
  <c r="H41" i="1"/>
  <c r="K27" i="1"/>
  <c r="M27" i="1"/>
  <c r="K26" i="1"/>
  <c r="M26" i="1"/>
  <c r="K25" i="1"/>
  <c r="M25" i="1"/>
</calcChain>
</file>

<file path=xl/sharedStrings.xml><?xml version="1.0" encoding="utf-8"?>
<sst xmlns="http://schemas.openxmlformats.org/spreadsheetml/2006/main" count="651" uniqueCount="301">
  <si>
    <t>Total</t>
  </si>
  <si>
    <t>Rural free</t>
  </si>
  <si>
    <t>All free</t>
  </si>
  <si>
    <t>Slave</t>
  </si>
  <si>
    <t>Population</t>
  </si>
  <si>
    <t>income</t>
  </si>
  <si>
    <t>c1750</t>
  </si>
  <si>
    <t>population</t>
  </si>
  <si>
    <t>Labor</t>
  </si>
  <si>
    <t>Property</t>
  </si>
  <si>
    <t>c1725</t>
  </si>
  <si>
    <t>c1700</t>
  </si>
  <si>
    <t>Here urban = four top cities only.  Could add others for 1774.  Here are Bridenbaugh's (1995, p. 217) lesser city populations --&gt;</t>
  </si>
  <si>
    <t>Newport</t>
  </si>
  <si>
    <t>New Haven *</t>
  </si>
  <si>
    <t>Norfolk</t>
  </si>
  <si>
    <t>Baltimore</t>
  </si>
  <si>
    <t>New London *</t>
  </si>
  <si>
    <t>Salem MA</t>
  </si>
  <si>
    <t>Lancaster PA</t>
  </si>
  <si>
    <t>Hartford</t>
  </si>
  <si>
    <t>Middletown</t>
  </si>
  <si>
    <t>Portsmouth</t>
  </si>
  <si>
    <t>Marblehead</t>
  </si>
  <si>
    <t>Providence</t>
  </si>
  <si>
    <t>Albany</t>
  </si>
  <si>
    <t>ca.</t>
  </si>
  <si>
    <t>Annopolis</t>
  </si>
  <si>
    <t>Savannah</t>
  </si>
  <si>
    <t>(* Actual census)</t>
  </si>
  <si>
    <t>secondary cities, 1760-1776</t>
  </si>
  <si>
    <t>Bridenbaugh's estimated populations of</t>
  </si>
  <si>
    <t>Populations are interpolated logarithmically between the two nearest years' estimates.</t>
  </si>
  <si>
    <t>The top four cities are Boston, New York (Manhattan), Philadelphia, and Charleston.</t>
  </si>
  <si>
    <r>
      <rPr>
        <u/>
        <sz val="12"/>
        <color theme="1"/>
        <rFont val="Arial"/>
      </rPr>
      <t>Population, colony totals by race</t>
    </r>
    <r>
      <rPr>
        <sz val="12"/>
        <color theme="1"/>
        <rFont val="Arial"/>
      </rPr>
      <t xml:space="preserve">: </t>
    </r>
    <r>
      <rPr>
        <i/>
        <sz val="12"/>
        <color theme="1"/>
        <rFont val="Arial"/>
      </rPr>
      <t>Historical Statistics</t>
    </r>
    <r>
      <rPr>
        <sz val="12"/>
        <color theme="1"/>
        <rFont val="Arial"/>
      </rPr>
      <t xml:space="preserve"> (2006), Series Eg1-59.</t>
    </r>
  </si>
  <si>
    <t>For 1774, we have followed the decision of Massachusetts not to list any slaves for that colony (including Maine).</t>
  </si>
  <si>
    <t xml:space="preserve">The black population of Massachusetts would have been about 5,240.  One could add this to the number of </t>
  </si>
  <si>
    <t>New England slaves, making an equal subtraction from New England's free population for 1774.</t>
  </si>
  <si>
    <t>For 1750 and earlier, "free" is actually the white population, and "slave" is the black population.</t>
  </si>
  <si>
    <r>
      <rPr>
        <u/>
        <sz val="12"/>
        <color theme="1"/>
        <rFont val="Arial"/>
      </rPr>
      <t>Population, urban all races</t>
    </r>
    <r>
      <rPr>
        <sz val="12"/>
        <color theme="1"/>
        <rFont val="Arial"/>
      </rPr>
      <t xml:space="preserve">: Carl Bridenbaugh, </t>
    </r>
    <r>
      <rPr>
        <i/>
        <sz val="12"/>
        <color theme="1"/>
        <rFont val="Arial"/>
      </rPr>
      <t>Cities in the Wilderness</t>
    </r>
    <r>
      <rPr>
        <sz val="12"/>
        <color theme="1"/>
        <rFont val="Arial"/>
      </rPr>
      <t xml:space="preserve"> (1938, p. 143) and </t>
    </r>
    <r>
      <rPr>
        <i/>
        <sz val="12"/>
        <color theme="1"/>
        <rFont val="Arial"/>
      </rPr>
      <t>Cities in Revolt</t>
    </r>
    <r>
      <rPr>
        <sz val="12"/>
        <color theme="1"/>
        <rFont val="Arial"/>
      </rPr>
      <t xml:space="preserve"> (1955, pp. 216-217)</t>
    </r>
  </si>
  <si>
    <r>
      <rPr>
        <u/>
        <sz val="12"/>
        <color theme="1"/>
        <rFont val="Arial"/>
      </rPr>
      <t>Slave population</t>
    </r>
    <r>
      <rPr>
        <sz val="12"/>
        <color theme="1"/>
        <rFont val="Arial"/>
      </rPr>
      <t>:</t>
    </r>
  </si>
  <si>
    <t>c1675</t>
  </si>
  <si>
    <t>c1650</t>
  </si>
  <si>
    <t>(NewEng.a) Indices of nominal aggregate wealth, age-adjusted, for Boston and non-Boston.</t>
  </si>
  <si>
    <t>(NewEng.b) Indices of probated wealth are based on the Main &amp; Main sample , probated wealth, adjusted to the wealth of a male at age 45.</t>
  </si>
  <si>
    <t>we tied Boston 1700-1774 to regression results for non-Boston, helped by a look at Gloria Main's (1977) New England results.</t>
  </si>
  <si>
    <t>Aggregate</t>
  </si>
  <si>
    <t>per capita</t>
  </si>
  <si>
    <t xml:space="preserve">(NewEng.c) No direct observations on Boston wealth c1725 or c1750. To interpolate between 1700 and 1774 for Boston, </t>
  </si>
  <si>
    <t>serves as its white-or-total population.  The colony's black population through c1750, and its c1774 slave population, are allocated top non-Boston.</t>
  </si>
  <si>
    <t xml:space="preserve">(NewEng.d) Boston population was not broken down by race or free/slave before c1774. Here the Boston population </t>
  </si>
  <si>
    <t>New England labor force shares (from file "American incomes 1774j"):</t>
  </si>
  <si>
    <r>
      <rPr>
        <b/>
        <u/>
        <sz val="12"/>
        <color theme="1"/>
        <rFont val="Calibri"/>
        <scheme val="minor"/>
      </rPr>
      <t>Boston</t>
    </r>
    <r>
      <rPr>
        <sz val="12"/>
        <color theme="1"/>
        <rFont val="Calibri"/>
        <family val="2"/>
        <scheme val="minor"/>
      </rPr>
      <t>: Negligible farm sector. Estimated LF shares =</t>
    </r>
  </si>
  <si>
    <t>All</t>
    <phoneticPr fontId="0" type="noConversion"/>
  </si>
  <si>
    <t>Group 1</t>
    <phoneticPr fontId="0" type="noConversion"/>
  </si>
  <si>
    <t>Officials, titled, professions</t>
  </si>
  <si>
    <t>Group 2-3</t>
    <phoneticPr fontId="0" type="noConversion"/>
  </si>
  <si>
    <t>Merchant &amp; shopkeepers</t>
    <phoneticPr fontId="0" type="noConversion"/>
  </si>
  <si>
    <t>Group 4A</t>
    <phoneticPr fontId="0" type="noConversion"/>
  </si>
  <si>
    <t>Artisans (manufacturing trades)</t>
    <phoneticPr fontId="0" type="noConversion"/>
  </si>
  <si>
    <t>Group 4B</t>
    <phoneticPr fontId="0" type="noConversion"/>
  </si>
  <si>
    <t>Construction</t>
  </si>
  <si>
    <t>Group 5</t>
    <phoneticPr fontId="0" type="noConversion"/>
  </si>
  <si>
    <t>Farm operators or farm LF</t>
    <phoneticPr fontId="0" type="noConversion"/>
  </si>
  <si>
    <t>Group 6A</t>
    <phoneticPr fontId="0" type="noConversion"/>
  </si>
  <si>
    <t>Unskilled male workers</t>
    <phoneticPr fontId="0" type="noConversion"/>
  </si>
  <si>
    <t>Group 6B</t>
    <phoneticPr fontId="0" type="noConversion"/>
  </si>
  <si>
    <t>Unskilled female workers</t>
    <phoneticPr fontId="0" type="noConversion"/>
  </si>
  <si>
    <t>Group 7</t>
    <phoneticPr fontId="0" type="noConversion"/>
  </si>
  <si>
    <t>Male HHs w/wealth, no occ stated</t>
    <phoneticPr fontId="0" type="noConversion"/>
  </si>
  <si>
    <t>Group 8</t>
    <phoneticPr fontId="0" type="noConversion"/>
  </si>
  <si>
    <t>Female HHs w/wealth, no occ stated</t>
    <phoneticPr fontId="0" type="noConversion"/>
  </si>
  <si>
    <t>Group 9</t>
    <phoneticPr fontId="0" type="noConversion"/>
  </si>
  <si>
    <t>Zero-wealth free HHs</t>
    <phoneticPr fontId="0" type="noConversion"/>
  </si>
  <si>
    <t>Group 19</t>
    <phoneticPr fontId="0" type="noConversion"/>
  </si>
  <si>
    <t>Slaves ages 10 up, retained earnings</t>
    <phoneticPr fontId="0" type="noConversion"/>
  </si>
  <si>
    <t>% shares</t>
  </si>
  <si>
    <t>total LF</t>
  </si>
  <si>
    <t>total LF = free LF</t>
  </si>
  <si>
    <r>
      <rPr>
        <b/>
        <u/>
        <sz val="12"/>
        <color theme="1"/>
        <rFont val="Calibri"/>
        <scheme val="minor"/>
      </rPr>
      <t>Non-Boston New England</t>
    </r>
    <r>
      <rPr>
        <sz val="12"/>
        <color theme="1"/>
        <rFont val="Calibri"/>
        <family val="2"/>
        <scheme val="minor"/>
      </rPr>
      <t>: Estimated LF shares =</t>
    </r>
  </si>
  <si>
    <t>Groups 2-3</t>
    <phoneticPr fontId="0" type="noConversion"/>
  </si>
  <si>
    <t>Group 5A</t>
    <phoneticPr fontId="0" type="noConversion"/>
  </si>
  <si>
    <t>Farm operators - top 2% in property**</t>
    <phoneticPr fontId="0" type="noConversion"/>
  </si>
  <si>
    <t>Group 5B</t>
    <phoneticPr fontId="0" type="noConversion"/>
  </si>
  <si>
    <t>Farm operators - next 18%**</t>
    <phoneticPr fontId="0" type="noConversion"/>
  </si>
  <si>
    <t>Group 5C</t>
    <phoneticPr fontId="0" type="noConversion"/>
  </si>
  <si>
    <t>Farm operators - 40th-79th%**</t>
    <phoneticPr fontId="0" type="noConversion"/>
  </si>
  <si>
    <t>Group 5D</t>
    <phoneticPr fontId="0" type="noConversion"/>
  </si>
  <si>
    <t>Farm operators - 0-39th%**</t>
    <phoneticPr fontId="0" type="noConversion"/>
  </si>
  <si>
    <t>HHs</t>
  </si>
  <si>
    <t>free LF</t>
  </si>
  <si>
    <t>(for all</t>
  </si>
  <si>
    <t>farm-op</t>
  </si>
  <si>
    <t>households)</t>
  </si>
  <si>
    <t>to Main's "skilled craftsmen" series</t>
  </si>
  <si>
    <t>percent</t>
  </si>
  <si>
    <t>tie</t>
  </si>
  <si>
    <r>
      <rPr>
        <u/>
        <sz val="12"/>
        <color theme="1"/>
        <rFont val="Calibri"/>
        <scheme val="minor"/>
      </rPr>
      <t>For free own-labor earning</t>
    </r>
    <r>
      <rPr>
        <sz val="12"/>
        <color theme="1"/>
        <rFont val="Calibri"/>
        <family val="2"/>
        <scheme val="minor"/>
      </rPr>
      <t>s,</t>
    </r>
  </si>
  <si>
    <t>to Main's "farm labor" series</t>
  </si>
  <si>
    <t>Tie the remaining 64.47%</t>
  </si>
  <si>
    <t>(this includes top 20% of farm operators)</t>
  </si>
  <si>
    <t>NewEng.d, e</t>
  </si>
  <si>
    <r>
      <rPr>
        <b/>
        <u/>
        <sz val="14"/>
        <color theme="1"/>
        <rFont val="Arial"/>
      </rPr>
      <t>Detailed notes</t>
    </r>
    <r>
      <rPr>
        <b/>
        <sz val="14"/>
        <color theme="1"/>
        <rFont val="Arial"/>
      </rPr>
      <t>:</t>
    </r>
  </si>
  <si>
    <t>Backcasting New England incomes from 1774 to c1750</t>
  </si>
  <si>
    <t>Notes (see also "Detailed notes" worksheet)</t>
  </si>
  <si>
    <t>NewEng.f</t>
  </si>
  <si>
    <t>(NewEng.f)</t>
  </si>
  <si>
    <t xml:space="preserve">Slave retained incomes are assumed to be the same fraction of free rural wage rates </t>
  </si>
  <si>
    <t>(assumed to be the slave's marginal product) in earlier years as in 1774.</t>
  </si>
  <si>
    <t>Income levels in 1774 (Lindert-Williamson, current £ sterling)</t>
  </si>
  <si>
    <t>Allen &amp;c CPI</t>
  </si>
  <si>
    <t>Year 1774 = 100.0.</t>
  </si>
  <si>
    <r>
      <t xml:space="preserve">Parameters relating to nominal </t>
    </r>
    <r>
      <rPr>
        <b/>
        <u/>
        <sz val="12"/>
        <color theme="1"/>
        <rFont val="Arial"/>
      </rPr>
      <t>labor income</t>
    </r>
    <r>
      <rPr>
        <sz val="12"/>
        <color theme="1"/>
        <rFont val="Arial"/>
      </rPr>
      <t xml:space="preserve"> per working person</t>
    </r>
  </si>
  <si>
    <r>
      <t xml:space="preserve">Parameters relating to aggregate nominal </t>
    </r>
    <r>
      <rPr>
        <b/>
        <u/>
        <sz val="12"/>
        <color theme="1"/>
        <rFont val="Arial"/>
      </rPr>
      <t>property income</t>
    </r>
  </si>
  <si>
    <t>Implied nominal incomes circa 1725 (current £ sterling)</t>
  </si>
  <si>
    <t>Implied nominal incomes circa 1675 (current £ sterling)</t>
  </si>
  <si>
    <t>Implied nominal incomes circa 1650 (current £ sterling)</t>
  </si>
  <si>
    <t>Implied real incomes circa 1675 (1774 £ sterling)</t>
  </si>
  <si>
    <t>Implied real incomes circa 1725 (1774 £ sterling)</t>
  </si>
  <si>
    <t>Growth rate (% per annum) from --</t>
  </si>
  <si>
    <t>Real per capita results (£ sterling of 1774)</t>
  </si>
  <si>
    <t>Sources and notes to "Backcast New Eng 1774 to 1650"</t>
  </si>
  <si>
    <t xml:space="preserve">Gloria Main kindly supplied the data in June 2013 in the form of an SPSS file.  An annotated Excel file </t>
  </si>
  <si>
    <t>is available at http://gpih.ucdavis.edu.</t>
  </si>
  <si>
    <t>gathered by Gloria L. Main and Jackson T. Main, covering 16 counties of Connecticut, New Hampshire, and Massachusetts (excluding Maine).</t>
  </si>
  <si>
    <t>(1) The data source for wealth, to which we index property income, is a set of 18,509 New England probated estates</t>
  </si>
  <si>
    <r>
      <t xml:space="preserve">(2) The wage rates, to which we index labor incomes, are from Gloria Main. 1994. "Gender, Work, and Wages in Colonial New England," </t>
    </r>
    <r>
      <rPr>
        <i/>
        <sz val="12"/>
        <color theme="1"/>
        <rFont val="Arial"/>
      </rPr>
      <t/>
    </r>
  </si>
  <si>
    <r>
      <rPr>
        <i/>
        <sz val="12"/>
        <color theme="1"/>
        <rFont val="Arial"/>
      </rPr>
      <t>William and Mary Quarterly</t>
    </r>
    <r>
      <rPr>
        <sz val="12"/>
        <color theme="1"/>
        <rFont val="Arial"/>
      </rPr>
      <t xml:space="preserve"> Third Series, 51, 1 (January): 39-66.</t>
    </r>
  </si>
  <si>
    <r>
      <rPr>
        <u/>
        <sz val="12"/>
        <color theme="1"/>
        <rFont val="Arial"/>
      </rPr>
      <t>Sources</t>
    </r>
    <r>
      <rPr>
        <sz val="12"/>
        <color theme="1"/>
        <rFont val="Arial"/>
      </rPr>
      <t>:</t>
    </r>
  </si>
  <si>
    <t>(3) The consumer price index uses the New England cost of a "bare bones" bundle, as explained in Allen, Robert C. Allen</t>
  </si>
  <si>
    <t>Tommy E. Murphy, and Eric B. Schneider. 2012. "The Colonial Origins of the Divergence in the Americas: A Labor Market Approach,"</t>
  </si>
  <si>
    <r>
      <rPr>
        <i/>
        <sz val="12"/>
        <color theme="1"/>
        <rFont val="Arial"/>
      </rPr>
      <t>Journal of Economic History</t>
    </r>
    <r>
      <rPr>
        <sz val="12"/>
        <color theme="1"/>
        <rFont val="Arial"/>
      </rPr>
      <t xml:space="preserve"> 72, 4 (December): 863-894; with "supplementary materials" available on the Journal's internet site.</t>
    </r>
  </si>
  <si>
    <t>(4) The baseline estimates for 1774 are from Lindert, Peter H. and Jeffrey G. Williamson. 2013. ”American Incomes</t>
  </si>
  <si>
    <r>
      <t>Before and After the Revolution,”</t>
    </r>
    <r>
      <rPr>
        <i/>
        <sz val="12"/>
        <color theme="1"/>
        <rFont val="Arial"/>
      </rPr>
      <t xml:space="preserve"> Journal of Economic History</t>
    </r>
    <r>
      <rPr>
        <sz val="12"/>
        <color theme="1"/>
        <rFont val="Arial"/>
      </rPr>
      <t xml:space="preserve"> 73, 3 (September): 725-765.</t>
    </r>
  </si>
  <si>
    <t>The pre-1774 nominal income estimates are implied by these ratio parameters, earlier eras versus c1774</t>
  </si>
  <si>
    <t>Boston free</t>
  </si>
  <si>
    <t>(NewEng.g)</t>
  </si>
  <si>
    <r>
      <rPr>
        <i/>
        <sz val="12"/>
        <color theme="1"/>
        <rFont val="Calibri"/>
        <scheme val="minor"/>
      </rPr>
      <t>Social Change, Political Consciousness, and the Origins of the American Revolution</t>
    </r>
    <r>
      <rPr>
        <sz val="12"/>
        <color theme="1"/>
        <rFont val="Calibri"/>
        <family val="2"/>
        <scheme val="minor"/>
      </rPr>
      <t xml:space="preserve"> (Cambridge, Mass.: Harvard University Press), Table 5, pp. 397-398.</t>
    </r>
  </si>
  <si>
    <r>
      <t xml:space="preserve">For related occupation-specific series on Boston probated wealth from 1685-1715 to 1756-1775, see Gary B. Nash. 1979. </t>
    </r>
    <r>
      <rPr>
        <i/>
        <sz val="12"/>
        <color theme="1"/>
        <rFont val="Arial"/>
      </rPr>
      <t>The Urban Crucible:</t>
    </r>
  </si>
  <si>
    <t>NewEng.a, NewEng.b, NewEng.c, and NewEng.g.</t>
  </si>
  <si>
    <t>(1) The 1774 occupational mix at each location, region by urban/rural, applies to all earlier years as well.</t>
  </si>
  <si>
    <t>censuses did distinguish free blacks from slaves, and we have followed that practice here.</t>
  </si>
  <si>
    <t xml:space="preserve">In the cases of Maryland and Virginia, with their sizeable populations of free blacks, the colonial and 1790 </t>
  </si>
  <si>
    <t>(2) The rate of return on wealth remained at 5%, from c1774 back to c1650.</t>
  </si>
  <si>
    <t>(3) Slaves' retained earnings remained the same shares of the corresponding free labor ranges in earlier years as in 1774.</t>
  </si>
  <si>
    <r>
      <rPr>
        <b/>
        <u/>
        <sz val="12"/>
        <color theme="1"/>
        <rFont val="Arial"/>
      </rPr>
      <t>Some key backcasting assumptions</t>
    </r>
    <r>
      <rPr>
        <sz val="12"/>
        <color theme="1"/>
        <rFont val="Arial"/>
      </rPr>
      <t>:</t>
    </r>
  </si>
  <si>
    <t>Note that Boston's having lower average free incomes per capita in 1774 is consistent with its having higher</t>
  </si>
  <si>
    <t>rates of pay and higher labor force per household, relative to rural New England.  The explanation is that</t>
  </si>
  <si>
    <t>Boston had higher dependency ratios and higher crowding of multile adults into each household.</t>
  </si>
  <si>
    <t>Boston</t>
  </si>
  <si>
    <t>All New Eng</t>
  </si>
  <si>
    <t>Boston was a bit higher than the countryside in the first term,</t>
  </si>
  <si>
    <t>as we typically observe in the geography of labor markets and propertied classes.</t>
  </si>
  <si>
    <t>LF</t>
  </si>
  <si>
    <t xml:space="preserve">Boston was also a bit higher in the second term, according to our calculations </t>
  </si>
  <si>
    <t>free pop</t>
  </si>
  <si>
    <r>
      <t xml:space="preserve">in the file "American incomes 1774j". </t>
    </r>
    <r>
      <rPr>
        <b/>
        <u/>
        <sz val="14"/>
        <color theme="1"/>
        <rFont val="Calibri"/>
        <scheme val="minor"/>
      </rPr>
      <t>BUT</t>
    </r>
    <r>
      <rPr>
        <sz val="14"/>
        <color theme="1"/>
        <rFont val="Calibri"/>
        <scheme val="minor"/>
      </rPr>
      <t xml:space="preserve"> Boston was much higher</t>
    </r>
  </si>
  <si>
    <t>total pop</t>
  </si>
  <si>
    <t>Boston/NewEng ratio of ratios</t>
  </si>
  <si>
    <t>LF/HH</t>
  </si>
  <si>
    <t>LF/total pop</t>
  </si>
  <si>
    <t>This higher dependency ratio seems unlike what we usually find in other urban histories,</t>
  </si>
  <si>
    <t>total pop / HH</t>
  </si>
  <si>
    <t>where the worker-attracting cities had lower dependency ratios and more males per female.</t>
  </si>
  <si>
    <t>leaving a more female population behind?  The result also fits the female-city and male-frontier pattern</t>
  </si>
  <si>
    <t>All MA</t>
  </si>
  <si>
    <t>(No other states of New England gave this detail.)</t>
  </si>
  <si>
    <t>"Houses"</t>
  </si>
  <si>
    <t>and ---</t>
  </si>
  <si>
    <r>
      <t>North Carolina 1790</t>
    </r>
    <r>
      <rPr>
        <sz val="12"/>
        <color theme="1"/>
        <rFont val="Calibri"/>
        <family val="2"/>
        <scheme val="minor"/>
      </rPr>
      <t xml:space="preserve"> (the only other state to count families)</t>
    </r>
  </si>
  <si>
    <t>"Families"</t>
  </si>
  <si>
    <t>(presumably free only)</t>
  </si>
  <si>
    <t>fwm ≥ 16</t>
  </si>
  <si>
    <t>Families/house</t>
  </si>
  <si>
    <t>Big contrast</t>
  </si>
  <si>
    <t>slaves</t>
  </si>
  <si>
    <t>fwm≥16/house</t>
  </si>
  <si>
    <t>fwm≥16/family</t>
  </si>
  <si>
    <t>reverse</t>
  </si>
  <si>
    <t>fwm≥16/ free family</t>
  </si>
  <si>
    <t>like Boston</t>
  </si>
  <si>
    <r>
      <rPr>
        <sz val="12"/>
        <color theme="1"/>
        <rFont val="Calibri"/>
        <family val="2"/>
        <scheme val="minor"/>
      </rPr>
      <t>of its population in the potentially-HH group (free white males ≥ 16):</t>
    </r>
  </si>
  <si>
    <t>Free white males ≥ 16,</t>
  </si>
  <si>
    <t>"including heads</t>
  </si>
  <si>
    <t>fwm≥16 as %</t>
  </si>
  <si>
    <t>of household"</t>
  </si>
  <si>
    <t>of total pop</t>
  </si>
  <si>
    <t xml:space="preserve">Boston </t>
  </si>
  <si>
    <t>NH</t>
  </si>
  <si>
    <t>ME</t>
  </si>
  <si>
    <t>MA</t>
  </si>
  <si>
    <t>RI</t>
  </si>
  <si>
    <t>CT</t>
  </si>
  <si>
    <t>5 former colonies</t>
  </si>
  <si>
    <t>(VT)</t>
  </si>
  <si>
    <t>(Six states)</t>
  </si>
  <si>
    <t>NC</t>
  </si>
  <si>
    <t>like Boston (only free popused here)</t>
  </si>
  <si>
    <t>Male % of free population in 1790 census</t>
  </si>
  <si>
    <t>in states --</t>
  </si>
  <si>
    <t>and in cities and towns.</t>
  </si>
  <si>
    <t>Vermont</t>
  </si>
  <si>
    <t>Boston</t>
    <phoneticPr fontId="1" type="noConversion"/>
  </si>
  <si>
    <t>MA</t>
    <phoneticPr fontId="1" type="noConversion"/>
  </si>
  <si>
    <t>New Hampshire</t>
  </si>
  <si>
    <t>Maine</t>
  </si>
  <si>
    <t xml:space="preserve">Portsmouth </t>
    <phoneticPr fontId="1" type="noConversion"/>
  </si>
  <si>
    <t>NH</t>
    <phoneticPr fontId="1" type="noConversion"/>
  </si>
  <si>
    <t>Massachusetts</t>
  </si>
  <si>
    <t>Londonderry</t>
    <phoneticPr fontId="1" type="noConversion"/>
  </si>
  <si>
    <t>Rhode Island</t>
  </si>
  <si>
    <t>Rochester</t>
    <phoneticPr fontId="1" type="noConversion"/>
  </si>
  <si>
    <t>Connecticut</t>
  </si>
  <si>
    <t>Gilmantown</t>
    <phoneticPr fontId="1" type="noConversion"/>
  </si>
  <si>
    <t>Braintree</t>
    <phoneticPr fontId="1" type="noConversion"/>
  </si>
  <si>
    <t>New England</t>
  </si>
  <si>
    <t>Newburyport</t>
    <phoneticPr fontId="1" type="noConversion"/>
  </si>
  <si>
    <t>Newbury</t>
    <phoneticPr fontId="1" type="noConversion"/>
  </si>
  <si>
    <t>Gloucester</t>
    <phoneticPr fontId="1" type="noConversion"/>
  </si>
  <si>
    <t>without VT</t>
  </si>
  <si>
    <t>Ipswich</t>
    <phoneticPr fontId="1" type="noConversion"/>
  </si>
  <si>
    <t>Andover</t>
    <phoneticPr fontId="1" type="noConversion"/>
  </si>
  <si>
    <t>Salem</t>
    <phoneticPr fontId="1" type="noConversion"/>
  </si>
  <si>
    <t>Marblehead</t>
    <phoneticPr fontId="1" type="noConversion"/>
  </si>
  <si>
    <t>Beverly</t>
    <phoneticPr fontId="1" type="noConversion"/>
  </si>
  <si>
    <t>Danvers</t>
    <phoneticPr fontId="1" type="noConversion"/>
  </si>
  <si>
    <t>Plymouth</t>
    <phoneticPr fontId="1" type="noConversion"/>
  </si>
  <si>
    <t>Middleborough</t>
    <phoneticPr fontId="1" type="noConversion"/>
  </si>
  <si>
    <t>Bridgewater</t>
    <phoneticPr fontId="1" type="noConversion"/>
  </si>
  <si>
    <t>Scituate</t>
    <phoneticPr fontId="1" type="noConversion"/>
  </si>
  <si>
    <t>Taunton</t>
    <phoneticPr fontId="1" type="noConversion"/>
  </si>
  <si>
    <t>New Bedford</t>
    <phoneticPr fontId="1" type="noConversion"/>
  </si>
  <si>
    <t>Rehoboth</t>
    <phoneticPr fontId="1" type="noConversion"/>
  </si>
  <si>
    <t>Barnstaple</t>
    <phoneticPr fontId="1" type="noConversion"/>
  </si>
  <si>
    <t>Yarmouth</t>
    <phoneticPr fontId="1" type="noConversion"/>
  </si>
  <si>
    <t>Sutton</t>
    <phoneticPr fontId="1" type="noConversion"/>
  </si>
  <si>
    <t>Brookfield</t>
    <phoneticPr fontId="1" type="noConversion"/>
  </si>
  <si>
    <t>Newport</t>
    <phoneticPr fontId="1" type="noConversion"/>
  </si>
  <si>
    <t>RI</t>
    <phoneticPr fontId="1" type="noConversion"/>
  </si>
  <si>
    <t>Providence</t>
    <phoneticPr fontId="1" type="noConversion"/>
  </si>
  <si>
    <t>Smithfield</t>
    <phoneticPr fontId="1" type="noConversion"/>
  </si>
  <si>
    <t>Glocester</t>
    <phoneticPr fontId="1" type="noConversion"/>
  </si>
  <si>
    <t>South Kingston</t>
    <phoneticPr fontId="1" type="noConversion"/>
  </si>
  <si>
    <r>
      <rPr>
        <b/>
        <sz val="16"/>
        <color theme="1"/>
        <rFont val="Calibri"/>
        <scheme val="minor"/>
      </rPr>
      <t>Exhibit (1) = In 1774</t>
    </r>
    <r>
      <rPr>
        <sz val="12"/>
        <color theme="1"/>
        <rFont val="Calibri"/>
        <family val="2"/>
        <scheme val="minor"/>
      </rPr>
      <t>, per our file "American incomes 1774j"</t>
    </r>
  </si>
  <si>
    <r>
      <rPr>
        <b/>
        <sz val="16"/>
        <color theme="1"/>
        <rFont val="Calibri"/>
        <scheme val="minor"/>
      </rPr>
      <t>Exhibit (2) = 1790</t>
    </r>
    <r>
      <rPr>
        <sz val="12"/>
        <color theme="1"/>
        <rFont val="Calibri"/>
        <family val="2"/>
        <scheme val="minor"/>
      </rPr>
      <t xml:space="preserve"> census gives:</t>
    </r>
  </si>
  <si>
    <r>
      <rPr>
        <b/>
        <sz val="16"/>
        <color theme="1"/>
        <rFont val="Calibri"/>
        <scheme val="minor"/>
      </rPr>
      <t>Exhibit (3) = 1790</t>
    </r>
    <r>
      <rPr>
        <sz val="12"/>
        <color theme="1"/>
        <rFont val="Calibri"/>
        <family val="2"/>
        <scheme val="minor"/>
      </rPr>
      <t xml:space="preserve"> census also shows that Boston has a slightly lower share</t>
    </r>
  </si>
  <si>
    <r>
      <rPr>
        <b/>
        <sz val="14"/>
        <color theme="1"/>
        <rFont val="Calibri"/>
        <scheme val="minor"/>
      </rPr>
      <t>Exhibit (4) = Males were a lower %</t>
    </r>
    <r>
      <rPr>
        <sz val="14"/>
        <color theme="1"/>
        <rFont val="Calibri"/>
        <scheme val="minor"/>
      </rPr>
      <t xml:space="preserve"> of the free population in Boston.</t>
    </r>
  </si>
  <si>
    <t>"In the northern colonies they employ few slaves, and tho' they are in a very fluorishing</t>
  </si>
  <si>
    <t>condition in these colonies, the lands are generaly cultivated by the proprietors,</t>
  </si>
  <si>
    <t>which is the most favourable method to the progress of agriculture."</t>
  </si>
  <si>
    <r>
      <t xml:space="preserve">  -- Adam Smith, </t>
    </r>
    <r>
      <rPr>
        <i/>
        <sz val="12"/>
        <color theme="1"/>
        <rFont val="Arial"/>
      </rPr>
      <t xml:space="preserve">Lectures on Jurisprudence </t>
    </r>
    <r>
      <rPr>
        <sz val="12"/>
        <color theme="1"/>
        <rFont val="Arial"/>
      </rPr>
      <t xml:space="preserve">(1978 </t>
    </r>
    <r>
      <rPr>
        <sz val="12"/>
        <color indexed="206"/>
        <rFont val="Arial"/>
      </rPr>
      <t>(</t>
    </r>
    <r>
      <rPr>
        <sz val="12"/>
        <color theme="1"/>
        <rFont val="Arial"/>
      </rPr>
      <t>1766</t>
    </r>
    <r>
      <rPr>
        <sz val="12"/>
        <color indexed="206"/>
        <rFont val="Arial"/>
      </rPr>
      <t>)</t>
    </r>
    <r>
      <rPr>
        <sz val="12"/>
        <color theme="1"/>
        <rFont val="Arial"/>
      </rPr>
      <t>), p. 523.</t>
    </r>
  </si>
  <si>
    <t>See the worksheet on "demog contrasts Boston vs rural".</t>
  </si>
  <si>
    <t>(4) Unemployment rates, and the resulting deviations from wage-based estimates</t>
  </si>
  <si>
    <t>of labor income, were comparable at all benchmark dates.</t>
  </si>
  <si>
    <t>Labor force</t>
  </si>
  <si>
    <t>All HH occup'l groups, town-rural</t>
  </si>
  <si>
    <t>All HH occupational groups, urban</t>
  </si>
  <si>
    <r>
      <rPr>
        <b/>
        <u/>
        <sz val="12"/>
        <color theme="1"/>
        <rFont val="Arial"/>
      </rPr>
      <t>Population</t>
    </r>
    <r>
      <rPr>
        <u/>
        <sz val="12"/>
        <color theme="1"/>
        <rFont val="Arial"/>
      </rPr>
      <t xml:space="preserve"> for all colonial regions</t>
    </r>
    <r>
      <rPr>
        <sz val="12"/>
        <color theme="1"/>
        <rFont val="Arial"/>
      </rPr>
      <t>:</t>
    </r>
  </si>
  <si>
    <r>
      <t xml:space="preserve">On Boston probated wealth, see also Nash, Gary B. 1979. </t>
    </r>
    <r>
      <rPr>
        <i/>
        <sz val="12"/>
        <color theme="1"/>
        <rFont val="Arial"/>
      </rPr>
      <t xml:space="preserve">The Urban Crucible: Social Change, </t>
    </r>
  </si>
  <si>
    <r>
      <rPr>
        <i/>
        <sz val="12"/>
        <color theme="1"/>
        <rFont val="Arial"/>
      </rPr>
      <t>Political Consciousness, and the Origins of the American Revolution</t>
    </r>
    <r>
      <rPr>
        <sz val="12"/>
        <color theme="1"/>
        <rFont val="Arial"/>
      </rPr>
      <t xml:space="preserve"> (Cambridge, Mass.: Harvard University Press), appendices.</t>
    </r>
  </si>
  <si>
    <r>
      <t>Implied real incomes circa 1650 (1774 £ sterling)</t>
    </r>
    <r>
      <rPr>
        <b/>
        <sz val="14"/>
        <color rgb="FFFF0000"/>
        <rFont val="Arial"/>
      </rPr>
      <t xml:space="preserve"> </t>
    </r>
  </si>
  <si>
    <r>
      <t xml:space="preserve">Implied nominal incomes circa 1700 (current £ sterling) </t>
    </r>
    <r>
      <rPr>
        <b/>
        <sz val="14"/>
        <color rgb="FFFF0000"/>
        <rFont val="Arial"/>
      </rPr>
      <t>(two wars)</t>
    </r>
  </si>
  <si>
    <r>
      <t xml:space="preserve">Implied real incomes circa 1700 (1774 £ sterling) </t>
    </r>
    <r>
      <rPr>
        <b/>
        <sz val="14"/>
        <color rgb="FFFF0000"/>
        <rFont val="Arial"/>
      </rPr>
      <t>(two wars)</t>
    </r>
  </si>
  <si>
    <r>
      <t xml:space="preserve">Implied nominal incomes circa 1750 (current £ sterling) </t>
    </r>
    <r>
      <rPr>
        <b/>
        <sz val="14"/>
        <color rgb="FFFF0000"/>
        <rFont val="Arial"/>
      </rPr>
      <t>(incl. 7 Yrs' War)</t>
    </r>
  </si>
  <si>
    <r>
      <t>Implied real incomes circa 1750 (1774 £ sterling)</t>
    </r>
    <r>
      <rPr>
        <b/>
        <sz val="14"/>
        <color rgb="FFFF0000"/>
        <rFont val="Arial"/>
      </rPr>
      <t xml:space="preserve"> (Incl. 7 Yrs' War)</t>
    </r>
  </si>
  <si>
    <t>Urban free/total =</t>
  </si>
  <si>
    <t>Urban free/all free =</t>
  </si>
  <si>
    <t>property share (%) =</t>
  </si>
  <si>
    <t>Implied real incomes "c1770" = 1763-1775 (1774 £ sterling)</t>
  </si>
  <si>
    <t>c1770</t>
  </si>
  <si>
    <t>in that household-size denominator.  Higher co-habitation of adults</t>
  </si>
  <si>
    <t>in the same household, and a higher dependency ratio -- featuring a more female population in the cities!</t>
  </si>
  <si>
    <t>Nash argues that the higher female share was due in part to Boston's exceptionally high mortality in the Canadian Campaigns of 1756-1763.</t>
  </si>
  <si>
    <t xml:space="preserve">  </t>
  </si>
  <si>
    <r>
      <rPr>
        <b/>
        <sz val="14"/>
        <color theme="1"/>
        <rFont val="Calibri"/>
        <scheme val="minor"/>
      </rPr>
      <t>RESULT</t>
    </r>
    <r>
      <rPr>
        <sz val="14"/>
        <color theme="1"/>
        <rFont val="Calibri"/>
        <scheme val="minor"/>
      </rPr>
      <t>: In the identity (Y/capita) = (Y/LF) * (LF/HH) / (free pop per HH),</t>
    </r>
  </si>
  <si>
    <t>Perhaps this might be partly because 18th-century Boston had already become a city of net emgration,</t>
  </si>
  <si>
    <r>
      <t>that Eugene Hammel</t>
    </r>
    <r>
      <rPr>
        <i/>
        <sz val="14"/>
        <color theme="1"/>
        <rFont val="Calibri"/>
        <scheme val="minor"/>
      </rPr>
      <t xml:space="preserve"> et al.</t>
    </r>
    <r>
      <rPr>
        <sz val="14"/>
        <color theme="1"/>
        <rFont val="Calibri"/>
        <scheme val="minor"/>
      </rPr>
      <t xml:space="preserve"> found even for US populations under the age of 10 (!) in the 19th century.</t>
    </r>
  </si>
  <si>
    <t xml:space="preserve">"The value of children in industrialization: Childhood sex ratios in </t>
  </si>
  <si>
    <t xml:space="preserve">Hammel, E. A., S. R. Johansson, C. Ginsberg. 1983. </t>
  </si>
  <si>
    <t xml:space="preserve">early nineteenth century America." </t>
  </si>
  <si>
    <r>
      <rPr>
        <i/>
        <sz val="12"/>
        <color theme="1"/>
        <rFont val="Calibri"/>
        <scheme val="minor"/>
      </rPr>
      <t>Journal of Family Histor</t>
    </r>
    <r>
      <rPr>
        <sz val="12"/>
        <color theme="1"/>
        <rFont val="Calibri"/>
        <family val="2"/>
        <scheme val="minor"/>
      </rPr>
      <t>y 8:346-366.</t>
    </r>
  </si>
  <si>
    <t>Demographic contrasts, Boston vs. New England 1774-1790</t>
  </si>
  <si>
    <t>s</t>
  </si>
  <si>
    <t>(NewEng.e) For Boston, the indicators of own-labor income per capita follow, back to 1725, a log-average of the skilled</t>
  </si>
  <si>
    <t>craftsman's wage rate for New England (Main 1977) and a Nash's series for Boston seamen. From 1725 back to 1650, it follows</t>
  </si>
  <si>
    <t>Main's skilled craft wage, absent pre-1725 data on seamen's monthly wage rates. For non-Boston New England,</t>
  </si>
  <si>
    <t>we follow Gloria Main's (1977) adult male farm wage rate.</t>
  </si>
  <si>
    <t>The New England data do not allow a distinction between 1770 and 1774 for property incomes.</t>
  </si>
  <si>
    <t>to</t>
  </si>
  <si>
    <t>Other impressions:</t>
  </si>
  <si>
    <t>cites Terry Anderson (1975, p. 171; 1979, Table 3). Similar emphasis on high seventeenth-century</t>
  </si>
  <si>
    <t>growth in Davisson's (1967) study of Essex County MA.</t>
  </si>
  <si>
    <t>Real (constant-price) estimates</t>
  </si>
  <si>
    <t>New England had high growth rates to 1680, slow to 1710, and negative thereafter, as Jones (1980, p. 75)</t>
  </si>
  <si>
    <t>Lindert</t>
  </si>
  <si>
    <t>calc's 8oct'13</t>
  </si>
  <si>
    <t xml:space="preserve">Implied nominal incomes circa 1770 (current £ sterling) </t>
  </si>
  <si>
    <t>These come from the estimates in "American incomes 1774 fewer days" / $4.44/£</t>
  </si>
  <si>
    <t>Nominal (current-price) "part-time" estimates</t>
  </si>
  <si>
    <t>Aggregate (£)</t>
  </si>
  <si>
    <t>Aggregate ($) 1774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</si>
</sst>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b/>
      <sz val="16"/>
      <color rgb="FFFF0000"/>
      <name val="Arial"/>
    </font>
    <font>
      <i/>
      <sz val="12"/>
      <color theme="1"/>
      <name val="Arial"/>
    </font>
    <font>
      <u/>
      <sz val="12"/>
      <color theme="1"/>
      <name val="Arial"/>
    </font>
    <font>
      <b/>
      <u/>
      <sz val="14"/>
      <color theme="1"/>
      <name val="Arial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sz val="12"/>
      <name val="Arial"/>
    </font>
    <font>
      <sz val="12"/>
      <color rgb="FFFF0000"/>
      <name val="Calibri"/>
      <family val="2"/>
      <scheme val="minor"/>
    </font>
    <font>
      <b/>
      <u/>
      <sz val="12"/>
      <color theme="1"/>
      <name val="Arial"/>
    </font>
    <font>
      <b/>
      <sz val="12"/>
      <color rgb="FFFF0000"/>
      <name val="Arial"/>
    </font>
    <font>
      <i/>
      <sz val="12"/>
      <color theme="1"/>
      <name val="Calibri"/>
      <scheme val="minor"/>
    </font>
    <font>
      <b/>
      <sz val="16"/>
      <color rgb="FFFF0000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u/>
      <sz val="14"/>
      <color theme="1"/>
      <name val="Calibri"/>
      <scheme val="minor"/>
    </font>
    <font>
      <i/>
      <sz val="14"/>
      <color theme="1"/>
      <name val="Calibri"/>
      <scheme val="minor"/>
    </font>
    <font>
      <b/>
      <sz val="12"/>
      <name val="Arial"/>
    </font>
    <font>
      <b/>
      <u/>
      <sz val="12"/>
      <name val="Arial"/>
    </font>
    <font>
      <b/>
      <sz val="16"/>
      <color theme="1"/>
      <name val="Calibri"/>
      <scheme val="minor"/>
    </font>
    <font>
      <sz val="12"/>
      <color indexed="206"/>
      <name val="Arial"/>
    </font>
    <font>
      <b/>
      <sz val="14"/>
      <color rgb="FFFF0000"/>
      <name val="Arial"/>
    </font>
    <font>
      <sz val="12"/>
      <color rgb="FFFF0000"/>
      <name val="Arial"/>
    </font>
    <font>
      <sz val="16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48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FF79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0" fillId="0" borderId="0" xfId="0" applyNumberFormat="1"/>
    <xf numFmtId="3" fontId="3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5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5" fillId="0" borderId="2" xfId="0" applyNumberFormat="1" applyFont="1" applyBorder="1"/>
    <xf numFmtId="3" fontId="3" fillId="0" borderId="0" xfId="0" applyNumberFormat="1" applyFont="1" applyFill="1"/>
    <xf numFmtId="1" fontId="3" fillId="0" borderId="0" xfId="0" applyNumberFormat="1" applyFont="1"/>
    <xf numFmtId="0" fontId="3" fillId="0" borderId="0" xfId="0" applyFont="1" applyAlignment="1"/>
    <xf numFmtId="0" fontId="6" fillId="0" borderId="0" xfId="0" applyFont="1" applyAlignment="1"/>
    <xf numFmtId="3" fontId="3" fillId="0" borderId="0" xfId="0" applyNumberFormat="1" applyFont="1" applyAlignment="1"/>
    <xf numFmtId="0" fontId="3" fillId="0" borderId="4" xfId="0" applyFont="1" applyBorder="1" applyAlignment="1"/>
    <xf numFmtId="0" fontId="3" fillId="0" borderId="5" xfId="0" applyFont="1" applyBorder="1" applyAlignment="1"/>
    <xf numFmtId="3" fontId="3" fillId="0" borderId="6" xfId="0" applyNumberFormat="1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3" fontId="3" fillId="0" borderId="9" xfId="0" applyNumberFormat="1" applyFont="1" applyBorder="1" applyAlignment="1"/>
    <xf numFmtId="164" fontId="3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0" fontId="5" fillId="0" borderId="0" xfId="0" applyFont="1"/>
    <xf numFmtId="3" fontId="5" fillId="2" borderId="0" xfId="0" applyNumberFormat="1" applyFont="1" applyFill="1"/>
    <xf numFmtId="3" fontId="3" fillId="2" borderId="0" xfId="0" applyNumberFormat="1" applyFont="1" applyFill="1"/>
    <xf numFmtId="0" fontId="12" fillId="0" borderId="0" xfId="0" applyFont="1" applyAlignment="1"/>
    <xf numFmtId="0" fontId="12" fillId="0" borderId="0" xfId="0" applyFont="1" applyFill="1" applyBorder="1" applyAlignment="1"/>
    <xf numFmtId="1" fontId="12" fillId="0" borderId="0" xfId="0" applyNumberFormat="1" applyFont="1" applyAlignmen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3" fontId="0" fillId="0" borderId="10" xfId="0" applyNumberFormat="1" applyBorder="1"/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left"/>
    </xf>
    <xf numFmtId="2" fontId="13" fillId="0" borderId="0" xfId="0" applyNumberFormat="1" applyFont="1"/>
    <xf numFmtId="2" fontId="0" fillId="3" borderId="0" xfId="0" applyNumberFormat="1" applyFill="1"/>
    <xf numFmtId="0" fontId="0" fillId="3" borderId="0" xfId="0" applyFill="1"/>
    <xf numFmtId="3" fontId="0" fillId="0" borderId="12" xfId="0" applyNumberFormat="1" applyBorder="1" applyAlignment="1">
      <alignment horizontal="right"/>
    </xf>
    <xf numFmtId="164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" fontId="3" fillId="0" borderId="0" xfId="0" applyNumberFormat="1" applyFont="1" applyFill="1"/>
    <xf numFmtId="0" fontId="8" fillId="0" borderId="0" xfId="0" applyFont="1" applyAlignment="1">
      <alignment horizontal="right"/>
    </xf>
    <xf numFmtId="3" fontId="5" fillId="4" borderId="0" xfId="0" applyNumberFormat="1" applyFont="1" applyFill="1"/>
    <xf numFmtId="3" fontId="3" fillId="4" borderId="0" xfId="0" applyNumberFormat="1" applyFont="1" applyFill="1"/>
    <xf numFmtId="0" fontId="3" fillId="5" borderId="0" xfId="0" applyFont="1" applyFill="1"/>
    <xf numFmtId="3" fontId="3" fillId="5" borderId="0" xfId="0" applyNumberFormat="1" applyFont="1" applyFill="1"/>
    <xf numFmtId="0" fontId="8" fillId="5" borderId="0" xfId="0" applyFont="1" applyFill="1" applyAlignment="1">
      <alignment horizontal="right"/>
    </xf>
    <xf numFmtId="164" fontId="4" fillId="5" borderId="0" xfId="0" applyNumberFormat="1" applyFont="1" applyFill="1"/>
    <xf numFmtId="164" fontId="3" fillId="5" borderId="0" xfId="0" applyNumberFormat="1" applyFont="1" applyFill="1"/>
    <xf numFmtId="0" fontId="15" fillId="0" borderId="0" xfId="0" applyFont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3" fontId="0" fillId="0" borderId="0" xfId="0" applyNumberFormat="1" applyAlignment="1">
      <alignment horizontal="right"/>
    </xf>
    <xf numFmtId="0" fontId="16" fillId="0" borderId="0" xfId="0" applyFont="1"/>
    <xf numFmtId="0" fontId="22" fillId="6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65" fontId="0" fillId="0" borderId="13" xfId="0" applyNumberFormat="1" applyBorder="1"/>
    <xf numFmtId="0" fontId="23" fillId="0" borderId="0" xfId="0" applyFont="1" applyAlignment="1">
      <alignment horizontal="right"/>
    </xf>
    <xf numFmtId="0" fontId="0" fillId="2" borderId="0" xfId="0" applyFill="1"/>
    <xf numFmtId="165" fontId="0" fillId="0" borderId="14" xfId="0" applyNumberFormat="1" applyBorder="1"/>
    <xf numFmtId="166" fontId="3" fillId="0" borderId="0" xfId="0" applyNumberFormat="1" applyFont="1"/>
    <xf numFmtId="3" fontId="27" fillId="0" borderId="0" xfId="0" applyNumberFormat="1" applyFont="1" applyAlignment="1">
      <alignment horizontal="right"/>
    </xf>
    <xf numFmtId="164" fontId="27" fillId="0" borderId="0" xfId="0" applyNumberFormat="1" applyFont="1"/>
    <xf numFmtId="3" fontId="3" fillId="7" borderId="0" xfId="0" applyNumberFormat="1" applyFont="1" applyFill="1"/>
    <xf numFmtId="3" fontId="27" fillId="7" borderId="0" xfId="0" applyNumberFormat="1" applyFont="1" applyFill="1"/>
    <xf numFmtId="164" fontId="3" fillId="5" borderId="0" xfId="0" applyNumberFormat="1" applyFont="1" applyFill="1" applyBorder="1"/>
    <xf numFmtId="3" fontId="3" fillId="5" borderId="0" xfId="0" applyNumberFormat="1" applyFont="1" applyFill="1" applyBorder="1"/>
    <xf numFmtId="164" fontId="3" fillId="5" borderId="13" xfId="0" applyNumberFormat="1" applyFont="1" applyFill="1" applyBorder="1"/>
    <xf numFmtId="4" fontId="0" fillId="0" borderId="0" xfId="0" applyNumberFormat="1"/>
    <xf numFmtId="0" fontId="3" fillId="0" borderId="0" xfId="0" applyFont="1" applyAlignment="1">
      <alignment horizontal="right"/>
    </xf>
    <xf numFmtId="1" fontId="8" fillId="5" borderId="0" xfId="0" applyNumberFormat="1" applyFont="1" applyFill="1"/>
    <xf numFmtId="1" fontId="8" fillId="5" borderId="0" xfId="0" applyNumberFormat="1" applyFont="1" applyFill="1" applyAlignment="1">
      <alignment horizontal="right"/>
    </xf>
    <xf numFmtId="0" fontId="3" fillId="0" borderId="0" xfId="0" applyFont="1" applyFill="1"/>
    <xf numFmtId="0" fontId="28" fillId="7" borderId="0" xfId="0" applyFont="1" applyFill="1"/>
    <xf numFmtId="3" fontId="28" fillId="8" borderId="0" xfId="0" applyNumberFormat="1" applyFont="1" applyFill="1"/>
    <xf numFmtId="3" fontId="3" fillId="8" borderId="0" xfId="0" applyNumberFormat="1" applyFont="1" applyFill="1"/>
    <xf numFmtId="0" fontId="27" fillId="0" borderId="0" xfId="0" applyFont="1"/>
    <xf numFmtId="0" fontId="3" fillId="2" borderId="0" xfId="0" applyFont="1" applyFill="1"/>
    <xf numFmtId="0" fontId="3" fillId="0" borderId="0" xfId="0" applyFont="1" applyFill="1" applyAlignment="1">
      <alignment horizontal="right"/>
    </xf>
  </cellXfs>
  <cellStyles count="7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A47" sqref="A47"/>
    </sheetView>
  </sheetViews>
  <sheetFormatPr baseColWidth="10" defaultRowHeight="15" x14ac:dyDescent="0"/>
  <cols>
    <col min="1" max="1" width="4.33203125" style="15" customWidth="1"/>
    <col min="2" max="11" width="10.83203125" style="15"/>
    <col min="12" max="12" width="8.5" style="15" customWidth="1"/>
    <col min="13" max="13" width="14.83203125" style="15" customWidth="1"/>
    <col min="14" max="14" width="9" style="17" customWidth="1"/>
    <col min="15" max="15" width="13.33203125" style="15" customWidth="1"/>
    <col min="16" max="16384" width="10.83203125" style="15"/>
  </cols>
  <sheetData>
    <row r="1" spans="1:14" ht="18">
      <c r="B1" s="16" t="s">
        <v>121</v>
      </c>
      <c r="M1" s="15" t="s">
        <v>247</v>
      </c>
    </row>
    <row r="2" spans="1:14">
      <c r="B2" s="57"/>
      <c r="M2" s="15" t="s">
        <v>248</v>
      </c>
    </row>
    <row r="3" spans="1:14">
      <c r="A3" s="15" t="s">
        <v>128</v>
      </c>
      <c r="B3" s="57"/>
      <c r="M3" s="15" t="s">
        <v>249</v>
      </c>
    </row>
    <row r="4" spans="1:14">
      <c r="A4" s="15" t="s">
        <v>125</v>
      </c>
      <c r="B4" s="57"/>
      <c r="N4" s="17" t="s">
        <v>250</v>
      </c>
    </row>
    <row r="5" spans="1:14">
      <c r="A5" s="15" t="s">
        <v>124</v>
      </c>
      <c r="B5" s="57"/>
    </row>
    <row r="6" spans="1:14">
      <c r="A6" s="15" t="s">
        <v>122</v>
      </c>
      <c r="B6" s="57"/>
    </row>
    <row r="7" spans="1:14">
      <c r="A7" s="15" t="s">
        <v>123</v>
      </c>
      <c r="B7" s="57"/>
    </row>
    <row r="8" spans="1:14">
      <c r="A8" s="15" t="s">
        <v>258</v>
      </c>
      <c r="M8" s="17"/>
      <c r="N8" s="15"/>
    </row>
    <row r="9" spans="1:14">
      <c r="A9" s="15" t="s">
        <v>259</v>
      </c>
      <c r="M9" s="17"/>
      <c r="N9" s="15"/>
    </row>
    <row r="10" spans="1:14">
      <c r="A10" s="15" t="s">
        <v>126</v>
      </c>
      <c r="B10" s="57"/>
    </row>
    <row r="11" spans="1:14">
      <c r="A11" s="15" t="s">
        <v>127</v>
      </c>
      <c r="B11" s="57"/>
    </row>
    <row r="12" spans="1:14">
      <c r="A12" s="15" t="s">
        <v>129</v>
      </c>
      <c r="B12" s="57"/>
    </row>
    <row r="13" spans="1:14">
      <c r="A13" s="15" t="s">
        <v>130</v>
      </c>
      <c r="B13" s="57"/>
    </row>
    <row r="14" spans="1:14">
      <c r="A14" s="15" t="s">
        <v>131</v>
      </c>
      <c r="B14" s="57"/>
    </row>
    <row r="15" spans="1:14">
      <c r="A15" s="15" t="s">
        <v>132</v>
      </c>
      <c r="B15" s="57"/>
    </row>
    <row r="16" spans="1:14">
      <c r="A16" s="15" t="s">
        <v>133</v>
      </c>
      <c r="B16" s="57"/>
    </row>
    <row r="17" spans="1:16">
      <c r="B17" s="57"/>
    </row>
    <row r="18" spans="1:16">
      <c r="A18" s="15" t="s">
        <v>257</v>
      </c>
    </row>
    <row r="19" spans="1:16">
      <c r="A19" s="15" t="s">
        <v>34</v>
      </c>
      <c r="M19" s="18" t="s">
        <v>31</v>
      </c>
      <c r="N19" s="19"/>
      <c r="O19" s="20"/>
    </row>
    <row r="20" spans="1:16">
      <c r="B20" s="15" t="s">
        <v>32</v>
      </c>
      <c r="M20" s="21" t="s">
        <v>30</v>
      </c>
      <c r="N20" s="22"/>
      <c r="O20" s="23"/>
    </row>
    <row r="21" spans="1:16">
      <c r="A21" s="15" t="s">
        <v>39</v>
      </c>
      <c r="M21" s="15" t="s">
        <v>13</v>
      </c>
      <c r="N21" s="15">
        <v>1775</v>
      </c>
      <c r="O21" s="17">
        <v>11000</v>
      </c>
    </row>
    <row r="22" spans="1:16">
      <c r="B22" s="17" t="s">
        <v>12</v>
      </c>
      <c r="M22" s="15" t="s">
        <v>14</v>
      </c>
      <c r="N22" s="15">
        <v>1771</v>
      </c>
      <c r="O22" s="17">
        <v>8295</v>
      </c>
    </row>
    <row r="23" spans="1:16">
      <c r="B23" s="15" t="s">
        <v>33</v>
      </c>
      <c r="M23" s="15" t="s">
        <v>15</v>
      </c>
      <c r="N23" s="15">
        <v>1775</v>
      </c>
      <c r="O23" s="17">
        <v>5250</v>
      </c>
      <c r="P23" s="15" t="s">
        <v>26</v>
      </c>
    </row>
    <row r="24" spans="1:16">
      <c r="A24" s="15" t="s">
        <v>40</v>
      </c>
      <c r="M24" s="15" t="s">
        <v>16</v>
      </c>
      <c r="N24" s="15">
        <v>1775</v>
      </c>
      <c r="O24" s="17">
        <v>5934</v>
      </c>
    </row>
    <row r="25" spans="1:16">
      <c r="B25" s="15" t="s">
        <v>38</v>
      </c>
      <c r="M25" s="15" t="s">
        <v>17</v>
      </c>
      <c r="N25" s="15">
        <v>1774</v>
      </c>
      <c r="O25" s="17">
        <v>5366</v>
      </c>
    </row>
    <row r="26" spans="1:16">
      <c r="B26" s="15" t="s">
        <v>35</v>
      </c>
      <c r="M26" s="15" t="s">
        <v>18</v>
      </c>
      <c r="N26" s="15">
        <v>1776</v>
      </c>
      <c r="O26" s="17">
        <v>5337</v>
      </c>
    </row>
    <row r="27" spans="1:16">
      <c r="B27" s="15" t="s">
        <v>36</v>
      </c>
      <c r="M27" s="15" t="s">
        <v>19</v>
      </c>
      <c r="N27" s="15">
        <v>1776</v>
      </c>
      <c r="O27" s="17">
        <v>5500</v>
      </c>
      <c r="P27" s="15" t="s">
        <v>26</v>
      </c>
    </row>
    <row r="28" spans="1:16">
      <c r="B28" s="15" t="s">
        <v>37</v>
      </c>
      <c r="M28" s="15" t="s">
        <v>20</v>
      </c>
      <c r="N28" s="15">
        <v>1774</v>
      </c>
      <c r="O28" s="17">
        <v>4881</v>
      </c>
    </row>
    <row r="29" spans="1:16">
      <c r="B29" s="15" t="s">
        <v>142</v>
      </c>
      <c r="M29" s="15" t="s">
        <v>21</v>
      </c>
      <c r="N29" s="15">
        <v>1775</v>
      </c>
      <c r="O29" s="17">
        <v>4680</v>
      </c>
    </row>
    <row r="30" spans="1:16">
      <c r="B30" s="15" t="s">
        <v>141</v>
      </c>
      <c r="M30" s="15" t="s">
        <v>22</v>
      </c>
      <c r="N30" s="15">
        <v>1775</v>
      </c>
      <c r="O30" s="17">
        <v>4590</v>
      </c>
    </row>
    <row r="31" spans="1:16">
      <c r="M31" s="15" t="s">
        <v>23</v>
      </c>
      <c r="N31" s="15">
        <v>1776</v>
      </c>
      <c r="O31" s="17">
        <v>4386</v>
      </c>
    </row>
    <row r="32" spans="1:16">
      <c r="A32" s="15" t="s">
        <v>145</v>
      </c>
      <c r="M32" s="15" t="s">
        <v>24</v>
      </c>
      <c r="N32" s="15">
        <v>1774</v>
      </c>
      <c r="O32" s="17">
        <v>4361</v>
      </c>
    </row>
    <row r="33" spans="1:16">
      <c r="A33" s="15" t="s">
        <v>140</v>
      </c>
      <c r="M33" s="15" t="s">
        <v>25</v>
      </c>
      <c r="N33" s="15">
        <v>1776</v>
      </c>
      <c r="O33" s="17">
        <v>4000</v>
      </c>
      <c r="P33" s="15" t="s">
        <v>26</v>
      </c>
    </row>
    <row r="34" spans="1:16">
      <c r="A34" s="15" t="s">
        <v>143</v>
      </c>
      <c r="M34" s="15" t="s">
        <v>27</v>
      </c>
      <c r="N34" s="15">
        <v>1775</v>
      </c>
      <c r="O34" s="17">
        <v>3700</v>
      </c>
    </row>
    <row r="35" spans="1:16">
      <c r="A35" s="15" t="s">
        <v>144</v>
      </c>
      <c r="M35" s="15" t="s">
        <v>28</v>
      </c>
      <c r="N35" s="15">
        <v>1775</v>
      </c>
      <c r="O35" s="17">
        <v>3200</v>
      </c>
      <c r="P35" s="15" t="s">
        <v>26</v>
      </c>
    </row>
    <row r="36" spans="1:16">
      <c r="A36" s="15" t="s">
        <v>252</v>
      </c>
      <c r="N36" s="15"/>
      <c r="O36" s="17"/>
    </row>
    <row r="37" spans="1:16">
      <c r="A37" s="15" t="s">
        <v>253</v>
      </c>
      <c r="M37" s="15" t="s">
        <v>29</v>
      </c>
      <c r="N37" s="15"/>
      <c r="O37" s="17"/>
    </row>
    <row r="39" spans="1:16">
      <c r="A39" s="15" t="s">
        <v>146</v>
      </c>
    </row>
    <row r="40" spans="1:16">
      <c r="B40" s="15" t="s">
        <v>147</v>
      </c>
    </row>
    <row r="41" spans="1:16">
      <c r="B41" s="15" t="s">
        <v>148</v>
      </c>
    </row>
    <row r="42" spans="1:16">
      <c r="B42" s="15" t="s">
        <v>251</v>
      </c>
    </row>
    <row r="45" spans="1:16">
      <c r="A45" s="15" t="s">
        <v>289</v>
      </c>
    </row>
    <row r="46" spans="1:16">
      <c r="A46" s="15" t="s">
        <v>293</v>
      </c>
    </row>
    <row r="47" spans="1:16">
      <c r="B47" s="15" t="s">
        <v>290</v>
      </c>
    </row>
    <row r="48" spans="1:16">
      <c r="B48" s="15" t="s">
        <v>291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8"/>
  <sheetViews>
    <sheetView workbookViewId="0">
      <selection activeCell="E8" sqref="E8"/>
    </sheetView>
  </sheetViews>
  <sheetFormatPr baseColWidth="10" defaultRowHeight="15" x14ac:dyDescent="0"/>
  <cols>
    <col min="1" max="1" width="12.5" customWidth="1"/>
  </cols>
  <sheetData>
    <row r="4" spans="1:2" ht="17">
      <c r="A4" s="27" t="s">
        <v>102</v>
      </c>
    </row>
    <row r="5" spans="1:2">
      <c r="A5" s="1" t="s">
        <v>43</v>
      </c>
    </row>
    <row r="6" spans="1:2">
      <c r="A6" s="1" t="s">
        <v>44</v>
      </c>
    </row>
    <row r="7" spans="1:2">
      <c r="A7" s="1" t="s">
        <v>48</v>
      </c>
    </row>
    <row r="8" spans="1:2">
      <c r="B8" s="1" t="s">
        <v>45</v>
      </c>
    </row>
    <row r="9" spans="1:2">
      <c r="A9" s="1" t="s">
        <v>50</v>
      </c>
    </row>
    <row r="10" spans="1:2">
      <c r="B10" s="1" t="s">
        <v>49</v>
      </c>
    </row>
    <row r="11" spans="1:2">
      <c r="A11" s="1" t="s">
        <v>283</v>
      </c>
    </row>
    <row r="12" spans="1:2">
      <c r="B12" s="1" t="s">
        <v>284</v>
      </c>
    </row>
    <row r="13" spans="1:2">
      <c r="B13" s="1" t="s">
        <v>285</v>
      </c>
    </row>
    <row r="14" spans="1:2">
      <c r="B14" s="1" t="s">
        <v>286</v>
      </c>
    </row>
    <row r="15" spans="1:2">
      <c r="A15" t="s">
        <v>106</v>
      </c>
      <c r="B15" s="1" t="s">
        <v>107</v>
      </c>
    </row>
    <row r="16" spans="1:2">
      <c r="B16" s="1" t="s">
        <v>108</v>
      </c>
    </row>
    <row r="17" spans="1:2">
      <c r="A17" t="s">
        <v>136</v>
      </c>
      <c r="B17" s="1" t="s">
        <v>138</v>
      </c>
    </row>
    <row r="18" spans="1:2">
      <c r="B18" t="s">
        <v>137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tabSelected="1" topLeftCell="A19" workbookViewId="0">
      <selection activeCell="F24" sqref="F24"/>
    </sheetView>
  </sheetViews>
  <sheetFormatPr baseColWidth="10" defaultRowHeight="15" x14ac:dyDescent="0"/>
  <cols>
    <col min="1" max="1" width="14.6640625" style="1" customWidth="1"/>
    <col min="2" max="2" width="10.83203125" style="5"/>
    <col min="3" max="3" width="13" style="5" customWidth="1"/>
    <col min="4" max="4" width="14.6640625" style="5" customWidth="1"/>
    <col min="5" max="5" width="11.1640625" style="5" bestFit="1" customWidth="1"/>
    <col min="6" max="8" width="11.83203125" style="5" customWidth="1"/>
    <col min="9" max="9" width="3.83203125" style="13" customWidth="1"/>
    <col min="10" max="10" width="12.5" style="13" customWidth="1"/>
    <col min="11" max="11" width="13.6640625" style="5" customWidth="1"/>
    <col min="12" max="12" width="13" style="5" customWidth="1"/>
    <col min="13" max="13" width="13.6640625" style="5" customWidth="1"/>
    <col min="14" max="14" width="9.83203125" style="5" customWidth="1"/>
    <col min="15" max="15" width="10.6640625" style="5" customWidth="1"/>
    <col min="16" max="16" width="9.83203125" style="5" customWidth="1"/>
    <col min="17" max="17" width="10.83203125" style="5"/>
    <col min="18" max="18" width="10.83203125" style="1"/>
    <col min="19" max="19" width="10.83203125" style="1" customWidth="1"/>
    <col min="20" max="20" width="15.83203125" style="1" customWidth="1"/>
    <col min="21" max="16384" width="10.83203125" style="1"/>
  </cols>
  <sheetData>
    <row r="1" spans="1:20" ht="18">
      <c r="A1" s="87" t="s">
        <v>294</v>
      </c>
      <c r="B1" s="7" t="s">
        <v>103</v>
      </c>
      <c r="C1" s="7"/>
      <c r="D1" s="7"/>
      <c r="K1" s="13"/>
      <c r="L1" s="13"/>
      <c r="M1" s="3"/>
      <c r="N1" s="1"/>
      <c r="O1" s="3"/>
      <c r="P1" s="3"/>
      <c r="Q1" s="3"/>
      <c r="S1"/>
      <c r="T1"/>
    </row>
    <row r="2" spans="1:20" ht="17">
      <c r="A2" s="87" t="s">
        <v>295</v>
      </c>
      <c r="J2" s="45"/>
      <c r="K2" s="6" t="s">
        <v>134</v>
      </c>
      <c r="R2"/>
      <c r="S2"/>
      <c r="T2"/>
    </row>
    <row r="3" spans="1:20">
      <c r="B3" s="53" t="s">
        <v>120</v>
      </c>
      <c r="C3" s="53"/>
      <c r="D3" s="53"/>
      <c r="E3" s="53"/>
      <c r="F3" s="53"/>
      <c r="G3" s="53"/>
      <c r="K3" s="1" t="s">
        <v>112</v>
      </c>
      <c r="L3" s="1"/>
      <c r="M3" s="1"/>
      <c r="O3" s="1"/>
      <c r="P3" s="1"/>
      <c r="Q3" s="1"/>
      <c r="T3"/>
    </row>
    <row r="4" spans="1:20">
      <c r="B4" s="54" t="s">
        <v>269</v>
      </c>
      <c r="C4" s="54" t="s">
        <v>6</v>
      </c>
      <c r="D4" s="54" t="s">
        <v>10</v>
      </c>
      <c r="E4" s="54" t="s">
        <v>11</v>
      </c>
      <c r="F4" s="54" t="s">
        <v>41</v>
      </c>
      <c r="G4" s="54" t="s">
        <v>42</v>
      </c>
      <c r="J4" s="46"/>
      <c r="K4" s="49" t="s">
        <v>269</v>
      </c>
      <c r="L4" s="49" t="s">
        <v>6</v>
      </c>
      <c r="M4" s="49" t="s">
        <v>10</v>
      </c>
      <c r="N4" s="49" t="s">
        <v>11</v>
      </c>
      <c r="O4" s="49" t="s">
        <v>41</v>
      </c>
      <c r="P4" s="49" t="s">
        <v>42</v>
      </c>
      <c r="Q4" s="1" t="s">
        <v>104</v>
      </c>
      <c r="T4"/>
    </row>
    <row r="5" spans="1:20">
      <c r="B5" s="55">
        <f>P41</f>
        <v>12.92715990448524</v>
      </c>
      <c r="C5" s="55">
        <f>P52</f>
        <v>11.144677399685413</v>
      </c>
      <c r="D5" s="55">
        <f>P63</f>
        <v>11.255206727193741</v>
      </c>
      <c r="E5" s="55">
        <f>P74</f>
        <v>10.26347985490888</v>
      </c>
      <c r="F5" s="55">
        <f>P85</f>
        <v>8.3230468389230001</v>
      </c>
      <c r="G5" s="55">
        <f>P96</f>
        <v>7.0287460541172839</v>
      </c>
      <c r="J5" s="2" t="s">
        <v>135</v>
      </c>
      <c r="K5" s="25">
        <v>115.44850886236226</v>
      </c>
      <c r="L5" s="43">
        <v>142.60131301837421</v>
      </c>
      <c r="M5" s="43">
        <v>119.07096372020716</v>
      </c>
      <c r="N5" s="43">
        <v>110.03375527592199</v>
      </c>
      <c r="O5" s="43">
        <v>110.50253020089478</v>
      </c>
      <c r="P5" s="43">
        <v>118.50127975414033</v>
      </c>
      <c r="Q5" s="1" t="s">
        <v>101</v>
      </c>
      <c r="T5"/>
    </row>
    <row r="6" spans="1:20">
      <c r="B6" s="53"/>
      <c r="C6" s="53"/>
      <c r="D6" s="53"/>
      <c r="E6" s="53"/>
      <c r="F6" s="53"/>
      <c r="G6" s="53"/>
      <c r="J6" s="2" t="s">
        <v>1</v>
      </c>
      <c r="K6" s="25">
        <v>103.11320789645747</v>
      </c>
      <c r="L6" s="25">
        <v>93.331198429359404</v>
      </c>
      <c r="M6" s="24">
        <v>73.150000247789734</v>
      </c>
      <c r="N6" s="25">
        <v>70.966037976240798</v>
      </c>
      <c r="O6" s="25">
        <v>65.414622863096156</v>
      </c>
      <c r="P6" s="25">
        <v>62.028302096908313</v>
      </c>
      <c r="Q6" s="1" t="s">
        <v>101</v>
      </c>
      <c r="T6"/>
    </row>
    <row r="7" spans="1:20">
      <c r="B7" s="53" t="s">
        <v>119</v>
      </c>
      <c r="C7" s="53"/>
      <c r="D7" s="53"/>
      <c r="E7" s="53"/>
      <c r="F7" s="53"/>
      <c r="G7" s="53"/>
      <c r="J7" s="2"/>
      <c r="T7"/>
    </row>
    <row r="8" spans="1:20" ht="16" thickBot="1">
      <c r="B8" s="81">
        <v>1770</v>
      </c>
      <c r="C8" s="82">
        <v>1750</v>
      </c>
      <c r="D8" s="82">
        <v>1725</v>
      </c>
      <c r="E8" s="82">
        <v>1700</v>
      </c>
      <c r="F8" s="82">
        <v>1675</v>
      </c>
      <c r="G8" s="82">
        <v>1650</v>
      </c>
      <c r="J8" s="2" t="s">
        <v>3</v>
      </c>
      <c r="K8" s="25">
        <v>100</v>
      </c>
      <c r="L8" s="25">
        <f>100*124.40723006419/112.9383</f>
        <v>110.15504046385504</v>
      </c>
      <c r="M8" s="24">
        <v>88.259056320541802</v>
      </c>
      <c r="N8" s="25">
        <v>81.110197690066556</v>
      </c>
      <c r="O8" s="25">
        <v>78.11418089493597</v>
      </c>
      <c r="P8" s="25">
        <v>79.132468802461801</v>
      </c>
      <c r="Q8" s="1" t="s">
        <v>105</v>
      </c>
      <c r="T8"/>
    </row>
    <row r="9" spans="1:20" ht="16" thickBot="1">
      <c r="A9" s="80" t="s">
        <v>288</v>
      </c>
      <c r="B9" s="52">
        <v>1770</v>
      </c>
      <c r="C9" s="56">
        <f>100*((EXP(LN($B5/C5)/($B9-C8))-1))</f>
        <v>0.74460095006534388</v>
      </c>
      <c r="D9" s="76">
        <f>100*((EXP(LN($B5/D5)/($B9-D8))-1))</f>
        <v>0.30825117598809459</v>
      </c>
      <c r="E9" s="78">
        <f>100*((EXP(LN($B5/E5)/($B9-E8))-1))</f>
        <v>0.33017039085296851</v>
      </c>
      <c r="F9" s="76">
        <f>100*((EXP(LN($B5/F5)/($B9-F8))-1))</f>
        <v>0.46455162944283312</v>
      </c>
      <c r="G9" s="76">
        <f>100*((EXP(LN($B5/G5)/($B9-G8))-1))</f>
        <v>0.50905982713342901</v>
      </c>
      <c r="J9" s="47"/>
      <c r="K9" s="1" t="s">
        <v>113</v>
      </c>
      <c r="R9" s="5"/>
      <c r="S9" s="5"/>
      <c r="T9"/>
    </row>
    <row r="10" spans="1:20">
      <c r="A10" s="80" t="s">
        <v>288</v>
      </c>
      <c r="B10" s="52">
        <v>1750</v>
      </c>
      <c r="C10" s="53"/>
      <c r="D10" s="76">
        <f>100*((EXP(LN($C5/D5)/($B10-D8))-1))</f>
        <v>-3.9467493943123877E-2</v>
      </c>
      <c r="E10" s="76">
        <f>100*((EXP(LN($C5/E5)/($B10-E8))-1))</f>
        <v>0.16487591370224486</v>
      </c>
      <c r="F10" s="76">
        <f>100*((EXP(LN($C5/F5)/($B10-F8))-1))</f>
        <v>0.3900033766205846</v>
      </c>
      <c r="G10" s="76">
        <f>100*((EXP(LN($C5/G5)/($B10-G8))-1))</f>
        <v>0.46201772727778589</v>
      </c>
      <c r="K10" s="49" t="s">
        <v>269</v>
      </c>
      <c r="L10" s="49" t="s">
        <v>6</v>
      </c>
      <c r="M10" s="49" t="s">
        <v>10</v>
      </c>
      <c r="N10" s="49" t="s">
        <v>11</v>
      </c>
      <c r="O10" s="49" t="s">
        <v>41</v>
      </c>
      <c r="P10" s="49" t="s">
        <v>42</v>
      </c>
      <c r="Q10" s="1" t="s">
        <v>104</v>
      </c>
      <c r="R10" s="5"/>
      <c r="S10" s="5"/>
      <c r="T10"/>
    </row>
    <row r="11" spans="1:20">
      <c r="A11" s="80" t="s">
        <v>288</v>
      </c>
      <c r="B11" s="52">
        <v>1725</v>
      </c>
      <c r="C11" s="53"/>
      <c r="D11" s="77"/>
      <c r="E11" s="76">
        <f>100*((EXP(LN($D5/E5)/($B11-E8))-1))</f>
        <v>0.36963704849652945</v>
      </c>
      <c r="F11" s="76">
        <f>100*((EXP(LN($D5/F5)/($B11-F8))-1))</f>
        <v>0.6054302599213246</v>
      </c>
      <c r="G11" s="76">
        <f>100*((EXP(LN($D5/G5)/($B11-G8))-1))</f>
        <v>0.62973792729577038</v>
      </c>
      <c r="J11" s="2" t="s">
        <v>135</v>
      </c>
      <c r="K11" s="25">
        <v>100</v>
      </c>
      <c r="L11" s="25">
        <v>82.266368918170173</v>
      </c>
      <c r="M11" s="25">
        <v>62.036214087734066</v>
      </c>
      <c r="N11" s="25">
        <v>24.597871930225264</v>
      </c>
      <c r="O11" s="25">
        <v>13.904445703878304</v>
      </c>
      <c r="P11" s="25">
        <v>7.4253114901042458</v>
      </c>
      <c r="Q11" s="1" t="s">
        <v>139</v>
      </c>
      <c r="R11" s="5"/>
      <c r="S11" s="5"/>
      <c r="T11"/>
    </row>
    <row r="12" spans="1:20">
      <c r="A12" s="80" t="s">
        <v>288</v>
      </c>
      <c r="B12" s="52">
        <v>1700</v>
      </c>
      <c r="C12" s="53"/>
      <c r="D12" s="77"/>
      <c r="E12" s="77"/>
      <c r="F12" s="76">
        <f>100*((EXP(LN($E5/F5)/($B12-F8))-1))</f>
        <v>0.8417774081759255</v>
      </c>
      <c r="G12" s="76">
        <f>100*((EXP(LN($E5/G5)/($B12-G8))-1))</f>
        <v>0.76004102008015995</v>
      </c>
      <c r="J12" s="2" t="s">
        <v>1</v>
      </c>
      <c r="K12" s="25">
        <v>100</v>
      </c>
      <c r="L12" s="25">
        <v>37.235294994241634</v>
      </c>
      <c r="M12" s="25">
        <v>16.863943572283226</v>
      </c>
      <c r="N12" s="25">
        <v>5.390030837104554</v>
      </c>
      <c r="O12" s="25">
        <v>3.4868584107974412</v>
      </c>
      <c r="P12" s="25">
        <v>1.2278631822858534</v>
      </c>
      <c r="Q12" s="1"/>
      <c r="R12" s="5"/>
      <c r="S12" s="5"/>
      <c r="T12"/>
    </row>
    <row r="13" spans="1:20">
      <c r="A13" s="80" t="s">
        <v>288</v>
      </c>
      <c r="B13" s="52">
        <v>1675</v>
      </c>
      <c r="C13" s="53"/>
      <c r="D13" s="77"/>
      <c r="E13" s="77"/>
      <c r="F13" s="77"/>
      <c r="G13" s="76">
        <f>100*((EXP(LN($F5/G5)/($B13-G8))-1))</f>
        <v>0.67837088267246326</v>
      </c>
      <c r="J13" s="46"/>
      <c r="R13" s="5"/>
      <c r="S13" s="5"/>
      <c r="T13"/>
    </row>
    <row r="14" spans="1:20">
      <c r="J14" s="46" t="s">
        <v>110</v>
      </c>
      <c r="K14" s="24">
        <v>89.763740038810113</v>
      </c>
      <c r="L14" s="24">
        <v>92.38073333039209</v>
      </c>
      <c r="M14" s="24">
        <v>73.435423845789231</v>
      </c>
      <c r="N14" s="24">
        <v>75.098313689076136</v>
      </c>
      <c r="O14" s="24">
        <v>86.614011611610934</v>
      </c>
      <c r="P14" s="24">
        <v>99.58968427125707</v>
      </c>
      <c r="Q14" s="5" t="s">
        <v>111</v>
      </c>
      <c r="R14" s="5"/>
      <c r="S14" s="5"/>
      <c r="T14"/>
    </row>
    <row r="16" spans="1:20">
      <c r="J16" s="53" t="s">
        <v>287</v>
      </c>
      <c r="K16" s="53"/>
      <c r="L16" s="53"/>
      <c r="M16" s="53"/>
      <c r="N16" s="53"/>
      <c r="O16" s="53"/>
      <c r="P16" s="53"/>
      <c r="Q16" s="53"/>
    </row>
    <row r="17" spans="1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">
      <c r="A18" s="84" t="s">
        <v>298</v>
      </c>
      <c r="B18" s="74"/>
      <c r="C18" s="74"/>
      <c r="D18" s="74"/>
      <c r="E18" s="74"/>
      <c r="F18" s="74"/>
      <c r="G18" s="74"/>
      <c r="H18" s="74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C19" s="75" t="s">
        <v>297</v>
      </c>
      <c r="D19" s="74"/>
      <c r="E19" s="74"/>
      <c r="F19" s="74"/>
      <c r="G19" s="74"/>
      <c r="H19" s="74"/>
      <c r="I19" s="1"/>
      <c r="J19" s="1"/>
      <c r="K19" s="1"/>
      <c r="L19" s="1"/>
      <c r="M19" s="1"/>
      <c r="N19" s="1"/>
      <c r="O19" s="1"/>
      <c r="P19" s="1"/>
      <c r="Q19" s="1"/>
    </row>
    <row r="20" spans="1:17" ht="17">
      <c r="C20" s="8" t="s">
        <v>109</v>
      </c>
      <c r="D20" s="12"/>
      <c r="E20" s="12"/>
      <c r="F20" s="9"/>
      <c r="G20" s="9"/>
      <c r="H20" s="10"/>
      <c r="I20" s="1"/>
      <c r="J20" s="1"/>
      <c r="K20" s="1"/>
      <c r="L20" s="1"/>
      <c r="M20" s="1"/>
      <c r="N20" s="1"/>
      <c r="O20" s="1"/>
      <c r="P20" s="1"/>
      <c r="Q20" s="1"/>
    </row>
    <row r="21" spans="1:17" ht="17">
      <c r="C21" s="6" t="s">
        <v>299</v>
      </c>
      <c r="F21" s="6" t="s">
        <v>47</v>
      </c>
      <c r="I21" s="1"/>
      <c r="J21" s="1"/>
      <c r="K21" s="6" t="s">
        <v>300</v>
      </c>
      <c r="N21" s="1"/>
      <c r="O21" s="1"/>
      <c r="P21" s="1"/>
      <c r="Q21" s="1"/>
    </row>
    <row r="22" spans="1:17">
      <c r="B22" s="14">
        <v>1774</v>
      </c>
      <c r="C22" s="11" t="s">
        <v>8</v>
      </c>
      <c r="D22" s="11" t="s">
        <v>9</v>
      </c>
      <c r="E22" s="11" t="s">
        <v>0</v>
      </c>
      <c r="F22" s="11" t="s">
        <v>8</v>
      </c>
      <c r="G22" s="11" t="s">
        <v>9</v>
      </c>
      <c r="H22" s="11" t="s">
        <v>0</v>
      </c>
      <c r="I22" s="1"/>
      <c r="J22" s="1"/>
      <c r="K22" s="11" t="s">
        <v>8</v>
      </c>
      <c r="L22" s="11" t="s">
        <v>9</v>
      </c>
      <c r="M22" s="11" t="s">
        <v>0</v>
      </c>
      <c r="N22" s="1"/>
      <c r="O22" s="1"/>
      <c r="P22" s="1"/>
      <c r="Q22" s="1"/>
    </row>
    <row r="23" spans="1:17">
      <c r="B23" s="11" t="s">
        <v>4</v>
      </c>
      <c r="C23" s="11" t="s">
        <v>5</v>
      </c>
      <c r="D23" s="11" t="s">
        <v>5</v>
      </c>
      <c r="E23" s="11" t="s">
        <v>5</v>
      </c>
      <c r="F23" s="11" t="s">
        <v>5</v>
      </c>
      <c r="G23" s="11" t="s">
        <v>5</v>
      </c>
      <c r="H23" s="11" t="s">
        <v>5</v>
      </c>
      <c r="I23" s="1"/>
      <c r="J23" s="1"/>
      <c r="K23" s="11" t="s">
        <v>5</v>
      </c>
      <c r="L23" s="11" t="s">
        <v>5</v>
      </c>
      <c r="M23" s="11" t="s">
        <v>5</v>
      </c>
      <c r="N23" s="1"/>
      <c r="O23" s="1"/>
      <c r="P23" s="1"/>
      <c r="Q23" s="1"/>
    </row>
    <row r="24" spans="1:17">
      <c r="A24" s="2" t="s">
        <v>135</v>
      </c>
      <c r="B24" s="5">
        <v>15973.017116138371</v>
      </c>
      <c r="C24" s="74">
        <v>135796.834403399</v>
      </c>
      <c r="D24" s="74">
        <f>L24/4.44</f>
        <v>21421.756904268062</v>
      </c>
      <c r="E24" s="74">
        <f>C24+D24</f>
        <v>157218.59130766705</v>
      </c>
      <c r="F24" s="26">
        <f t="shared" ref="F24:G28" si="0">C24/$B24</f>
        <v>8.5016395722882176</v>
      </c>
      <c r="G24" s="26">
        <f t="shared" si="0"/>
        <v>1.3411215143959587</v>
      </c>
      <c r="H24" s="24">
        <f>F24+G24</f>
        <v>9.8427610866841757</v>
      </c>
      <c r="I24" s="1"/>
      <c r="J24" s="5"/>
      <c r="K24" s="5">
        <v>602937.94475109084</v>
      </c>
      <c r="L24" s="5">
        <v>95112.600654950205</v>
      </c>
      <c r="M24" s="5">
        <f>K24+L24</f>
        <v>698050.54540604108</v>
      </c>
      <c r="N24" s="1"/>
      <c r="O24" s="1"/>
      <c r="P24" s="1"/>
      <c r="Q24" s="1"/>
    </row>
    <row r="25" spans="1:17">
      <c r="A25" s="2" t="s">
        <v>1</v>
      </c>
      <c r="B25" s="5">
        <f>B26-B24</f>
        <v>641594.38715290639</v>
      </c>
      <c r="C25" s="74">
        <f t="shared" ref="C25:D26" si="1">K25/4.44</f>
        <v>6206892.2543291338</v>
      </c>
      <c r="D25" s="74">
        <f t="shared" si="1"/>
        <v>1068719.4219919082</v>
      </c>
      <c r="E25" s="74">
        <f t="shared" ref="E25:E28" si="2">C25+D25</f>
        <v>7275611.6763210418</v>
      </c>
      <c r="F25" s="26">
        <f t="shared" si="0"/>
        <v>9.6741685691366435</v>
      </c>
      <c r="G25" s="26">
        <f t="shared" si="0"/>
        <v>1.6657243944018612</v>
      </c>
      <c r="H25" s="24">
        <f t="shared" ref="H25:H28" si="3">F25+G25</f>
        <v>11.339892963538505</v>
      </c>
      <c r="I25" s="1"/>
      <c r="J25" s="5"/>
      <c r="K25" s="5">
        <f>K26-K24</f>
        <v>27558601.609221358</v>
      </c>
      <c r="L25" s="5">
        <v>4745114.2336440729</v>
      </c>
      <c r="M25" s="5">
        <f t="shared" ref="M25:M28" si="4">K25+L25</f>
        <v>32303715.84286543</v>
      </c>
      <c r="N25" s="1"/>
      <c r="O25" s="1"/>
      <c r="P25" s="1"/>
      <c r="Q25" s="1"/>
    </row>
    <row r="26" spans="1:17">
      <c r="A26" s="2" t="s">
        <v>2</v>
      </c>
      <c r="B26" s="5">
        <v>657567.40426904475</v>
      </c>
      <c r="C26" s="74">
        <f t="shared" si="1"/>
        <v>6342689.0887325332</v>
      </c>
      <c r="D26" s="74">
        <f t="shared" si="1"/>
        <v>1090141.1788961764</v>
      </c>
      <c r="E26" s="74">
        <f t="shared" si="2"/>
        <v>7432830.2676287098</v>
      </c>
      <c r="F26" s="26">
        <f t="shared" si="0"/>
        <v>9.6456865829338039</v>
      </c>
      <c r="G26" s="26">
        <f t="shared" si="0"/>
        <v>1.6578394424948464</v>
      </c>
      <c r="H26" s="24">
        <f t="shared" si="3"/>
        <v>11.303526025428651</v>
      </c>
      <c r="I26" s="1"/>
      <c r="J26" s="5"/>
      <c r="K26" s="5">
        <f>K28-K27</f>
        <v>28161539.553972449</v>
      </c>
      <c r="L26" s="5">
        <f>L24+L25</f>
        <v>4840226.8342990233</v>
      </c>
      <c r="M26" s="5">
        <f t="shared" si="4"/>
        <v>33001766.388271473</v>
      </c>
      <c r="N26" s="1"/>
      <c r="O26" s="1"/>
      <c r="P26" s="1"/>
      <c r="Q26" s="1"/>
    </row>
    <row r="27" spans="1:17">
      <c r="A27" s="2" t="s">
        <v>3</v>
      </c>
      <c r="B27" s="5">
        <f>B28-B26</f>
        <v>3995.5957309552468</v>
      </c>
      <c r="C27" s="74">
        <v>29670.045045045041</v>
      </c>
      <c r="D27" s="74">
        <v>0</v>
      </c>
      <c r="E27" s="74">
        <f t="shared" si="2"/>
        <v>29670.045045045041</v>
      </c>
      <c r="F27" s="26">
        <f t="shared" si="0"/>
        <v>7.4256874425961197</v>
      </c>
      <c r="G27" s="5">
        <f t="shared" si="0"/>
        <v>0</v>
      </c>
      <c r="H27" s="24">
        <f t="shared" si="3"/>
        <v>7.4256874425961197</v>
      </c>
      <c r="I27" s="1"/>
      <c r="J27" s="5"/>
      <c r="K27" s="5">
        <f>C27*4.44</f>
        <v>131735</v>
      </c>
      <c r="L27" s="5">
        <v>0</v>
      </c>
      <c r="M27" s="5">
        <f t="shared" si="4"/>
        <v>131735</v>
      </c>
      <c r="N27" s="1"/>
      <c r="O27" s="1"/>
      <c r="P27" s="1"/>
      <c r="Q27" s="1"/>
    </row>
    <row r="28" spans="1:17">
      <c r="A28" s="2" t="s">
        <v>0</v>
      </c>
      <c r="B28" s="5">
        <v>661563</v>
      </c>
      <c r="C28" s="74">
        <f>C26+C27</f>
        <v>6372359.1337775784</v>
      </c>
      <c r="D28" s="74">
        <v>1090141.1788961764</v>
      </c>
      <c r="E28" s="74">
        <f t="shared" si="2"/>
        <v>7462500.312673755</v>
      </c>
      <c r="F28" s="26">
        <f t="shared" si="0"/>
        <v>9.6322786095618689</v>
      </c>
      <c r="G28" s="26">
        <f t="shared" si="0"/>
        <v>1.6478267056896718</v>
      </c>
      <c r="H28" s="24">
        <f t="shared" si="3"/>
        <v>11.280105315251541</v>
      </c>
      <c r="I28" s="1"/>
      <c r="J28" s="5"/>
      <c r="K28" s="5">
        <v>28293274.553972449</v>
      </c>
      <c r="L28" s="5">
        <v>4840226.8342990233</v>
      </c>
      <c r="M28" s="5">
        <f t="shared" si="4"/>
        <v>33133501.388271473</v>
      </c>
      <c r="N28" s="1"/>
      <c r="O28" s="1"/>
      <c r="P28" s="1"/>
      <c r="Q28" s="1"/>
    </row>
    <row r="29" spans="1:17">
      <c r="A29" s="2"/>
      <c r="C29" s="72" t="s">
        <v>267</v>
      </c>
      <c r="D29" s="73">
        <f>100*D28/E28</f>
        <v>14.60825639155769</v>
      </c>
      <c r="F29" s="26"/>
      <c r="G29" s="26"/>
      <c r="H29" s="24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83" customFormat="1" ht="18">
      <c r="I31" s="13"/>
      <c r="J31" s="13"/>
      <c r="K31" s="85" t="s">
        <v>292</v>
      </c>
      <c r="L31" s="86"/>
      <c r="M31" s="86"/>
      <c r="N31" s="86"/>
      <c r="O31" s="86"/>
      <c r="P31" s="86"/>
      <c r="Q31" s="13"/>
    </row>
    <row r="32" spans="1:17">
      <c r="A32" s="83"/>
      <c r="B32" s="1"/>
      <c r="C32" s="1"/>
      <c r="D32" s="1"/>
      <c r="E32" s="1"/>
      <c r="F32" s="1"/>
      <c r="G32" s="1"/>
      <c r="H32" s="1"/>
    </row>
    <row r="33" spans="1:25" ht="17">
      <c r="A33" s="83"/>
      <c r="B33" s="28" t="s">
        <v>296</v>
      </c>
      <c r="C33" s="29"/>
      <c r="D33" s="29"/>
      <c r="E33" s="29"/>
      <c r="F33" s="29"/>
      <c r="G33" s="88"/>
      <c r="H33" s="88"/>
      <c r="K33" s="50" t="s">
        <v>268</v>
      </c>
      <c r="L33" s="51"/>
      <c r="M33" s="51"/>
      <c r="N33" s="51"/>
      <c r="O33" s="51"/>
      <c r="P33" s="51"/>
    </row>
    <row r="34" spans="1:25" ht="17">
      <c r="A34" s="83"/>
      <c r="B34" s="1"/>
      <c r="C34" s="6" t="s">
        <v>46</v>
      </c>
      <c r="F34" s="6" t="s">
        <v>47</v>
      </c>
      <c r="I34" s="45"/>
      <c r="J34" s="48"/>
      <c r="K34" s="6" t="s">
        <v>46</v>
      </c>
      <c r="N34" s="6" t="s">
        <v>47</v>
      </c>
    </row>
    <row r="35" spans="1:25">
      <c r="B35" s="89" t="s">
        <v>4</v>
      </c>
      <c r="C35" s="11" t="s">
        <v>8</v>
      </c>
      <c r="D35" s="11" t="s">
        <v>9</v>
      </c>
      <c r="E35" s="11" t="s">
        <v>0</v>
      </c>
      <c r="F35" s="11" t="s">
        <v>8</v>
      </c>
      <c r="G35" s="11" t="s">
        <v>9</v>
      </c>
      <c r="H35" s="11" t="s">
        <v>0</v>
      </c>
      <c r="J35" s="48"/>
      <c r="K35" s="11" t="s">
        <v>8</v>
      </c>
      <c r="L35" s="11" t="s">
        <v>9</v>
      </c>
      <c r="M35" s="11" t="s">
        <v>0</v>
      </c>
      <c r="N35" s="11" t="s">
        <v>8</v>
      </c>
      <c r="O35" s="11" t="s">
        <v>9</v>
      </c>
      <c r="P35" s="11" t="s">
        <v>0</v>
      </c>
    </row>
    <row r="36" spans="1:25">
      <c r="B36" s="89" t="s">
        <v>269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46"/>
      <c r="J36" s="48"/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</row>
    <row r="37" spans="1:25">
      <c r="A37" s="2" t="s">
        <v>135</v>
      </c>
      <c r="B37" s="5">
        <f>15600*(EXP(LN(16000/15600)/15)^10)</f>
        <v>15865.539861446205</v>
      </c>
      <c r="C37" s="5">
        <f>$B37*F37</f>
        <v>155720.52941420957</v>
      </c>
      <c r="D37" s="5">
        <f>$B37*G37</f>
        <v>24564.691369798427</v>
      </c>
      <c r="E37" s="5">
        <f>C37+D37</f>
        <v>180285.22078400798</v>
      </c>
      <c r="F37" s="26">
        <f>F24*$K5/100</f>
        <v>9.8150161150592599</v>
      </c>
      <c r="G37" s="26">
        <f>G24*$K5/100</f>
        <v>1.5483047904024654</v>
      </c>
      <c r="H37" s="26">
        <f>F37+G37</f>
        <v>11.363320905461725</v>
      </c>
      <c r="I37" s="47"/>
      <c r="J37" s="2" t="s">
        <v>135</v>
      </c>
      <c r="K37" s="5">
        <f>K5*C24/$K$14</f>
        <v>174653.39605193847</v>
      </c>
      <c r="L37" s="5">
        <f>K11*D24/$K$14</f>
        <v>23864.599330426947</v>
      </c>
      <c r="M37" s="5">
        <f>K37+L37</f>
        <v>198517.99538236542</v>
      </c>
      <c r="N37" s="26">
        <f t="shared" ref="N37:O41" si="5">K37/$B24</f>
        <v>10.934277148897376</v>
      </c>
      <c r="O37" s="26">
        <f t="shared" si="5"/>
        <v>1.4940570811957183</v>
      </c>
      <c r="P37" s="26">
        <f>N37+O37</f>
        <v>12.428334230093094</v>
      </c>
    </row>
    <row r="38" spans="1:25">
      <c r="A38" s="2" t="s">
        <v>1</v>
      </c>
      <c r="B38" s="13">
        <f>B39-B37</f>
        <v>549805.46013855375</v>
      </c>
      <c r="C38" s="5">
        <f>$B38*F38</f>
        <v>5484499.4495802158</v>
      </c>
      <c r="D38" s="5">
        <f>$B38*G38</f>
        <v>944335.88364324358</v>
      </c>
      <c r="E38" s="5">
        <f>C38+D38</f>
        <v>6428835.3332234593</v>
      </c>
      <c r="F38" s="26">
        <f>F25*$K6/100</f>
        <v>9.9753455489476117</v>
      </c>
      <c r="G38" s="26">
        <f>G25*$K6/100</f>
        <v>1.7175818577815982</v>
      </c>
      <c r="H38" s="26">
        <f t="shared" ref="H38:H40" si="6">F38+G38</f>
        <v>11.692927406729209</v>
      </c>
      <c r="I38" s="47"/>
      <c r="J38" s="2" t="s">
        <v>1</v>
      </c>
      <c r="K38" s="5">
        <f>K6*C25/$K$14</f>
        <v>7129967.7479440654</v>
      </c>
      <c r="L38" s="5">
        <f>K12*D25/$K$14</f>
        <v>1190591.4587893044</v>
      </c>
      <c r="M38" s="5">
        <f t="shared" ref="M38:M41" si="7">K38+L38</f>
        <v>8320559.2067333702</v>
      </c>
      <c r="N38" s="26">
        <f t="shared" si="5"/>
        <v>11.112889842418204</v>
      </c>
      <c r="O38" s="26">
        <f t="shared" si="5"/>
        <v>1.8556762381799945</v>
      </c>
      <c r="P38" s="26">
        <f t="shared" ref="P38:P41" si="8">N38+O38</f>
        <v>12.968566080598197</v>
      </c>
    </row>
    <row r="39" spans="1:25">
      <c r="A39" s="2" t="s">
        <v>2</v>
      </c>
      <c r="B39" s="13">
        <f>B41-B40</f>
        <v>565671</v>
      </c>
      <c r="C39" s="5">
        <f>C37+C38</f>
        <v>5640219.9789944254</v>
      </c>
      <c r="D39" s="5">
        <f t="shared" ref="D39:E39" si="9">D37+D38</f>
        <v>968900.57501304196</v>
      </c>
      <c r="E39" s="5">
        <f t="shared" si="9"/>
        <v>6609120.5540074669</v>
      </c>
      <c r="F39" s="26">
        <f>C39/$B39</f>
        <v>9.970848742457056</v>
      </c>
      <c r="G39" s="26">
        <f>D39/$B39</f>
        <v>1.7128340943994689</v>
      </c>
      <c r="H39" s="26">
        <f t="shared" si="6"/>
        <v>11.683682836856525</v>
      </c>
      <c r="I39" s="47"/>
      <c r="J39" s="2" t="s">
        <v>2</v>
      </c>
      <c r="K39" s="5">
        <f>K37+K38</f>
        <v>7304621.143996004</v>
      </c>
      <c r="L39" s="5">
        <f>L37+L38</f>
        <v>1214456.0581197313</v>
      </c>
      <c r="M39" s="5">
        <f t="shared" si="7"/>
        <v>8519077.202115735</v>
      </c>
      <c r="N39" s="26">
        <f t="shared" si="5"/>
        <v>11.10855114863222</v>
      </c>
      <c r="O39" s="26">
        <f t="shared" si="5"/>
        <v>1.846892121226305</v>
      </c>
      <c r="P39" s="26">
        <f t="shared" si="8"/>
        <v>12.955443269858524</v>
      </c>
    </row>
    <row r="40" spans="1:25">
      <c r="A40" s="2" t="s">
        <v>3</v>
      </c>
      <c r="B40" s="13">
        <f>475+654+25+4754+3761+5698</f>
        <v>15367</v>
      </c>
      <c r="C40" s="5">
        <f>$B40*F40</f>
        <v>131738.91564992283</v>
      </c>
      <c r="D40" s="5">
        <f>$B40*G40</f>
        <v>0</v>
      </c>
      <c r="E40" s="5">
        <f>$B40*H40</f>
        <v>131738.91564992283</v>
      </c>
      <c r="F40" s="26">
        <f>F27*$K5/100</f>
        <v>8.5728454252569026</v>
      </c>
      <c r="G40" s="5">
        <v>0</v>
      </c>
      <c r="H40" s="26">
        <f t="shared" si="6"/>
        <v>8.5728454252569026</v>
      </c>
      <c r="I40" s="47"/>
      <c r="J40" s="2" t="s">
        <v>3</v>
      </c>
      <c r="K40" s="5">
        <f>K8*C27/$K$14</f>
        <v>33053.485775232788</v>
      </c>
      <c r="L40" s="5">
        <f>100*D27/$K$14</f>
        <v>0</v>
      </c>
      <c r="M40" s="5">
        <f t="shared" si="7"/>
        <v>33053.485775232788</v>
      </c>
      <c r="N40" s="26">
        <f t="shared" si="5"/>
        <v>8.2724800007058086</v>
      </c>
      <c r="O40" s="26">
        <f t="shared" si="5"/>
        <v>0</v>
      </c>
      <c r="P40" s="26">
        <f t="shared" si="8"/>
        <v>8.2724800007058086</v>
      </c>
    </row>
    <row r="41" spans="1:25">
      <c r="A41" s="2" t="s">
        <v>0</v>
      </c>
      <c r="B41" s="13">
        <f>31257+62396+10000+235308+58196+183881</f>
        <v>581038</v>
      </c>
      <c r="C41" s="5">
        <f>C39+C40</f>
        <v>5771958.894644348</v>
      </c>
      <c r="D41" s="5">
        <f t="shared" ref="D41:E41" si="10">D39+D40</f>
        <v>968900.57501304196</v>
      </c>
      <c r="E41" s="5">
        <f t="shared" si="10"/>
        <v>6740859.4696573894</v>
      </c>
      <c r="F41" s="26">
        <f>C41/$B41</f>
        <v>9.9338750557525461</v>
      </c>
      <c r="G41" s="26">
        <f>D41/$B41</f>
        <v>1.6675339220722947</v>
      </c>
      <c r="H41" s="26">
        <f>E41/$B41</f>
        <v>11.601408977824841</v>
      </c>
      <c r="I41" s="47"/>
      <c r="J41" s="2" t="s">
        <v>0</v>
      </c>
      <c r="K41" s="5">
        <f>K39+K40</f>
        <v>7337674.6297712373</v>
      </c>
      <c r="L41" s="5">
        <f>100*D28/$K$14</f>
        <v>1214456.0581197315</v>
      </c>
      <c r="M41" s="5">
        <f t="shared" si="7"/>
        <v>8552130.6878909692</v>
      </c>
      <c r="N41" s="26">
        <f t="shared" si="5"/>
        <v>11.091422328291088</v>
      </c>
      <c r="O41" s="26">
        <f t="shared" si="5"/>
        <v>1.8357375761941515</v>
      </c>
      <c r="P41" s="26">
        <f t="shared" si="8"/>
        <v>12.92715990448524</v>
      </c>
    </row>
    <row r="42" spans="1:25">
      <c r="I42" s="47"/>
      <c r="J42" s="47"/>
      <c r="K42" s="47"/>
      <c r="L42" s="47"/>
      <c r="R42" s="83"/>
      <c r="T42" s="5"/>
      <c r="U42" s="5"/>
      <c r="V42" s="5"/>
      <c r="W42" s="5"/>
      <c r="X42" s="5"/>
      <c r="Y42" s="5"/>
    </row>
    <row r="43" spans="1:25">
      <c r="A43" s="2"/>
      <c r="E43" s="26"/>
      <c r="F43" s="26"/>
      <c r="R43" s="83"/>
      <c r="T43" s="5"/>
      <c r="U43" s="5"/>
      <c r="V43" s="5"/>
    </row>
    <row r="44" spans="1:25" ht="17">
      <c r="B44" s="1"/>
      <c r="C44" s="28" t="s">
        <v>263</v>
      </c>
      <c r="D44" s="29"/>
      <c r="E44" s="29"/>
      <c r="F44" s="29"/>
      <c r="G44" s="29"/>
      <c r="H44" s="29"/>
      <c r="J44" s="48"/>
      <c r="K44" s="50" t="s">
        <v>264</v>
      </c>
      <c r="L44" s="51"/>
      <c r="M44" s="51"/>
      <c r="N44" s="51"/>
      <c r="O44" s="51"/>
      <c r="P44" s="51"/>
      <c r="R44" s="5"/>
      <c r="T44" s="5"/>
      <c r="U44" s="5"/>
      <c r="V44" s="5"/>
    </row>
    <row r="45" spans="1:25" ht="17">
      <c r="B45" s="1"/>
      <c r="C45" s="6" t="s">
        <v>46</v>
      </c>
      <c r="F45" s="6" t="s">
        <v>47</v>
      </c>
      <c r="J45" s="48"/>
      <c r="K45" s="6" t="s">
        <v>46</v>
      </c>
      <c r="N45" s="6" t="s">
        <v>47</v>
      </c>
      <c r="R45" s="5"/>
      <c r="U45" s="5"/>
    </row>
    <row r="46" spans="1:25">
      <c r="B46" s="44" t="s">
        <v>6</v>
      </c>
      <c r="C46" s="11" t="s">
        <v>8</v>
      </c>
      <c r="D46" s="11" t="s">
        <v>9</v>
      </c>
      <c r="E46" s="11" t="s">
        <v>0</v>
      </c>
      <c r="F46" s="11" t="s">
        <v>8</v>
      </c>
      <c r="G46" s="11" t="s">
        <v>9</v>
      </c>
      <c r="H46" s="11" t="s">
        <v>0</v>
      </c>
      <c r="I46" s="46"/>
      <c r="J46" s="48"/>
      <c r="K46" s="11" t="s">
        <v>8</v>
      </c>
      <c r="L46" s="11" t="s">
        <v>9</v>
      </c>
      <c r="M46" s="11" t="s">
        <v>0</v>
      </c>
      <c r="N46" s="11" t="s">
        <v>8</v>
      </c>
      <c r="O46" s="11" t="s">
        <v>9</v>
      </c>
      <c r="P46" s="11" t="s">
        <v>0</v>
      </c>
      <c r="R46" s="5"/>
    </row>
    <row r="47" spans="1:25">
      <c r="B47" s="11" t="s">
        <v>7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11" t="s">
        <v>5</v>
      </c>
      <c r="I47" s="46"/>
      <c r="J47" s="48"/>
      <c r="K47" s="11" t="s">
        <v>5</v>
      </c>
      <c r="L47" s="11" t="s">
        <v>5</v>
      </c>
      <c r="M47" s="11" t="s">
        <v>5</v>
      </c>
      <c r="N47" s="11" t="s">
        <v>5</v>
      </c>
      <c r="O47" s="11" t="s">
        <v>5</v>
      </c>
      <c r="P47" s="11" t="s">
        <v>5</v>
      </c>
      <c r="R47" s="5"/>
    </row>
    <row r="48" spans="1:25">
      <c r="A48" s="2" t="s">
        <v>135</v>
      </c>
      <c r="B48" s="5">
        <f>16382*EXP(LN(15631/16382)/17)^7</f>
        <v>16068.490916919736</v>
      </c>
      <c r="C48" s="5">
        <f>F48*B48</f>
        <v>194805.54071408158</v>
      </c>
      <c r="D48" s="5">
        <f>D24*L11/100</f>
        <v>17622.901563618754</v>
      </c>
      <c r="E48" s="5">
        <f>C48+D48</f>
        <v>212428.44227770035</v>
      </c>
      <c r="F48" s="26">
        <f>F24*L5/100</f>
        <v>12.123449658172692</v>
      </c>
      <c r="G48" s="26">
        <f>D48/$B48</f>
        <v>1.0967365669082378</v>
      </c>
      <c r="H48" s="26">
        <f>F48+G48</f>
        <v>13.22018622508093</v>
      </c>
      <c r="I48" s="48"/>
      <c r="J48" s="2" t="s">
        <v>135</v>
      </c>
      <c r="K48" s="5">
        <f t="shared" ref="K48:P52" si="11">100*C48/$L$14</f>
        <v>210872.47707525289</v>
      </c>
      <c r="L48" s="5">
        <f t="shared" si="11"/>
        <v>19076.381977389046</v>
      </c>
      <c r="M48" s="5">
        <f t="shared" si="11"/>
        <v>229948.85905264196</v>
      </c>
      <c r="N48" s="26">
        <f t="shared" si="11"/>
        <v>13.123352912575582</v>
      </c>
      <c r="O48" s="26">
        <f t="shared" si="11"/>
        <v>1.1871918823006631</v>
      </c>
      <c r="P48" s="26">
        <f t="shared" si="11"/>
        <v>14.310544794876245</v>
      </c>
      <c r="R48" s="5"/>
    </row>
    <row r="49" spans="1:18">
      <c r="A49" s="2" t="s">
        <v>1</v>
      </c>
      <c r="B49" s="5">
        <f>B50-B48</f>
        <v>332960.50908308028</v>
      </c>
      <c r="C49" s="5">
        <f>F49*B49</f>
        <v>3006306.2512174728</v>
      </c>
      <c r="D49" s="5">
        <f>D25*L12/100</f>
        <v>397940.82943944109</v>
      </c>
      <c r="E49" s="5">
        <f t="shared" ref="E49:E52" si="12">C49+D49</f>
        <v>3404247.080656914</v>
      </c>
      <c r="F49" s="26">
        <f>F25*L6/100</f>
        <v>9.0290174636516412</v>
      </c>
      <c r="G49" s="26">
        <f>D49/$B49</f>
        <v>1.1951592413626053</v>
      </c>
      <c r="H49" s="26">
        <f>F49+G49</f>
        <v>10.224176705014246</v>
      </c>
      <c r="I49" s="48"/>
      <c r="J49" s="2" t="s">
        <v>1</v>
      </c>
      <c r="K49" s="5">
        <f t="shared" si="11"/>
        <v>3254256.7512055417</v>
      </c>
      <c r="L49" s="5">
        <f t="shared" si="11"/>
        <v>430761.71306871803</v>
      </c>
      <c r="M49" s="5">
        <f t="shared" si="11"/>
        <v>3685018.4642742602</v>
      </c>
      <c r="N49" s="26">
        <f t="shared" si="11"/>
        <v>9.7737018728354368</v>
      </c>
      <c r="O49" s="26">
        <f t="shared" si="11"/>
        <v>1.2937321433552782</v>
      </c>
      <c r="P49" s="26">
        <f t="shared" si="11"/>
        <v>11.067434016190713</v>
      </c>
      <c r="R49" s="5"/>
    </row>
    <row r="50" spans="1:18">
      <c r="A50" s="2" t="s">
        <v>2</v>
      </c>
      <c r="B50" s="5">
        <f>B52-B51</f>
        <v>349029</v>
      </c>
      <c r="C50" s="5">
        <f>C48+C49</f>
        <v>3201111.7919315542</v>
      </c>
      <c r="D50" s="5">
        <f>D48+D49</f>
        <v>415563.73100305983</v>
      </c>
      <c r="E50" s="5">
        <f t="shared" si="12"/>
        <v>3616675.5229346142</v>
      </c>
      <c r="F50" s="26">
        <f>C50/$B50</f>
        <v>9.1714779916040055</v>
      </c>
      <c r="G50" s="26">
        <f>D50/$B50</f>
        <v>1.190628088219202</v>
      </c>
      <c r="H50" s="26">
        <f>F50+G50</f>
        <v>10.362106079823207</v>
      </c>
      <c r="I50" s="48"/>
      <c r="J50" s="2" t="s">
        <v>2</v>
      </c>
      <c r="K50" s="5">
        <f t="shared" si="11"/>
        <v>3465129.2282807943</v>
      </c>
      <c r="L50" s="5">
        <f t="shared" si="11"/>
        <v>449838.09504610702</v>
      </c>
      <c r="M50" s="5">
        <f t="shared" si="11"/>
        <v>3914967.323326902</v>
      </c>
      <c r="N50" s="26">
        <f t="shared" si="11"/>
        <v>9.9279120883387755</v>
      </c>
      <c r="O50" s="26">
        <f t="shared" si="11"/>
        <v>1.2888272752295855</v>
      </c>
      <c r="P50" s="26">
        <f t="shared" si="11"/>
        <v>11.216739363568362</v>
      </c>
    </row>
    <row r="51" spans="1:18">
      <c r="A51" s="2" t="s">
        <v>3</v>
      </c>
      <c r="B51" s="5">
        <f>550+4075+3347+3010</f>
        <v>10982</v>
      </c>
      <c r="C51" s="5">
        <f>F51*B51</f>
        <v>89830.223236094738</v>
      </c>
      <c r="D51" s="5">
        <v>0</v>
      </c>
      <c r="E51" s="5">
        <f t="shared" si="12"/>
        <v>89830.223236094738</v>
      </c>
      <c r="F51" s="26">
        <f>F27*L8/100</f>
        <v>8.1797690071111582</v>
      </c>
      <c r="G51" s="5">
        <v>0</v>
      </c>
      <c r="H51" s="26">
        <f>F51+G51</f>
        <v>8.1797690071111582</v>
      </c>
      <c r="J51" s="2" t="s">
        <v>3</v>
      </c>
      <c r="K51" s="5">
        <f t="shared" si="11"/>
        <v>97239.132011243433</v>
      </c>
      <c r="L51" s="5">
        <f t="shared" si="11"/>
        <v>0</v>
      </c>
      <c r="M51" s="5">
        <f t="shared" si="11"/>
        <v>97239.132011243433</v>
      </c>
      <c r="N51" s="26">
        <f t="shared" si="11"/>
        <v>8.8544101266839785</v>
      </c>
      <c r="O51" s="26">
        <f t="shared" si="11"/>
        <v>0</v>
      </c>
      <c r="P51" s="26">
        <f t="shared" si="11"/>
        <v>8.8544101266839785</v>
      </c>
    </row>
    <row r="52" spans="1:18">
      <c r="A52" s="2" t="s">
        <v>0</v>
      </c>
      <c r="B52" s="5">
        <f>27505+188000+33226+111280</f>
        <v>360011</v>
      </c>
      <c r="C52" s="5">
        <f>C50+C51</f>
        <v>3290942.0151676489</v>
      </c>
      <c r="D52" s="5">
        <f>D50+D51</f>
        <v>415563.73100305983</v>
      </c>
      <c r="E52" s="5">
        <f t="shared" si="12"/>
        <v>3706505.7461707089</v>
      </c>
      <c r="F52" s="26">
        <f>C52/$B52</f>
        <v>9.1412262824403943</v>
      </c>
      <c r="G52" s="26">
        <f>D52/$B52</f>
        <v>1.1543084266954615</v>
      </c>
      <c r="H52" s="26">
        <f>F52+G52</f>
        <v>10.295534709135856</v>
      </c>
      <c r="J52" s="2" t="s">
        <v>0</v>
      </c>
      <c r="K52" s="5">
        <f t="shared" si="11"/>
        <v>3562368.3602920379</v>
      </c>
      <c r="L52" s="5">
        <f t="shared" si="11"/>
        <v>449838.09504610702</v>
      </c>
      <c r="M52" s="5">
        <f t="shared" si="11"/>
        <v>4012206.4553381456</v>
      </c>
      <c r="N52" s="26">
        <f t="shared" si="11"/>
        <v>9.8951653152043626</v>
      </c>
      <c r="O52" s="26">
        <f t="shared" si="11"/>
        <v>1.2495120844810492</v>
      </c>
      <c r="P52" s="26">
        <f t="shared" si="11"/>
        <v>11.144677399685413</v>
      </c>
    </row>
    <row r="53" spans="1:18">
      <c r="B53" s="1"/>
      <c r="C53" s="72" t="s">
        <v>267</v>
      </c>
      <c r="D53" s="73">
        <f>100*D52/E52</f>
        <v>11.211738479898214</v>
      </c>
      <c r="J53" s="1"/>
    </row>
    <row r="54" spans="1:18">
      <c r="J54" s="1"/>
    </row>
    <row r="55" spans="1:18" ht="17">
      <c r="C55" s="28" t="s">
        <v>114</v>
      </c>
      <c r="D55" s="29"/>
      <c r="E55" s="29"/>
      <c r="F55" s="29"/>
      <c r="G55" s="29"/>
      <c r="H55" s="29"/>
      <c r="J55" s="1"/>
      <c r="K55" s="50" t="s">
        <v>118</v>
      </c>
      <c r="L55" s="51"/>
      <c r="M55" s="51"/>
      <c r="N55" s="51"/>
      <c r="O55" s="51"/>
      <c r="P55" s="51"/>
    </row>
    <row r="56" spans="1:18" ht="17">
      <c r="C56" s="6" t="s">
        <v>46</v>
      </c>
      <c r="F56" s="6" t="s">
        <v>47</v>
      </c>
      <c r="J56" s="1"/>
      <c r="K56" s="6" t="s">
        <v>46</v>
      </c>
      <c r="N56" s="6" t="s">
        <v>47</v>
      </c>
    </row>
    <row r="57" spans="1:18">
      <c r="B57" s="11" t="s">
        <v>10</v>
      </c>
      <c r="C57" s="11" t="s">
        <v>8</v>
      </c>
      <c r="D57" s="11" t="s">
        <v>9</v>
      </c>
      <c r="E57" s="11" t="s">
        <v>0</v>
      </c>
      <c r="F57" s="11" t="s">
        <v>8</v>
      </c>
      <c r="G57" s="11" t="s">
        <v>9</v>
      </c>
      <c r="H57" s="11" t="s">
        <v>0</v>
      </c>
      <c r="I57" s="46"/>
      <c r="J57" s="1"/>
      <c r="K57" s="11" t="s">
        <v>8</v>
      </c>
      <c r="L57" s="11" t="s">
        <v>9</v>
      </c>
      <c r="M57" s="11" t="s">
        <v>0</v>
      </c>
      <c r="N57" s="11" t="s">
        <v>8</v>
      </c>
      <c r="O57" s="11" t="s">
        <v>9</v>
      </c>
      <c r="P57" s="11" t="s">
        <v>0</v>
      </c>
    </row>
    <row r="58" spans="1:18">
      <c r="B58" s="11" t="s">
        <v>7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11" t="s">
        <v>5</v>
      </c>
      <c r="I58" s="46"/>
      <c r="J58" s="1"/>
      <c r="K58" s="11" t="s">
        <v>5</v>
      </c>
      <c r="L58" s="11" t="s">
        <v>5</v>
      </c>
      <c r="M58" s="11" t="s">
        <v>5</v>
      </c>
      <c r="N58" s="11" t="s">
        <v>5</v>
      </c>
      <c r="O58" s="11" t="s">
        <v>5</v>
      </c>
      <c r="P58" s="11" t="s">
        <v>5</v>
      </c>
      <c r="Q58" s="5" t="s">
        <v>265</v>
      </c>
    </row>
    <row r="59" spans="1:18">
      <c r="A59" s="2" t="s">
        <v>135</v>
      </c>
      <c r="B59" s="5">
        <v>12489.995996796799</v>
      </c>
      <c r="C59" s="5">
        <f>F59*B59</f>
        <v>126436.03176820592</v>
      </c>
      <c r="D59" s="5">
        <f>D24*M11/100</f>
        <v>13289.246974485688</v>
      </c>
      <c r="E59" s="5">
        <f>C59+D59</f>
        <v>139725.27874269162</v>
      </c>
      <c r="F59" s="26">
        <f>F24*M5/100</f>
        <v>10.122984170742079</v>
      </c>
      <c r="G59" s="26">
        <f>D59/B59</f>
        <v>1.0639912917421164</v>
      </c>
      <c r="H59" s="26">
        <f>F59+G59</f>
        <v>11.186975462484195</v>
      </c>
      <c r="J59" s="2" t="s">
        <v>135</v>
      </c>
      <c r="K59" s="5">
        <f t="shared" ref="K59:P63" si="13">100*C59/$M$14</f>
        <v>172173.08098298087</v>
      </c>
      <c r="L59" s="5">
        <f t="shared" si="13"/>
        <v>18096.507487166484</v>
      </c>
      <c r="M59" s="5">
        <f t="shared" si="13"/>
        <v>190269.58847014734</v>
      </c>
      <c r="N59" s="26">
        <f t="shared" si="13"/>
        <v>13.784878796369238</v>
      </c>
      <c r="O59" s="26">
        <f t="shared" si="13"/>
        <v>1.4488801671199525</v>
      </c>
      <c r="P59" s="26">
        <f t="shared" si="13"/>
        <v>15.233758963489191</v>
      </c>
      <c r="R59" s="71">
        <f>P59/P63</f>
        <v>1.3534854874484763</v>
      </c>
    </row>
    <row r="60" spans="1:18">
      <c r="A60" s="2" t="s">
        <v>1</v>
      </c>
      <c r="B60" s="5">
        <v>175338.58924515886</v>
      </c>
      <c r="C60" s="5">
        <f>F60*B60</f>
        <v>1240810.5872002558</v>
      </c>
      <c r="D60" s="5">
        <f>D25*M12/100</f>
        <v>180228.24027074684</v>
      </c>
      <c r="E60" s="5">
        <f>C60+D60</f>
        <v>1421038.8274710027</v>
      </c>
      <c r="F60" s="26">
        <f>F25*M6/100</f>
        <v>7.0766543322950506</v>
      </c>
      <c r="G60" s="26">
        <f>D60/B60</f>
        <v>1.0278869075349482</v>
      </c>
      <c r="H60" s="26">
        <f>F60+G60</f>
        <v>8.1045412398299987</v>
      </c>
      <c r="J60" s="2" t="s">
        <v>1</v>
      </c>
      <c r="K60" s="5">
        <f t="shared" si="13"/>
        <v>1689662.1851136815</v>
      </c>
      <c r="L60" s="5">
        <f t="shared" si="13"/>
        <v>245424.11663506873</v>
      </c>
      <c r="M60" s="5">
        <f t="shared" si="13"/>
        <v>1935086.3017487503</v>
      </c>
      <c r="N60" s="26">
        <f t="shared" si="13"/>
        <v>9.6365676967503795</v>
      </c>
      <c r="O60" s="26">
        <f t="shared" si="13"/>
        <v>1.3997153603871886</v>
      </c>
      <c r="P60" s="26">
        <f t="shared" si="13"/>
        <v>11.036283057137569</v>
      </c>
      <c r="Q60" s="5" t="s">
        <v>266</v>
      </c>
    </row>
    <row r="61" spans="1:18">
      <c r="A61" s="2" t="s">
        <v>2</v>
      </c>
      <c r="B61" s="5">
        <v>187828.58524195565</v>
      </c>
      <c r="C61" s="5">
        <f>C59+C60</f>
        <v>1367246.6189684616</v>
      </c>
      <c r="D61" s="5">
        <f t="shared" ref="D61:E61" si="14">D59+D60</f>
        <v>193517.48724523254</v>
      </c>
      <c r="E61" s="5">
        <f t="shared" si="14"/>
        <v>1560764.1062136944</v>
      </c>
      <c r="F61" s="26">
        <f>C61/$B61</f>
        <v>7.2792254555248439</v>
      </c>
      <c r="G61" s="26">
        <f>D61/$B61</f>
        <v>1.030287732806743</v>
      </c>
      <c r="H61" s="26">
        <f>F61+G61</f>
        <v>8.3095131883315876</v>
      </c>
      <c r="J61" s="2" t="s">
        <v>2</v>
      </c>
      <c r="K61" s="5">
        <f t="shared" si="13"/>
        <v>1861835.2660966623</v>
      </c>
      <c r="L61" s="5">
        <f t="shared" si="13"/>
        <v>263520.62412223523</v>
      </c>
      <c r="M61" s="5">
        <f t="shared" si="13"/>
        <v>2125355.8902188977</v>
      </c>
      <c r="N61" s="26">
        <f t="shared" si="13"/>
        <v>9.9124170248010799</v>
      </c>
      <c r="O61" s="26">
        <f t="shared" si="13"/>
        <v>1.4029846616944657</v>
      </c>
      <c r="P61" s="26">
        <f t="shared" si="13"/>
        <v>11.315401686495548</v>
      </c>
      <c r="R61" s="71">
        <f>P59/P61</f>
        <v>1.3462853008276352</v>
      </c>
    </row>
    <row r="62" spans="1:18">
      <c r="A62" s="2" t="s">
        <v>3</v>
      </c>
      <c r="B62" s="5">
        <v>4851.3081635408435</v>
      </c>
      <c r="C62" s="5">
        <f>F62*B62</f>
        <v>31794.705558134185</v>
      </c>
      <c r="D62" s="5">
        <v>0</v>
      </c>
      <c r="E62" s="5">
        <f>C62+D62</f>
        <v>31794.705558134185</v>
      </c>
      <c r="F62" s="26">
        <f>F27*M8/100</f>
        <v>6.5538416621483098</v>
      </c>
      <c r="G62" s="5">
        <v>0</v>
      </c>
      <c r="H62" s="26">
        <f>F62+G62</f>
        <v>6.5538416621483098</v>
      </c>
      <c r="J62" s="2" t="s">
        <v>3</v>
      </c>
      <c r="K62" s="5">
        <f t="shared" si="13"/>
        <v>43296.14223361943</v>
      </c>
      <c r="L62" s="5">
        <f t="shared" si="13"/>
        <v>0</v>
      </c>
      <c r="M62" s="5">
        <f t="shared" si="13"/>
        <v>43296.14223361943</v>
      </c>
      <c r="N62" s="26">
        <f t="shared" si="13"/>
        <v>8.924632444296984</v>
      </c>
      <c r="O62" s="26">
        <f t="shared" si="13"/>
        <v>0</v>
      </c>
      <c r="P62" s="26">
        <f t="shared" si="13"/>
        <v>8.924632444296984</v>
      </c>
    </row>
    <row r="63" spans="1:18">
      <c r="A63" s="2" t="s">
        <v>0</v>
      </c>
      <c r="B63" s="5">
        <v>192679.89340549649</v>
      </c>
      <c r="C63" s="5">
        <f>C61+C62</f>
        <v>1399041.3245265959</v>
      </c>
      <c r="D63" s="5">
        <f>D61+D62</f>
        <v>193517.48724523254</v>
      </c>
      <c r="E63" s="5">
        <f t="shared" ref="E63" si="15">C63+D63</f>
        <v>1592558.8117718284</v>
      </c>
      <c r="F63" s="26">
        <f>C63/$B63</f>
        <v>7.2609616903944483</v>
      </c>
      <c r="G63" s="26">
        <f>D63/$B63</f>
        <v>1.0043470744400576</v>
      </c>
      <c r="H63" s="26">
        <f>F63+G63</f>
        <v>8.2653087648345061</v>
      </c>
      <c r="J63" s="2" t="s">
        <v>0</v>
      </c>
      <c r="K63" s="5">
        <f t="shared" si="13"/>
        <v>1905131.4083302815</v>
      </c>
      <c r="L63" s="5">
        <f t="shared" si="13"/>
        <v>263520.62412223523</v>
      </c>
      <c r="M63" s="5">
        <f t="shared" si="13"/>
        <v>2168652.0324525172</v>
      </c>
      <c r="N63" s="26">
        <f t="shared" si="13"/>
        <v>9.8875465138488341</v>
      </c>
      <c r="O63" s="26">
        <f t="shared" si="13"/>
        <v>1.3676602133449067</v>
      </c>
      <c r="P63" s="26">
        <f t="shared" si="13"/>
        <v>11.255206727193741</v>
      </c>
    </row>
    <row r="64" spans="1:18">
      <c r="C64" s="72" t="s">
        <v>267</v>
      </c>
      <c r="D64" s="73">
        <f>100*D63/E63</f>
        <v>12.151355781324732</v>
      </c>
      <c r="J64" s="1"/>
    </row>
    <row r="65" spans="1:18">
      <c r="J65" s="1"/>
    </row>
    <row r="66" spans="1:18" ht="17">
      <c r="C66" s="28" t="s">
        <v>261</v>
      </c>
      <c r="D66" s="29"/>
      <c r="E66" s="29"/>
      <c r="F66" s="29"/>
      <c r="G66" s="29"/>
      <c r="H66" s="29"/>
      <c r="J66" s="1"/>
      <c r="K66" s="50" t="s">
        <v>262</v>
      </c>
      <c r="L66" s="51"/>
      <c r="M66" s="51"/>
      <c r="N66" s="51"/>
      <c r="O66" s="51"/>
      <c r="P66" s="51"/>
    </row>
    <row r="67" spans="1:18" ht="17">
      <c r="C67" s="6" t="s">
        <v>46</v>
      </c>
      <c r="F67" s="6" t="s">
        <v>47</v>
      </c>
      <c r="J67" s="1"/>
      <c r="K67" s="6" t="s">
        <v>46</v>
      </c>
      <c r="N67" s="6" t="s">
        <v>47</v>
      </c>
    </row>
    <row r="68" spans="1:18">
      <c r="B68" s="11" t="s">
        <v>11</v>
      </c>
      <c r="C68" s="11" t="s">
        <v>8</v>
      </c>
      <c r="D68" s="11" t="s">
        <v>9</v>
      </c>
      <c r="E68" s="11" t="s">
        <v>0</v>
      </c>
      <c r="F68" s="11" t="s">
        <v>8</v>
      </c>
      <c r="G68" s="11" t="s">
        <v>9</v>
      </c>
      <c r="H68" s="11" t="s">
        <v>0</v>
      </c>
      <c r="J68" s="1"/>
      <c r="K68" s="11" t="s">
        <v>8</v>
      </c>
      <c r="L68" s="11" t="s">
        <v>9</v>
      </c>
      <c r="M68" s="11" t="s">
        <v>0</v>
      </c>
      <c r="N68" s="11" t="s">
        <v>8</v>
      </c>
      <c r="O68" s="11" t="s">
        <v>9</v>
      </c>
      <c r="P68" s="11" t="s">
        <v>0</v>
      </c>
    </row>
    <row r="69" spans="1:18">
      <c r="B69" s="11" t="s">
        <v>7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J69" s="1"/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5" t="s">
        <v>265</v>
      </c>
    </row>
    <row r="70" spans="1:18">
      <c r="A70" s="2" t="s">
        <v>135</v>
      </c>
      <c r="B70" s="5">
        <v>6700</v>
      </c>
      <c r="C70" s="5">
        <f>F70*B70</f>
        <v>62676.310985464144</v>
      </c>
      <c r="D70" s="5">
        <f>D24*N11/100</f>
        <v>5269.2963285160458</v>
      </c>
      <c r="E70" s="5">
        <f>C70+D70</f>
        <v>67945.607313980188</v>
      </c>
      <c r="F70" s="26">
        <f>F24*N5/100</f>
        <v>9.354673281412559</v>
      </c>
      <c r="G70" s="26">
        <f>D70/B70</f>
        <v>0.78646213858448444</v>
      </c>
      <c r="H70" s="26">
        <f>F70+G70</f>
        <v>10.141135419997044</v>
      </c>
      <c r="J70" s="2" t="s">
        <v>135</v>
      </c>
      <c r="K70" s="5">
        <f t="shared" ref="K70:P74" si="16">100*C70/$N$14</f>
        <v>83459.012468586356</v>
      </c>
      <c r="L70" s="5">
        <f t="shared" si="16"/>
        <v>7016.5308242900301</v>
      </c>
      <c r="M70" s="5">
        <f t="shared" si="16"/>
        <v>90475.543292876377</v>
      </c>
      <c r="N70" s="26">
        <f t="shared" si="16"/>
        <v>12.456569025162143</v>
      </c>
      <c r="O70" s="26">
        <f t="shared" si="16"/>
        <v>1.0472434066104521</v>
      </c>
      <c r="P70" s="26">
        <f t="shared" si="16"/>
        <v>13.503812431772594</v>
      </c>
      <c r="R70" s="71">
        <f>P70/P74</f>
        <v>1.3157148084929409</v>
      </c>
    </row>
    <row r="71" spans="1:18">
      <c r="A71" s="2" t="s">
        <v>1</v>
      </c>
      <c r="B71" s="5">
        <v>84383</v>
      </c>
      <c r="C71" s="5">
        <f>F71*B71</f>
        <v>579320.86611123348</v>
      </c>
      <c r="D71" s="5">
        <f>D25*N12/100</f>
        <v>57604.306407489406</v>
      </c>
      <c r="E71" s="5">
        <f>C71+D71</f>
        <v>636925.17251872295</v>
      </c>
      <c r="F71" s="26">
        <f>F25*N6/100</f>
        <v>6.8653741406590605</v>
      </c>
      <c r="G71" s="26">
        <f>D71/B71</f>
        <v>0.68265297995436769</v>
      </c>
      <c r="H71" s="26">
        <f>F71+G71</f>
        <v>7.548027120613428</v>
      </c>
      <c r="J71" s="2" t="s">
        <v>1</v>
      </c>
      <c r="K71" s="5">
        <f t="shared" si="16"/>
        <v>771416.61064421735</v>
      </c>
      <c r="L71" s="5">
        <f t="shared" si="16"/>
        <v>76705.192936800362</v>
      </c>
      <c r="M71" s="5">
        <f t="shared" si="16"/>
        <v>848121.80358101788</v>
      </c>
      <c r="N71" s="26">
        <f t="shared" si="16"/>
        <v>9.1418486027306152</v>
      </c>
      <c r="O71" s="26">
        <f t="shared" si="16"/>
        <v>0.90901239511276399</v>
      </c>
      <c r="P71" s="26">
        <f t="shared" si="16"/>
        <v>10.05086099784338</v>
      </c>
      <c r="Q71" s="5" t="s">
        <v>266</v>
      </c>
    </row>
    <row r="72" spans="1:18">
      <c r="A72" s="2" t="s">
        <v>2</v>
      </c>
      <c r="B72" s="5">
        <v>91083</v>
      </c>
      <c r="C72" s="5">
        <f>C70+C71</f>
        <v>641997.17709669762</v>
      </c>
      <c r="D72" s="5">
        <f t="shared" ref="D72" si="17">D70+D71</f>
        <v>62873.60273600545</v>
      </c>
      <c r="E72" s="5">
        <f t="shared" ref="E72" si="18">E70+E71</f>
        <v>704870.77983270318</v>
      </c>
      <c r="F72" s="26">
        <f>C72/$B72</f>
        <v>7.0484851958839476</v>
      </c>
      <c r="G72" s="26">
        <f>D72/$B72</f>
        <v>0.69028910703430335</v>
      </c>
      <c r="H72" s="26">
        <f>F72+G72</f>
        <v>7.7387743029182507</v>
      </c>
      <c r="J72" s="2" t="s">
        <v>2</v>
      </c>
      <c r="K72" s="5">
        <f t="shared" si="16"/>
        <v>854875.62311280379</v>
      </c>
      <c r="L72" s="5">
        <f t="shared" si="16"/>
        <v>83721.723761090383</v>
      </c>
      <c r="M72" s="5">
        <f t="shared" si="16"/>
        <v>938597.34687389433</v>
      </c>
      <c r="N72" s="26">
        <f t="shared" si="16"/>
        <v>9.3856770540364689</v>
      </c>
      <c r="O72" s="26">
        <f t="shared" si="16"/>
        <v>0.91918056894360523</v>
      </c>
      <c r="P72" s="26">
        <f t="shared" si="16"/>
        <v>10.304857622980073</v>
      </c>
      <c r="R72" s="71">
        <f>P70/P72</f>
        <v>1.3104317328614785</v>
      </c>
    </row>
    <row r="73" spans="1:18">
      <c r="A73" s="2" t="s">
        <v>3</v>
      </c>
      <c r="B73" s="5">
        <v>1680</v>
      </c>
      <c r="C73" s="5">
        <f>F73*B73</f>
        <v>10118.622804420747</v>
      </c>
      <c r="D73" s="5">
        <v>0</v>
      </c>
      <c r="E73" s="5">
        <f>C73+D73</f>
        <v>10118.622804420747</v>
      </c>
      <c r="F73" s="26">
        <f>F27*N8/100</f>
        <v>6.0229897645361596</v>
      </c>
      <c r="G73" s="5">
        <v>0</v>
      </c>
      <c r="H73" s="26">
        <f>F73+G73</f>
        <v>6.0229897645361596</v>
      </c>
      <c r="J73" s="2" t="s">
        <v>3</v>
      </c>
      <c r="K73" s="5">
        <f t="shared" si="16"/>
        <v>13473.834907018174</v>
      </c>
      <c r="L73" s="5">
        <f t="shared" si="16"/>
        <v>0</v>
      </c>
      <c r="M73" s="5">
        <f t="shared" si="16"/>
        <v>13473.834907018174</v>
      </c>
      <c r="N73" s="26">
        <f t="shared" si="16"/>
        <v>8.0201398256060568</v>
      </c>
      <c r="O73" s="26">
        <f t="shared" si="16"/>
        <v>0</v>
      </c>
      <c r="P73" s="26">
        <f t="shared" si="16"/>
        <v>8.0201398256060568</v>
      </c>
    </row>
    <row r="74" spans="1:18">
      <c r="A74" s="2" t="s">
        <v>0</v>
      </c>
      <c r="B74" s="5">
        <v>92763</v>
      </c>
      <c r="C74" s="5">
        <f>C72+C73</f>
        <v>652115.79990111839</v>
      </c>
      <c r="D74" s="5">
        <f>D72+D73</f>
        <v>62873.60273600545</v>
      </c>
      <c r="E74" s="5">
        <f t="shared" ref="E74" si="19">C74+D74</f>
        <v>714989.40263712383</v>
      </c>
      <c r="F74" s="26">
        <f>C74/$B74</f>
        <v>7.0299127874380778</v>
      </c>
      <c r="G74" s="26">
        <f>D74/$B74</f>
        <v>0.67778750941652866</v>
      </c>
      <c r="H74" s="26">
        <f>F74+G74</f>
        <v>7.7077002968546067</v>
      </c>
      <c r="J74" s="2" t="s">
        <v>0</v>
      </c>
      <c r="K74" s="5">
        <f t="shared" si="16"/>
        <v>868349.4580198219</v>
      </c>
      <c r="L74" s="5">
        <f t="shared" si="16"/>
        <v>83721.723761090383</v>
      </c>
      <c r="M74" s="5">
        <f t="shared" si="16"/>
        <v>952071.18178091221</v>
      </c>
      <c r="N74" s="26">
        <f t="shared" si="16"/>
        <v>9.3609462611151208</v>
      </c>
      <c r="O74" s="26">
        <f t="shared" si="16"/>
        <v>0.90253359379375808</v>
      </c>
      <c r="P74" s="26">
        <f t="shared" si="16"/>
        <v>10.26347985490888</v>
      </c>
    </row>
    <row r="75" spans="1:18">
      <c r="C75" s="72" t="s">
        <v>267</v>
      </c>
      <c r="D75" s="73">
        <f>100*D74/E74</f>
        <v>8.7936412070033825</v>
      </c>
      <c r="J75" s="1"/>
    </row>
    <row r="76" spans="1:18">
      <c r="J76" s="1"/>
    </row>
    <row r="77" spans="1:18" ht="17">
      <c r="C77" s="28" t="s">
        <v>115</v>
      </c>
      <c r="D77" s="29"/>
      <c r="E77" s="29"/>
      <c r="F77" s="29"/>
      <c r="G77" s="29"/>
      <c r="H77" s="29"/>
      <c r="J77" s="1"/>
      <c r="K77" s="50" t="s">
        <v>117</v>
      </c>
      <c r="L77" s="51"/>
      <c r="M77" s="51"/>
      <c r="N77" s="51"/>
      <c r="O77" s="51"/>
      <c r="P77" s="51"/>
    </row>
    <row r="78" spans="1:18" ht="17">
      <c r="C78" s="6" t="s">
        <v>46</v>
      </c>
      <c r="F78" s="6" t="s">
        <v>47</v>
      </c>
      <c r="J78" s="1"/>
      <c r="K78" s="6" t="s">
        <v>46</v>
      </c>
      <c r="N78" s="6" t="s">
        <v>47</v>
      </c>
    </row>
    <row r="79" spans="1:18">
      <c r="B79" s="11" t="s">
        <v>41</v>
      </c>
      <c r="C79" s="11" t="s">
        <v>8</v>
      </c>
      <c r="D79" s="11" t="s">
        <v>9</v>
      </c>
      <c r="E79" s="11" t="s">
        <v>0</v>
      </c>
      <c r="F79" s="11" t="s">
        <v>8</v>
      </c>
      <c r="G79" s="11" t="s">
        <v>9</v>
      </c>
      <c r="H79" s="11" t="s">
        <v>0</v>
      </c>
      <c r="J79" s="1"/>
      <c r="K79" s="11" t="s">
        <v>8</v>
      </c>
      <c r="L79" s="11" t="s">
        <v>9</v>
      </c>
      <c r="M79" s="11" t="s">
        <v>0</v>
      </c>
      <c r="N79" s="11" t="s">
        <v>8</v>
      </c>
      <c r="O79" s="11" t="s">
        <v>9</v>
      </c>
      <c r="P79" s="11" t="s">
        <v>0</v>
      </c>
    </row>
    <row r="80" spans="1:18">
      <c r="B80" s="11" t="s">
        <v>7</v>
      </c>
      <c r="C80" s="11" t="s">
        <v>5</v>
      </c>
      <c r="D80" s="11" t="s">
        <v>5</v>
      </c>
      <c r="E80" s="11" t="s">
        <v>5</v>
      </c>
      <c r="F80" s="11" t="s">
        <v>5</v>
      </c>
      <c r="G80" s="11" t="s">
        <v>5</v>
      </c>
      <c r="H80" s="11" t="s">
        <v>5</v>
      </c>
      <c r="J80" s="1"/>
      <c r="K80" s="11" t="s">
        <v>5</v>
      </c>
      <c r="L80" s="11" t="s">
        <v>5</v>
      </c>
      <c r="M80" s="11" t="s">
        <v>5</v>
      </c>
      <c r="N80" s="11" t="s">
        <v>5</v>
      </c>
      <c r="O80" s="11" t="s">
        <v>5</v>
      </c>
      <c r="P80" s="11" t="s">
        <v>5</v>
      </c>
      <c r="Q80" s="5" t="s">
        <v>265</v>
      </c>
    </row>
    <row r="81" spans="1:18">
      <c r="A81" s="2" t="s">
        <v>135</v>
      </c>
      <c r="B81" s="5">
        <f>3000*(EXP(LN(1.5)/20)^15)</f>
        <v>4066.2090162443101</v>
      </c>
      <c r="C81" s="5">
        <f>F81*B81</f>
        <v>38200.109723644331</v>
      </c>
      <c r="D81" s="5">
        <f>D24*O11/100</f>
        <v>2978.5765575707546</v>
      </c>
      <c r="E81" s="5">
        <f>C81+D81</f>
        <v>41178.686281215087</v>
      </c>
      <c r="F81" s="26">
        <f>F24*O5/100</f>
        <v>9.3945268359390095</v>
      </c>
      <c r="G81" s="26">
        <f>D81/B81</f>
        <v>0.73251929393483806</v>
      </c>
      <c r="H81" s="26">
        <f>F81+G81</f>
        <v>10.127046129873847</v>
      </c>
      <c r="J81" s="2" t="s">
        <v>135</v>
      </c>
      <c r="K81" s="5">
        <f t="shared" ref="K81:P85" si="20">100*C81/$O$14</f>
        <v>44103.845339641863</v>
      </c>
      <c r="L81" s="5">
        <f t="shared" si="20"/>
        <v>3438.9084423512204</v>
      </c>
      <c r="M81" s="5">
        <f t="shared" si="20"/>
        <v>47542.753781993088</v>
      </c>
      <c r="N81" s="26">
        <f t="shared" si="20"/>
        <v>10.846428494809075</v>
      </c>
      <c r="O81" s="26">
        <f t="shared" si="20"/>
        <v>0.84572839925664067</v>
      </c>
      <c r="P81" s="26">
        <f t="shared" si="20"/>
        <v>11.692156894065716</v>
      </c>
      <c r="R81" s="71">
        <f>P81/P85</f>
        <v>1.4047928745741238</v>
      </c>
    </row>
    <row r="82" spans="1:18">
      <c r="A82" s="2" t="s">
        <v>1</v>
      </c>
      <c r="B82" s="5">
        <f>B83-B81</f>
        <v>55120.0717589489</v>
      </c>
      <c r="C82" s="5">
        <f>F82*B82</f>
        <v>348817.5012750625</v>
      </c>
      <c r="D82" s="5">
        <f>D25*O12/100</f>
        <v>37264.733053550648</v>
      </c>
      <c r="E82" s="5">
        <f>C82+D82</f>
        <v>386082.23432861315</v>
      </c>
      <c r="F82" s="26">
        <f>F25*O6/100</f>
        <v>6.3283208846409202</v>
      </c>
      <c r="G82" s="26">
        <f>D82/B82</f>
        <v>0.67606466872025817</v>
      </c>
      <c r="H82" s="26">
        <f>F82+G82</f>
        <v>7.0043855533611783</v>
      </c>
      <c r="J82" s="2" t="s">
        <v>1</v>
      </c>
      <c r="K82" s="5">
        <f t="shared" si="20"/>
        <v>402726.41202581383</v>
      </c>
      <c r="L82" s="5">
        <f t="shared" si="20"/>
        <v>43023.908441801315</v>
      </c>
      <c r="M82" s="5">
        <f t="shared" si="20"/>
        <v>445750.32046761515</v>
      </c>
      <c r="N82" s="26">
        <f t="shared" si="20"/>
        <v>7.3063477454640671</v>
      </c>
      <c r="O82" s="26">
        <f t="shared" si="20"/>
        <v>0.78054884670603253</v>
      </c>
      <c r="P82" s="26">
        <f t="shared" si="20"/>
        <v>8.086896592170099</v>
      </c>
      <c r="Q82" s="5" t="s">
        <v>266</v>
      </c>
    </row>
    <row r="83" spans="1:18">
      <c r="A83" s="2" t="s">
        <v>2</v>
      </c>
      <c r="B83" s="5">
        <v>59186.280775193212</v>
      </c>
      <c r="C83" s="5">
        <f>C81+C82</f>
        <v>387017.61099870683</v>
      </c>
      <c r="D83" s="5">
        <f t="shared" ref="D83" si="21">D81+D82</f>
        <v>40243.309611121404</v>
      </c>
      <c r="E83" s="5">
        <f t="shared" ref="E83" si="22">E81+E82</f>
        <v>427260.92060982826</v>
      </c>
      <c r="F83" s="26">
        <f>C83/$B83</f>
        <v>6.5389750112650731</v>
      </c>
      <c r="G83" s="26">
        <f>D83/$B83</f>
        <v>0.67994320785212459</v>
      </c>
      <c r="H83" s="26">
        <f>F83+G83</f>
        <v>7.2189182191171977</v>
      </c>
      <c r="J83" s="2" t="s">
        <v>2</v>
      </c>
      <c r="K83" s="5">
        <f t="shared" si="20"/>
        <v>446830.25736545568</v>
      </c>
      <c r="L83" s="5">
        <f t="shared" si="20"/>
        <v>46462.816884152533</v>
      </c>
      <c r="M83" s="5">
        <f t="shared" si="20"/>
        <v>493293.07424960827</v>
      </c>
      <c r="N83" s="26">
        <f t="shared" si="20"/>
        <v>7.5495579636545767</v>
      </c>
      <c r="O83" s="26">
        <f t="shared" si="20"/>
        <v>0.7850268047866007</v>
      </c>
      <c r="P83" s="26">
        <f t="shared" si="20"/>
        <v>8.3345847684411769</v>
      </c>
      <c r="R83" s="71">
        <f>P81/P83</f>
        <v>1.4028481584755073</v>
      </c>
    </row>
    <row r="84" spans="1:18">
      <c r="A84" s="2" t="s">
        <v>3</v>
      </c>
      <c r="B84" s="5">
        <v>419.96010611051315</v>
      </c>
      <c r="C84" s="5">
        <f>F84*B84</f>
        <v>2435.9848619716236</v>
      </c>
      <c r="D84" s="5">
        <v>0</v>
      </c>
      <c r="E84" s="5">
        <f>C84+D84</f>
        <v>2435.9848619716236</v>
      </c>
      <c r="F84" s="26">
        <f>F27*O8/100</f>
        <v>5.8005149216020779</v>
      </c>
      <c r="G84" s="5">
        <v>0</v>
      </c>
      <c r="H84" s="26">
        <f>F84+G84</f>
        <v>5.8005149216020779</v>
      </c>
      <c r="J84" s="2" t="s">
        <v>3</v>
      </c>
      <c r="K84" s="5">
        <f t="shared" si="20"/>
        <v>2812.4604976096853</v>
      </c>
      <c r="L84" s="5">
        <f t="shared" si="20"/>
        <v>0</v>
      </c>
      <c r="M84" s="5">
        <f t="shared" si="20"/>
        <v>2812.4604976096853</v>
      </c>
      <c r="N84" s="26">
        <f t="shared" si="20"/>
        <v>6.6969706328952636</v>
      </c>
      <c r="O84" s="26">
        <f t="shared" si="20"/>
        <v>0</v>
      </c>
      <c r="P84" s="26">
        <f t="shared" si="20"/>
        <v>6.6969706328952636</v>
      </c>
    </row>
    <row r="85" spans="1:18">
      <c r="A85" s="2" t="s">
        <v>0</v>
      </c>
      <c r="B85" s="5">
        <v>59606.240881303725</v>
      </c>
      <c r="C85" s="5">
        <f>C83+C84</f>
        <v>389453.59586067847</v>
      </c>
      <c r="D85" s="5">
        <f>D83+D84</f>
        <v>40243.309611121404</v>
      </c>
      <c r="E85" s="5">
        <f t="shared" ref="E85" si="23">C85+D85</f>
        <v>429696.9054717999</v>
      </c>
      <c r="F85" s="26">
        <f>C85/$B85</f>
        <v>6.5337721369849993</v>
      </c>
      <c r="G85" s="26">
        <f>D85/$B85</f>
        <v>0.67515261851958597</v>
      </c>
      <c r="H85" s="26">
        <f>F85+G85</f>
        <v>7.2089247555045848</v>
      </c>
      <c r="J85" s="2" t="s">
        <v>0</v>
      </c>
      <c r="K85" s="5">
        <f t="shared" si="20"/>
        <v>449642.71786306542</v>
      </c>
      <c r="L85" s="5">
        <f t="shared" si="20"/>
        <v>46462.816884152533</v>
      </c>
      <c r="M85" s="5">
        <f t="shared" si="20"/>
        <v>496105.53474721796</v>
      </c>
      <c r="N85" s="26">
        <f t="shared" si="20"/>
        <v>7.5435509975953154</v>
      </c>
      <c r="O85" s="26">
        <f t="shared" si="20"/>
        <v>0.77949584132768568</v>
      </c>
      <c r="P85" s="26">
        <f t="shared" si="20"/>
        <v>8.3230468389230001</v>
      </c>
    </row>
    <row r="86" spans="1:18">
      <c r="C86" s="72" t="s">
        <v>267</v>
      </c>
      <c r="D86" s="73">
        <f>100*D85/E85</f>
        <v>9.3655106887341741</v>
      </c>
      <c r="J86" s="1"/>
    </row>
    <row r="87" spans="1:18">
      <c r="J87" s="1"/>
    </row>
    <row r="88" spans="1:18" ht="17">
      <c r="C88" s="28" t="s">
        <v>116</v>
      </c>
      <c r="D88" s="29"/>
      <c r="E88" s="29"/>
      <c r="F88" s="29"/>
      <c r="G88" s="29"/>
      <c r="H88" s="29"/>
      <c r="J88" s="1"/>
      <c r="K88" s="50" t="s">
        <v>260</v>
      </c>
      <c r="L88" s="51"/>
      <c r="M88" s="51"/>
      <c r="N88" s="51"/>
      <c r="O88" s="51"/>
      <c r="P88" s="51"/>
    </row>
    <row r="89" spans="1:18" ht="17">
      <c r="C89" s="6" t="s">
        <v>46</v>
      </c>
      <c r="F89" s="6" t="s">
        <v>47</v>
      </c>
      <c r="J89" s="1"/>
      <c r="K89" s="6" t="s">
        <v>46</v>
      </c>
      <c r="N89" s="6" t="s">
        <v>47</v>
      </c>
    </row>
    <row r="90" spans="1:18">
      <c r="B90" s="11" t="s">
        <v>42</v>
      </c>
      <c r="C90" s="11" t="s">
        <v>8</v>
      </c>
      <c r="D90" s="11" t="s">
        <v>9</v>
      </c>
      <c r="E90" s="11" t="s">
        <v>0</v>
      </c>
      <c r="F90" s="11" t="s">
        <v>8</v>
      </c>
      <c r="G90" s="11" t="s">
        <v>9</v>
      </c>
      <c r="H90" s="11" t="s">
        <v>0</v>
      </c>
      <c r="J90" s="1"/>
      <c r="K90" s="11" t="s">
        <v>8</v>
      </c>
      <c r="L90" s="11" t="s">
        <v>9</v>
      </c>
      <c r="M90" s="11" t="s">
        <v>0</v>
      </c>
      <c r="N90" s="11" t="s">
        <v>8</v>
      </c>
      <c r="O90" s="11" t="s">
        <v>9</v>
      </c>
      <c r="P90" s="11" t="s">
        <v>0</v>
      </c>
    </row>
    <row r="91" spans="1:18">
      <c r="B91" s="11" t="s">
        <v>7</v>
      </c>
      <c r="C91" s="11" t="s">
        <v>5</v>
      </c>
      <c r="D91" s="11" t="s">
        <v>5</v>
      </c>
      <c r="E91" s="11" t="s">
        <v>5</v>
      </c>
      <c r="F91" s="11" t="s">
        <v>5</v>
      </c>
      <c r="G91" s="11" t="s">
        <v>5</v>
      </c>
      <c r="H91" s="11" t="s">
        <v>5</v>
      </c>
      <c r="J91" s="1"/>
      <c r="K91" s="11" t="s">
        <v>5</v>
      </c>
      <c r="L91" s="11" t="s">
        <v>5</v>
      </c>
      <c r="M91" s="11" t="s">
        <v>5</v>
      </c>
      <c r="N91" s="11" t="s">
        <v>5</v>
      </c>
      <c r="O91" s="11" t="s">
        <v>5</v>
      </c>
      <c r="P91" s="11" t="s">
        <v>5</v>
      </c>
      <c r="Q91" s="5" t="s">
        <v>265</v>
      </c>
    </row>
    <row r="92" spans="1:18">
      <c r="A92" s="2" t="s">
        <v>135</v>
      </c>
      <c r="B92" s="5">
        <v>2000</v>
      </c>
      <c r="C92" s="5">
        <f>F92*B92</f>
        <v>20149.103386491919</v>
      </c>
      <c r="D92" s="5">
        <f>D24*P11/100</f>
        <v>1590.6321767948161</v>
      </c>
      <c r="E92" s="5">
        <f>C92+D92</f>
        <v>21739.735563286737</v>
      </c>
      <c r="F92" s="26">
        <f>F24*P5/100</f>
        <v>10.07455169324596</v>
      </c>
      <c r="G92" s="26">
        <f>D92/B92</f>
        <v>0.79531608839740808</v>
      </c>
      <c r="H92" s="26">
        <f>F92+G92</f>
        <v>10.869867781643368</v>
      </c>
      <c r="J92" s="2" t="s">
        <v>135</v>
      </c>
      <c r="K92" s="5">
        <f t="shared" ref="K92:P96" si="24">100*C92/$P$14</f>
        <v>20232.118952813293</v>
      </c>
      <c r="L92" s="5">
        <f t="shared" si="24"/>
        <v>1597.1856808606169</v>
      </c>
      <c r="M92" s="5">
        <f t="shared" si="24"/>
        <v>21829.304633673913</v>
      </c>
      <c r="N92" s="26">
        <f t="shared" si="24"/>
        <v>10.116059476406646</v>
      </c>
      <c r="O92" s="26">
        <f t="shared" si="24"/>
        <v>0.79859284043030865</v>
      </c>
      <c r="P92" s="26">
        <f t="shared" si="24"/>
        <v>10.914652316836955</v>
      </c>
      <c r="R92" s="71">
        <f>P92/P96</f>
        <v>1.5528591064181916</v>
      </c>
    </row>
    <row r="93" spans="1:18">
      <c r="A93" s="2" t="s">
        <v>1</v>
      </c>
      <c r="B93" s="5">
        <v>20452</v>
      </c>
      <c r="C93" s="5">
        <f>F93*B93</f>
        <v>122726.77668101815</v>
      </c>
      <c r="D93" s="5">
        <f>D25*P12/100</f>
        <v>13122.412304576825</v>
      </c>
      <c r="E93" s="5">
        <f>C93+D93</f>
        <v>135849.18898559498</v>
      </c>
      <c r="F93" s="26">
        <f>F25*P6/100</f>
        <v>6.0007225054282296</v>
      </c>
      <c r="G93" s="26">
        <f>D93/B93</f>
        <v>0.64162000315748213</v>
      </c>
      <c r="H93" s="26">
        <f>F93+G93</f>
        <v>6.6423425085857115</v>
      </c>
      <c r="J93" s="2" t="s">
        <v>1</v>
      </c>
      <c r="K93" s="5">
        <f t="shared" si="24"/>
        <v>123232.41867776336</v>
      </c>
      <c r="L93" s="5">
        <f t="shared" si="24"/>
        <v>13176.47746410632</v>
      </c>
      <c r="M93" s="5">
        <f t="shared" si="24"/>
        <v>136408.89614186969</v>
      </c>
      <c r="N93" s="26">
        <f t="shared" si="24"/>
        <v>6.0254458575084762</v>
      </c>
      <c r="O93" s="26">
        <f t="shared" si="24"/>
        <v>0.64426351770517898</v>
      </c>
      <c r="P93" s="26">
        <f t="shared" si="24"/>
        <v>6.6697093752136549</v>
      </c>
      <c r="Q93" s="5" t="s">
        <v>266</v>
      </c>
    </row>
    <row r="94" spans="1:18">
      <c r="A94" s="2" t="s">
        <v>2</v>
      </c>
      <c r="B94" s="5">
        <v>22452</v>
      </c>
      <c r="C94" s="5">
        <f>C92+C93</f>
        <v>142875.88006751006</v>
      </c>
      <c r="D94" s="5">
        <f t="shared" ref="D94" si="25">D92+D93</f>
        <v>14713.04448137164</v>
      </c>
      <c r="E94" s="5">
        <f t="shared" ref="E94" si="26">E92+E93</f>
        <v>157588.92454888171</v>
      </c>
      <c r="F94" s="26">
        <f>C94/$B94</f>
        <v>6.3636148257398037</v>
      </c>
      <c r="G94" s="26">
        <f>D94/$B94</f>
        <v>0.65531108504238555</v>
      </c>
      <c r="H94" s="26">
        <f>F94+G94</f>
        <v>7.0189259107821895</v>
      </c>
      <c r="J94" s="2" t="s">
        <v>2</v>
      </c>
      <c r="K94" s="5">
        <f t="shared" si="24"/>
        <v>143464.53763057664</v>
      </c>
      <c r="L94" s="5">
        <f t="shared" si="24"/>
        <v>14773.663144966938</v>
      </c>
      <c r="M94" s="5">
        <f t="shared" si="24"/>
        <v>158238.20077554358</v>
      </c>
      <c r="N94" s="26">
        <f t="shared" si="24"/>
        <v>6.3898333168794164</v>
      </c>
      <c r="O94" s="26">
        <f t="shared" si="24"/>
        <v>0.65801100770385434</v>
      </c>
      <c r="P94" s="26">
        <f t="shared" si="24"/>
        <v>7.0478443245832709</v>
      </c>
      <c r="R94" s="71">
        <f>P92/P94</f>
        <v>1.5486511639830132</v>
      </c>
    </row>
    <row r="95" spans="1:18">
      <c r="A95" s="2" t="s">
        <v>3</v>
      </c>
      <c r="B95" s="5">
        <v>380</v>
      </c>
      <c r="C95" s="5">
        <f>F95*B95</f>
        <v>2232.9293235746654</v>
      </c>
      <c r="D95" s="5">
        <v>0</v>
      </c>
      <c r="E95" s="5">
        <f>C95+D95</f>
        <v>2232.9293235746654</v>
      </c>
      <c r="F95" s="26">
        <f>F27*P8/100</f>
        <v>5.8761297988806982</v>
      </c>
      <c r="G95" s="5">
        <v>0</v>
      </c>
      <c r="H95" s="26">
        <f>F95+G95</f>
        <v>5.8761297988806982</v>
      </c>
      <c r="J95" s="2" t="s">
        <v>3</v>
      </c>
      <c r="K95" s="5">
        <f t="shared" si="24"/>
        <v>2242.129132062244</v>
      </c>
      <c r="L95" s="5">
        <f t="shared" si="24"/>
        <v>0</v>
      </c>
      <c r="M95" s="5">
        <f t="shared" si="24"/>
        <v>2242.129132062244</v>
      </c>
      <c r="N95" s="26">
        <f t="shared" si="24"/>
        <v>5.9003398212164315</v>
      </c>
      <c r="O95" s="26">
        <f t="shared" si="24"/>
        <v>0</v>
      </c>
      <c r="P95" s="26">
        <f t="shared" si="24"/>
        <v>5.9003398212164315</v>
      </c>
    </row>
    <row r="96" spans="1:18">
      <c r="A96" s="2" t="s">
        <v>0</v>
      </c>
      <c r="B96" s="5">
        <v>22832</v>
      </c>
      <c r="C96" s="5">
        <f>C94+C95</f>
        <v>145108.80939108474</v>
      </c>
      <c r="D96" s="5">
        <f>D94+D95</f>
        <v>14713.04448137164</v>
      </c>
      <c r="E96" s="5">
        <f t="shared" ref="E96" si="27">C96+D96</f>
        <v>159821.85387245638</v>
      </c>
      <c r="F96" s="26">
        <f>C96/$B96</f>
        <v>6.3555014624686725</v>
      </c>
      <c r="G96" s="26">
        <f>D96/$B96</f>
        <v>0.64440454105516998</v>
      </c>
      <c r="H96" s="26">
        <f>F96+G96</f>
        <v>6.9999060035238427</v>
      </c>
      <c r="J96" s="2" t="s">
        <v>0</v>
      </c>
      <c r="K96" s="5">
        <f t="shared" si="24"/>
        <v>145706.6667626389</v>
      </c>
      <c r="L96" s="5">
        <f t="shared" si="24"/>
        <v>14773.663144966938</v>
      </c>
      <c r="M96" s="5">
        <f t="shared" si="24"/>
        <v>160480.32990760583</v>
      </c>
      <c r="N96" s="26">
        <f t="shared" si="24"/>
        <v>6.3816865260441</v>
      </c>
      <c r="O96" s="26">
        <f t="shared" si="24"/>
        <v>0.64705952807318401</v>
      </c>
      <c r="P96" s="26">
        <f t="shared" si="24"/>
        <v>7.0287460541172839</v>
      </c>
    </row>
    <row r="97" spans="3:4">
      <c r="C97" s="72" t="s">
        <v>267</v>
      </c>
      <c r="D97" s="73">
        <f>100*D96/E96</f>
        <v>9.2059027754196752</v>
      </c>
    </row>
  </sheetData>
  <sortState ref="X4:Y9">
    <sortCondition descending="1" ref="X4:X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2"/>
  <sheetViews>
    <sheetView workbookViewId="0">
      <selection activeCell="H26" sqref="H26"/>
    </sheetView>
  </sheetViews>
  <sheetFormatPr baseColWidth="10" defaultRowHeight="15" x14ac:dyDescent="0"/>
  <cols>
    <col min="6" max="6" width="10.83203125" customWidth="1"/>
  </cols>
  <sheetData>
    <row r="4" spans="1:17">
      <c r="A4" t="s">
        <v>51</v>
      </c>
    </row>
    <row r="6" spans="1:17">
      <c r="A6" t="s">
        <v>52</v>
      </c>
      <c r="F6" t="s">
        <v>76</v>
      </c>
      <c r="H6" t="s">
        <v>79</v>
      </c>
      <c r="M6" t="s">
        <v>76</v>
      </c>
    </row>
    <row r="7" spans="1:17">
      <c r="E7" s="35" t="s">
        <v>254</v>
      </c>
      <c r="F7" t="s">
        <v>78</v>
      </c>
      <c r="L7" s="35" t="s">
        <v>254</v>
      </c>
      <c r="M7" s="35" t="s">
        <v>77</v>
      </c>
      <c r="N7" s="35" t="s">
        <v>90</v>
      </c>
    </row>
    <row r="8" spans="1:17">
      <c r="A8" s="30" t="s">
        <v>53</v>
      </c>
      <c r="B8" s="30" t="s">
        <v>256</v>
      </c>
      <c r="E8" s="33">
        <v>3437.1615697741568</v>
      </c>
      <c r="H8" s="30" t="s">
        <v>53</v>
      </c>
      <c r="I8" s="30" t="s">
        <v>255</v>
      </c>
      <c r="L8" s="4">
        <v>184792.73827464582</v>
      </c>
      <c r="M8" s="39">
        <f>SUM(M9:M22)</f>
        <v>100.00000000000003</v>
      </c>
      <c r="N8" s="39">
        <f>SUM(N9:N21)</f>
        <v>100.00000000000003</v>
      </c>
    </row>
    <row r="9" spans="1:17">
      <c r="A9" s="31" t="s">
        <v>54</v>
      </c>
      <c r="B9" s="32" t="s">
        <v>55</v>
      </c>
      <c r="E9" s="33">
        <v>164.34197698378634</v>
      </c>
      <c r="F9" s="33">
        <f>100*E9/E$8</f>
        <v>4.7813282456368391</v>
      </c>
      <c r="H9" s="31" t="s">
        <v>54</v>
      </c>
      <c r="I9" s="32" t="s">
        <v>55</v>
      </c>
      <c r="L9" s="4">
        <v>947.87137507989212</v>
      </c>
      <c r="M9" s="34">
        <f t="shared" ref="M9:M22" si="0">100*L9/L$8</f>
        <v>0.51293756666516332</v>
      </c>
      <c r="N9" s="40">
        <f>100*L9/(L$8-L$22)</f>
        <v>0.51920576568430732</v>
      </c>
    </row>
    <row r="10" spans="1:17">
      <c r="A10" s="31" t="s">
        <v>56</v>
      </c>
      <c r="B10" s="32" t="s">
        <v>57</v>
      </c>
      <c r="E10" s="33">
        <v>911.35096327372412</v>
      </c>
      <c r="F10" s="33">
        <f t="shared" ref="F10:F19" si="1">100*E10/E$8</f>
        <v>26.514638453077016</v>
      </c>
      <c r="H10" s="31" t="s">
        <v>80</v>
      </c>
      <c r="I10" s="32" t="s">
        <v>57</v>
      </c>
      <c r="L10" s="4">
        <v>4525.4113761936505</v>
      </c>
      <c r="M10" s="34">
        <f t="shared" si="0"/>
        <v>2.4489119098759264</v>
      </c>
      <c r="N10" s="40">
        <f>100*L10/(L$8-L$22)</f>
        <v>2.4788381001747832</v>
      </c>
      <c r="O10" t="s">
        <v>97</v>
      </c>
    </row>
    <row r="11" spans="1:17">
      <c r="A11" s="31" t="s">
        <v>58</v>
      </c>
      <c r="B11" s="30" t="s">
        <v>59</v>
      </c>
      <c r="E11" s="33">
        <v>614.01928379669744</v>
      </c>
      <c r="F11" s="33">
        <f t="shared" si="1"/>
        <v>17.864137932772312</v>
      </c>
      <c r="H11" s="31" t="s">
        <v>58</v>
      </c>
      <c r="I11" s="30" t="s">
        <v>59</v>
      </c>
      <c r="L11" s="4">
        <v>11532.292173655907</v>
      </c>
      <c r="M11" s="34">
        <f t="shared" si="0"/>
        <v>6.2406630700586234</v>
      </c>
      <c r="N11" s="40">
        <f>100*L11/(L$8-L$22)</f>
        <v>6.3169252132057352</v>
      </c>
      <c r="O11" s="35" t="s">
        <v>96</v>
      </c>
      <c r="P11" s="40">
        <f>SUM(N9:N12)+N19+N20+(0.2*N13)</f>
        <v>35.526324758351265</v>
      </c>
      <c r="Q11" s="41" t="s">
        <v>95</v>
      </c>
    </row>
    <row r="12" spans="1:17">
      <c r="A12" s="31" t="s">
        <v>60</v>
      </c>
      <c r="B12" s="30" t="s">
        <v>61</v>
      </c>
      <c r="E12" s="33">
        <v>444.94065516791829</v>
      </c>
      <c r="F12" s="33">
        <f t="shared" si="1"/>
        <v>12.945002617294877</v>
      </c>
      <c r="H12" s="31" t="s">
        <v>60</v>
      </c>
      <c r="I12" s="30" t="s">
        <v>61</v>
      </c>
      <c r="L12" s="4">
        <v>6435.074252197548</v>
      </c>
      <c r="M12" s="34">
        <f t="shared" si="0"/>
        <v>3.4823198748391846</v>
      </c>
      <c r="N12" s="40">
        <f>100*L12/(L$8-L$22)</f>
        <v>3.5248745158761539</v>
      </c>
      <c r="O12" t="s">
        <v>94</v>
      </c>
    </row>
    <row r="13" spans="1:17">
      <c r="A13" s="31" t="s">
        <v>62</v>
      </c>
      <c r="B13" s="30" t="s">
        <v>63</v>
      </c>
      <c r="E13" s="33">
        <v>18.025714003403166</v>
      </c>
      <c r="F13" s="33">
        <f t="shared" si="1"/>
        <v>0.52443603937383632</v>
      </c>
      <c r="H13" s="31" t="s">
        <v>81</v>
      </c>
      <c r="I13" s="30" t="s">
        <v>82</v>
      </c>
      <c r="L13" s="36">
        <v>100084.82109966323</v>
      </c>
      <c r="M13" s="34">
        <f t="shared" si="0"/>
        <v>54.160581218788728</v>
      </c>
      <c r="N13" s="34">
        <f>100*L13/(L$8-L$22)</f>
        <v>54.822434286558853</v>
      </c>
      <c r="O13" t="s">
        <v>100</v>
      </c>
    </row>
    <row r="14" spans="1:17">
      <c r="A14" s="31" t="s">
        <v>64</v>
      </c>
      <c r="B14" s="30" t="s">
        <v>65</v>
      </c>
      <c r="E14" s="33">
        <v>368.86140125515885</v>
      </c>
      <c r="F14" s="33">
        <f t="shared" si="1"/>
        <v>10.731570040200216</v>
      </c>
      <c r="H14" s="31" t="s">
        <v>83</v>
      </c>
      <c r="I14" s="30" t="s">
        <v>84</v>
      </c>
      <c r="L14" s="37" t="s">
        <v>91</v>
      </c>
      <c r="M14" s="34"/>
      <c r="N14" s="34"/>
    </row>
    <row r="15" spans="1:17">
      <c r="A15" s="31" t="s">
        <v>66</v>
      </c>
      <c r="B15" s="30" t="s">
        <v>67</v>
      </c>
      <c r="E15" s="33">
        <v>40.591306041131133</v>
      </c>
      <c r="F15" s="33">
        <f t="shared" si="1"/>
        <v>1.1809542617398181</v>
      </c>
      <c r="H15" s="31" t="s">
        <v>85</v>
      </c>
      <c r="I15" s="30" t="s">
        <v>86</v>
      </c>
      <c r="L15" s="37" t="s">
        <v>92</v>
      </c>
      <c r="M15" s="34"/>
      <c r="N15" s="34"/>
      <c r="O15" s="38" t="s">
        <v>99</v>
      </c>
      <c r="Q15" s="34"/>
    </row>
    <row r="16" spans="1:17">
      <c r="A16" s="30" t="s">
        <v>68</v>
      </c>
      <c r="B16" s="32" t="s">
        <v>69</v>
      </c>
      <c r="E16" s="33">
        <v>104.9526829691517</v>
      </c>
      <c r="F16" s="33">
        <f t="shared" si="1"/>
        <v>3.0534695806007095</v>
      </c>
      <c r="H16" s="31" t="s">
        <v>87</v>
      </c>
      <c r="I16" s="30" t="s">
        <v>88</v>
      </c>
      <c r="L16" s="42" t="s">
        <v>93</v>
      </c>
      <c r="M16" s="34"/>
      <c r="N16" s="34"/>
      <c r="O16" t="s">
        <v>98</v>
      </c>
    </row>
    <row r="17" spans="1:14">
      <c r="A17" s="30" t="s">
        <v>70</v>
      </c>
      <c r="B17" s="32" t="s">
        <v>71</v>
      </c>
      <c r="E17" s="33">
        <v>69.082778663239068</v>
      </c>
      <c r="F17" s="33">
        <f t="shared" si="1"/>
        <v>2.0098787112814787</v>
      </c>
      <c r="H17" s="31" t="s">
        <v>64</v>
      </c>
      <c r="I17" s="30" t="s">
        <v>65</v>
      </c>
      <c r="L17" s="4">
        <v>4523.4726659082571</v>
      </c>
      <c r="M17" s="34">
        <f t="shared" si="0"/>
        <v>2.447862782998163</v>
      </c>
      <c r="N17" s="34">
        <f>100*L17/(L$8-L$22)</f>
        <v>2.4777761527580431</v>
      </c>
    </row>
    <row r="18" spans="1:14">
      <c r="A18" s="31" t="s">
        <v>72</v>
      </c>
      <c r="B18" s="30" t="s">
        <v>73</v>
      </c>
      <c r="E18" s="33">
        <v>700.99480761994664</v>
      </c>
      <c r="F18" s="33">
        <f t="shared" si="1"/>
        <v>20.394584118022898</v>
      </c>
      <c r="H18" s="31" t="s">
        <v>66</v>
      </c>
      <c r="I18" s="30" t="s">
        <v>67</v>
      </c>
      <c r="L18" s="4">
        <v>201.631472433412</v>
      </c>
      <c r="M18" s="34">
        <f t="shared" si="0"/>
        <v>0.10911222719896049</v>
      </c>
      <c r="N18" s="34">
        <f>100*L18/(L$8-L$22)</f>
        <v>0.11044560030312155</v>
      </c>
    </row>
    <row r="19" spans="1:14">
      <c r="A19" s="31" t="s">
        <v>74</v>
      </c>
      <c r="B19" s="30" t="s">
        <v>75</v>
      </c>
      <c r="E19" s="33">
        <v>0</v>
      </c>
      <c r="F19" s="33">
        <f t="shared" si="1"/>
        <v>0</v>
      </c>
      <c r="H19" s="30" t="s">
        <v>68</v>
      </c>
      <c r="I19" s="32" t="s">
        <v>69</v>
      </c>
      <c r="L19" s="4">
        <v>20644.363654471883</v>
      </c>
      <c r="M19" s="34">
        <f t="shared" si="0"/>
        <v>11.17163144354161</v>
      </c>
      <c r="N19" s="40">
        <f>100*L19/(L$8-L$22)</f>
        <v>11.308151000321036</v>
      </c>
    </row>
    <row r="20" spans="1:14">
      <c r="H20" s="30" t="s">
        <v>70</v>
      </c>
      <c r="I20" s="32" t="s">
        <v>71</v>
      </c>
      <c r="L20" s="4">
        <v>755.51977508935306</v>
      </c>
      <c r="M20" s="34">
        <f t="shared" si="0"/>
        <v>0.4088471127942655</v>
      </c>
      <c r="N20" s="40">
        <f>100*L20/(L$8-L$22)</f>
        <v>0.41384330577747469</v>
      </c>
    </row>
    <row r="21" spans="1:14">
      <c r="H21" s="31" t="s">
        <v>72</v>
      </c>
      <c r="I21" s="30" t="s">
        <v>73</v>
      </c>
      <c r="L21" s="4">
        <v>32911.338985626855</v>
      </c>
      <c r="M21" s="34">
        <f t="shared" si="0"/>
        <v>17.809865957347743</v>
      </c>
      <c r="N21" s="34">
        <f>100*L21/(L$8-L$22)</f>
        <v>18.027506059340521</v>
      </c>
    </row>
    <row r="22" spans="1:14">
      <c r="H22" s="31" t="s">
        <v>74</v>
      </c>
      <c r="I22" s="30" t="s">
        <v>75</v>
      </c>
      <c r="L22" s="4">
        <v>2230.9414443258765</v>
      </c>
      <c r="M22" s="34">
        <f t="shared" si="0"/>
        <v>1.2072668358916618</v>
      </c>
      <c r="N22" s="3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E5" sqref="E5"/>
    </sheetView>
  </sheetViews>
  <sheetFormatPr baseColWidth="10" defaultRowHeight="15" x14ac:dyDescent="0"/>
  <cols>
    <col min="1" max="1" width="13.1640625" customWidth="1"/>
    <col min="3" max="3" width="12.1640625" customWidth="1"/>
  </cols>
  <sheetData>
    <row r="1" spans="1:13" ht="20">
      <c r="B1" s="58" t="s">
        <v>281</v>
      </c>
    </row>
    <row r="2" spans="1:13" ht="18">
      <c r="G2" s="59" t="s">
        <v>273</v>
      </c>
    </row>
    <row r="3" spans="1:13" ht="20">
      <c r="A3" t="s">
        <v>243</v>
      </c>
      <c r="G3" s="60" t="s">
        <v>274</v>
      </c>
    </row>
    <row r="4" spans="1:13" ht="18">
      <c r="B4" s="61" t="s">
        <v>149</v>
      </c>
      <c r="C4" s="61" t="s">
        <v>150</v>
      </c>
      <c r="G4" s="60" t="s">
        <v>151</v>
      </c>
    </row>
    <row r="5" spans="1:13">
      <c r="A5" t="s">
        <v>89</v>
      </c>
      <c r="B5" s="4">
        <v>2037</v>
      </c>
      <c r="C5" s="4">
        <v>128989</v>
      </c>
      <c r="E5" t="s">
        <v>282</v>
      </c>
      <c r="G5" t="s">
        <v>152</v>
      </c>
    </row>
    <row r="6" spans="1:13" ht="18">
      <c r="A6" t="s">
        <v>153</v>
      </c>
      <c r="B6" s="4">
        <v>3437</v>
      </c>
      <c r="C6" s="4">
        <v>185999</v>
      </c>
      <c r="G6" s="60" t="s">
        <v>154</v>
      </c>
    </row>
    <row r="7" spans="1:13" ht="18">
      <c r="A7" t="s">
        <v>155</v>
      </c>
      <c r="B7" s="4">
        <v>15973</v>
      </c>
      <c r="C7" s="4">
        <v>657567</v>
      </c>
      <c r="G7" s="60" t="s">
        <v>156</v>
      </c>
    </row>
    <row r="8" spans="1:13" ht="18">
      <c r="A8" t="s">
        <v>157</v>
      </c>
      <c r="B8" s="4">
        <v>15973</v>
      </c>
      <c r="C8" s="4">
        <v>661563</v>
      </c>
      <c r="G8" s="60" t="s">
        <v>270</v>
      </c>
    </row>
    <row r="9" spans="1:13" ht="18">
      <c r="D9" t="s">
        <v>158</v>
      </c>
      <c r="G9" s="60" t="s">
        <v>271</v>
      </c>
    </row>
    <row r="10" spans="1:13" ht="18">
      <c r="A10" t="s">
        <v>159</v>
      </c>
      <c r="B10" s="34">
        <f>B6/B5</f>
        <v>1.6872852233676976</v>
      </c>
      <c r="C10" s="34">
        <f>C6/C5</f>
        <v>1.4419756723441535</v>
      </c>
      <c r="D10" s="34">
        <f>B10/C10</f>
        <v>1.1701204505237981</v>
      </c>
      <c r="G10" s="60" t="s">
        <v>272</v>
      </c>
    </row>
    <row r="11" spans="1:13" ht="18">
      <c r="A11" t="s">
        <v>160</v>
      </c>
      <c r="B11" s="34">
        <f>B6/B8</f>
        <v>0.21517560883991735</v>
      </c>
      <c r="C11" s="34">
        <f>C6/C8</f>
        <v>0.28115085033473758</v>
      </c>
      <c r="D11" s="34">
        <f t="shared" ref="D11:D12" si="0">B11/C11</f>
        <v>0.76533863790107604</v>
      </c>
      <c r="G11" s="60" t="s">
        <v>161</v>
      </c>
    </row>
    <row r="12" spans="1:13" ht="18">
      <c r="A12" t="s">
        <v>162</v>
      </c>
      <c r="B12" s="34">
        <f>B8/B5</f>
        <v>7.841433480608738</v>
      </c>
      <c r="C12" s="34">
        <f>C8/C5</f>
        <v>5.1288326911597109</v>
      </c>
      <c r="D12" s="34">
        <f t="shared" si="0"/>
        <v>1.5288924308497309</v>
      </c>
      <c r="G12" s="60" t="s">
        <v>163</v>
      </c>
    </row>
    <row r="13" spans="1:13" ht="18">
      <c r="G13" s="60" t="s">
        <v>275</v>
      </c>
    </row>
    <row r="14" spans="1:13" ht="18">
      <c r="G14" s="60" t="s">
        <v>164</v>
      </c>
    </row>
    <row r="15" spans="1:13" ht="18">
      <c r="G15" s="60" t="s">
        <v>276</v>
      </c>
    </row>
    <row r="16" spans="1:13" ht="20">
      <c r="A16" t="s">
        <v>244</v>
      </c>
      <c r="M16" t="s">
        <v>278</v>
      </c>
    </row>
    <row r="17" spans="1:13">
      <c r="B17" s="61" t="s">
        <v>149</v>
      </c>
      <c r="C17" s="61" t="s">
        <v>165</v>
      </c>
      <c r="D17" t="s">
        <v>166</v>
      </c>
      <c r="M17" t="s">
        <v>277</v>
      </c>
    </row>
    <row r="18" spans="1:13">
      <c r="A18" t="s">
        <v>167</v>
      </c>
      <c r="B18" s="4">
        <v>1375</v>
      </c>
      <c r="C18" s="4">
        <v>54377</v>
      </c>
      <c r="F18" t="s">
        <v>168</v>
      </c>
      <c r="G18" s="62" t="s">
        <v>169</v>
      </c>
      <c r="M18" t="s">
        <v>279</v>
      </c>
    </row>
    <row r="19" spans="1:13">
      <c r="A19" t="s">
        <v>170</v>
      </c>
      <c r="B19" s="4">
        <v>3343</v>
      </c>
      <c r="C19" s="4">
        <v>65779</v>
      </c>
      <c r="F19" t="s">
        <v>170</v>
      </c>
      <c r="G19" s="4">
        <v>52989</v>
      </c>
      <c r="H19" t="s">
        <v>171</v>
      </c>
      <c r="M19" t="s">
        <v>280</v>
      </c>
    </row>
    <row r="20" spans="1:13">
      <c r="A20" t="s">
        <v>172</v>
      </c>
      <c r="B20" s="63">
        <v>4325</v>
      </c>
      <c r="C20" s="4">
        <v>95453</v>
      </c>
      <c r="F20" t="s">
        <v>172</v>
      </c>
      <c r="G20" s="4">
        <v>69988</v>
      </c>
    </row>
    <row r="21" spans="1:13">
      <c r="A21" t="s">
        <v>173</v>
      </c>
      <c r="B21" s="34">
        <f>B19/B18</f>
        <v>2.4312727272727273</v>
      </c>
      <c r="C21" s="34">
        <f>C19/C18</f>
        <v>1.2096842414991633</v>
      </c>
      <c r="D21" t="s">
        <v>174</v>
      </c>
      <c r="F21" t="s">
        <v>175</v>
      </c>
      <c r="G21" s="4">
        <v>100571</v>
      </c>
    </row>
    <row r="22" spans="1:13">
      <c r="A22" t="s">
        <v>176</v>
      </c>
      <c r="B22" s="34">
        <f>B20/B18</f>
        <v>3.1454545454545455</v>
      </c>
      <c r="C22" s="34">
        <f>C20/C18</f>
        <v>1.7553929050885484</v>
      </c>
      <c r="D22" t="s">
        <v>174</v>
      </c>
      <c r="F22" t="s">
        <v>157</v>
      </c>
      <c r="G22" s="4">
        <v>393751</v>
      </c>
    </row>
    <row r="23" spans="1:13">
      <c r="A23" t="s">
        <v>177</v>
      </c>
      <c r="B23" s="34">
        <f>B20/B19</f>
        <v>1.2937481304217768</v>
      </c>
      <c r="C23" s="34">
        <f>C20/C19</f>
        <v>1.4511166177655483</v>
      </c>
      <c r="D23" t="s">
        <v>178</v>
      </c>
      <c r="F23" t="s">
        <v>179</v>
      </c>
      <c r="G23" s="79">
        <f>G20/G19</f>
        <v>1.3208024306931627</v>
      </c>
      <c r="H23" t="s">
        <v>180</v>
      </c>
    </row>
    <row r="25" spans="1:13" ht="20">
      <c r="A25" t="s">
        <v>245</v>
      </c>
    </row>
    <row r="26" spans="1:13">
      <c r="A26" t="s">
        <v>181</v>
      </c>
    </row>
    <row r="28" spans="1:13">
      <c r="B28" s="35" t="s">
        <v>182</v>
      </c>
      <c r="C28" s="35"/>
    </row>
    <row r="29" spans="1:13">
      <c r="B29" s="35" t="s">
        <v>183</v>
      </c>
      <c r="C29" s="35" t="s">
        <v>0</v>
      </c>
      <c r="D29" t="s">
        <v>184</v>
      </c>
    </row>
    <row r="30" spans="1:13">
      <c r="B30" s="35" t="s">
        <v>185</v>
      </c>
      <c r="C30" s="35" t="s">
        <v>7</v>
      </c>
      <c r="D30" t="s">
        <v>186</v>
      </c>
    </row>
    <row r="31" spans="1:13">
      <c r="A31" t="s">
        <v>187</v>
      </c>
      <c r="B31" s="63">
        <v>4325</v>
      </c>
      <c r="C31" s="63">
        <v>18038</v>
      </c>
      <c r="D31" s="33">
        <f>100*B31/C31</f>
        <v>23.977159330302694</v>
      </c>
    </row>
    <row r="32" spans="1:13">
      <c r="B32" s="35"/>
      <c r="C32" s="35"/>
    </row>
    <row r="33" spans="1:5">
      <c r="A33" t="s">
        <v>188</v>
      </c>
      <c r="B33" s="4">
        <v>36086</v>
      </c>
      <c r="C33" s="4">
        <v>141885</v>
      </c>
      <c r="D33" s="33">
        <f>100*B33/C33</f>
        <v>25.433273425661628</v>
      </c>
    </row>
    <row r="34" spans="1:5">
      <c r="A34" t="s">
        <v>189</v>
      </c>
      <c r="B34" s="4">
        <v>24384</v>
      </c>
      <c r="C34" s="4">
        <v>96540</v>
      </c>
      <c r="D34" s="33">
        <f t="shared" ref="D34:D43" si="1">100*B34/C34</f>
        <v>25.257924176507146</v>
      </c>
    </row>
    <row r="35" spans="1:5">
      <c r="A35" t="s">
        <v>190</v>
      </c>
      <c r="B35" s="4">
        <v>95453</v>
      </c>
      <c r="C35" s="4">
        <v>378787</v>
      </c>
      <c r="D35" s="33">
        <f t="shared" si="1"/>
        <v>25.199650463189073</v>
      </c>
    </row>
    <row r="36" spans="1:5">
      <c r="A36" t="s">
        <v>191</v>
      </c>
      <c r="B36" s="4">
        <v>16019</v>
      </c>
      <c r="C36" s="4">
        <v>68825</v>
      </c>
      <c r="D36" s="33">
        <f t="shared" si="1"/>
        <v>23.274972756992373</v>
      </c>
    </row>
    <row r="37" spans="1:5">
      <c r="A37" t="s">
        <v>192</v>
      </c>
      <c r="B37" s="4">
        <v>60523</v>
      </c>
      <c r="C37" s="4">
        <v>237946</v>
      </c>
      <c r="D37" s="33">
        <f t="shared" si="1"/>
        <v>25.435603035982954</v>
      </c>
    </row>
    <row r="38" spans="1:5">
      <c r="A38" s="35" t="s">
        <v>193</v>
      </c>
      <c r="B38" s="4">
        <f>SUM(B33:B37)</f>
        <v>232465</v>
      </c>
      <c r="C38" s="4">
        <f>SUM(C33:C37)</f>
        <v>923983</v>
      </c>
      <c r="D38" s="33">
        <f t="shared" si="1"/>
        <v>25.159012665817446</v>
      </c>
    </row>
    <row r="39" spans="1:5">
      <c r="B39" s="4"/>
      <c r="C39" s="4"/>
      <c r="D39" s="33"/>
    </row>
    <row r="40" spans="1:5">
      <c r="A40" t="s">
        <v>194</v>
      </c>
      <c r="B40" s="4">
        <v>22435</v>
      </c>
      <c r="C40" s="4">
        <v>85539</v>
      </c>
      <c r="D40" s="33">
        <f t="shared" si="1"/>
        <v>26.227802522825847</v>
      </c>
    </row>
    <row r="41" spans="1:5">
      <c r="A41" t="s">
        <v>195</v>
      </c>
      <c r="B41" s="4">
        <f>B38+B40</f>
        <v>254900</v>
      </c>
      <c r="C41" s="4">
        <f>C38+C40</f>
        <v>1009522</v>
      </c>
      <c r="D41" s="33">
        <f t="shared" si="1"/>
        <v>25.249573560556382</v>
      </c>
    </row>
    <row r="43" spans="1:5">
      <c r="A43" t="s">
        <v>196</v>
      </c>
      <c r="B43">
        <v>69988</v>
      </c>
      <c r="C43">
        <f>G22-G21</f>
        <v>293180</v>
      </c>
      <c r="D43" s="33">
        <f t="shared" si="1"/>
        <v>23.872024012552014</v>
      </c>
      <c r="E43" t="s">
        <v>197</v>
      </c>
    </row>
    <row r="46" spans="1:5" ht="18">
      <c r="A46" s="60" t="s">
        <v>246</v>
      </c>
    </row>
    <row r="47" spans="1:5">
      <c r="B47" t="s">
        <v>198</v>
      </c>
    </row>
    <row r="48" spans="1:5" ht="16" thickBot="1">
      <c r="A48" s="64" t="s">
        <v>199</v>
      </c>
      <c r="B48" s="64"/>
      <c r="C48" s="64" t="s">
        <v>200</v>
      </c>
    </row>
    <row r="49" spans="1:5" ht="16" thickBot="1">
      <c r="A49" t="s">
        <v>201</v>
      </c>
      <c r="B49" s="33">
        <v>52.340306116483283</v>
      </c>
      <c r="C49" s="65" t="s">
        <v>202</v>
      </c>
      <c r="D49" s="66" t="s">
        <v>203</v>
      </c>
      <c r="E49" s="67">
        <v>42.693203237609488</v>
      </c>
    </row>
    <row r="50" spans="1:5">
      <c r="A50" t="s">
        <v>204</v>
      </c>
      <c r="B50" s="33">
        <v>50.051860266568823</v>
      </c>
      <c r="C50" s="68"/>
      <c r="D50" s="66"/>
      <c r="E50" s="33"/>
    </row>
    <row r="51" spans="1:5">
      <c r="A51" t="s">
        <v>205</v>
      </c>
      <c r="B51" s="33">
        <v>50.892894137145227</v>
      </c>
      <c r="C51" s="66" t="s">
        <v>206</v>
      </c>
      <c r="D51" s="66" t="s">
        <v>207</v>
      </c>
      <c r="E51" s="33">
        <v>45.398380911802299</v>
      </c>
    </row>
    <row r="52" spans="1:5">
      <c r="A52" t="s">
        <v>208</v>
      </c>
      <c r="B52" s="33">
        <v>48.24399992607983</v>
      </c>
      <c r="C52" s="66" t="s">
        <v>209</v>
      </c>
      <c r="D52" s="66" t="s">
        <v>207</v>
      </c>
      <c r="E52" s="33">
        <v>47.897553516819571</v>
      </c>
    </row>
    <row r="53" spans="1:5">
      <c r="A53" t="s">
        <v>210</v>
      </c>
      <c r="B53" s="33">
        <v>46.875966822340409</v>
      </c>
      <c r="C53" s="66" t="s">
        <v>211</v>
      </c>
      <c r="D53" s="66" t="s">
        <v>207</v>
      </c>
      <c r="E53" s="33">
        <v>51.470588235294116</v>
      </c>
    </row>
    <row r="54" spans="1:5">
      <c r="A54" t="s">
        <v>212</v>
      </c>
      <c r="B54" s="33">
        <v>48.866835046899851</v>
      </c>
      <c r="C54" s="66" t="s">
        <v>213</v>
      </c>
      <c r="D54" s="66" t="s">
        <v>207</v>
      </c>
      <c r="E54" s="33">
        <v>49.617151607963244</v>
      </c>
    </row>
    <row r="55" spans="1:5">
      <c r="B55" s="33"/>
      <c r="C55" s="66" t="s">
        <v>214</v>
      </c>
      <c r="D55" s="66" t="s">
        <v>203</v>
      </c>
      <c r="E55" s="33">
        <v>47.888848791050165</v>
      </c>
    </row>
    <row r="56" spans="1:5">
      <c r="A56" t="s">
        <v>215</v>
      </c>
      <c r="B56" s="33">
        <v>49.154763751496567</v>
      </c>
      <c r="C56" s="66" t="s">
        <v>216</v>
      </c>
      <c r="D56" s="66" t="s">
        <v>203</v>
      </c>
      <c r="E56" s="33">
        <v>46.020260492040521</v>
      </c>
    </row>
    <row r="57" spans="1:5">
      <c r="B57" s="33"/>
      <c r="C57" s="66" t="s">
        <v>217</v>
      </c>
      <c r="D57" s="66" t="s">
        <v>203</v>
      </c>
      <c r="E57" s="33">
        <v>47.406847935548839</v>
      </c>
    </row>
    <row r="58" spans="1:5">
      <c r="A58" s="69" t="s">
        <v>215</v>
      </c>
      <c r="B58" s="70">
        <v>48.858672793450367</v>
      </c>
      <c r="C58" s="66" t="s">
        <v>218</v>
      </c>
      <c r="D58" s="66" t="s">
        <v>203</v>
      </c>
      <c r="E58" s="33">
        <v>46.699266503667481</v>
      </c>
    </row>
    <row r="59" spans="1:5">
      <c r="A59" s="69" t="s">
        <v>219</v>
      </c>
      <c r="C59" s="66" t="s">
        <v>220</v>
      </c>
      <c r="D59" s="66" t="s">
        <v>203</v>
      </c>
      <c r="E59" s="33">
        <v>45.309074967119685</v>
      </c>
    </row>
    <row r="60" spans="1:5">
      <c r="C60" s="66" t="s">
        <v>221</v>
      </c>
      <c r="D60" s="66" t="s">
        <v>203</v>
      </c>
      <c r="E60" s="33">
        <v>47.32797764582606</v>
      </c>
    </row>
    <row r="61" spans="1:5">
      <c r="C61" s="66" t="s">
        <v>222</v>
      </c>
      <c r="D61" s="66" t="s">
        <v>203</v>
      </c>
      <c r="E61" s="33">
        <v>44.880696881706854</v>
      </c>
    </row>
    <row r="62" spans="1:5">
      <c r="C62" s="66" t="s">
        <v>223</v>
      </c>
      <c r="D62" s="66" t="s">
        <v>203</v>
      </c>
      <c r="E62" s="33">
        <v>45.786963434022255</v>
      </c>
    </row>
    <row r="63" spans="1:5">
      <c r="C63" s="66" t="s">
        <v>224</v>
      </c>
      <c r="D63" s="66" t="s">
        <v>203</v>
      </c>
      <c r="E63" s="33">
        <v>45.015197568389056</v>
      </c>
    </row>
    <row r="64" spans="1:5">
      <c r="C64" s="66" t="s">
        <v>225</v>
      </c>
      <c r="D64" s="66" t="s">
        <v>203</v>
      </c>
      <c r="E64" s="33">
        <v>45.855670103092784</v>
      </c>
    </row>
    <row r="65" spans="3:5">
      <c r="C65" s="66" t="s">
        <v>226</v>
      </c>
      <c r="D65" s="66" t="s">
        <v>203</v>
      </c>
      <c r="E65" s="33">
        <v>46.57762938230384</v>
      </c>
    </row>
    <row r="66" spans="3:5">
      <c r="C66" s="66" t="s">
        <v>227</v>
      </c>
      <c r="D66" s="66" t="s">
        <v>203</v>
      </c>
      <c r="E66" s="33">
        <v>48.961555457357491</v>
      </c>
    </row>
    <row r="67" spans="3:5">
      <c r="C67" s="66" t="s">
        <v>228</v>
      </c>
      <c r="D67" s="66" t="s">
        <v>203</v>
      </c>
      <c r="E67" s="33">
        <v>47.758793969849243</v>
      </c>
    </row>
    <row r="68" spans="3:5">
      <c r="C68" s="66" t="s">
        <v>229</v>
      </c>
      <c r="D68" s="66" t="s">
        <v>203</v>
      </c>
      <c r="E68" s="33">
        <v>43.627450980392155</v>
      </c>
    </row>
    <row r="69" spans="3:5">
      <c r="C69" s="66" t="s">
        <v>211</v>
      </c>
      <c r="D69" s="66" t="s">
        <v>203</v>
      </c>
      <c r="E69" s="33">
        <v>48.638426626323749</v>
      </c>
    </row>
    <row r="70" spans="3:5">
      <c r="C70" s="66" t="s">
        <v>230</v>
      </c>
      <c r="D70" s="66" t="s">
        <v>203</v>
      </c>
      <c r="E70" s="33">
        <v>46.950578338590958</v>
      </c>
    </row>
    <row r="71" spans="3:5">
      <c r="C71" s="66" t="s">
        <v>231</v>
      </c>
      <c r="D71" s="66" t="s">
        <v>203</v>
      </c>
      <c r="E71" s="33">
        <v>47.751282825233929</v>
      </c>
    </row>
    <row r="72" spans="3:5">
      <c r="C72" s="66" t="s">
        <v>232</v>
      </c>
      <c r="D72" s="66" t="s">
        <v>203</v>
      </c>
      <c r="E72" s="33">
        <v>47.00636942675159</v>
      </c>
    </row>
    <row r="73" spans="3:5">
      <c r="C73" s="66" t="s">
        <v>233</v>
      </c>
      <c r="D73" s="66" t="s">
        <v>203</v>
      </c>
      <c r="E73" s="33">
        <v>48.045977011494251</v>
      </c>
    </row>
    <row r="74" spans="3:5">
      <c r="C74" s="66" t="s">
        <v>234</v>
      </c>
      <c r="D74" s="66" t="s">
        <v>203</v>
      </c>
      <c r="E74" s="33">
        <v>49.21583271097834</v>
      </c>
    </row>
    <row r="75" spans="3:5">
      <c r="C75" s="66" t="s">
        <v>235</v>
      </c>
      <c r="D75" s="66" t="s">
        <v>203</v>
      </c>
      <c r="E75" s="33">
        <v>50.454201362604088</v>
      </c>
    </row>
    <row r="76" spans="3:5">
      <c r="C76" s="66" t="s">
        <v>236</v>
      </c>
      <c r="D76" s="66" t="s">
        <v>203</v>
      </c>
      <c r="E76" s="33">
        <v>49.87096774193548</v>
      </c>
    </row>
    <row r="77" spans="3:5">
      <c r="C77" s="66" t="s">
        <v>237</v>
      </c>
      <c r="D77" s="66" t="s">
        <v>238</v>
      </c>
      <c r="E77" s="33">
        <v>41.444632681349148</v>
      </c>
    </row>
    <row r="78" spans="3:5">
      <c r="C78" s="66" t="s">
        <v>239</v>
      </c>
      <c r="D78" s="66" t="s">
        <v>238</v>
      </c>
      <c r="E78" s="33">
        <v>46.873025900189511</v>
      </c>
    </row>
    <row r="79" spans="3:5">
      <c r="C79" s="66" t="s">
        <v>240</v>
      </c>
      <c r="D79" s="66" t="s">
        <v>238</v>
      </c>
      <c r="E79" s="33">
        <v>47.378395451674038</v>
      </c>
    </row>
    <row r="80" spans="3:5">
      <c r="C80" s="66" t="s">
        <v>241</v>
      </c>
      <c r="D80" s="66" t="s">
        <v>238</v>
      </c>
      <c r="E80" s="33">
        <v>49.40357852882704</v>
      </c>
    </row>
    <row r="81" spans="3:5">
      <c r="C81" s="66" t="s">
        <v>242</v>
      </c>
      <c r="D81" s="66" t="s">
        <v>238</v>
      </c>
      <c r="E81" s="33">
        <v>47.472194135490398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Sources &amp; general notes</vt:lpstr>
      <vt:lpstr>detailed notes</vt:lpstr>
      <vt:lpstr>RESULT - NewEng backcasts</vt:lpstr>
      <vt:lpstr>1774 occ group wts</vt:lpstr>
      <vt:lpstr>demog contrasts Boston v rural</vt:lpstr>
    </vt:vector>
  </TitlesOfParts>
  <Company>University of California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2013-06-27T20:41:58Z</dcterms:created>
  <dcterms:modified xsi:type="dcterms:W3CDTF">2013-11-24T23:12:57Z</dcterms:modified>
</cp:coreProperties>
</file>