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21160" windowHeight="12420" activeTab="1"/>
  </bookViews>
  <sheets>
    <sheet name="EW share of UK" sheetId="1" r:id="rId1"/>
    <sheet name="main" sheetId="2" r:id="rId2"/>
    <sheet name="map of main spreadsheet" sheetId="3" r:id="rId3"/>
  </sheets>
  <definedNames/>
  <calcPr fullCalcOnLoad="1"/>
</workbook>
</file>

<file path=xl/sharedStrings.xml><?xml version="1.0" encoding="utf-8"?>
<sst xmlns="http://schemas.openxmlformats.org/spreadsheetml/2006/main" count="1052" uniqueCount="325">
  <si>
    <t>LINDERT</t>
  </si>
  <si>
    <t>The Distribution of Household Incomes among Franchised</t>
  </si>
  <si>
    <t>Nov.'88</t>
  </si>
  <si>
    <t>Distribution of Income among Recipients,  UK, 1867</t>
  </si>
  <si>
    <t>Deriving the Distribution of Income among UK Households, 1867</t>
  </si>
  <si>
    <t>UK Household Heads, 1867.</t>
  </si>
  <si>
    <t>Rev. Sept.'97</t>
  </si>
  <si>
    <t>England and Wales:</t>
  </si>
  <si>
    <t>All income</t>
  </si>
  <si>
    <t>CHECK:</t>
  </si>
  <si>
    <t xml:space="preserve">  Total</t>
  </si>
  <si>
    <t>Demographic group</t>
  </si>
  <si>
    <t xml:space="preserve">      heads'</t>
  </si>
  <si>
    <t>Non-head adults:</t>
  </si>
  <si>
    <t>Check:</t>
  </si>
  <si>
    <t>Kids'</t>
  </si>
  <si>
    <t>incl. kids'</t>
  </si>
  <si>
    <t xml:space="preserve">1000s of </t>
  </si>
  <si>
    <t>Their</t>
  </si>
  <si>
    <t>Cumulative % shares:</t>
  </si>
  <si>
    <t>Ave. house-</t>
  </si>
  <si>
    <t xml:space="preserve">Income class, </t>
  </si>
  <si>
    <t>1000s of</t>
  </si>
  <si>
    <t>Ave. annual</t>
  </si>
  <si>
    <t>income</t>
  </si>
  <si>
    <t>n.a. or</t>
  </si>
  <si>
    <t xml:space="preserve">    income,</t>
  </si>
  <si>
    <t xml:space="preserve">1000s </t>
  </si>
  <si>
    <t>Their in-</t>
  </si>
  <si>
    <t>non-head</t>
  </si>
  <si>
    <t>heads'</t>
  </si>
  <si>
    <t>and adult</t>
  </si>
  <si>
    <t>Cumulative % of:</t>
  </si>
  <si>
    <t xml:space="preserve">  Contrib.</t>
  </si>
  <si>
    <t>franchised</t>
  </si>
  <si>
    <t xml:space="preserve">h'hold </t>
  </si>
  <si>
    <t>Franchised</t>
  </si>
  <si>
    <t>Contrib.</t>
  </si>
  <si>
    <t>hold income</t>
  </si>
  <si>
    <t xml:space="preserve">   subdivision</t>
  </si>
  <si>
    <t>recipients</t>
  </si>
  <si>
    <t xml:space="preserve"> income (£)</t>
  </si>
  <si>
    <t xml:space="preserve"> (£ m.)</t>
  </si>
  <si>
    <t xml:space="preserve">  men</t>
  </si>
  <si>
    <t>Women</t>
  </si>
  <si>
    <t xml:space="preserve"> Boys</t>
  </si>
  <si>
    <t xml:space="preserve"> Girls</t>
  </si>
  <si>
    <t>h. heads</t>
  </si>
  <si>
    <t xml:space="preserve">       £ m.</t>
  </si>
  <si>
    <t>of them</t>
  </si>
  <si>
    <t>come(£m.)</t>
  </si>
  <si>
    <t>ave.inc.</t>
  </si>
  <si>
    <t>(£ m.)</t>
  </si>
  <si>
    <t>non-heads'</t>
  </si>
  <si>
    <t>Heads</t>
  </si>
  <si>
    <t>Income</t>
  </si>
  <si>
    <t xml:space="preserve">   to Gini:</t>
  </si>
  <si>
    <t>h'hold heads</t>
  </si>
  <si>
    <t>income(£m)</t>
  </si>
  <si>
    <t>h'hold heads:</t>
  </si>
  <si>
    <t>to Gini</t>
  </si>
  <si>
    <t>per head(£)</t>
  </si>
  <si>
    <t>Ave.Income/h.h.</t>
  </si>
  <si>
    <t>Large incomes, (1)</t>
  </si>
  <si>
    <t>Large incomes, (2)</t>
  </si>
  <si>
    <t>Middle incomes</t>
  </si>
  <si>
    <t>Small incomes, (1)</t>
  </si>
  <si>
    <t>Small incomes, (2)</t>
  </si>
  <si>
    <t>Manual IV,(1)</t>
  </si>
  <si>
    <t>men</t>
  </si>
  <si>
    <t>Gini(%)=</t>
  </si>
  <si>
    <t>Manual IV,(2)</t>
  </si>
  <si>
    <t>Average franchised income:</t>
  </si>
  <si>
    <t>(*These incomes are assigned to the</t>
  </si>
  <si>
    <t>w/earnings:</t>
  </si>
  <si>
    <t>household heads in this income class,</t>
  </si>
  <si>
    <t>but not necessarily to the adult</t>
  </si>
  <si>
    <t>Scot. kids' earnings per</t>
  </si>
  <si>
    <t xml:space="preserve">       (£)</t>
  </si>
  <si>
    <t>non-heads in the same income class.</t>
  </si>
  <si>
    <t xml:space="preserve">   manual household head:</t>
  </si>
  <si>
    <t xml:space="preserve">The average non-head incomes next to </t>
  </si>
  <si>
    <t xml:space="preserve">them do not agree, being based on </t>
  </si>
  <si>
    <t>Scottish adult non-heads' manual</t>
  </si>
  <si>
    <t>earlier calculations and pasted here.</t>
  </si>
  <si>
    <t xml:space="preserve">   earnings per manual household head:</t>
  </si>
  <si>
    <t>I.e. Col. P is no longer based on Col. O,</t>
  </si>
  <si>
    <t>because P is based on Col. N, while</t>
  </si>
  <si>
    <t>O is based on L.)</t>
  </si>
  <si>
    <t>Totals do check w/Baxter:</t>
  </si>
  <si>
    <t>Total pop. of Scotland</t>
  </si>
  <si>
    <t xml:space="preserve"> = income per capita, Scotland</t>
  </si>
  <si>
    <t>Ireland, 1867:</t>
  </si>
  <si>
    <t>Manuals:</t>
  </si>
  <si>
    <t>Ave. (£)</t>
  </si>
  <si>
    <t>Total(£m)</t>
  </si>
  <si>
    <t>Irish kids</t>
  </si>
  <si>
    <t>(*See note for Scotland above.)</t>
  </si>
  <si>
    <t>Irish kids' earnings per</t>
  </si>
  <si>
    <t xml:space="preserve">         (£)</t>
  </si>
  <si>
    <t xml:space="preserve">    manual household head:</t>
  </si>
  <si>
    <t>Irish adult non-head manual</t>
  </si>
  <si>
    <t>Estimating the England-Wales share of UK GDP, 1831 - 1911</t>
  </si>
  <si>
    <t>Approach:</t>
  </si>
  <si>
    <t>Define s = ratio of Scottish to England-Wales income per capita.  Fix it at the 1867 ratio = £22.94/£32.79 = 0.700.</t>
  </si>
  <si>
    <t>Define i = ratio of Irish to England-Wales income per capita.  Fix it at the 1867 ratio = £14.01/£32.79 = 0.427.</t>
  </si>
  <si>
    <t>In any year, (Ye/Yuk) = (Ne ye/Nuk yuk) = (Ne ye /(Ne ye + Ns s ye + Ni i ye)</t>
  </si>
  <si>
    <t>The data are from Baxter (1868), as revised by Lindert and Williamson (1983, and</t>
  </si>
  <si>
    <t xml:space="preserve"> (Cum.)</t>
  </si>
  <si>
    <t>Applying that share to the 1866 UK total yields 1,047,904 electors in Eng. and Wales.</t>
  </si>
  <si>
    <t xml:space="preserve">  Appendix A of the underlying working paper).  The "without-paupers" variant shown</t>
  </si>
  <si>
    <t>Top decile:</t>
  </si>
  <si>
    <t>Top 1%:</t>
  </si>
  <si>
    <t>All of the 92,800 household heads of the "large incomes" and "middle incomes" classes</t>
  </si>
  <si>
    <t xml:space="preserve">  here treats paupers similarly to the Bowley-Stamp-Routh estimates for 1911.</t>
  </si>
  <si>
    <t>2nd decile:</t>
  </si>
  <si>
    <t>Top 5%:</t>
  </si>
  <si>
    <t>Mean:</t>
  </si>
  <si>
    <t>Nominal GNP (£ m.):</t>
  </si>
  <si>
    <t>E&amp;W</t>
  </si>
  <si>
    <t>Scot</t>
  </si>
  <si>
    <t>Ireland</t>
  </si>
  <si>
    <t>GNP (£k)</t>
  </si>
  <si>
    <t>GNP/cap</t>
  </si>
  <si>
    <t>*</t>
  </si>
  <si>
    <t>ycap rel's:</t>
  </si>
  <si>
    <t>(* Brian Mitchell (1978) prefers these Deane estimates up thru 1855/56, then Feinstein (1972) estimates.)</t>
  </si>
  <si>
    <t>Interpolating the share (Ye/Yuk) linearly:</t>
  </si>
  <si>
    <t>outnumber the 5,866,168 adult males with occupations in the 1871 census. The fairest</t>
  </si>
  <si>
    <t>7th decile:</t>
  </si>
  <si>
    <t>1st/3rd:</t>
  </si>
  <si>
    <t xml:space="preserve">procedure for men is to assume that (heads/earners) equals the demographic ratio </t>
  </si>
  <si>
    <t>8th decile:</t>
  </si>
  <si>
    <t>3rd/5th:</t>
  </si>
  <si>
    <t>Applying the 1854 electorate proportions for Scotland and Ireland to the 1866 UK electorate</t>
  </si>
  <si>
    <t>(men 25-74/men over 20) among those with occupations in the 1871 census, or 0.777.</t>
  </si>
  <si>
    <t>9th decile:</t>
  </si>
  <si>
    <t>yields these estimates of the Scottish and Irish electorates:</t>
  </si>
  <si>
    <t>For women, the fairest assumption is that (heads/earners) equals (women 35-64 with</t>
  </si>
  <si>
    <t>10th decile:</t>
  </si>
  <si>
    <t>out-of-home occ's/ women over 20 with out-of-home occ's), or 0.463.  (2) The non-head</t>
  </si>
  <si>
    <t>Scottish electorate in 1866 = (.0832 x 1368000) = 113818.</t>
  </si>
  <si>
    <t>earners and their incomes had to be removed as separate entities and moved, with their incomes,</t>
  </si>
  <si>
    <t>Irish electorate in 1866 = (.1508 x 1368000) = 206278.</t>
  </si>
  <si>
    <t>[=EEH, 1983]</t>
  </si>
  <si>
    <t>to other households.  The assumption about how non-head adults' incomes are distributed among</t>
  </si>
  <si>
    <t>c.f. Baxter's totals (p.52):</t>
  </si>
  <si>
    <t>households must differ somewhat from that made for 1911.  Among the taxpayer classes, the</t>
  </si>
  <si>
    <t>(3) Children's incomes were assumed to occur only in families with manual-class heads.</t>
  </si>
  <si>
    <t>Manual V, (3)</t>
  </si>
  <si>
    <t>% of HH's franchised =</t>
  </si>
  <si>
    <t>Manual V, (4)</t>
  </si>
  <si>
    <t>Manual VI,(5)</t>
  </si>
  <si>
    <t>Manual VI,(6)</t>
  </si>
  <si>
    <t>Manual VI,(7)</t>
  </si>
  <si>
    <t>men (a)</t>
  </si>
  <si>
    <t>men (b)</t>
  </si>
  <si>
    <t>maidserv'ts</t>
  </si>
  <si>
    <t>Manual VI,(8)</t>
  </si>
  <si>
    <t>women</t>
  </si>
  <si>
    <t>"Do, girls"</t>
  </si>
  <si>
    <t>boys</t>
  </si>
  <si>
    <t>Totals:</t>
  </si>
  <si>
    <t>Gini(%):</t>
  </si>
  <si>
    <t>Derivation of franchise:  The total electorate of the UK in 1866 was 1,368,000 men</t>
  </si>
  <si>
    <t>Manual:</t>
  </si>
  <si>
    <t>(Flora 1975, p. 149).  The share of England and Wales in the total electorate</t>
  </si>
  <si>
    <t>in 1854 (Hanham's introduction to Dod 1972, p. xvii-xx) was 76.60%.</t>
  </si>
  <si>
    <t>girls</t>
  </si>
  <si>
    <t>Children's incomes were distributed equally, at £7.84 a head.</t>
  </si>
  <si>
    <t>Total pop. of E&amp;W (1000s)</t>
  </si>
  <si>
    <t xml:space="preserve"> = income per capita, England and Wales</t>
  </si>
  <si>
    <t>Scotland, 1867:</t>
  </si>
  <si>
    <t>Scotland</t>
  </si>
  <si>
    <t>(pasted page)</t>
  </si>
  <si>
    <t>Their* in-</t>
  </si>
  <si>
    <t>number</t>
  </si>
  <si>
    <t>ave. (£)</t>
  </si>
  <si>
    <t>total(£m)</t>
  </si>
  <si>
    <t>Scottish kids</t>
  </si>
  <si>
    <t>(1000s)</t>
  </si>
  <si>
    <t>Assembling the Income Distribution of the Whole UK, 1867</t>
  </si>
  <si>
    <t>among All UK Household Heads, 1867</t>
  </si>
  <si>
    <t>(Pasted)</t>
  </si>
  <si>
    <t xml:space="preserve">    subdivision</t>
  </si>
  <si>
    <t>EW large income, (1)</t>
  </si>
  <si>
    <t>EW large income,(1)</t>
  </si>
  <si>
    <t>EW large incomes, (2)</t>
  </si>
  <si>
    <t>S large incomes, (1)</t>
  </si>
  <si>
    <t>EW middle incomes</t>
  </si>
  <si>
    <t>I large incomes, (1)</t>
  </si>
  <si>
    <t>EW small incomes, (1)</t>
  </si>
  <si>
    <t>EW small incomes, (2)</t>
  </si>
  <si>
    <t>S large incomes, (2)</t>
  </si>
  <si>
    <t>EW men</t>
  </si>
  <si>
    <t>I large incomes, (2)</t>
  </si>
  <si>
    <t>S middle incomes</t>
  </si>
  <si>
    <t>I middle incomes</t>
  </si>
  <si>
    <t>EW small incomes,(1)</t>
  </si>
  <si>
    <t>I small incomes, (1)</t>
  </si>
  <si>
    <t>EW men(a)</t>
  </si>
  <si>
    <t>S small incomes, (1)</t>
  </si>
  <si>
    <t>EW men(b)</t>
  </si>
  <si>
    <t>EW small incomes,(2)</t>
  </si>
  <si>
    <t>EW maids</t>
  </si>
  <si>
    <t>S small incomes, (2)</t>
  </si>
  <si>
    <t>EW women</t>
  </si>
  <si>
    <t>S men</t>
  </si>
  <si>
    <t>I small incomes, (2)</t>
  </si>
  <si>
    <t>EW "girls"</t>
  </si>
  <si>
    <t>I men</t>
  </si>
  <si>
    <t>EW boys</t>
  </si>
  <si>
    <t>EW girls</t>
  </si>
  <si>
    <t>S maids</t>
  </si>
  <si>
    <t xml:space="preserve"> S men (a)</t>
  </si>
  <si>
    <t>I maids</t>
  </si>
  <si>
    <t>S women</t>
  </si>
  <si>
    <t xml:space="preserve"> S women</t>
  </si>
  <si>
    <t>I men (a)</t>
  </si>
  <si>
    <t>S men (b)</t>
  </si>
  <si>
    <t>I women</t>
  </si>
  <si>
    <t>S "girls"</t>
  </si>
  <si>
    <t>S boys</t>
  </si>
  <si>
    <t>I men (b)</t>
  </si>
  <si>
    <t>S girls</t>
  </si>
  <si>
    <t xml:space="preserve"> S girls</t>
  </si>
  <si>
    <t>(Cum.)</t>
  </si>
  <si>
    <t>Mid.20%:</t>
  </si>
  <si>
    <t>Bot.20%:</t>
  </si>
  <si>
    <t>I girls</t>
  </si>
  <si>
    <t>I boys</t>
  </si>
  <si>
    <t>Whole UK pop. (1000s)</t>
  </si>
  <si>
    <t xml:space="preserve"> = income per capita, United Kingdom</t>
  </si>
  <si>
    <t>(Both sexes and all age groups)</t>
  </si>
  <si>
    <t>total Y/</t>
  </si>
  <si>
    <t>Manual class totals:</t>
  </si>
  <si>
    <t>1000 recip</t>
  </si>
  <si>
    <t>ave. Y/recip</t>
  </si>
  <si>
    <t>total Y (m.)</t>
  </si>
  <si>
    <t>man. males</t>
  </si>
  <si>
    <t>England-Wales</t>
  </si>
  <si>
    <t>men/all recip's</t>
  </si>
  <si>
    <t>All the average earnings per recipient will underestimate average earnings per full-time person</t>
  </si>
  <si>
    <t>gainfully employed, given the likely overstatement of labor-force participation</t>
  </si>
  <si>
    <t>by women and children.</t>
  </si>
  <si>
    <t>(Ye/Yuk) = Ne/(Ne + Ns s + Ni i )</t>
  </si>
  <si>
    <t>Deane's</t>
  </si>
  <si>
    <t>Eng-Wales</t>
  </si>
  <si>
    <t>(1968) GDP</t>
  </si>
  <si>
    <t>Estimated</t>
  </si>
  <si>
    <t>Populations (1000s)</t>
  </si>
  <si>
    <t>share of UK</t>
  </si>
  <si>
    <t>estimate, UK</t>
  </si>
  <si>
    <t>GDP for</t>
  </si>
  <si>
    <t>Eng-Wales (Ne)</t>
  </si>
  <si>
    <t>Scotland (Ns)</t>
  </si>
  <si>
    <t>Ireland (Ni)</t>
  </si>
  <si>
    <t>income (Ye/Yuk)</t>
  </si>
  <si>
    <t>Yuk = (£m.)</t>
  </si>
  <si>
    <t>Eng&amp;Wales</t>
  </si>
  <si>
    <t>Product per capita (£)</t>
  </si>
  <si>
    <t>UK</t>
  </si>
  <si>
    <t>5th decile:</t>
  </si>
  <si>
    <t>Next 40%</t>
  </si>
  <si>
    <t>Mid. 20%:</t>
  </si>
  <si>
    <t>and did oversee tenants' and employees' votes before the Ballot Act of 1872 (Hanham</t>
  </si>
  <si>
    <t>how many adults were household heads.  Baxter's 6,020,560 adult male earners</t>
  </si>
  <si>
    <t>6th decile:</t>
  </si>
  <si>
    <t>Bot. 40%:</t>
  </si>
  <si>
    <t>Bot. 20%:</t>
  </si>
  <si>
    <t xml:space="preserve"> 1978, pp. 83, 183, 266-7, 274-5, 281).</t>
  </si>
  <si>
    <t>Row 52</t>
  </si>
  <si>
    <t>Row 97</t>
  </si>
  <si>
    <t>household heads (S)</t>
  </si>
  <si>
    <t>Row 101</t>
  </si>
  <si>
    <t>Row 146</t>
  </si>
  <si>
    <t>Row 151</t>
  </si>
  <si>
    <t>Row 287</t>
  </si>
  <si>
    <t>Reformatted by Peter Lindert, 14 February 2006</t>
  </si>
  <si>
    <r>
      <t>among</t>
    </r>
    <r>
      <rPr>
        <b/>
        <sz val="14"/>
        <rFont val="Palatino"/>
        <family val="0"/>
      </rPr>
      <t xml:space="preserve"> recipients</t>
    </r>
    <r>
      <rPr>
        <sz val="14"/>
        <rFont val="Palatino"/>
        <family val="0"/>
      </rPr>
      <t xml:space="preserve">, </t>
    </r>
  </si>
  <si>
    <r>
      <t>among</t>
    </r>
    <r>
      <rPr>
        <b/>
        <sz val="14"/>
        <rFont val="Palatino"/>
        <family val="0"/>
      </rPr>
      <t xml:space="preserve"> households</t>
    </r>
    <r>
      <rPr>
        <sz val="14"/>
        <rFont val="Palatino"/>
        <family val="0"/>
      </rPr>
      <t xml:space="preserve">, </t>
    </r>
  </si>
  <si>
    <r>
      <t>among</t>
    </r>
    <r>
      <rPr>
        <b/>
        <sz val="14"/>
        <rFont val="Palatino"/>
        <family val="0"/>
      </rPr>
      <t xml:space="preserve"> franchised</t>
    </r>
    <r>
      <rPr>
        <sz val="14"/>
        <rFont val="Palatino"/>
        <family val="0"/>
      </rPr>
      <t xml:space="preserve"> </t>
    </r>
  </si>
  <si>
    <r>
      <t>England and Wales (</t>
    </r>
    <r>
      <rPr>
        <b/>
        <sz val="14"/>
        <rFont val="Times New Roman"/>
        <family val="0"/>
      </rPr>
      <t>EW</t>
    </r>
    <r>
      <rPr>
        <sz val="14"/>
        <rFont val="Times New Roman"/>
        <family val="0"/>
      </rPr>
      <t>)</t>
    </r>
  </si>
  <si>
    <r>
      <t>Scotland (</t>
    </r>
    <r>
      <rPr>
        <b/>
        <sz val="14"/>
        <rFont val="Times New Roman"/>
        <family val="0"/>
      </rPr>
      <t>S</t>
    </r>
    <r>
      <rPr>
        <sz val="14"/>
        <rFont val="Times New Roman"/>
        <family val="0"/>
      </rPr>
      <t>)</t>
    </r>
  </si>
  <si>
    <r>
      <t>Ireland (</t>
    </r>
    <r>
      <rPr>
        <b/>
        <sz val="14"/>
        <rFont val="Times New Roman"/>
        <family val="0"/>
      </rPr>
      <t>I</t>
    </r>
    <r>
      <rPr>
        <sz val="14"/>
        <rFont val="Times New Roman"/>
        <family val="0"/>
      </rPr>
      <t>)</t>
    </r>
  </si>
  <si>
    <r>
      <t>household heads</t>
    </r>
    <r>
      <rPr>
        <sz val="14"/>
        <rFont val="Times New Roman"/>
        <family val="0"/>
      </rPr>
      <t xml:space="preserve"> (</t>
    </r>
    <r>
      <rPr>
        <b/>
        <sz val="14"/>
        <rFont val="Times New Roman"/>
        <family val="0"/>
      </rPr>
      <t>I</t>
    </r>
    <r>
      <rPr>
        <sz val="14"/>
        <rFont val="Times New Roman"/>
        <family val="0"/>
      </rPr>
      <t>)</t>
    </r>
  </si>
  <si>
    <r>
      <t>United Kingdom (</t>
    </r>
    <r>
      <rPr>
        <b/>
        <sz val="14"/>
        <rFont val="Times New Roman"/>
        <family val="0"/>
      </rPr>
      <t>UK</t>
    </r>
    <r>
      <rPr>
        <sz val="14"/>
        <rFont val="Times New Roman"/>
        <family val="0"/>
      </rPr>
      <t>)</t>
    </r>
  </si>
  <si>
    <r>
      <t>household heads</t>
    </r>
    <r>
      <rPr>
        <sz val="14"/>
        <rFont val="Times New Roman"/>
        <family val="0"/>
      </rPr>
      <t xml:space="preserve"> (</t>
    </r>
    <r>
      <rPr>
        <b/>
        <sz val="14"/>
        <rFont val="Times New Roman"/>
        <family val="0"/>
      </rPr>
      <t>UK</t>
    </r>
    <r>
      <rPr>
        <sz val="14"/>
        <rFont val="Times New Roman"/>
        <family val="0"/>
      </rPr>
      <t>)</t>
    </r>
  </si>
  <si>
    <t>were assumed to have had the vote.  The remaining 955,104 were spread out evenly as</t>
  </si>
  <si>
    <t>3rd decile:</t>
  </si>
  <si>
    <t>Median:</t>
  </si>
  <si>
    <t>63.58% of each of the two "small incomes" classes.  Putting the franchise so high in</t>
  </si>
  <si>
    <t>To convert the distribution among all earners into a distribution of household incomes</t>
  </si>
  <si>
    <t>4th decile:</t>
  </si>
  <si>
    <t>Top 20%:</t>
  </si>
  <si>
    <t>the income spectrum seems realistic, especially since landlords and employers could</t>
  </si>
  <si>
    <t>among household heads, three steps were necessary.  (1) A decision had to be made as to</t>
  </si>
  <si>
    <r>
      <t xml:space="preserve">(Uses the GNP from Mitchell, </t>
    </r>
    <r>
      <rPr>
        <i/>
        <sz val="12"/>
        <rFont val="Times New Roman"/>
        <family val="0"/>
      </rPr>
      <t>European Historical Statistics</t>
    </r>
    <r>
      <rPr>
        <sz val="12"/>
        <rFont val="Times New Roman"/>
        <family val="0"/>
      </rPr>
      <t xml:space="preserve"> (Columbia UP, 1978), which in turn used Feinstein (1972) from 1855/56 on.))</t>
    </r>
  </si>
  <si>
    <t>November 1998 version by Peter Lindert, for a paper given in Indianapolis:</t>
  </si>
  <si>
    <t>Row-and-column map of the tables within the large "main" spreadsheet</t>
  </si>
  <si>
    <t>From</t>
  </si>
  <si>
    <t>to</t>
  </si>
  <si>
    <t>Baxter's distrib. of income</t>
  </si>
  <si>
    <t>Row 3</t>
  </si>
  <si>
    <t>Row 50</t>
  </si>
  <si>
    <t>Column A</t>
  </si>
  <si>
    <t>Column I</t>
  </si>
  <si>
    <t>Column K</t>
  </si>
  <si>
    <t>Estim. distrib. of income</t>
  </si>
  <si>
    <t>ColumnAA</t>
  </si>
  <si>
    <t>Column AC</t>
  </si>
  <si>
    <t>Column AK</t>
  </si>
  <si>
    <t>household heads (EW)</t>
  </si>
  <si>
    <t>men:</t>
  </si>
  <si>
    <t>wisest simple assumption is inegalitarian:  non-head adults' incomes accrue to the households</t>
  </si>
  <si>
    <t>(The egalitarian bias in this assumption should offset the inegalitarian bias of the</t>
  </si>
  <si>
    <t>women:</t>
  </si>
  <si>
    <t>in each same class.  Among the manual classes, the non-heads' incomes are spread evenly, at</t>
  </si>
  <si>
    <t>proportionality of heads' and non-heads' incomes within the five taxpaying classes.)</t>
  </si>
  <si>
    <t>children:</t>
  </si>
  <si>
    <t>(£64.163 m./3911600=) £16.4 a household.  [(3) on next page =&gt;]</t>
  </si>
  <si>
    <t xml:space="preserve">  earnings per manual household head:</t>
  </si>
  <si>
    <t>Whole populat'n of Ireland</t>
  </si>
  <si>
    <t xml:space="preserve"> = income per capita, Ireland</t>
  </si>
  <si>
    <t>Deriving the Distribution of Income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</si>
</sst>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sz val="12"/>
      <name val="Palatino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u val="single"/>
      <sz val="12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i/>
      <u val="single"/>
      <sz val="10"/>
      <name val="Palatino"/>
      <family val="0"/>
    </font>
    <font>
      <sz val="14"/>
      <name val="Times New Roman"/>
      <family val="0"/>
    </font>
    <font>
      <sz val="14"/>
      <name val="Palatino"/>
      <family val="0"/>
    </font>
    <font>
      <b/>
      <sz val="14"/>
      <name val="Palatino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/>
    </xf>
    <xf numFmtId="2" fontId="10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/>
    </xf>
    <xf numFmtId="0" fontId="9" fillId="0" borderId="8" xfId="0" applyFont="1" applyBorder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9" fillId="0" borderId="7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3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I7" sqref="I7"/>
    </sheetView>
  </sheetViews>
  <sheetFormatPr defaultColWidth="11.00390625" defaultRowHeight="12.75"/>
  <cols>
    <col min="1" max="1" width="10.75390625" style="31" customWidth="1"/>
    <col min="2" max="2" width="11.75390625" style="31" customWidth="1"/>
    <col min="3" max="4" width="10.75390625" style="31" customWidth="1"/>
    <col min="5" max="5" width="10.75390625" style="32" customWidth="1"/>
    <col min="6" max="7" width="9.75390625" style="31" customWidth="1"/>
    <col min="8" max="8" width="10.75390625" style="31" customWidth="1"/>
    <col min="9" max="12" width="7.75390625" style="31" customWidth="1"/>
    <col min="13" max="15" width="7.75390625" style="33" customWidth="1"/>
    <col min="16" max="16" width="7.75390625" style="31" customWidth="1"/>
    <col min="17" max="20" width="7.75390625" style="34" customWidth="1"/>
    <col min="21" max="21" width="7.75390625" style="31" customWidth="1"/>
    <col min="22" max="16384" width="10.75390625" style="31" customWidth="1"/>
  </cols>
  <sheetData>
    <row r="1" ht="15">
      <c r="B1" s="30" t="s">
        <v>102</v>
      </c>
    </row>
    <row r="3" ht="15">
      <c r="A3" s="51" t="s">
        <v>103</v>
      </c>
    </row>
    <row r="4" ht="15">
      <c r="A4" s="31" t="s">
        <v>104</v>
      </c>
    </row>
    <row r="5" ht="15">
      <c r="A5" s="31" t="s">
        <v>105</v>
      </c>
    </row>
    <row r="7" ht="15">
      <c r="A7" s="31" t="s">
        <v>106</v>
      </c>
    </row>
    <row r="8" spans="2:6" ht="15">
      <c r="B8" s="31" t="s">
        <v>245</v>
      </c>
      <c r="F8" s="31" t="s">
        <v>246</v>
      </c>
    </row>
    <row r="9" spans="5:9" ht="15">
      <c r="E9" s="32" t="s">
        <v>247</v>
      </c>
      <c r="F9" s="31" t="s">
        <v>248</v>
      </c>
      <c r="G9" s="31" t="s">
        <v>249</v>
      </c>
      <c r="I9" s="35" t="s">
        <v>298</v>
      </c>
    </row>
    <row r="10" spans="2:9" ht="15">
      <c r="B10" s="31" t="s">
        <v>250</v>
      </c>
      <c r="E10" s="32" t="s">
        <v>251</v>
      </c>
      <c r="F10" s="31" t="s">
        <v>252</v>
      </c>
      <c r="G10" s="31" t="s">
        <v>253</v>
      </c>
      <c r="I10" s="31" t="s">
        <v>297</v>
      </c>
    </row>
    <row r="11" spans="2:7" ht="15">
      <c r="B11" s="36" t="s">
        <v>254</v>
      </c>
      <c r="C11" s="36" t="s">
        <v>255</v>
      </c>
      <c r="D11" s="36" t="s">
        <v>256</v>
      </c>
      <c r="E11" s="32" t="s">
        <v>257</v>
      </c>
      <c r="F11" s="31" t="s">
        <v>258</v>
      </c>
      <c r="G11" s="31" t="s">
        <v>259</v>
      </c>
    </row>
    <row r="12" spans="1:18" ht="15">
      <c r="A12" s="37">
        <v>1831</v>
      </c>
      <c r="B12" s="31">
        <v>13897</v>
      </c>
      <c r="C12" s="31">
        <v>2364</v>
      </c>
      <c r="D12" s="31">
        <v>7767</v>
      </c>
      <c r="E12" s="32">
        <f aca="true" t="shared" si="0" ref="E12:E21">B12/(B12+(0.7*C12)+(0.427*D12))</f>
        <v>0.7365259918098649</v>
      </c>
      <c r="F12" s="31">
        <v>498</v>
      </c>
      <c r="G12" s="34">
        <f aca="true" t="shared" si="1" ref="G12:G21">E12*F12</f>
        <v>366.7899439213127</v>
      </c>
      <c r="J12" s="35" t="s">
        <v>250</v>
      </c>
      <c r="M12" s="38" t="s">
        <v>260</v>
      </c>
      <c r="P12" s="36" t="s">
        <v>261</v>
      </c>
      <c r="Q12" s="39" t="s">
        <v>261</v>
      </c>
      <c r="R12" s="40" t="s">
        <v>118</v>
      </c>
    </row>
    <row r="13" spans="1:20" ht="15">
      <c r="A13" s="41">
        <v>1841</v>
      </c>
      <c r="B13" s="31">
        <v>15914</v>
      </c>
      <c r="C13" s="31">
        <v>2620</v>
      </c>
      <c r="D13" s="31">
        <v>8175</v>
      </c>
      <c r="E13" s="32">
        <f t="shared" si="0"/>
        <v>0.7492916829988618</v>
      </c>
      <c r="F13" s="31">
        <v>539</v>
      </c>
      <c r="G13" s="34">
        <f t="shared" si="1"/>
        <v>403.86821713638653</v>
      </c>
      <c r="J13" s="42" t="s">
        <v>119</v>
      </c>
      <c r="K13" s="42" t="s">
        <v>120</v>
      </c>
      <c r="L13" s="42" t="s">
        <v>121</v>
      </c>
      <c r="M13" s="43" t="s">
        <v>119</v>
      </c>
      <c r="N13" s="43" t="s">
        <v>120</v>
      </c>
      <c r="O13" s="43" t="s">
        <v>121</v>
      </c>
      <c r="P13" s="42" t="s">
        <v>122</v>
      </c>
      <c r="Q13" s="44" t="s">
        <v>123</v>
      </c>
      <c r="R13" s="44" t="s">
        <v>119</v>
      </c>
      <c r="S13" s="44" t="s">
        <v>120</v>
      </c>
      <c r="T13" s="44" t="s">
        <v>121</v>
      </c>
    </row>
    <row r="14" spans="1:20" ht="15">
      <c r="A14" s="41">
        <v>1851</v>
      </c>
      <c r="B14" s="31">
        <v>17928</v>
      </c>
      <c r="C14" s="31">
        <v>2889</v>
      </c>
      <c r="D14" s="31">
        <v>6552</v>
      </c>
      <c r="E14" s="32">
        <f t="shared" si="0"/>
        <v>0.7881131021429396</v>
      </c>
      <c r="F14" s="31">
        <v>623</v>
      </c>
      <c r="G14" s="34">
        <f t="shared" si="1"/>
        <v>490.9944626350514</v>
      </c>
      <c r="H14" s="31" t="s">
        <v>124</v>
      </c>
      <c r="I14" s="31">
        <v>1867</v>
      </c>
      <c r="J14" s="31">
        <v>21614</v>
      </c>
      <c r="K14" s="31">
        <v>3237.47</v>
      </c>
      <c r="L14" s="31">
        <v>5564</v>
      </c>
      <c r="M14" s="33">
        <v>32.79</v>
      </c>
      <c r="N14" s="33">
        <v>22.94</v>
      </c>
      <c r="O14" s="33">
        <v>14.01</v>
      </c>
      <c r="P14" s="31">
        <v>860.9</v>
      </c>
      <c r="Q14" s="34">
        <v>28.304675219551104</v>
      </c>
      <c r="R14" s="34">
        <v>708.7230599999999</v>
      </c>
      <c r="S14" s="34">
        <v>74.2675618</v>
      </c>
      <c r="T14" s="34">
        <v>77.95164</v>
      </c>
    </row>
    <row r="15" spans="1:15" ht="15">
      <c r="A15" s="41">
        <v>1861</v>
      </c>
      <c r="B15" s="31">
        <v>20066</v>
      </c>
      <c r="C15" s="31">
        <v>3062</v>
      </c>
      <c r="D15" s="31">
        <v>5799</v>
      </c>
      <c r="E15" s="32">
        <f t="shared" si="0"/>
        <v>0.8128634486223998</v>
      </c>
      <c r="F15" s="31">
        <v>885</v>
      </c>
      <c r="G15" s="34">
        <f t="shared" si="1"/>
        <v>719.3841520308238</v>
      </c>
      <c r="H15" s="31" t="s">
        <v>124</v>
      </c>
      <c r="L15" s="45" t="s">
        <v>125</v>
      </c>
      <c r="M15" s="46">
        <v>1</v>
      </c>
      <c r="N15" s="47">
        <v>0.699603537663922</v>
      </c>
      <c r="O15" s="48">
        <v>0.4272644098810613</v>
      </c>
    </row>
    <row r="16" spans="1:20" ht="15">
      <c r="A16" s="41">
        <v>1867</v>
      </c>
      <c r="B16" s="31">
        <v>21614</v>
      </c>
      <c r="C16" s="49">
        <v>3237.47</v>
      </c>
      <c r="D16" s="31">
        <v>5564</v>
      </c>
      <c r="E16" s="32">
        <f t="shared" si="0"/>
        <v>0.8232005285485173</v>
      </c>
      <c r="F16" s="31">
        <v>1078</v>
      </c>
      <c r="G16" s="34">
        <f t="shared" si="1"/>
        <v>887.4101697753017</v>
      </c>
      <c r="I16" s="31">
        <v>1861</v>
      </c>
      <c r="J16" s="31">
        <v>20066</v>
      </c>
      <c r="K16" s="31">
        <v>3062</v>
      </c>
      <c r="L16" s="31">
        <v>5799</v>
      </c>
      <c r="M16" s="33">
        <v>29.81461571391532</v>
      </c>
      <c r="N16" s="33">
        <v>20.85830515345516</v>
      </c>
      <c r="O16" s="33">
        <v>12.738711968390314</v>
      </c>
      <c r="P16" s="31">
        <v>736</v>
      </c>
      <c r="Q16" s="34">
        <v>25.443357416946107</v>
      </c>
      <c r="R16" s="34">
        <v>598.2600789154247</v>
      </c>
      <c r="S16" s="34">
        <v>63.868130379879695</v>
      </c>
      <c r="T16" s="34">
        <v>73.87179070469543</v>
      </c>
    </row>
    <row r="17" spans="1:20" ht="15">
      <c r="A17" s="41">
        <v>1871</v>
      </c>
      <c r="B17" s="31">
        <v>22712</v>
      </c>
      <c r="C17" s="31">
        <v>3360</v>
      </c>
      <c r="D17" s="31">
        <v>5412</v>
      </c>
      <c r="E17" s="32">
        <f t="shared" si="0"/>
        <v>0.8296644038171577</v>
      </c>
      <c r="F17" s="31">
        <v>1208</v>
      </c>
      <c r="G17" s="34">
        <f t="shared" si="1"/>
        <v>1002.2345998111265</v>
      </c>
      <c r="I17" s="31">
        <v>1871</v>
      </c>
      <c r="J17" s="31">
        <v>22712</v>
      </c>
      <c r="K17" s="31">
        <v>3360</v>
      </c>
      <c r="L17" s="31">
        <v>5412</v>
      </c>
      <c r="M17" s="33">
        <v>45.990852849395516</v>
      </c>
      <c r="N17" s="33">
        <v>32.1752006534371</v>
      </c>
      <c r="O17" s="33">
        <v>19.650235751844125</v>
      </c>
      <c r="P17" s="31">
        <v>1259</v>
      </c>
      <c r="Q17" s="34">
        <v>39.988565620632706</v>
      </c>
      <c r="R17" s="34">
        <v>1044.544249915471</v>
      </c>
      <c r="S17" s="34">
        <v>108.10867419554866</v>
      </c>
      <c r="T17" s="34">
        <v>106.3470758889804</v>
      </c>
    </row>
    <row r="18" spans="1:20" ht="15">
      <c r="A18" s="41">
        <v>1881</v>
      </c>
      <c r="B18" s="31">
        <v>25794</v>
      </c>
      <c r="C18" s="31">
        <v>3736</v>
      </c>
      <c r="D18" s="31">
        <v>5175</v>
      </c>
      <c r="E18" s="32">
        <f t="shared" si="0"/>
        <v>0.8424201698785964</v>
      </c>
      <c r="F18" s="31">
        <v>1307</v>
      </c>
      <c r="G18" s="34">
        <f t="shared" si="1"/>
        <v>1101.0431620313254</v>
      </c>
      <c r="I18" s="31">
        <v>1881</v>
      </c>
      <c r="J18" s="31">
        <v>25974</v>
      </c>
      <c r="K18" s="31">
        <v>3736</v>
      </c>
      <c r="L18" s="31">
        <v>5175</v>
      </c>
      <c r="M18" s="33">
        <v>44.22250677013461</v>
      </c>
      <c r="N18" s="33">
        <v>30.93806573638617</v>
      </c>
      <c r="O18" s="33">
        <v>18.89468513263479</v>
      </c>
      <c r="P18" s="31">
        <v>1362</v>
      </c>
      <c r="Q18" s="34">
        <v>39.04256843915723</v>
      </c>
      <c r="R18" s="34">
        <v>1148.6353908474762</v>
      </c>
      <c r="S18" s="34">
        <v>115.58461359113873</v>
      </c>
      <c r="T18" s="34">
        <v>97.77999556138505</v>
      </c>
    </row>
    <row r="19" spans="1:20" ht="15">
      <c r="A19" s="41">
        <v>1891</v>
      </c>
      <c r="B19" s="31">
        <v>29003</v>
      </c>
      <c r="C19" s="31">
        <v>4026</v>
      </c>
      <c r="D19" s="31">
        <v>4705</v>
      </c>
      <c r="E19" s="32">
        <f t="shared" si="0"/>
        <v>0.8573100364215619</v>
      </c>
      <c r="F19" s="31">
        <v>1589</v>
      </c>
      <c r="G19" s="34">
        <f t="shared" si="1"/>
        <v>1362.2656478738618</v>
      </c>
      <c r="I19" s="31">
        <v>1891</v>
      </c>
      <c r="J19" s="31">
        <v>29003</v>
      </c>
      <c r="K19" s="31">
        <v>4026</v>
      </c>
      <c r="L19" s="31">
        <v>4705</v>
      </c>
      <c r="M19" s="33">
        <v>47.118128285667694</v>
      </c>
      <c r="N19" s="33">
        <v>32.96384254865312</v>
      </c>
      <c r="O19" s="33">
        <v>20.13187996384752</v>
      </c>
      <c r="P19" s="31">
        <v>1594</v>
      </c>
      <c r="Q19" s="34">
        <v>42.24306991042561</v>
      </c>
      <c r="R19" s="34">
        <v>1366.5670746692203</v>
      </c>
      <c r="S19" s="34">
        <v>132.71243010087744</v>
      </c>
      <c r="T19" s="34">
        <v>94.7204952299026</v>
      </c>
    </row>
    <row r="20" spans="1:20" ht="15">
      <c r="A20" s="41">
        <v>1901</v>
      </c>
      <c r="B20" s="31">
        <v>32528</v>
      </c>
      <c r="C20" s="31">
        <v>4472</v>
      </c>
      <c r="D20" s="31">
        <v>4459</v>
      </c>
      <c r="E20" s="32">
        <f t="shared" si="0"/>
        <v>0.8659725167137248</v>
      </c>
      <c r="F20" s="31">
        <v>2155</v>
      </c>
      <c r="G20" s="34">
        <f t="shared" si="1"/>
        <v>1866.1707735180769</v>
      </c>
      <c r="I20" s="31">
        <v>1901</v>
      </c>
      <c r="J20" s="31">
        <v>32528</v>
      </c>
      <c r="K20" s="31">
        <v>4472</v>
      </c>
      <c r="L20" s="31">
        <v>4459</v>
      </c>
      <c r="M20" s="33">
        <v>56.57346169843167</v>
      </c>
      <c r="N20" s="33">
        <v>39.5787938042228</v>
      </c>
      <c r="O20" s="33">
        <v>24.17180353911871</v>
      </c>
      <c r="P20" s="31">
        <v>2125</v>
      </c>
      <c r="Q20" s="34">
        <v>51.255457198678215</v>
      </c>
      <c r="R20" s="34">
        <v>1840.2215621265855</v>
      </c>
      <c r="S20" s="34">
        <v>176.99636589248433</v>
      </c>
      <c r="T20" s="34">
        <v>107.78207198093033</v>
      </c>
    </row>
    <row r="21" spans="1:20" ht="15">
      <c r="A21" s="50">
        <v>1911</v>
      </c>
      <c r="B21" s="31">
        <v>36070</v>
      </c>
      <c r="C21" s="31">
        <v>4761</v>
      </c>
      <c r="D21" s="31">
        <v>4390</v>
      </c>
      <c r="E21" s="32">
        <f t="shared" si="0"/>
        <v>0.8738473972211799</v>
      </c>
      <c r="F21" s="31">
        <v>2507</v>
      </c>
      <c r="G21" s="34">
        <f t="shared" si="1"/>
        <v>2190.7354248334977</v>
      </c>
      <c r="I21" s="31">
        <v>1911</v>
      </c>
      <c r="J21" s="31">
        <v>36070</v>
      </c>
      <c r="K21" s="31">
        <v>4761</v>
      </c>
      <c r="L21" s="31">
        <v>4390</v>
      </c>
      <c r="M21" s="33">
        <v>60.397585370337076</v>
      </c>
      <c r="N21" s="33">
        <v>42.25415072508782</v>
      </c>
      <c r="O21" s="33">
        <v>25.8057139156717</v>
      </c>
      <c r="P21" s="31">
        <v>2493</v>
      </c>
      <c r="Q21" s="34">
        <v>55.12925410760487</v>
      </c>
      <c r="R21" s="34">
        <v>2178.5409043080585</v>
      </c>
      <c r="S21" s="34">
        <v>201.17201160214313</v>
      </c>
      <c r="T21" s="34">
        <v>113.28708408979877</v>
      </c>
    </row>
    <row r="22" spans="7:8" ht="15">
      <c r="G22" s="34"/>
      <c r="H22" s="31" t="s">
        <v>126</v>
      </c>
    </row>
    <row r="23" spans="1:7" ht="15">
      <c r="A23" s="31" t="s">
        <v>127</v>
      </c>
      <c r="D23" s="37">
        <v>1830</v>
      </c>
      <c r="E23" s="32">
        <f>E12+((E12-E13)/10)</f>
        <v>0.7352494226909652</v>
      </c>
      <c r="F23" s="31">
        <v>501</v>
      </c>
      <c r="G23" s="34">
        <f aca="true" t="shared" si="2" ref="G23:G31">E23*F23</f>
        <v>368.35996076817355</v>
      </c>
    </row>
    <row r="24" spans="4:7" ht="15">
      <c r="D24" s="41">
        <v>1840</v>
      </c>
      <c r="E24" s="32">
        <f aca="true" t="shared" si="3" ref="E24:E31">E12+(0.9*(E13-E12))</f>
        <v>0.7480151138799621</v>
      </c>
      <c r="F24" s="31">
        <v>566</v>
      </c>
      <c r="G24" s="34">
        <f t="shared" si="2"/>
        <v>423.37655445605856</v>
      </c>
    </row>
    <row r="25" spans="4:7" ht="15">
      <c r="D25" s="41">
        <v>1850</v>
      </c>
      <c r="E25" s="32">
        <f t="shared" si="3"/>
        <v>0.7842309602285318</v>
      </c>
      <c r="F25" s="31">
        <v>593</v>
      </c>
      <c r="G25" s="34">
        <f t="shared" si="2"/>
        <v>465.04895941551933</v>
      </c>
    </row>
    <row r="26" spans="4:7" ht="15">
      <c r="D26" s="41">
        <v>1860</v>
      </c>
      <c r="E26" s="32">
        <f t="shared" si="3"/>
        <v>0.8103884139744537</v>
      </c>
      <c r="F26" s="31">
        <v>828</v>
      </c>
      <c r="G26" s="34">
        <f t="shared" si="2"/>
        <v>671.0016067708477</v>
      </c>
    </row>
    <row r="27" spans="4:7" ht="15">
      <c r="D27" s="41">
        <v>1870</v>
      </c>
      <c r="E27" s="32">
        <f t="shared" si="3"/>
        <v>0.8221668205559056</v>
      </c>
      <c r="F27" s="31">
        <v>1153</v>
      </c>
      <c r="G27" s="34">
        <f t="shared" si="2"/>
        <v>947.9583441009592</v>
      </c>
    </row>
    <row r="28" spans="4:7" ht="15">
      <c r="D28" s="41">
        <v>1880</v>
      </c>
      <c r="E28" s="32">
        <f t="shared" si="3"/>
        <v>0.8290180162902936</v>
      </c>
      <c r="F28" s="31">
        <v>1379</v>
      </c>
      <c r="G28" s="34">
        <f t="shared" si="2"/>
        <v>1143.2158444643148</v>
      </c>
    </row>
    <row r="29" spans="4:7" ht="15">
      <c r="D29" s="41">
        <v>1890</v>
      </c>
      <c r="E29" s="32">
        <f t="shared" si="3"/>
        <v>0.8411445932724525</v>
      </c>
      <c r="F29" s="31">
        <v>1468</v>
      </c>
      <c r="G29" s="34">
        <f t="shared" si="2"/>
        <v>1234.8002629239602</v>
      </c>
    </row>
    <row r="30" spans="4:7" ht="15">
      <c r="D30" s="41">
        <v>1900</v>
      </c>
      <c r="E30" s="32">
        <f t="shared" si="3"/>
        <v>0.8558210497672654</v>
      </c>
      <c r="F30" s="31">
        <v>1922</v>
      </c>
      <c r="G30" s="34">
        <f t="shared" si="2"/>
        <v>1644.888057652684</v>
      </c>
    </row>
    <row r="31" spans="4:7" ht="15">
      <c r="D31" s="50">
        <v>1910</v>
      </c>
      <c r="E31" s="32">
        <f t="shared" si="3"/>
        <v>0.8651062686845085</v>
      </c>
      <c r="F31" s="31">
        <v>2216</v>
      </c>
      <c r="G31" s="34">
        <f t="shared" si="2"/>
        <v>1917.0754914048707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7"/>
  <sheetViews>
    <sheetView tabSelected="1" workbookViewId="0" topLeftCell="A1">
      <pane ySplit="2840" topLeftCell="A268" activePane="bottomLeft" state="split"/>
      <selection pane="topLeft" activeCell="AJ3" sqref="AJ3"/>
      <selection pane="bottomLeft" activeCell="N279" sqref="N279"/>
    </sheetView>
  </sheetViews>
  <sheetFormatPr defaultColWidth="11.00390625" defaultRowHeight="12.75"/>
  <cols>
    <col min="1" max="1" width="10.75390625" style="1" customWidth="1"/>
    <col min="2" max="5" width="8.75390625" style="1" customWidth="1"/>
    <col min="6" max="6" width="4.75390625" style="1" customWidth="1"/>
    <col min="7" max="7" width="5.75390625" style="1" customWidth="1"/>
    <col min="8" max="10" width="4.75390625" style="1" customWidth="1"/>
    <col min="11" max="11" width="10.75390625" style="1" customWidth="1"/>
    <col min="12" max="12" width="8.75390625" style="1" customWidth="1"/>
    <col min="13" max="15" width="7.75390625" style="1" customWidth="1"/>
    <col min="16" max="16" width="8.75390625" style="1" customWidth="1"/>
    <col min="17" max="17" width="7.75390625" style="1" customWidth="1"/>
    <col min="18" max="18" width="11.75390625" style="1" customWidth="1"/>
    <col min="19" max="19" width="4.75390625" style="1" customWidth="1"/>
    <col min="20" max="20" width="10.75390625" style="1" customWidth="1"/>
    <col min="21" max="21" width="8.75390625" style="1" customWidth="1"/>
    <col min="22" max="22" width="7.75390625" style="8" customWidth="1"/>
    <col min="23" max="27" width="7.75390625" style="1" customWidth="1"/>
    <col min="28" max="28" width="4.75390625" style="1" customWidth="1"/>
    <col min="29" max="29" width="10.75390625" style="1" customWidth="1"/>
    <col min="30" max="30" width="5.75390625" style="1" customWidth="1"/>
    <col min="31" max="31" width="10.75390625" style="1" customWidth="1"/>
    <col min="32" max="32" width="9.75390625" style="1" customWidth="1"/>
    <col min="33" max="33" width="10.75390625" style="1" customWidth="1"/>
    <col min="34" max="35" width="7.75390625" style="1" customWidth="1"/>
    <col min="36" max="38" width="10.75390625" style="1" customWidth="1"/>
  </cols>
  <sheetData>
    <row r="1" spans="1:30" ht="13.5">
      <c r="A1" s="22" t="s">
        <v>0</v>
      </c>
      <c r="AD1" s="5" t="s">
        <v>1</v>
      </c>
    </row>
    <row r="2" spans="1:30" ht="13.5">
      <c r="A2" s="22" t="s">
        <v>2</v>
      </c>
      <c r="B2" s="26" t="s">
        <v>3</v>
      </c>
      <c r="I2" s="2"/>
      <c r="J2" s="2"/>
      <c r="L2" s="26" t="s">
        <v>4</v>
      </c>
      <c r="U2" s="5" t="str">
        <f>L2</f>
        <v>Deriving the Distribution of Income among UK Households, 1867</v>
      </c>
      <c r="AD2" s="5" t="s">
        <v>5</v>
      </c>
    </row>
    <row r="3" spans="1:36" ht="13.5">
      <c r="A3" s="22" t="s">
        <v>6</v>
      </c>
      <c r="B3" s="27" t="s">
        <v>7</v>
      </c>
      <c r="C3" s="7"/>
      <c r="L3" s="27" t="s">
        <v>7</v>
      </c>
      <c r="M3" s="7"/>
      <c r="U3" s="6" t="str">
        <f>L3</f>
        <v>England and Wales:</v>
      </c>
      <c r="V3" s="19"/>
      <c r="X3" s="1" t="s">
        <v>8</v>
      </c>
      <c r="AD3" s="6" t="s">
        <v>7</v>
      </c>
      <c r="AE3" s="7"/>
      <c r="AJ3" s="55" t="s">
        <v>9</v>
      </c>
    </row>
    <row r="4" spans="3:36" ht="13.5">
      <c r="C4" s="8"/>
      <c r="E4" s="1" t="s">
        <v>10</v>
      </c>
      <c r="F4" s="9" t="s">
        <v>11</v>
      </c>
      <c r="G4" s="10"/>
      <c r="H4" s="10"/>
      <c r="I4" s="11"/>
      <c r="J4" s="53"/>
      <c r="N4" s="1" t="s">
        <v>12</v>
      </c>
      <c r="O4" s="7" t="s">
        <v>13</v>
      </c>
      <c r="P4" s="7"/>
      <c r="Q4" s="1" t="s">
        <v>14</v>
      </c>
      <c r="V4" s="29"/>
      <c r="W4" s="2" t="s">
        <v>15</v>
      </c>
      <c r="X4" s="2" t="s">
        <v>16</v>
      </c>
      <c r="AA4" s="8"/>
      <c r="AB4" s="8"/>
      <c r="AE4" s="1" t="s">
        <v>17</v>
      </c>
      <c r="AF4" s="1" t="s">
        <v>18</v>
      </c>
      <c r="AG4" s="1" t="s">
        <v>19</v>
      </c>
      <c r="AJ4" s="1" t="s">
        <v>20</v>
      </c>
    </row>
    <row r="5" spans="1:36" ht="13.5">
      <c r="A5" s="1" t="s">
        <v>21</v>
      </c>
      <c r="C5" s="8" t="s">
        <v>22</v>
      </c>
      <c r="D5" s="1" t="s">
        <v>23</v>
      </c>
      <c r="E5" s="1" t="s">
        <v>24</v>
      </c>
      <c r="F5" s="1" t="s">
        <v>25</v>
      </c>
      <c r="K5" s="1" t="str">
        <f aca="true" t="shared" si="0" ref="K5:K10">A5</f>
        <v>Income class, </v>
      </c>
      <c r="M5" s="2" t="s">
        <v>17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/>
      <c r="T5" s="1" t="str">
        <f aca="true" t="shared" si="1" ref="T5:T28">K5</f>
        <v>Income class, </v>
      </c>
      <c r="V5" s="29" t="str">
        <f aca="true" t="shared" si="2" ref="V5:V30">M5</f>
        <v>1000s of </v>
      </c>
      <c r="W5" s="2" t="s">
        <v>24</v>
      </c>
      <c r="X5" s="2" t="s">
        <v>31</v>
      </c>
      <c r="Y5" s="7" t="s">
        <v>32</v>
      </c>
      <c r="Z5" s="7"/>
      <c r="AA5" s="29" t="s">
        <v>33</v>
      </c>
      <c r="AB5" s="29"/>
      <c r="AC5" s="1" t="str">
        <f aca="true" t="shared" si="3" ref="AC5:AC11">T5</f>
        <v>Income class, </v>
      </c>
      <c r="AE5" s="1" t="s">
        <v>34</v>
      </c>
      <c r="AF5" s="1" t="s">
        <v>35</v>
      </c>
      <c r="AG5" s="1" t="s">
        <v>36</v>
      </c>
      <c r="AI5" s="1" t="s">
        <v>37</v>
      </c>
      <c r="AJ5" s="1" t="s">
        <v>38</v>
      </c>
    </row>
    <row r="6" spans="1:37" ht="13.5">
      <c r="A6" s="1" t="s">
        <v>39</v>
      </c>
      <c r="C6" s="8" t="s">
        <v>40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46</v>
      </c>
      <c r="K6" s="1" t="str">
        <f t="shared" si="0"/>
        <v>   subdivision</v>
      </c>
      <c r="M6" s="2" t="s">
        <v>47</v>
      </c>
      <c r="N6" s="2" t="s">
        <v>48</v>
      </c>
      <c r="O6" s="2" t="s">
        <v>49</v>
      </c>
      <c r="P6" s="2" t="s">
        <v>50</v>
      </c>
      <c r="Q6" s="2" t="s">
        <v>51</v>
      </c>
      <c r="R6" s="2" t="s">
        <v>51</v>
      </c>
      <c r="S6" s="2"/>
      <c r="T6" s="1" t="str">
        <f t="shared" si="1"/>
        <v>   subdivision</v>
      </c>
      <c r="V6" s="29" t="str">
        <f t="shared" si="2"/>
        <v>h. heads</v>
      </c>
      <c r="W6" s="2" t="s">
        <v>52</v>
      </c>
      <c r="X6" s="2" t="s">
        <v>53</v>
      </c>
      <c r="Y6" s="2" t="s">
        <v>54</v>
      </c>
      <c r="Z6" s="2" t="s">
        <v>55</v>
      </c>
      <c r="AA6" s="29" t="s">
        <v>56</v>
      </c>
      <c r="AB6" s="29"/>
      <c r="AC6" s="1" t="str">
        <f t="shared" si="3"/>
        <v>   subdivision</v>
      </c>
      <c r="AE6" s="1" t="s">
        <v>57</v>
      </c>
      <c r="AF6" s="1" t="s">
        <v>58</v>
      </c>
      <c r="AG6" s="1" t="s">
        <v>59</v>
      </c>
      <c r="AH6" s="1" t="s">
        <v>55</v>
      </c>
      <c r="AI6" s="1" t="s">
        <v>60</v>
      </c>
      <c r="AJ6" s="1" t="s">
        <v>61</v>
      </c>
      <c r="AK6" s="1" t="s">
        <v>62</v>
      </c>
    </row>
    <row r="7" spans="1:37" ht="13.5">
      <c r="A7" s="1" t="s">
        <v>63</v>
      </c>
      <c r="C7" s="8">
        <v>4.29</v>
      </c>
      <c r="D7" s="3">
        <f>1000*E7/C7</f>
        <v>21068.53146853147</v>
      </c>
      <c r="E7" s="4">
        <v>90.384</v>
      </c>
      <c r="F7" s="1">
        <v>1</v>
      </c>
      <c r="K7" s="1" t="str">
        <f t="shared" si="0"/>
        <v>Large incomes, (1)</v>
      </c>
      <c r="M7" s="3">
        <f aca="true" t="shared" si="4" ref="M7:M17">(C7*F7*0.777)+(C7*G7*0.463)</f>
        <v>3.33333</v>
      </c>
      <c r="N7" s="4">
        <f aca="true" t="shared" si="5" ref="N7:N17">(E7*F7*0.777)+(E7*G7*0.463)</f>
        <v>70.228368</v>
      </c>
      <c r="O7" s="3">
        <f aca="true" t="shared" si="6" ref="O7:O17">(C7*F7*0.223)+(C7*G7*0.537)</f>
        <v>0.95667</v>
      </c>
      <c r="P7" s="4">
        <f aca="true" t="shared" si="7" ref="P7:P17">(E7*F7*0.223)+(E7*G7*0.537)</f>
        <v>20.155632</v>
      </c>
      <c r="Q7" s="3">
        <f aca="true" t="shared" si="8" ref="Q7:Q30">1000*P7/O7</f>
        <v>21068.53146853147</v>
      </c>
      <c r="R7" s="3">
        <f aca="true" t="shared" si="9" ref="R7:R30">1000*N7/M7</f>
        <v>21068.53146853147</v>
      </c>
      <c r="S7" s="3"/>
      <c r="T7" s="1" t="str">
        <f t="shared" si="1"/>
        <v>Large incomes, (1)</v>
      </c>
      <c r="V7" s="8">
        <f t="shared" si="2"/>
        <v>3.33333</v>
      </c>
      <c r="W7" s="1">
        <v>0</v>
      </c>
      <c r="X7" s="4">
        <f>N7+P7+W7</f>
        <v>90.384</v>
      </c>
      <c r="Y7" s="8">
        <f>100*V7/5506.5</f>
        <v>0.060534459275401804</v>
      </c>
      <c r="Z7" s="8">
        <f>100*X7/708.647</f>
        <v>12.754446148787759</v>
      </c>
      <c r="AA7" s="4">
        <f>Y7*(Z7-Y7)/100</f>
        <v>0.007684190802143327</v>
      </c>
      <c r="AB7" s="4"/>
      <c r="AC7" s="1" t="str">
        <f t="shared" si="3"/>
        <v>Large incomes, (1)</v>
      </c>
      <c r="AE7" s="4">
        <f>V7</f>
        <v>3.33333</v>
      </c>
      <c r="AF7" s="4">
        <f>X7*AE7/V7</f>
        <v>90.384</v>
      </c>
      <c r="AG7" s="8">
        <f>100*AE7/1047.904</f>
        <v>0.3180949781659389</v>
      </c>
      <c r="AH7" s="8">
        <f>100*AF7/377.919</f>
        <v>23.91623601882943</v>
      </c>
      <c r="AI7" s="8">
        <f>AG7*(AH7-AG7)/100</f>
        <v>0.075064501590866</v>
      </c>
      <c r="AJ7" s="3">
        <f aca="true" t="shared" si="10" ref="AJ7:AJ28">1000*X7/V7</f>
        <v>27115.227115227113</v>
      </c>
      <c r="AK7" s="8">
        <f>1000*AF7/AE7</f>
        <v>27115.227115227113</v>
      </c>
    </row>
    <row r="8" spans="1:37" ht="13.5">
      <c r="A8" s="1" t="s">
        <v>64</v>
      </c>
      <c r="C8" s="8">
        <v>25.2</v>
      </c>
      <c r="D8" s="3">
        <f>1000*E8/C8</f>
        <v>2997.777777777778</v>
      </c>
      <c r="E8" s="4">
        <v>75.544</v>
      </c>
      <c r="F8" s="1">
        <v>1</v>
      </c>
      <c r="K8" s="1" t="str">
        <f t="shared" si="0"/>
        <v>Large incomes, (2)</v>
      </c>
      <c r="M8" s="3">
        <f t="shared" si="4"/>
        <v>19.5804</v>
      </c>
      <c r="N8" s="4">
        <f t="shared" si="5"/>
        <v>58.697688</v>
      </c>
      <c r="O8" s="3">
        <f t="shared" si="6"/>
        <v>5.6196</v>
      </c>
      <c r="P8" s="4">
        <f t="shared" si="7"/>
        <v>16.846312</v>
      </c>
      <c r="Q8" s="3">
        <f t="shared" si="8"/>
        <v>2997.777777777778</v>
      </c>
      <c r="R8" s="3">
        <f t="shared" si="9"/>
        <v>2997.777777777778</v>
      </c>
      <c r="S8" s="3"/>
      <c r="T8" s="1" t="str">
        <f t="shared" si="1"/>
        <v>Large incomes, (2)</v>
      </c>
      <c r="V8" s="8">
        <f t="shared" si="2"/>
        <v>19.5804</v>
      </c>
      <c r="W8" s="1">
        <v>0</v>
      </c>
      <c r="X8" s="4">
        <f>N8+P8+W8</f>
        <v>75.544</v>
      </c>
      <c r="Y8" s="8">
        <f aca="true" t="shared" si="11" ref="Y8:Y28">(100*V8/5506.5)+Y7</f>
        <v>0.41612149278125854</v>
      </c>
      <c r="Z8" s="8">
        <f aca="true" t="shared" si="12" ref="Z8:Z28">(100*X8/708.647)+Z7</f>
        <v>23.414760804744816</v>
      </c>
      <c r="AA8" s="4">
        <f aca="true" t="shared" si="13" ref="AA8:AA28">(Y8-Y7)*(Z8-Y8+Z7-Y7)/100</f>
        <v>0.12691808328871315</v>
      </c>
      <c r="AB8" s="4"/>
      <c r="AC8" s="1" t="str">
        <f t="shared" si="3"/>
        <v>Large incomes, (2)</v>
      </c>
      <c r="AE8" s="4">
        <f>V8</f>
        <v>19.5804</v>
      </c>
      <c r="AF8" s="4">
        <f>X8*AE8/V8</f>
        <v>75.544</v>
      </c>
      <c r="AG8" s="8">
        <f>(100*AE8/1047.904)+AG7</f>
        <v>2.1866249198399856</v>
      </c>
      <c r="AH8" s="8">
        <f>(100*AF8/377.919)+AH7</f>
        <v>43.90570466158092</v>
      </c>
      <c r="AI8" s="8">
        <f>(AG8-AG7)*(AH8-AG8+AH7-AG7)/100</f>
        <v>1.2204718273885697</v>
      </c>
      <c r="AJ8" s="3">
        <f t="shared" si="10"/>
        <v>3858.143858143858</v>
      </c>
      <c r="AK8" s="8">
        <f>1000*AF8/AE8</f>
        <v>3858.143858143858</v>
      </c>
    </row>
    <row r="9" spans="1:37" ht="13.5">
      <c r="A9" s="1" t="s">
        <v>65</v>
      </c>
      <c r="C9" s="8">
        <v>90</v>
      </c>
      <c r="D9" s="3">
        <f>1000*E9/C9</f>
        <v>881.0666666666667</v>
      </c>
      <c r="E9" s="4">
        <v>79.296</v>
      </c>
      <c r="F9" s="1">
        <v>1</v>
      </c>
      <c r="K9" s="1" t="str">
        <f t="shared" si="0"/>
        <v>Middle incomes</v>
      </c>
      <c r="M9" s="3">
        <f t="shared" si="4"/>
        <v>69.93</v>
      </c>
      <c r="N9" s="4">
        <f t="shared" si="5"/>
        <v>61.612992000000006</v>
      </c>
      <c r="O9" s="3">
        <f t="shared" si="6"/>
        <v>20.07</v>
      </c>
      <c r="P9" s="4">
        <f t="shared" si="7"/>
        <v>17.683008</v>
      </c>
      <c r="Q9" s="3">
        <f t="shared" si="8"/>
        <v>881.0666666666667</v>
      </c>
      <c r="R9" s="3">
        <f t="shared" si="9"/>
        <v>881.0666666666666</v>
      </c>
      <c r="S9" s="3"/>
      <c r="T9" s="1" t="str">
        <f t="shared" si="1"/>
        <v>Middle incomes</v>
      </c>
      <c r="V9" s="8">
        <f t="shared" si="2"/>
        <v>69.93</v>
      </c>
      <c r="W9" s="1">
        <v>0</v>
      </c>
      <c r="X9" s="4">
        <f>N9+P9+W9</f>
        <v>79.296</v>
      </c>
      <c r="Y9" s="8">
        <f t="shared" si="11"/>
        <v>1.686075183873604</v>
      </c>
      <c r="Z9" s="8">
        <f t="shared" si="12"/>
        <v>34.604535121153404</v>
      </c>
      <c r="AA9" s="4">
        <f t="shared" si="13"/>
        <v>0.7101212658675364</v>
      </c>
      <c r="AB9" s="4"/>
      <c r="AC9" s="1" t="str">
        <f t="shared" si="3"/>
        <v>Middle incomes</v>
      </c>
      <c r="AE9" s="4">
        <f>V9</f>
        <v>69.93</v>
      </c>
      <c r="AF9" s="4">
        <f>X9*AE9/V9</f>
        <v>79.296</v>
      </c>
      <c r="AG9" s="8">
        <f>(100*AE9/1047.904)+AG8</f>
        <v>8.859946140104437</v>
      </c>
      <c r="AH9" s="8">
        <f>(100*AF9/377.919)+AH8</f>
        <v>64.8879786409257</v>
      </c>
      <c r="AI9" s="8">
        <f>(AG9-AG8)*(AH9-AG9+AH8-AG8)/100</f>
        <v>6.522978783478614</v>
      </c>
      <c r="AJ9" s="3">
        <f t="shared" si="10"/>
        <v>1133.9339339339338</v>
      </c>
      <c r="AK9" s="8">
        <f>1000*AF9/AE9</f>
        <v>1133.9339339339338</v>
      </c>
    </row>
    <row r="10" spans="1:37" ht="13.5">
      <c r="A10" s="1" t="s">
        <v>66</v>
      </c>
      <c r="C10" s="8">
        <v>510.3</v>
      </c>
      <c r="D10" s="3">
        <f>1000*E10/C10</f>
        <v>199.83539094650206</v>
      </c>
      <c r="E10" s="4">
        <v>101.976</v>
      </c>
      <c r="F10" s="1">
        <v>1</v>
      </c>
      <c r="K10" s="1" t="str">
        <f t="shared" si="0"/>
        <v>Small incomes, (1)</v>
      </c>
      <c r="M10" s="3">
        <f t="shared" si="4"/>
        <v>396.5031</v>
      </c>
      <c r="N10" s="4">
        <f t="shared" si="5"/>
        <v>79.235352</v>
      </c>
      <c r="O10" s="3">
        <f t="shared" si="6"/>
        <v>113.79690000000001</v>
      </c>
      <c r="P10" s="4">
        <f t="shared" si="7"/>
        <v>22.740648</v>
      </c>
      <c r="Q10" s="3">
        <f t="shared" si="8"/>
        <v>199.83539094650206</v>
      </c>
      <c r="R10" s="3">
        <f t="shared" si="9"/>
        <v>199.83539094650206</v>
      </c>
      <c r="S10" s="3"/>
      <c r="T10" s="1" t="str">
        <f t="shared" si="1"/>
        <v>Small incomes, (1)</v>
      </c>
      <c r="V10" s="8">
        <f t="shared" si="2"/>
        <v>396.5031</v>
      </c>
      <c r="W10" s="1">
        <v>0</v>
      </c>
      <c r="X10" s="4">
        <f>N10+P10+W10</f>
        <v>101.976</v>
      </c>
      <c r="Y10" s="8">
        <f t="shared" si="11"/>
        <v>8.886712612367203</v>
      </c>
      <c r="Z10" s="8">
        <f t="shared" si="12"/>
        <v>48.99477454924666</v>
      </c>
      <c r="AA10" s="4">
        <f t="shared" si="13"/>
        <v>5.258375066797777</v>
      </c>
      <c r="AB10" s="4"/>
      <c r="AC10" s="1" t="str">
        <f t="shared" si="3"/>
        <v>Small incomes, (1)</v>
      </c>
      <c r="AE10" s="4">
        <f>V10*0.6358458</f>
        <v>252.11483082198</v>
      </c>
      <c r="AF10" s="4">
        <f>X10*AE10/V10</f>
        <v>64.84101130079999</v>
      </c>
      <c r="AG10" s="8">
        <f>(100*AE10/1047.904)+AG9</f>
        <v>32.91890868075511</v>
      </c>
      <c r="AH10" s="8">
        <f>(100*AF10/377.919)+AH9</f>
        <v>82.04536191638948</v>
      </c>
      <c r="AI10" s="8">
        <f>(AG10-AG9)*(AH10-AG10+AH9-AG9)/100</f>
        <v>25.299078333147712</v>
      </c>
      <c r="AJ10" s="3">
        <f t="shared" si="10"/>
        <v>257.1884053365535</v>
      </c>
      <c r="AK10" s="8">
        <f>1000*AF10/AE10</f>
        <v>257.18840533655344</v>
      </c>
    </row>
    <row r="11" spans="1:37" ht="13.5">
      <c r="A11" s="1" t="s">
        <v>67</v>
      </c>
      <c r="C11" s="8">
        <v>1422.86</v>
      </c>
      <c r="D11" s="3">
        <f>1000*E11/C11</f>
        <v>75.00035140491686</v>
      </c>
      <c r="E11" s="4">
        <v>106.715</v>
      </c>
      <c r="F11" s="1">
        <v>1</v>
      </c>
      <c r="K11" s="1" t="s">
        <v>67</v>
      </c>
      <c r="M11" s="3">
        <f t="shared" si="4"/>
        <v>1105.56222</v>
      </c>
      <c r="N11" s="4">
        <f t="shared" si="5"/>
        <v>82.91755500000001</v>
      </c>
      <c r="O11" s="3">
        <f t="shared" si="6"/>
        <v>317.29778</v>
      </c>
      <c r="P11" s="4">
        <f t="shared" si="7"/>
        <v>23.797445</v>
      </c>
      <c r="Q11" s="3">
        <f t="shared" si="8"/>
        <v>75.00035140491686</v>
      </c>
      <c r="R11" s="3">
        <f t="shared" si="9"/>
        <v>75.00035140491686</v>
      </c>
      <c r="S11" s="3"/>
      <c r="T11" s="1" t="str">
        <f t="shared" si="1"/>
        <v>Small incomes, (2)</v>
      </c>
      <c r="V11" s="8">
        <f t="shared" si="2"/>
        <v>1105.56222</v>
      </c>
      <c r="W11" s="1">
        <v>0</v>
      </c>
      <c r="X11" s="4">
        <f>N11+P11+W11</f>
        <v>106.715</v>
      </c>
      <c r="Y11" s="8">
        <f t="shared" si="11"/>
        <v>28.964116044674476</v>
      </c>
      <c r="Z11" s="8">
        <f t="shared" si="12"/>
        <v>64.05375313802216</v>
      </c>
      <c r="AA11" s="4">
        <f t="shared" si="13"/>
        <v>15.097745406110917</v>
      </c>
      <c r="AB11" s="4"/>
      <c r="AC11" s="1" t="str">
        <f t="shared" si="3"/>
        <v>Small incomes, (2)</v>
      </c>
      <c r="AE11" s="4">
        <f>V11*0.6358458</f>
        <v>702.9670942256761</v>
      </c>
      <c r="AF11" s="4">
        <f>X11*AE11/V11</f>
        <v>67.854284547</v>
      </c>
      <c r="AG11" s="8">
        <f>(100*AE11/1047.904)+AG10</f>
        <v>100.00206651063992</v>
      </c>
      <c r="AH11" s="8">
        <f>(100*AF11/377.919)+AH10</f>
        <v>100.00007828338876</v>
      </c>
      <c r="AI11" s="8">
        <f>(AG11-AG10)*(AH11-AG11+AH10-AG10)/100</f>
        <v>32.95424239466025</v>
      </c>
      <c r="AJ11" s="3">
        <f t="shared" si="10"/>
        <v>96.52554878367678</v>
      </c>
      <c r="AK11" s="8">
        <f>1000*AF11/AE11</f>
        <v>96.52554878367677</v>
      </c>
    </row>
    <row r="12" spans="1:36" ht="13.5">
      <c r="A12" s="1" t="s">
        <v>68</v>
      </c>
      <c r="B12" s="1" t="s">
        <v>69</v>
      </c>
      <c r="C12" s="8">
        <v>42.2</v>
      </c>
      <c r="D12" s="3">
        <v>73</v>
      </c>
      <c r="E12" s="4">
        <f aca="true" t="shared" si="14" ref="E12:E44">C12*D12/1000</f>
        <v>3.0806000000000004</v>
      </c>
      <c r="F12" s="1">
        <v>1</v>
      </c>
      <c r="K12" s="1" t="str">
        <f aca="true" t="shared" si="15" ref="K12:L17">A12</f>
        <v>Manual IV,(1)</v>
      </c>
      <c r="L12" s="1" t="str">
        <f t="shared" si="15"/>
        <v>men</v>
      </c>
      <c r="M12" s="3">
        <f t="shared" si="4"/>
        <v>32.7894</v>
      </c>
      <c r="N12" s="4">
        <f t="shared" si="5"/>
        <v>2.3936262000000004</v>
      </c>
      <c r="O12" s="3">
        <f t="shared" si="6"/>
        <v>9.4106</v>
      </c>
      <c r="P12" s="4">
        <f t="shared" si="7"/>
        <v>0.6869738000000001</v>
      </c>
      <c r="Q12" s="3">
        <f t="shared" si="8"/>
        <v>73</v>
      </c>
      <c r="R12" s="3">
        <f t="shared" si="9"/>
        <v>73</v>
      </c>
      <c r="S12" s="3"/>
      <c r="T12" s="1" t="str">
        <f t="shared" si="1"/>
        <v>Manual IV,(1)</v>
      </c>
      <c r="U12" s="1" t="str">
        <f aca="true" t="shared" si="16" ref="U12:U30">L12</f>
        <v>men</v>
      </c>
      <c r="V12" s="8">
        <f t="shared" si="2"/>
        <v>32.7894</v>
      </c>
      <c r="W12" s="4">
        <f aca="true" t="shared" si="17" ref="W12:W28">0.0078415*M12</f>
        <v>0.2571180801</v>
      </c>
      <c r="X12" s="4">
        <f aca="true" t="shared" si="18" ref="X12:X28">N12+W12+(V12*64.163/3911.6)</f>
        <v>3.1885974021472445</v>
      </c>
      <c r="Y12" s="8">
        <f t="shared" si="11"/>
        <v>29.559583219831108</v>
      </c>
      <c r="Z12" s="8">
        <f t="shared" si="12"/>
        <v>64.50370881442342</v>
      </c>
      <c r="AA12" s="4">
        <f t="shared" si="13"/>
        <v>0.41702806833377537</v>
      </c>
      <c r="AB12" s="4"/>
      <c r="AD12" s="1" t="str">
        <f>U29</f>
        <v>Totals:</v>
      </c>
      <c r="AE12" s="4">
        <f>SUM(AE7:AE11)</f>
        <v>1047.9256550476562</v>
      </c>
      <c r="AF12" s="4">
        <f>SUM(AF7:AF11)</f>
        <v>377.9192958478</v>
      </c>
      <c r="AG12" s="8"/>
      <c r="AH12" s="8"/>
      <c r="AI12" s="20" t="s">
        <v>70</v>
      </c>
      <c r="AJ12" s="3">
        <f t="shared" si="10"/>
        <v>97.24476209223847</v>
      </c>
    </row>
    <row r="13" spans="1:36" ht="13.5">
      <c r="A13" s="1" t="s">
        <v>71</v>
      </c>
      <c r="B13" s="1" t="s">
        <v>69</v>
      </c>
      <c r="C13" s="8">
        <v>798.6</v>
      </c>
      <c r="D13" s="3">
        <v>60</v>
      </c>
      <c r="E13" s="4">
        <f t="shared" si="14"/>
        <v>47.916</v>
      </c>
      <c r="F13" s="1">
        <v>1</v>
      </c>
      <c r="K13" s="1" t="str">
        <f t="shared" si="15"/>
        <v>Manual IV,(2)</v>
      </c>
      <c r="L13" s="1" t="str">
        <f t="shared" si="15"/>
        <v>men</v>
      </c>
      <c r="M13" s="3">
        <f t="shared" si="4"/>
        <v>620.5122</v>
      </c>
      <c r="N13" s="4">
        <f t="shared" si="5"/>
        <v>37.230731999999996</v>
      </c>
      <c r="O13" s="3">
        <f t="shared" si="6"/>
        <v>178.08780000000002</v>
      </c>
      <c r="P13" s="4">
        <f t="shared" si="7"/>
        <v>10.685267999999999</v>
      </c>
      <c r="Q13" s="3">
        <f t="shared" si="8"/>
        <v>59.999999999999986</v>
      </c>
      <c r="R13" s="3">
        <f t="shared" si="9"/>
        <v>59.99999999999999</v>
      </c>
      <c r="S13" s="3"/>
      <c r="T13" s="1" t="str">
        <f t="shared" si="1"/>
        <v>Manual IV,(2)</v>
      </c>
      <c r="U13" s="1" t="str">
        <f t="shared" si="16"/>
        <v>men</v>
      </c>
      <c r="V13" s="8">
        <f t="shared" si="2"/>
        <v>620.5122</v>
      </c>
      <c r="W13" s="4">
        <f t="shared" si="17"/>
        <v>4.8657464162999995</v>
      </c>
      <c r="X13" s="4">
        <f t="shared" si="18"/>
        <v>52.27490266433149</v>
      </c>
      <c r="Y13" s="8">
        <f t="shared" si="11"/>
        <v>40.82830563879052</v>
      </c>
      <c r="Z13" s="8">
        <f t="shared" si="12"/>
        <v>71.880428487876</v>
      </c>
      <c r="AA13" s="4">
        <f t="shared" si="13"/>
        <v>7.436934044044871</v>
      </c>
      <c r="AB13" s="4"/>
      <c r="AC13" s="1" t="s">
        <v>72</v>
      </c>
      <c r="AF13" s="4">
        <f>1000*AF12/AE12</f>
        <v>360.6355985536145</v>
      </c>
      <c r="AG13" s="8"/>
      <c r="AH13" s="8"/>
      <c r="AI13" s="21">
        <f>SUM(AI7:AI11)</f>
        <v>66.071835840266</v>
      </c>
      <c r="AJ13" s="3">
        <f t="shared" si="10"/>
        <v>84.24476209223846</v>
      </c>
    </row>
    <row r="14" spans="1:36" ht="13.5">
      <c r="A14" s="1" t="s">
        <v>149</v>
      </c>
      <c r="B14" s="1" t="s">
        <v>69</v>
      </c>
      <c r="C14" s="8">
        <v>582</v>
      </c>
      <c r="D14" s="3">
        <v>52</v>
      </c>
      <c r="E14" s="4">
        <f t="shared" si="14"/>
        <v>30.264</v>
      </c>
      <c r="F14" s="1">
        <v>1</v>
      </c>
      <c r="K14" s="1" t="str">
        <f t="shared" si="15"/>
        <v>Manual V, (3)</v>
      </c>
      <c r="L14" s="1" t="str">
        <f t="shared" si="15"/>
        <v>men</v>
      </c>
      <c r="M14" s="3">
        <f t="shared" si="4"/>
        <v>452.214</v>
      </c>
      <c r="N14" s="4">
        <f t="shared" si="5"/>
        <v>23.515128</v>
      </c>
      <c r="O14" s="3">
        <f t="shared" si="6"/>
        <v>129.786</v>
      </c>
      <c r="P14" s="4">
        <f t="shared" si="7"/>
        <v>6.7488719999999995</v>
      </c>
      <c r="Q14" s="3">
        <f t="shared" si="8"/>
        <v>51.99999999999999</v>
      </c>
      <c r="R14" s="3">
        <f t="shared" si="9"/>
        <v>52</v>
      </c>
      <c r="S14" s="3"/>
      <c r="T14" s="1" t="str">
        <f t="shared" si="1"/>
        <v>Manual V, (3)</v>
      </c>
      <c r="U14" s="1" t="str">
        <f t="shared" si="16"/>
        <v>men</v>
      </c>
      <c r="V14" s="8">
        <f t="shared" si="2"/>
        <v>452.214</v>
      </c>
      <c r="W14" s="4">
        <f t="shared" si="17"/>
        <v>3.5460360809999996</v>
      </c>
      <c r="X14" s="4">
        <f t="shared" si="18"/>
        <v>34.47894884477953</v>
      </c>
      <c r="Y14" s="8">
        <f t="shared" si="11"/>
        <v>49.040672841187686</v>
      </c>
      <c r="Z14" s="8">
        <f t="shared" si="12"/>
        <v>76.7458902544226</v>
      </c>
      <c r="AA14" s="4">
        <f t="shared" si="13"/>
        <v>4.825368540703707</v>
      </c>
      <c r="AB14" s="4"/>
      <c r="AC14" s="1" t="s">
        <v>150</v>
      </c>
      <c r="AE14" s="15">
        <f>100*AE12/V29</f>
        <v>19.03055560201323</v>
      </c>
      <c r="AF14" s="4"/>
      <c r="AJ14" s="3">
        <f t="shared" si="10"/>
        <v>76.24476209223847</v>
      </c>
    </row>
    <row r="15" spans="1:36" ht="13.5">
      <c r="A15" s="1" t="s">
        <v>151</v>
      </c>
      <c r="B15" s="1" t="s">
        <v>69</v>
      </c>
      <c r="C15" s="8">
        <v>1028</v>
      </c>
      <c r="D15" s="3">
        <v>46</v>
      </c>
      <c r="E15" s="4">
        <f t="shared" si="14"/>
        <v>47.288</v>
      </c>
      <c r="F15" s="1">
        <v>1</v>
      </c>
      <c r="K15" s="1" t="str">
        <f t="shared" si="15"/>
        <v>Manual V, (4)</v>
      </c>
      <c r="L15" s="1" t="str">
        <f t="shared" si="15"/>
        <v>men</v>
      </c>
      <c r="M15" s="3">
        <f t="shared" si="4"/>
        <v>798.756</v>
      </c>
      <c r="N15" s="4">
        <f t="shared" si="5"/>
        <v>36.742776</v>
      </c>
      <c r="O15" s="3">
        <f t="shared" si="6"/>
        <v>229.244</v>
      </c>
      <c r="P15" s="4">
        <f t="shared" si="7"/>
        <v>10.545224</v>
      </c>
      <c r="Q15" s="3">
        <f t="shared" si="8"/>
        <v>46</v>
      </c>
      <c r="R15" s="3">
        <f t="shared" si="9"/>
        <v>46</v>
      </c>
      <c r="S15" s="3"/>
      <c r="T15" s="1" t="str">
        <f t="shared" si="1"/>
        <v>Manual V, (4)</v>
      </c>
      <c r="U15" s="1" t="str">
        <f t="shared" si="16"/>
        <v>men</v>
      </c>
      <c r="V15" s="8">
        <f t="shared" si="2"/>
        <v>798.756</v>
      </c>
      <c r="W15" s="4">
        <f t="shared" si="17"/>
        <v>6.263445173999999</v>
      </c>
      <c r="X15" s="4">
        <f t="shared" si="18"/>
        <v>56.108425189748026</v>
      </c>
      <c r="Y15" s="8">
        <f t="shared" si="11"/>
        <v>63.54636611277581</v>
      </c>
      <c r="Z15" s="8">
        <f t="shared" si="12"/>
        <v>84.66357355651067</v>
      </c>
      <c r="AA15" s="4">
        <f t="shared" si="13"/>
        <v>7.082031197503634</v>
      </c>
      <c r="AB15" s="4"/>
      <c r="AD15" s="8"/>
      <c r="AE15" s="8"/>
      <c r="AF15" s="8"/>
      <c r="AG15" s="8"/>
      <c r="AH15" s="8"/>
      <c r="AI15" s="8"/>
      <c r="AJ15" s="3">
        <f t="shared" si="10"/>
        <v>70.24476209223847</v>
      </c>
    </row>
    <row r="16" spans="1:36" ht="13.5">
      <c r="A16" s="1" t="s">
        <v>152</v>
      </c>
      <c r="B16" s="1" t="s">
        <v>69</v>
      </c>
      <c r="C16" s="8">
        <v>260.36</v>
      </c>
      <c r="D16" s="3">
        <v>36.5</v>
      </c>
      <c r="E16" s="4">
        <f t="shared" si="14"/>
        <v>9.503140000000002</v>
      </c>
      <c r="F16" s="1">
        <v>1</v>
      </c>
      <c r="K16" s="1" t="str">
        <f t="shared" si="15"/>
        <v>Manual VI,(5)</v>
      </c>
      <c r="L16" s="1" t="str">
        <f t="shared" si="15"/>
        <v>men</v>
      </c>
      <c r="M16" s="3">
        <f t="shared" si="4"/>
        <v>202.29972</v>
      </c>
      <c r="N16" s="4">
        <f t="shared" si="5"/>
        <v>7.383939780000001</v>
      </c>
      <c r="O16" s="3">
        <f t="shared" si="6"/>
        <v>58.060280000000006</v>
      </c>
      <c r="P16" s="4">
        <f t="shared" si="7"/>
        <v>2.1192002200000006</v>
      </c>
      <c r="Q16" s="3">
        <f t="shared" si="8"/>
        <v>36.50000000000001</v>
      </c>
      <c r="R16" s="3">
        <f t="shared" si="9"/>
        <v>36.50000000000001</v>
      </c>
      <c r="S16" s="3"/>
      <c r="T16" s="1" t="str">
        <f t="shared" si="1"/>
        <v>Manual VI,(5)</v>
      </c>
      <c r="U16" s="1" t="str">
        <f t="shared" si="16"/>
        <v>men</v>
      </c>
      <c r="V16" s="8">
        <f t="shared" si="2"/>
        <v>202.29972</v>
      </c>
      <c r="W16" s="4">
        <f t="shared" si="17"/>
        <v>1.58633325438</v>
      </c>
      <c r="X16" s="4">
        <f t="shared" si="18"/>
        <v>12.288648362726459</v>
      </c>
      <c r="Y16" s="8">
        <f t="shared" si="11"/>
        <v>67.22020103514029</v>
      </c>
      <c r="Z16" s="8">
        <f t="shared" si="12"/>
        <v>86.39767366033196</v>
      </c>
      <c r="AA16" s="4">
        <f t="shared" si="13"/>
        <v>1.4803600282272646</v>
      </c>
      <c r="AB16" s="4"/>
      <c r="AC16" s="1" t="str">
        <f aca="true" t="shared" si="19" ref="AC16:AC25">T33</f>
        <v>Top decile:</v>
      </c>
      <c r="AD16" s="8">
        <f>AE16</f>
        <v>65.70099545309498</v>
      </c>
      <c r="AE16" s="8">
        <f>AH9+((AH10-AH9)*(10-AG9)/(AG10-AG9))</f>
        <v>65.70099545309498</v>
      </c>
      <c r="AF16" s="8" t="str">
        <f>W33</f>
        <v>Top 1%:</v>
      </c>
      <c r="AG16" s="8">
        <f>AH7+(AH8-AH7)*(1-AG7)/(AG8-AG7)</f>
        <v>31.211232340416103</v>
      </c>
      <c r="AH16" s="8"/>
      <c r="AI16" s="8"/>
      <c r="AJ16" s="3">
        <f t="shared" si="10"/>
        <v>60.74476209223848</v>
      </c>
    </row>
    <row r="17" spans="1:36" ht="13.5">
      <c r="A17" s="1" t="s">
        <v>153</v>
      </c>
      <c r="B17" s="1" t="s">
        <v>69</v>
      </c>
      <c r="C17" s="8">
        <v>1148.5</v>
      </c>
      <c r="D17" s="3">
        <v>33</v>
      </c>
      <c r="E17" s="4">
        <f t="shared" si="14"/>
        <v>37.9005</v>
      </c>
      <c r="F17" s="1">
        <v>1</v>
      </c>
      <c r="K17" s="1" t="str">
        <f t="shared" si="15"/>
        <v>Manual VI,(6)</v>
      </c>
      <c r="L17" s="1" t="str">
        <f t="shared" si="15"/>
        <v>men</v>
      </c>
      <c r="M17" s="3">
        <f t="shared" si="4"/>
        <v>892.3845</v>
      </c>
      <c r="N17" s="4">
        <f t="shared" si="5"/>
        <v>29.448688500000003</v>
      </c>
      <c r="O17" s="3">
        <f t="shared" si="6"/>
        <v>256.1155</v>
      </c>
      <c r="P17" s="4">
        <f t="shared" si="7"/>
        <v>8.4518115</v>
      </c>
      <c r="Q17" s="3">
        <f t="shared" si="8"/>
        <v>33</v>
      </c>
      <c r="R17" s="3">
        <f t="shared" si="9"/>
        <v>33.00000000000001</v>
      </c>
      <c r="S17" s="3"/>
      <c r="T17" s="1" t="str">
        <f t="shared" si="1"/>
        <v>Manual VI,(6)</v>
      </c>
      <c r="U17" s="1" t="str">
        <f t="shared" si="16"/>
        <v>men</v>
      </c>
      <c r="V17" s="8">
        <f t="shared" si="2"/>
        <v>892.3845</v>
      </c>
      <c r="W17" s="4">
        <f t="shared" si="17"/>
        <v>6.99763305675</v>
      </c>
      <c r="X17" s="4">
        <f t="shared" si="18"/>
        <v>51.08433839730118</v>
      </c>
      <c r="Y17" s="8">
        <f t="shared" si="11"/>
        <v>83.42622119313539</v>
      </c>
      <c r="Z17" s="8">
        <f t="shared" si="12"/>
        <v>93.60638806924094</v>
      </c>
      <c r="AA17" s="4">
        <f t="shared" si="13"/>
        <v>4.757704975491759</v>
      </c>
      <c r="AB17" s="4"/>
      <c r="AC17" s="1" t="str">
        <f t="shared" si="19"/>
        <v>2nd decile:</v>
      </c>
      <c r="AD17" s="8">
        <f>AE17-AE16</f>
        <v>7.131389496315236</v>
      </c>
      <c r="AE17" s="8">
        <f>AH9+((AH10-AH9)*(20-AG9)/(AG10-AG9))</f>
        <v>72.83238494941021</v>
      </c>
      <c r="AF17" s="8" t="str">
        <f>W34</f>
        <v>Top 5%:</v>
      </c>
      <c r="AG17" s="8">
        <f>AH8+(AH9-AH8)*(5-AG8)/(AG9-AG8)</f>
        <v>52.751525923612</v>
      </c>
      <c r="AH17" s="8" t="str">
        <f>Y34</f>
        <v>Mean:</v>
      </c>
      <c r="AI17" s="8">
        <v>360.636</v>
      </c>
      <c r="AJ17" s="3">
        <f t="shared" si="10"/>
        <v>57.24476209223847</v>
      </c>
    </row>
    <row r="18" spans="1:36" ht="13.5">
      <c r="A18" s="1" t="s">
        <v>154</v>
      </c>
      <c r="B18" s="1" t="s">
        <v>155</v>
      </c>
      <c r="C18" s="8">
        <v>73.4</v>
      </c>
      <c r="D18" s="3">
        <v>30</v>
      </c>
      <c r="E18" s="4">
        <f t="shared" si="14"/>
        <v>2.202</v>
      </c>
      <c r="F18" s="1">
        <v>1</v>
      </c>
      <c r="K18" s="1" t="str">
        <f>A20</f>
        <v>Manual V, (4)</v>
      </c>
      <c r="L18" s="1" t="str">
        <f>B20</f>
        <v>maidserv'ts</v>
      </c>
      <c r="M18" s="3">
        <f>(C20*F20*0.777)+(C20*G20*0.463)</f>
        <v>321.39608</v>
      </c>
      <c r="N18" s="4">
        <f>(E20*F20*0.777)+(E20*G20*0.463)</f>
        <v>10.4453726</v>
      </c>
      <c r="O18" s="3">
        <f>(C20*F20*0.223)+(C20*G20*0.537)</f>
        <v>372.76392</v>
      </c>
      <c r="P18" s="4">
        <f>(E20*F20*0.223)+(E20*G20*0.537)</f>
        <v>12.114827400000001</v>
      </c>
      <c r="Q18" s="3">
        <f t="shared" si="8"/>
        <v>32.50000000000001</v>
      </c>
      <c r="R18" s="3">
        <f t="shared" si="9"/>
        <v>32.5</v>
      </c>
      <c r="S18" s="3"/>
      <c r="T18" s="1" t="str">
        <f t="shared" si="1"/>
        <v>Manual V, (4)</v>
      </c>
      <c r="U18" s="1" t="str">
        <f t="shared" si="16"/>
        <v>maidserv'ts</v>
      </c>
      <c r="V18" s="8">
        <f t="shared" si="2"/>
        <v>321.39608</v>
      </c>
      <c r="W18" s="4">
        <f t="shared" si="17"/>
        <v>2.52022736132</v>
      </c>
      <c r="X18" s="4">
        <f t="shared" si="18"/>
        <v>18.23754409697804</v>
      </c>
      <c r="Y18" s="8">
        <f t="shared" si="11"/>
        <v>89.26288840461274</v>
      </c>
      <c r="Z18" s="8">
        <f t="shared" si="12"/>
        <v>96.17996053860551</v>
      </c>
      <c r="AA18" s="4">
        <f t="shared" si="13"/>
        <v>0.997908943370323</v>
      </c>
      <c r="AB18" s="4"/>
      <c r="AC18" s="1" t="str">
        <f t="shared" si="19"/>
        <v>3rd decile:</v>
      </c>
      <c r="AD18" s="8">
        <f>AE18-AE17</f>
        <v>7.131389496315236</v>
      </c>
      <c r="AE18" s="8">
        <f>AH10-((AH10-AH9)*(AG10-30)/(AG10-AG9))</f>
        <v>79.96377444572545</v>
      </c>
      <c r="AF18" s="8"/>
      <c r="AG18" s="8"/>
      <c r="AH18" s="8" t="str">
        <f>Y35</f>
        <v>Median:</v>
      </c>
      <c r="AI18" s="8">
        <f>1000*AF11/AE11</f>
        <v>96.52554878367677</v>
      </c>
      <c r="AJ18" s="3">
        <f t="shared" si="10"/>
        <v>56.744762092238474</v>
      </c>
    </row>
    <row r="19" spans="1:36" ht="13.5">
      <c r="A19" s="1" t="s">
        <v>154</v>
      </c>
      <c r="B19" s="1" t="s">
        <v>156</v>
      </c>
      <c r="C19" s="8">
        <v>34.5</v>
      </c>
      <c r="D19" s="3">
        <v>20</v>
      </c>
      <c r="E19" s="4">
        <f t="shared" si="14"/>
        <v>0.69</v>
      </c>
      <c r="F19" s="1">
        <v>1</v>
      </c>
      <c r="K19" s="1" t="str">
        <f>A18</f>
        <v>Manual VI,(7)</v>
      </c>
      <c r="L19" s="1" t="str">
        <f>B18</f>
        <v>men (a)</v>
      </c>
      <c r="M19" s="3">
        <f>(C18*F18*0.777)+(C18*G18*0.463)</f>
        <v>57.031800000000004</v>
      </c>
      <c r="N19" s="4">
        <f>(E18*F18*0.777)+(E18*G18*0.463)</f>
        <v>1.710954</v>
      </c>
      <c r="O19" s="3">
        <f>(C18*F18*0.223)+(C18*G18*0.537)</f>
        <v>16.3682</v>
      </c>
      <c r="P19" s="4">
        <f>(E18*F18*0.223)+(E18*G18*0.537)</f>
        <v>0.491046</v>
      </c>
      <c r="Q19" s="3">
        <f t="shared" si="8"/>
        <v>29.999999999999996</v>
      </c>
      <c r="R19" s="3">
        <f t="shared" si="9"/>
        <v>30</v>
      </c>
      <c r="S19" s="3"/>
      <c r="T19" s="1" t="str">
        <f t="shared" si="1"/>
        <v>Manual VI,(7)</v>
      </c>
      <c r="U19" s="1" t="str">
        <f t="shared" si="16"/>
        <v>men (a)</v>
      </c>
      <c r="V19" s="8">
        <f t="shared" si="2"/>
        <v>57.031800000000004</v>
      </c>
      <c r="W19" s="4">
        <f t="shared" si="17"/>
        <v>0.4472148597</v>
      </c>
      <c r="X19" s="4">
        <f t="shared" si="18"/>
        <v>3.093676422692126</v>
      </c>
      <c r="Y19" s="8">
        <f t="shared" si="11"/>
        <v>90.29860619268139</v>
      </c>
      <c r="Z19" s="8">
        <f t="shared" si="12"/>
        <v>96.61652153762084</v>
      </c>
      <c r="AA19" s="4">
        <f t="shared" si="13"/>
        <v>0.13707711956795993</v>
      </c>
      <c r="AB19" s="4"/>
      <c r="AC19" s="1" t="str">
        <f t="shared" si="19"/>
        <v>4th decile:</v>
      </c>
      <c r="AD19" s="8">
        <f>AE19-AE18</f>
        <v>3.9768319749295102</v>
      </c>
      <c r="AE19" s="8">
        <f>AH10+((AH11-AH10)*(40-AG10)/(AG11-AG10))</f>
        <v>83.94060642065496</v>
      </c>
      <c r="AF19" s="8" t="str">
        <f>W36</f>
        <v>Top 20%:</v>
      </c>
      <c r="AG19" s="8">
        <f>AD16+AD17</f>
        <v>72.83238494941021</v>
      </c>
      <c r="AH19" s="8"/>
      <c r="AI19" s="8">
        <f>AI18/70.24</f>
        <v>1.3742247833666967</v>
      </c>
      <c r="AJ19" s="3">
        <f t="shared" si="10"/>
        <v>54.24476209223847</v>
      </c>
    </row>
    <row r="20" spans="1:36" ht="13.5">
      <c r="A20" s="1" t="s">
        <v>151</v>
      </c>
      <c r="B20" s="1" t="s">
        <v>157</v>
      </c>
      <c r="C20" s="8">
        <v>694.16</v>
      </c>
      <c r="D20" s="3">
        <v>32.5</v>
      </c>
      <c r="E20" s="4">
        <f t="shared" si="14"/>
        <v>22.560200000000002</v>
      </c>
      <c r="G20" s="1">
        <v>1</v>
      </c>
      <c r="K20" s="1" t="str">
        <f>A21</f>
        <v>Manual VI,(8)</v>
      </c>
      <c r="L20" s="1" t="str">
        <f>B21</f>
        <v>women</v>
      </c>
      <c r="M20" s="3">
        <f>(C21*F21*0.777)+(C21*G21*0.463)</f>
        <v>207.05360000000002</v>
      </c>
      <c r="N20" s="4">
        <f>(E21*F21*0.777)+(E21*G21*0.463)</f>
        <v>5.17634</v>
      </c>
      <c r="O20" s="3">
        <f>(C21*F21*0.223)+(C21*G21*0.537)</f>
        <v>240.1464</v>
      </c>
      <c r="P20" s="4">
        <f>(E21*F21*0.223)+(E21*G21*0.537)</f>
        <v>6.00366</v>
      </c>
      <c r="Q20" s="3">
        <f t="shared" si="8"/>
        <v>25</v>
      </c>
      <c r="R20" s="3">
        <f t="shared" si="9"/>
        <v>25</v>
      </c>
      <c r="S20" s="3"/>
      <c r="T20" s="1" t="str">
        <f t="shared" si="1"/>
        <v>Manual VI,(8)</v>
      </c>
      <c r="U20" s="1" t="str">
        <f t="shared" si="16"/>
        <v>women</v>
      </c>
      <c r="V20" s="8">
        <f t="shared" si="2"/>
        <v>207.05360000000002</v>
      </c>
      <c r="W20" s="4">
        <f t="shared" si="17"/>
        <v>1.6236108044</v>
      </c>
      <c r="X20" s="4">
        <f t="shared" si="18"/>
        <v>10.196305272341508</v>
      </c>
      <c r="Y20" s="8">
        <f t="shared" si="11"/>
        <v>94.05877326795607</v>
      </c>
      <c r="Z20" s="8">
        <f t="shared" si="12"/>
        <v>98.05536277625467</v>
      </c>
      <c r="AA20" s="4">
        <f t="shared" si="13"/>
        <v>0.38784261546906607</v>
      </c>
      <c r="AB20" s="4"/>
      <c r="AC20" s="1" t="str">
        <f t="shared" si="19"/>
        <v>5th decile:</v>
      </c>
      <c r="AD20" s="8">
        <f>AE20-AE19</f>
        <v>2.676486460659831</v>
      </c>
      <c r="AE20" s="8">
        <f>AH10+((AH11-AH10)*(50-AG10)/(AG11-AG10))</f>
        <v>86.61709288131479</v>
      </c>
      <c r="AF20" s="8" t="str">
        <f>W37</f>
        <v>Next 40%</v>
      </c>
      <c r="AG20" s="8">
        <f>AD18+AD19+AD20+2.677</f>
        <v>16.461707931904577</v>
      </c>
      <c r="AH20" s="8" t="str">
        <f>Y37</f>
        <v>Mid. 20%:</v>
      </c>
      <c r="AI20" s="8">
        <f>AD20+AD21</f>
        <v>5.3534864606598305</v>
      </c>
      <c r="AJ20" s="3">
        <f t="shared" si="10"/>
        <v>49.24476209223847</v>
      </c>
    </row>
    <row r="21" spans="1:36" ht="13.5">
      <c r="A21" s="1" t="s">
        <v>158</v>
      </c>
      <c r="B21" s="1" t="s">
        <v>159</v>
      </c>
      <c r="C21" s="8">
        <v>447.2</v>
      </c>
      <c r="D21" s="3">
        <v>25</v>
      </c>
      <c r="E21" s="4">
        <f t="shared" si="14"/>
        <v>11.18</v>
      </c>
      <c r="G21" s="1">
        <v>1</v>
      </c>
      <c r="K21" s="1" t="str">
        <f>A24</f>
        <v>Manual V, (4)</v>
      </c>
      <c r="L21" s="1" t="str">
        <f>B24</f>
        <v>women</v>
      </c>
      <c r="M21" s="3">
        <f>(C24*F24*0.777)+(C24*G24*0.463)</f>
        <v>137.048</v>
      </c>
      <c r="N21" s="4">
        <f>(E24*F24*0.777)+(E24*G24*0.463)</f>
        <v>2.8780080000000003</v>
      </c>
      <c r="O21" s="3">
        <f>(C24*F24*0.223)+(C24*G24*0.537)</f>
        <v>158.952</v>
      </c>
      <c r="P21" s="4">
        <f>(E24*F24*0.223)+(E24*G24*0.537)</f>
        <v>3.3379920000000003</v>
      </c>
      <c r="Q21" s="3">
        <f t="shared" si="8"/>
        <v>21</v>
      </c>
      <c r="R21" s="3">
        <f t="shared" si="9"/>
        <v>21</v>
      </c>
      <c r="S21" s="3"/>
      <c r="T21" s="1" t="str">
        <f t="shared" si="1"/>
        <v>Manual V, (4)</v>
      </c>
      <c r="U21" s="1" t="str">
        <f t="shared" si="16"/>
        <v>women</v>
      </c>
      <c r="V21" s="8">
        <f t="shared" si="2"/>
        <v>137.048</v>
      </c>
      <c r="W21" s="4">
        <f t="shared" si="17"/>
        <v>1.074661892</v>
      </c>
      <c r="X21" s="4">
        <f t="shared" si="18"/>
        <v>6.200704155217098</v>
      </c>
      <c r="Y21" s="8">
        <f t="shared" si="11"/>
        <v>96.54761372922911</v>
      </c>
      <c r="Z21" s="8">
        <f t="shared" si="12"/>
        <v>98.93036883078071</v>
      </c>
      <c r="AA21" s="4">
        <f t="shared" si="13"/>
        <v>0.15877170981399252</v>
      </c>
      <c r="AB21" s="4"/>
      <c r="AC21" s="1" t="str">
        <f t="shared" si="19"/>
        <v>6th decile:</v>
      </c>
      <c r="AD21" s="8">
        <f>2.677</f>
        <v>2.677</v>
      </c>
      <c r="AE21" s="8">
        <f>AD21+AE20</f>
        <v>89.2940928813148</v>
      </c>
      <c r="AF21" s="8" t="str">
        <f>W38</f>
        <v>Bot. 40%:</v>
      </c>
      <c r="AG21" s="8">
        <f>4*(2.677)</f>
        <v>10.708</v>
      </c>
      <c r="AH21" s="8" t="str">
        <f>Y38</f>
        <v>Bot. 20%:</v>
      </c>
      <c r="AI21" s="8">
        <f>AD24+AD25</f>
        <v>5.354</v>
      </c>
      <c r="AJ21" s="3">
        <f t="shared" si="10"/>
        <v>45.24476209223847</v>
      </c>
    </row>
    <row r="22" spans="1:36" ht="13.5">
      <c r="A22" s="1" t="s">
        <v>151</v>
      </c>
      <c r="B22" s="1" t="s">
        <v>160</v>
      </c>
      <c r="C22" s="8">
        <v>386.81</v>
      </c>
      <c r="D22" s="3">
        <v>23</v>
      </c>
      <c r="E22" s="4">
        <f t="shared" si="14"/>
        <v>8.89663</v>
      </c>
      <c r="I22" s="1">
        <v>1</v>
      </c>
      <c r="K22" s="1" t="str">
        <f>A19</f>
        <v>Manual VI,(7)</v>
      </c>
      <c r="L22" s="1" t="str">
        <f>B19</f>
        <v>men (b)</v>
      </c>
      <c r="M22" s="3">
        <f>(C19*F19*0.777)+(C19*G19*0.463)</f>
        <v>26.8065</v>
      </c>
      <c r="N22" s="4">
        <f>(E19*F19*0.777)+(E19*G19*0.463)</f>
        <v>0.53613</v>
      </c>
      <c r="O22" s="3">
        <f>(C19*F19*0.223)+(C19*G19*0.537)</f>
        <v>7.6935</v>
      </c>
      <c r="P22" s="4">
        <f>(E19*F19*0.223)+(E19*G19*0.537)</f>
        <v>0.15386999999999998</v>
      </c>
      <c r="Q22" s="3">
        <f t="shared" si="8"/>
        <v>19.999999999999996</v>
      </c>
      <c r="R22" s="3">
        <f t="shared" si="9"/>
        <v>20</v>
      </c>
      <c r="S22" s="3"/>
      <c r="T22" s="1" t="str">
        <f t="shared" si="1"/>
        <v>Manual VI,(7)</v>
      </c>
      <c r="U22" s="1" t="str">
        <f t="shared" si="16"/>
        <v>men (b)</v>
      </c>
      <c r="V22" s="8">
        <f t="shared" si="2"/>
        <v>26.8065</v>
      </c>
      <c r="W22" s="4">
        <f t="shared" si="17"/>
        <v>0.21020316974999997</v>
      </c>
      <c r="X22" s="4">
        <f t="shared" si="18"/>
        <v>1.1860472150255905</v>
      </c>
      <c r="Y22" s="8">
        <f t="shared" si="11"/>
        <v>97.03442931081452</v>
      </c>
      <c r="Z22" s="8">
        <f t="shared" si="12"/>
        <v>99.09773667612905</v>
      </c>
      <c r="AA22" s="4">
        <f t="shared" si="13"/>
        <v>0.021644124855724676</v>
      </c>
      <c r="AB22" s="4"/>
      <c r="AC22" s="1" t="str">
        <f t="shared" si="19"/>
        <v>7th decile:</v>
      </c>
      <c r="AD22" s="8">
        <f>2.677</f>
        <v>2.677</v>
      </c>
      <c r="AE22" s="8">
        <f>AD22+AE21</f>
        <v>91.9710928813148</v>
      </c>
      <c r="AF22" s="8"/>
      <c r="AG22" s="8">
        <f>AG19+AG20+AG21</f>
        <v>100.00209288131478</v>
      </c>
      <c r="AH22" s="8" t="str">
        <f>Y39</f>
        <v>1st/3rd:</v>
      </c>
      <c r="AI22" s="8">
        <f>AG19/AI20</f>
        <v>13.604664079123017</v>
      </c>
      <c r="AJ22" s="3">
        <f t="shared" si="10"/>
        <v>44.24476209223847</v>
      </c>
    </row>
    <row r="23" spans="1:36" ht="13.5">
      <c r="A23" s="1" t="s">
        <v>68</v>
      </c>
      <c r="B23" s="1" t="s">
        <v>161</v>
      </c>
      <c r="C23" s="8">
        <v>10.48</v>
      </c>
      <c r="D23" s="3">
        <v>21</v>
      </c>
      <c r="E23" s="4">
        <f t="shared" si="14"/>
        <v>0.22008000000000003</v>
      </c>
      <c r="H23" s="1">
        <v>1</v>
      </c>
      <c r="K23" s="1" t="str">
        <f>A25</f>
        <v>Manual IV,(2)</v>
      </c>
      <c r="L23" s="1" t="str">
        <f>B25</f>
        <v>women</v>
      </c>
      <c r="M23" s="3">
        <f>(C25*F25*0.777)+(C25*G25*0.463)</f>
        <v>17.594</v>
      </c>
      <c r="N23" s="4">
        <f>(E25*F25*0.777)+(E25*G25*0.463)</f>
        <v>0.334286</v>
      </c>
      <c r="O23" s="3">
        <f>(C25*F25*0.223)+(C25*G25*0.537)</f>
        <v>20.406000000000002</v>
      </c>
      <c r="P23" s="4">
        <f>(E25*F25*0.223)+(E25*G25*0.537)</f>
        <v>0.387714</v>
      </c>
      <c r="Q23" s="3">
        <f t="shared" si="8"/>
        <v>18.999999999999996</v>
      </c>
      <c r="R23" s="3">
        <f t="shared" si="9"/>
        <v>19</v>
      </c>
      <c r="S23" s="3"/>
      <c r="T23" s="1" t="str">
        <f t="shared" si="1"/>
        <v>Manual IV,(2)</v>
      </c>
      <c r="U23" s="1" t="str">
        <f t="shared" si="16"/>
        <v>women</v>
      </c>
      <c r="V23" s="8">
        <f t="shared" si="2"/>
        <v>17.594</v>
      </c>
      <c r="W23" s="4">
        <f t="shared" si="17"/>
        <v>0.137963351</v>
      </c>
      <c r="X23" s="4">
        <f t="shared" si="18"/>
        <v>0.7608483442508437</v>
      </c>
      <c r="Y23" s="8">
        <f t="shared" si="11"/>
        <v>97.35394261327525</v>
      </c>
      <c r="Z23" s="8">
        <f t="shared" si="12"/>
        <v>99.20510301568186</v>
      </c>
      <c r="AA23" s="4">
        <f t="shared" si="13"/>
        <v>0.012507245238406788</v>
      </c>
      <c r="AB23" s="4"/>
      <c r="AC23" s="1" t="str">
        <f t="shared" si="19"/>
        <v>8th decile:</v>
      </c>
      <c r="AD23" s="8">
        <f>2.677</f>
        <v>2.677</v>
      </c>
      <c r="AE23" s="8">
        <f>AD23+AE22</f>
        <v>94.64809288131481</v>
      </c>
      <c r="AF23" s="8"/>
      <c r="AG23" s="8"/>
      <c r="AH23" s="8" t="str">
        <f>Y40</f>
        <v>3rd/5th:</v>
      </c>
      <c r="AI23" s="8">
        <f>AI20/AI21</f>
        <v>0.9999040830518922</v>
      </c>
      <c r="AJ23" s="3">
        <f t="shared" si="10"/>
        <v>43.24476209223847</v>
      </c>
    </row>
    <row r="24" spans="1:36" ht="13.5">
      <c r="A24" s="1" t="s">
        <v>151</v>
      </c>
      <c r="B24" s="1" t="s">
        <v>159</v>
      </c>
      <c r="C24" s="8">
        <v>296</v>
      </c>
      <c r="D24" s="3">
        <v>21</v>
      </c>
      <c r="E24" s="4">
        <f t="shared" si="14"/>
        <v>6.216</v>
      </c>
      <c r="G24" s="1">
        <v>1</v>
      </c>
      <c r="K24" s="1" t="str">
        <f>A26</f>
        <v>Manual V, (3)</v>
      </c>
      <c r="L24" s="1" t="str">
        <f>B26</f>
        <v>women</v>
      </c>
      <c r="M24" s="3">
        <f>(C26*F26*0.777)+(C26*G26*0.463)</f>
        <v>43.059000000000005</v>
      </c>
      <c r="N24" s="4">
        <f>(E26*F26*0.777)+(E26*G26*0.463)</f>
        <v>0.818121</v>
      </c>
      <c r="O24" s="3">
        <f>(C26*F26*0.223)+(C26*G26*0.537)</f>
        <v>49.941</v>
      </c>
      <c r="P24" s="4">
        <f>(E26*F26*0.223)+(E26*G26*0.537)</f>
        <v>0.948879</v>
      </c>
      <c r="Q24" s="3">
        <f t="shared" si="8"/>
        <v>19</v>
      </c>
      <c r="R24" s="3">
        <f t="shared" si="9"/>
        <v>18.999999999999996</v>
      </c>
      <c r="S24" s="3"/>
      <c r="T24" s="1" t="str">
        <f t="shared" si="1"/>
        <v>Manual V, (3)</v>
      </c>
      <c r="U24" s="1" t="str">
        <f t="shared" si="16"/>
        <v>women</v>
      </c>
      <c r="V24" s="8">
        <f t="shared" si="2"/>
        <v>43.059000000000005</v>
      </c>
      <c r="W24" s="4">
        <f t="shared" si="17"/>
        <v>0.3376471485</v>
      </c>
      <c r="X24" s="4">
        <f t="shared" si="18"/>
        <v>1.8620762109296964</v>
      </c>
      <c r="Y24" s="8">
        <f t="shared" si="11"/>
        <v>98.13590937982387</v>
      </c>
      <c r="Z24" s="8">
        <f t="shared" si="12"/>
        <v>99.46786800458743</v>
      </c>
      <c r="AA24" s="4">
        <f t="shared" si="13"/>
        <v>0.024890932932156447</v>
      </c>
      <c r="AB24" s="4"/>
      <c r="AC24" s="1" t="str">
        <f t="shared" si="19"/>
        <v>9th decile:</v>
      </c>
      <c r="AD24" s="8">
        <f>2.677</f>
        <v>2.677</v>
      </c>
      <c r="AE24" s="8">
        <f>AD24+AE23</f>
        <v>97.32509288131482</v>
      </c>
      <c r="AF24" s="8"/>
      <c r="AG24" s="8"/>
      <c r="AH24" s="8"/>
      <c r="AI24" s="8"/>
      <c r="AJ24" s="3">
        <f t="shared" si="10"/>
        <v>43.24476209223847</v>
      </c>
    </row>
    <row r="25" spans="1:36" ht="13.5">
      <c r="A25" s="1" t="s">
        <v>71</v>
      </c>
      <c r="B25" s="1" t="s">
        <v>159</v>
      </c>
      <c r="C25" s="8">
        <v>38</v>
      </c>
      <c r="D25" s="3">
        <v>19</v>
      </c>
      <c r="E25" s="4">
        <f t="shared" si="14"/>
        <v>0.722</v>
      </c>
      <c r="G25" s="1">
        <v>1</v>
      </c>
      <c r="K25" s="1" t="str">
        <f>A28</f>
        <v>Manual VI,(5)</v>
      </c>
      <c r="L25" s="1" t="str">
        <f>B28</f>
        <v>women</v>
      </c>
      <c r="M25" s="3">
        <f>(C28*F28*0.777)+(C28*G28*0.463)</f>
        <v>20.9276</v>
      </c>
      <c r="N25" s="4">
        <f>(E28*F28*0.777)+(E28*G28*0.463)</f>
        <v>0.3871606</v>
      </c>
      <c r="O25" s="3">
        <f>(C28*F28*0.223)+(C28*G28*0.537)</f>
        <v>24.272400000000005</v>
      </c>
      <c r="P25" s="4">
        <f>(E28*F28*0.223)+(E28*G28*0.537)</f>
        <v>0.44903940000000003</v>
      </c>
      <c r="Q25" s="3">
        <f t="shared" si="8"/>
        <v>18.5</v>
      </c>
      <c r="R25" s="3">
        <f t="shared" si="9"/>
        <v>18.5</v>
      </c>
      <c r="S25" s="3"/>
      <c r="T25" s="1" t="str">
        <f t="shared" si="1"/>
        <v>Manual VI,(5)</v>
      </c>
      <c r="U25" s="1" t="str">
        <f t="shared" si="16"/>
        <v>women</v>
      </c>
      <c r="V25" s="8">
        <f t="shared" si="2"/>
        <v>20.9276</v>
      </c>
      <c r="W25" s="4">
        <f t="shared" si="17"/>
        <v>0.1641037754</v>
      </c>
      <c r="X25" s="4">
        <f t="shared" si="18"/>
        <v>0.8945452831615299</v>
      </c>
      <c r="Y25" s="8">
        <f t="shared" si="11"/>
        <v>98.51596204485611</v>
      </c>
      <c r="Z25" s="8">
        <f t="shared" si="12"/>
        <v>99.5941008515707</v>
      </c>
      <c r="AA25" s="4">
        <f t="shared" si="13"/>
        <v>0.009159639518206229</v>
      </c>
      <c r="AB25" s="4"/>
      <c r="AC25" s="1" t="str">
        <f t="shared" si="19"/>
        <v>10th decile:</v>
      </c>
      <c r="AD25" s="8">
        <f>2.677</f>
        <v>2.677</v>
      </c>
      <c r="AE25" s="8">
        <f>AD25+AE24</f>
        <v>100.00209288131482</v>
      </c>
      <c r="AF25" s="8"/>
      <c r="AG25" s="8"/>
      <c r="AH25" s="8"/>
      <c r="AI25" s="8"/>
      <c r="AJ25" s="3">
        <f t="shared" si="10"/>
        <v>42.744762092238474</v>
      </c>
    </row>
    <row r="26" spans="1:36" ht="13.5">
      <c r="A26" s="1" t="s">
        <v>149</v>
      </c>
      <c r="B26" s="1" t="s">
        <v>159</v>
      </c>
      <c r="C26" s="8">
        <v>93</v>
      </c>
      <c r="D26" s="3">
        <v>19</v>
      </c>
      <c r="E26" s="4">
        <f t="shared" si="14"/>
        <v>1.767</v>
      </c>
      <c r="G26" s="1">
        <v>1</v>
      </c>
      <c r="K26" s="1" t="str">
        <f>A29</f>
        <v>Manual IV,(1)</v>
      </c>
      <c r="L26" s="1" t="str">
        <f>B29</f>
        <v>women</v>
      </c>
      <c r="M26" s="3">
        <f>(C29*F29*0.777)+(C29*G29*0.463)</f>
        <v>1.06027</v>
      </c>
      <c r="N26" s="4">
        <f>(E29*F29*0.777)+(E29*G29*0.463)</f>
        <v>0.019084860000000002</v>
      </c>
      <c r="O26" s="3">
        <f>(C29*F29*0.223)+(C29*G29*0.537)</f>
        <v>1.22973</v>
      </c>
      <c r="P26" s="4">
        <f>(E29*F29*0.223)+(E29*G29*0.537)</f>
        <v>0.02213514</v>
      </c>
      <c r="Q26" s="3">
        <f t="shared" si="8"/>
        <v>18</v>
      </c>
      <c r="R26" s="3">
        <f t="shared" si="9"/>
        <v>18</v>
      </c>
      <c r="S26" s="3"/>
      <c r="T26" s="1" t="str">
        <f t="shared" si="1"/>
        <v>Manual IV,(1)</v>
      </c>
      <c r="U26" s="1" t="str">
        <f t="shared" si="16"/>
        <v>women</v>
      </c>
      <c r="V26" s="8">
        <f t="shared" si="2"/>
        <v>1.06027</v>
      </c>
      <c r="W26" s="4">
        <f t="shared" si="17"/>
        <v>0.008314107204999999</v>
      </c>
      <c r="X26" s="4">
        <f t="shared" si="18"/>
        <v>0.04479085390353768</v>
      </c>
      <c r="Y26" s="8">
        <f t="shared" si="11"/>
        <v>98.53521692545176</v>
      </c>
      <c r="Z26" s="8">
        <f t="shared" si="12"/>
        <v>99.60042146732206</v>
      </c>
      <c r="AA26" s="4">
        <f t="shared" si="13"/>
        <v>0.0004126982025249</v>
      </c>
      <c r="AB26" s="4"/>
      <c r="AD26" s="8"/>
      <c r="AE26" s="8"/>
      <c r="AF26" s="8"/>
      <c r="AG26" s="8"/>
      <c r="AH26" s="8"/>
      <c r="AI26" s="8"/>
      <c r="AJ26" s="3">
        <f t="shared" si="10"/>
        <v>42.24476209223847</v>
      </c>
    </row>
    <row r="27" spans="1:36" ht="13.5">
      <c r="A27" s="1" t="s">
        <v>71</v>
      </c>
      <c r="B27" s="1" t="s">
        <v>161</v>
      </c>
      <c r="C27" s="8">
        <v>208.9</v>
      </c>
      <c r="D27" s="3">
        <v>18.5</v>
      </c>
      <c r="E27" s="4">
        <f t="shared" si="14"/>
        <v>3.86465</v>
      </c>
      <c r="H27" s="1">
        <v>1</v>
      </c>
      <c r="K27" s="1" t="str">
        <f>A33</f>
        <v>Manual VI,(7)</v>
      </c>
      <c r="L27" s="1" t="str">
        <f>B33</f>
        <v>women</v>
      </c>
      <c r="M27" s="3">
        <f>(C33*F33*0.777)+(C33*G33*0.463)</f>
        <v>21.8999</v>
      </c>
      <c r="N27" s="4">
        <f>(E33*F33*0.777)+(E33*G33*0.463)</f>
        <v>0.31754855</v>
      </c>
      <c r="O27" s="3">
        <f>(C33*F33*0.223)+(C33*G33*0.537)</f>
        <v>25.4001</v>
      </c>
      <c r="P27" s="4">
        <f>(E33*F33*0.223)+(E33*G33*0.537)</f>
        <v>0.36830145</v>
      </c>
      <c r="Q27" s="3">
        <f t="shared" si="8"/>
        <v>14.5</v>
      </c>
      <c r="R27" s="3">
        <f t="shared" si="9"/>
        <v>14.5</v>
      </c>
      <c r="S27" s="3"/>
      <c r="T27" s="1" t="str">
        <f t="shared" si="1"/>
        <v>Manual VI,(7)</v>
      </c>
      <c r="U27" s="1" t="str">
        <f t="shared" si="16"/>
        <v>women</v>
      </c>
      <c r="V27" s="8">
        <f t="shared" si="2"/>
        <v>21.8999</v>
      </c>
      <c r="W27" s="4">
        <f t="shared" si="17"/>
        <v>0.17172806584999997</v>
      </c>
      <c r="X27" s="4">
        <f t="shared" si="18"/>
        <v>0.8485064153438131</v>
      </c>
      <c r="Y27" s="8">
        <f t="shared" si="11"/>
        <v>98.93292690456735</v>
      </c>
      <c r="Z27" s="8">
        <f t="shared" si="12"/>
        <v>99.72015758634096</v>
      </c>
      <c r="AA27" s="4">
        <f t="shared" si="13"/>
        <v>0.00736731974108401</v>
      </c>
      <c r="AB27" s="4"/>
      <c r="AD27" s="8"/>
      <c r="AE27" s="8"/>
      <c r="AF27" s="8"/>
      <c r="AG27" s="8"/>
      <c r="AH27" s="8"/>
      <c r="AI27" s="8"/>
      <c r="AJ27" s="3">
        <f t="shared" si="10"/>
        <v>38.74476209223847</v>
      </c>
    </row>
    <row r="28" spans="1:36" ht="13.5">
      <c r="A28" s="1" t="s">
        <v>152</v>
      </c>
      <c r="B28" s="1" t="s">
        <v>159</v>
      </c>
      <c r="C28" s="8">
        <v>45.2</v>
      </c>
      <c r="D28" s="3">
        <v>18.5</v>
      </c>
      <c r="E28" s="4">
        <f t="shared" si="14"/>
        <v>0.8362</v>
      </c>
      <c r="G28" s="1">
        <v>1</v>
      </c>
      <c r="K28" s="1" t="str">
        <f>A42</f>
        <v>Manual VI,(6)</v>
      </c>
      <c r="L28" s="1" t="str">
        <f>B42</f>
        <v>women</v>
      </c>
      <c r="M28" s="3">
        <f>(C42*F42*0.777)+(C42*G42*0.463)</f>
        <v>58.801</v>
      </c>
      <c r="N28" s="4">
        <f>(E42*F42*0.777)+(E42*G42*0.463)</f>
        <v>0.5586095</v>
      </c>
      <c r="O28" s="3">
        <f>(C42*F42*0.223)+(C42*G42*0.537)</f>
        <v>68.199</v>
      </c>
      <c r="P28" s="4">
        <f>(E42*F42*0.223)+(E42*G42*0.537)</f>
        <v>0.6478905</v>
      </c>
      <c r="Q28" s="3">
        <f t="shared" si="8"/>
        <v>9.500000000000002</v>
      </c>
      <c r="R28" s="3">
        <f t="shared" si="9"/>
        <v>9.5</v>
      </c>
      <c r="S28" s="3"/>
      <c r="T28" s="1" t="str">
        <f t="shared" si="1"/>
        <v>Manual VI,(6)</v>
      </c>
      <c r="U28" s="1" t="str">
        <f t="shared" si="16"/>
        <v>women</v>
      </c>
      <c r="V28" s="8">
        <f t="shared" si="2"/>
        <v>58.801</v>
      </c>
      <c r="W28" s="4">
        <f t="shared" si="17"/>
        <v>0.4610880415</v>
      </c>
      <c r="X28" s="4">
        <f t="shared" si="18"/>
        <v>1.9842257557857144</v>
      </c>
      <c r="Y28" s="8">
        <f t="shared" si="11"/>
        <v>100.00077399437032</v>
      </c>
      <c r="Z28" s="8">
        <f t="shared" si="12"/>
        <v>100.00015958392025</v>
      </c>
      <c r="AA28" s="4">
        <f t="shared" si="13"/>
        <v>0.008399858961245017</v>
      </c>
      <c r="AB28" s="4"/>
      <c r="AJ28" s="3">
        <f t="shared" si="10"/>
        <v>33.744762092238474</v>
      </c>
    </row>
    <row r="29" spans="1:36" ht="13.5">
      <c r="A29" s="1" t="s">
        <v>68</v>
      </c>
      <c r="B29" s="1" t="s">
        <v>159</v>
      </c>
      <c r="C29" s="8">
        <v>2.29</v>
      </c>
      <c r="D29" s="3">
        <v>18</v>
      </c>
      <c r="E29" s="4">
        <f t="shared" si="14"/>
        <v>0.04122</v>
      </c>
      <c r="G29" s="1">
        <v>1</v>
      </c>
      <c r="L29" s="1" t="s">
        <v>162</v>
      </c>
      <c r="M29" s="3">
        <f>SUM(M7:M28)</f>
        <v>5506.54262</v>
      </c>
      <c r="N29" s="4">
        <f>SUM(N7:N28)</f>
        <v>512.5884605900001</v>
      </c>
      <c r="O29" s="3">
        <f>SUM(O7:O28)</f>
        <v>2303.8173799999995</v>
      </c>
      <c r="P29" s="4">
        <f>SUM(P7:P28)</f>
        <v>165.38574941</v>
      </c>
      <c r="Q29" s="3">
        <f t="shared" si="8"/>
        <v>71.78769934012739</v>
      </c>
      <c r="R29" s="3">
        <f t="shared" si="9"/>
        <v>93.08716847632428</v>
      </c>
      <c r="S29" s="3"/>
      <c r="U29" s="1" t="str">
        <f t="shared" si="16"/>
        <v>Totals:</v>
      </c>
      <c r="V29" s="8">
        <f t="shared" si="2"/>
        <v>5506.54262</v>
      </c>
      <c r="W29" s="4">
        <f>W30</f>
        <v>30.673074639154994</v>
      </c>
      <c r="X29" s="4">
        <f>SUM(X7:X28)</f>
        <v>708.6481308866632</v>
      </c>
      <c r="AA29" s="20" t="s">
        <v>163</v>
      </c>
      <c r="AB29" s="28"/>
      <c r="AC29" s="1" t="s">
        <v>164</v>
      </c>
      <c r="AJ29" s="3"/>
    </row>
    <row r="30" spans="1:36" ht="13.5">
      <c r="A30" s="1" t="s">
        <v>149</v>
      </c>
      <c r="B30" s="1" t="s">
        <v>161</v>
      </c>
      <c r="C30" s="8">
        <v>143.74</v>
      </c>
      <c r="D30" s="3">
        <v>16.5</v>
      </c>
      <c r="E30" s="4">
        <f t="shared" si="14"/>
        <v>2.37171</v>
      </c>
      <c r="H30" s="1">
        <v>1</v>
      </c>
      <c r="L30" s="1" t="s">
        <v>165</v>
      </c>
      <c r="M30" s="3">
        <f>M12+M13+SUM(M14:M28)</f>
        <v>3911.633570000001</v>
      </c>
      <c r="N30" s="4">
        <f>N12+N13+SUM(N14:N28)</f>
        <v>159.89650559</v>
      </c>
      <c r="O30" s="3">
        <f>O12+O13+SUM(O14:O28)</f>
        <v>1846.0764300000003</v>
      </c>
      <c r="P30" s="4">
        <f>P12+P13+SUM(P14:P28)</f>
        <v>64.16270441</v>
      </c>
      <c r="Q30" s="3">
        <f t="shared" si="8"/>
        <v>34.75625568222004</v>
      </c>
      <c r="R30" s="3">
        <f t="shared" si="9"/>
        <v>40.87716876558046</v>
      </c>
      <c r="S30" s="3"/>
      <c r="U30" s="1" t="str">
        <f t="shared" si="16"/>
        <v>Manual:</v>
      </c>
      <c r="V30" s="8">
        <f t="shared" si="2"/>
        <v>3911.633570000001</v>
      </c>
      <c r="W30" s="4">
        <f>SUM(W12:W28)</f>
        <v>30.673074639154994</v>
      </c>
      <c r="X30" s="4">
        <f>SUM(X12:X28)</f>
        <v>254.7331308866634</v>
      </c>
      <c r="AA30" s="21">
        <f>SUM(AA7:AA28)</f>
        <v>48.9662530748428</v>
      </c>
      <c r="AB30" s="28"/>
      <c r="AC30" s="1" t="s">
        <v>166</v>
      </c>
      <c r="AJ30" s="3"/>
    </row>
    <row r="31" spans="1:36" ht="13.5">
      <c r="A31" s="1" t="s">
        <v>151</v>
      </c>
      <c r="B31" s="1" t="s">
        <v>161</v>
      </c>
      <c r="C31" s="8">
        <v>350.53</v>
      </c>
      <c r="D31" s="3">
        <v>15.5</v>
      </c>
      <c r="E31" s="4">
        <f t="shared" si="14"/>
        <v>5.433214999999999</v>
      </c>
      <c r="H31" s="1">
        <v>1</v>
      </c>
      <c r="M31" s="3"/>
      <c r="N31" s="4"/>
      <c r="O31" s="3"/>
      <c r="P31" s="4"/>
      <c r="W31" s="4"/>
      <c r="X31" s="4"/>
      <c r="AA31" s="8"/>
      <c r="AB31" s="8"/>
      <c r="AC31" s="1" t="s">
        <v>167</v>
      </c>
      <c r="AJ31" s="3"/>
    </row>
    <row r="32" spans="1:36" ht="13.5">
      <c r="A32" s="1" t="s">
        <v>152</v>
      </c>
      <c r="B32" s="1" t="s">
        <v>168</v>
      </c>
      <c r="C32" s="8">
        <v>24.28</v>
      </c>
      <c r="D32" s="3">
        <v>15.5</v>
      </c>
      <c r="E32" s="4">
        <f t="shared" si="14"/>
        <v>0.37634</v>
      </c>
      <c r="I32" s="1">
        <v>1</v>
      </c>
      <c r="K32" s="1" t="s">
        <v>107</v>
      </c>
      <c r="M32" s="3"/>
      <c r="N32" s="4"/>
      <c r="O32" s="4"/>
      <c r="V32" s="8" t="s">
        <v>108</v>
      </c>
      <c r="X32" s="4"/>
      <c r="AC32" s="1" t="s">
        <v>109</v>
      </c>
      <c r="AJ32" s="3"/>
    </row>
    <row r="33" spans="1:36" ht="13.5">
      <c r="A33" s="1" t="s">
        <v>154</v>
      </c>
      <c r="B33" s="1" t="s">
        <v>159</v>
      </c>
      <c r="C33" s="8">
        <v>47.3</v>
      </c>
      <c r="D33" s="3">
        <v>14.5</v>
      </c>
      <c r="E33" s="4">
        <f t="shared" si="14"/>
        <v>0.68585</v>
      </c>
      <c r="G33" s="1">
        <v>1</v>
      </c>
      <c r="K33" s="1" t="s">
        <v>110</v>
      </c>
      <c r="M33" s="3"/>
      <c r="N33" s="4"/>
      <c r="O33" s="4"/>
      <c r="T33" s="1" t="s">
        <v>111</v>
      </c>
      <c r="U33" s="8">
        <f>V33</f>
        <v>49.829791437264106</v>
      </c>
      <c r="V33" s="8">
        <f>Z10+((Z11-Z10)*(10-Y10)/(Y11-Y10))</f>
        <v>49.829791437264106</v>
      </c>
      <c r="W33" s="8" t="s">
        <v>112</v>
      </c>
      <c r="X33" s="8">
        <f>Z8+((Z9-Z8)*(1-Y8)/(Y9-Y8))</f>
        <v>28.559411959984597</v>
      </c>
      <c r="Y33" s="8"/>
      <c r="Z33" s="8"/>
      <c r="AC33" s="1" t="s">
        <v>113</v>
      </c>
      <c r="AJ33" s="3"/>
    </row>
    <row r="34" spans="1:36" ht="13.5">
      <c r="A34" s="1" t="s">
        <v>154</v>
      </c>
      <c r="B34" s="1" t="s">
        <v>168</v>
      </c>
      <c r="C34" s="8">
        <v>25.14</v>
      </c>
      <c r="D34" s="3">
        <v>14.5</v>
      </c>
      <c r="E34" s="4">
        <f t="shared" si="14"/>
        <v>0.36453</v>
      </c>
      <c r="I34" s="1">
        <v>1</v>
      </c>
      <c r="K34" s="1" t="s">
        <v>114</v>
      </c>
      <c r="M34" s="3"/>
      <c r="N34" s="4"/>
      <c r="O34" s="4"/>
      <c r="T34" s="1" t="s">
        <v>115</v>
      </c>
      <c r="U34" s="8">
        <f aca="true" t="shared" si="20" ref="U34:U42">V34-V33</f>
        <v>7.500461222263212</v>
      </c>
      <c r="V34" s="8">
        <f>Z11-((Z11-Z10)*(Y11-20)/(Y11-Y10))</f>
        <v>57.33025265952732</v>
      </c>
      <c r="W34" s="8" t="s">
        <v>116</v>
      </c>
      <c r="X34" s="8">
        <f>Z9+((Z10-Z9)*(5-Y9)/(Y10-Y9))</f>
        <v>41.227305955587056</v>
      </c>
      <c r="Y34" s="8" t="s">
        <v>117</v>
      </c>
      <c r="Z34" s="8">
        <f>1000*X29/V29</f>
        <v>128.69202688322483</v>
      </c>
      <c r="AC34" s="1" t="s">
        <v>288</v>
      </c>
      <c r="AJ34" s="3"/>
    </row>
    <row r="35" spans="1:36" ht="13.5">
      <c r="A35" s="1" t="s">
        <v>68</v>
      </c>
      <c r="B35" s="1" t="s">
        <v>168</v>
      </c>
      <c r="C35" s="8">
        <v>1.8</v>
      </c>
      <c r="D35" s="3">
        <v>13.5</v>
      </c>
      <c r="E35" s="4">
        <f t="shared" si="14"/>
        <v>0.024300000000000002</v>
      </c>
      <c r="I35" s="1">
        <v>1</v>
      </c>
      <c r="M35" s="3"/>
      <c r="N35" s="4"/>
      <c r="O35" s="4"/>
      <c r="T35" s="1" t="s">
        <v>289</v>
      </c>
      <c r="U35" s="8">
        <f t="shared" si="20"/>
        <v>7.461761342121619</v>
      </c>
      <c r="V35" s="8">
        <f>Z12+((Z13-Z12)*(30-Y12)/(Y13-Y12))</f>
        <v>64.79201400164894</v>
      </c>
      <c r="W35" s="8"/>
      <c r="X35" s="8"/>
      <c r="Y35" s="8" t="s">
        <v>290</v>
      </c>
      <c r="Z35" s="8">
        <f>1000*X15/V15</f>
        <v>70.24476209223847</v>
      </c>
      <c r="AC35" s="1" t="s">
        <v>291</v>
      </c>
      <c r="AJ35" s="3"/>
    </row>
    <row r="36" spans="1:36" ht="13.5">
      <c r="A36" s="1" t="s">
        <v>71</v>
      </c>
      <c r="B36" s="1" t="s">
        <v>168</v>
      </c>
      <c r="C36" s="8">
        <v>20.7</v>
      </c>
      <c r="D36" s="3">
        <v>13.5</v>
      </c>
      <c r="E36" s="4">
        <f t="shared" si="14"/>
        <v>0.27945</v>
      </c>
      <c r="I36" s="1">
        <v>1</v>
      </c>
      <c r="K36" s="1" t="s">
        <v>292</v>
      </c>
      <c r="N36" s="4"/>
      <c r="O36" s="4"/>
      <c r="T36" s="1" t="s">
        <v>293</v>
      </c>
      <c r="U36" s="8">
        <f t="shared" si="20"/>
        <v>6.546189886656009</v>
      </c>
      <c r="V36" s="8">
        <f>Z13-((Z13-Z12)*(Y13-40)/(Y13-Y12))</f>
        <v>71.33820388830495</v>
      </c>
      <c r="W36" s="8" t="s">
        <v>294</v>
      </c>
      <c r="X36" s="8">
        <f>U33+U34</f>
        <v>57.33025265952732</v>
      </c>
      <c r="Y36" s="8"/>
      <c r="Z36" s="8"/>
      <c r="AC36" s="1" t="s">
        <v>295</v>
      </c>
      <c r="AJ36" s="3"/>
    </row>
    <row r="37" spans="1:36" ht="13.5">
      <c r="A37" s="1" t="s">
        <v>149</v>
      </c>
      <c r="B37" s="1" t="s">
        <v>168</v>
      </c>
      <c r="C37" s="8">
        <v>57.78</v>
      </c>
      <c r="D37" s="3">
        <v>13.5</v>
      </c>
      <c r="E37" s="4">
        <f t="shared" si="14"/>
        <v>0.78003</v>
      </c>
      <c r="I37" s="1">
        <v>1</v>
      </c>
      <c r="K37" s="1" t="s">
        <v>296</v>
      </c>
      <c r="T37" s="1" t="s">
        <v>262</v>
      </c>
      <c r="U37" s="8">
        <f t="shared" si="20"/>
        <v>5.93131860377467</v>
      </c>
      <c r="V37" s="8">
        <f>Z14+((Z15-Z14)*(50-Y14)/(Y15-Y14))</f>
        <v>77.26952249207962</v>
      </c>
      <c r="W37" s="8" t="s">
        <v>263</v>
      </c>
      <c r="X37" s="8">
        <f>U35+U36+U37+U38</f>
        <v>25.39759792059769</v>
      </c>
      <c r="Y37" s="8" t="s">
        <v>264</v>
      </c>
      <c r="Z37" s="8">
        <f>U37+U38</f>
        <v>11.389646691820062</v>
      </c>
      <c r="AC37" s="1" t="s">
        <v>265</v>
      </c>
      <c r="AJ37" s="3"/>
    </row>
    <row r="38" spans="1:36" ht="13.5">
      <c r="A38" s="1" t="s">
        <v>152</v>
      </c>
      <c r="B38" s="1" t="s">
        <v>161</v>
      </c>
      <c r="C38" s="8">
        <v>89.7</v>
      </c>
      <c r="D38" s="3">
        <v>13.5</v>
      </c>
      <c r="E38" s="4">
        <f t="shared" si="14"/>
        <v>1.21095</v>
      </c>
      <c r="H38" s="1">
        <v>1</v>
      </c>
      <c r="K38" s="1" t="s">
        <v>266</v>
      </c>
      <c r="T38" s="1" t="s">
        <v>267</v>
      </c>
      <c r="U38" s="8">
        <f t="shared" si="20"/>
        <v>5.458328088045391</v>
      </c>
      <c r="V38" s="8">
        <f>Z15-((Z15-Z14)*(Y15-60)/(Y15-Y14))</f>
        <v>82.72785058012501</v>
      </c>
      <c r="W38" s="8" t="s">
        <v>268</v>
      </c>
      <c r="X38" s="8">
        <f>U42+U41+U40+U39</f>
        <v>17.272149419874992</v>
      </c>
      <c r="Y38" s="8" t="s">
        <v>269</v>
      </c>
      <c r="Z38" s="8">
        <f>U41+U42</f>
        <v>7.917653604302188</v>
      </c>
      <c r="AC38" s="1" t="s">
        <v>270</v>
      </c>
      <c r="AJ38" s="3"/>
    </row>
    <row r="39" spans="1:36" ht="13.5">
      <c r="A39" s="1" t="s">
        <v>151</v>
      </c>
      <c r="B39" s="1" t="s">
        <v>168</v>
      </c>
      <c r="C39" s="8">
        <v>187.56</v>
      </c>
      <c r="D39" s="3">
        <v>12.5</v>
      </c>
      <c r="E39" s="4">
        <f t="shared" si="14"/>
        <v>2.3445</v>
      </c>
      <c r="I39" s="1">
        <v>1</v>
      </c>
      <c r="K39" s="1" t="s">
        <v>128</v>
      </c>
      <c r="T39" s="1" t="s">
        <v>129</v>
      </c>
      <c r="U39" s="8">
        <f t="shared" si="20"/>
        <v>4.906325111951531</v>
      </c>
      <c r="V39" s="8">
        <f>Z16+((Z17-Z16)*(70-Y16)/(Y17-Y16))</f>
        <v>87.63417569207654</v>
      </c>
      <c r="W39" s="8"/>
      <c r="X39" s="8"/>
      <c r="Y39" s="8" t="s">
        <v>130</v>
      </c>
      <c r="Z39" s="8">
        <f>100*X36/Z37</f>
        <v>503.3540917533585</v>
      </c>
      <c r="AJ39" s="3"/>
    </row>
    <row r="40" spans="1:36" ht="13.5">
      <c r="A40" s="1" t="s">
        <v>154</v>
      </c>
      <c r="B40" s="1" t="s">
        <v>161</v>
      </c>
      <c r="C40" s="8">
        <v>22.28</v>
      </c>
      <c r="D40" s="3">
        <v>12.5</v>
      </c>
      <c r="E40" s="4">
        <f t="shared" si="14"/>
        <v>0.2785</v>
      </c>
      <c r="H40" s="1">
        <v>1</v>
      </c>
      <c r="K40" s="1" t="s">
        <v>131</v>
      </c>
      <c r="T40" s="1" t="s">
        <v>132</v>
      </c>
      <c r="U40" s="8">
        <f t="shared" si="20"/>
        <v>4.4481707036212725</v>
      </c>
      <c r="V40" s="8">
        <f>Z17-((Z17-Z16)*(Y17-80)/(Y17-Y16))</f>
        <v>92.08234639569781</v>
      </c>
      <c r="W40" s="8"/>
      <c r="X40" s="8"/>
      <c r="Y40" s="8" t="s">
        <v>133</v>
      </c>
      <c r="Z40" s="8">
        <f>100*Z37/Z38</f>
        <v>143.85128803350665</v>
      </c>
      <c r="AC40" s="1" t="s">
        <v>134</v>
      </c>
      <c r="AJ40" s="3"/>
    </row>
    <row r="41" spans="1:36" ht="13.5">
      <c r="A41" s="1" t="s">
        <v>158</v>
      </c>
      <c r="B41" s="1" t="s">
        <v>168</v>
      </c>
      <c r="C41" s="8">
        <v>97.34</v>
      </c>
      <c r="D41" s="3">
        <v>10.5</v>
      </c>
      <c r="E41" s="4">
        <f t="shared" si="14"/>
        <v>1.02207</v>
      </c>
      <c r="I41" s="1">
        <v>1</v>
      </c>
      <c r="K41" s="1" t="s">
        <v>135</v>
      </c>
      <c r="T41" s="1" t="s">
        <v>136</v>
      </c>
      <c r="U41" s="8">
        <f t="shared" si="20"/>
        <v>4.408310915884925</v>
      </c>
      <c r="V41" s="8">
        <f>Z19-((Z19-Z18)*(Y19-90)/(Y19-Y18))</f>
        <v>96.49065731158274</v>
      </c>
      <c r="W41" s="8"/>
      <c r="X41" s="8"/>
      <c r="Y41" s="8"/>
      <c r="Z41" s="8"/>
      <c r="AC41" s="1" t="s">
        <v>137</v>
      </c>
      <c r="AJ41" s="3"/>
    </row>
    <row r="42" spans="1:36" ht="13.5">
      <c r="A42" s="1" t="s">
        <v>153</v>
      </c>
      <c r="B42" s="1" t="s">
        <v>159</v>
      </c>
      <c r="C42" s="8">
        <v>127</v>
      </c>
      <c r="D42" s="3">
        <v>9.5</v>
      </c>
      <c r="E42" s="4">
        <f t="shared" si="14"/>
        <v>1.2065</v>
      </c>
      <c r="G42" s="1">
        <v>1</v>
      </c>
      <c r="K42" s="1" t="s">
        <v>138</v>
      </c>
      <c r="T42" s="1" t="s">
        <v>139</v>
      </c>
      <c r="U42" s="8">
        <f t="shared" si="20"/>
        <v>3.509342688417263</v>
      </c>
      <c r="V42" s="8">
        <f>100</f>
        <v>100</v>
      </c>
      <c r="W42" s="8"/>
      <c r="X42" s="8"/>
      <c r="Y42" s="8"/>
      <c r="Z42" s="8"/>
      <c r="AJ42" s="3"/>
    </row>
    <row r="43" spans="1:36" ht="13.5">
      <c r="A43" s="1" t="s">
        <v>153</v>
      </c>
      <c r="B43" s="1" t="s">
        <v>161</v>
      </c>
      <c r="C43" s="8">
        <v>364.7</v>
      </c>
      <c r="D43" s="3">
        <v>8</v>
      </c>
      <c r="E43" s="4">
        <f t="shared" si="14"/>
        <v>2.9175999999999997</v>
      </c>
      <c r="H43" s="1">
        <v>1</v>
      </c>
      <c r="K43" s="1" t="s">
        <v>140</v>
      </c>
      <c r="AC43" s="1" t="s">
        <v>141</v>
      </c>
      <c r="AJ43" s="3"/>
    </row>
    <row r="44" spans="1:36" ht="13.5">
      <c r="A44" s="1" t="s">
        <v>153</v>
      </c>
      <c r="B44" s="1" t="s">
        <v>168</v>
      </c>
      <c r="C44" s="8">
        <v>36.1</v>
      </c>
      <c r="D44" s="3">
        <v>8</v>
      </c>
      <c r="E44" s="4">
        <f t="shared" si="14"/>
        <v>0.2888</v>
      </c>
      <c r="I44" s="1">
        <v>1</v>
      </c>
      <c r="K44" s="1" t="s">
        <v>142</v>
      </c>
      <c r="AC44" s="1" t="s">
        <v>143</v>
      </c>
      <c r="AJ44" s="3"/>
    </row>
    <row r="45" spans="2:36" ht="13.5">
      <c r="B45" s="1" t="s">
        <v>162</v>
      </c>
      <c r="C45" s="8">
        <f>SUM(C7:C44)</f>
        <v>9838.200000000003</v>
      </c>
      <c r="D45" s="3">
        <f>1000*E45/C45</f>
        <v>72.03020522046714</v>
      </c>
      <c r="E45" s="4">
        <f>SUM(E7:E44)</f>
        <v>708.647565</v>
      </c>
      <c r="F45" s="1" t="s">
        <v>144</v>
      </c>
      <c r="K45" s="1" t="s">
        <v>145</v>
      </c>
      <c r="AJ45" s="3"/>
    </row>
    <row r="46" spans="1:36" ht="13.5">
      <c r="A46" s="9" t="s">
        <v>146</v>
      </c>
      <c r="B46" s="10"/>
      <c r="C46" s="12">
        <v>9838</v>
      </c>
      <c r="D46" s="13">
        <f>1000*E46/C46</f>
        <v>67.28288269973572</v>
      </c>
      <c r="E46" s="14">
        <v>661.929</v>
      </c>
      <c r="K46" s="1" t="s">
        <v>147</v>
      </c>
      <c r="T46" s="1" t="s">
        <v>148</v>
      </c>
      <c r="AJ46" s="3"/>
    </row>
    <row r="47" spans="2:36" ht="13.5">
      <c r="B47" s="1" t="s">
        <v>313</v>
      </c>
      <c r="C47" s="8">
        <f>SUM(C7:C19)</f>
        <v>6020.209999999998</v>
      </c>
      <c r="D47" s="3">
        <f>1000*E47/C47</f>
        <v>105.1058418227936</v>
      </c>
      <c r="E47" s="4">
        <f>SUM(E7:E19)</f>
        <v>632.75924</v>
      </c>
      <c r="K47" s="1" t="s">
        <v>314</v>
      </c>
      <c r="T47" s="1" t="s">
        <v>315</v>
      </c>
      <c r="AJ47" s="3"/>
    </row>
    <row r="48" spans="2:36" ht="13.5">
      <c r="B48" s="1" t="s">
        <v>316</v>
      </c>
      <c r="C48" s="8">
        <f>C20+C21+C24+C25+C26+C28+C29+C33+C42</f>
        <v>1790.1499999999999</v>
      </c>
      <c r="D48" s="3">
        <f>1000*E48/C48</f>
        <v>25.257643214255797</v>
      </c>
      <c r="E48" s="4">
        <f>E20+E21+E24+E25+E26+E28+E29+E33+E42</f>
        <v>45.21497000000001</v>
      </c>
      <c r="K48" s="1" t="s">
        <v>317</v>
      </c>
      <c r="T48" s="1" t="s">
        <v>318</v>
      </c>
      <c r="AJ48" s="3"/>
    </row>
    <row r="49" spans="2:36" ht="13.5">
      <c r="B49" s="1" t="s">
        <v>319</v>
      </c>
      <c r="C49" s="8">
        <f>C45-C47-C48</f>
        <v>2027.8400000000045</v>
      </c>
      <c r="D49" s="3">
        <f>1000*E49/C49</f>
        <v>15.12612188338327</v>
      </c>
      <c r="E49" s="4">
        <f>E45-E47-E48</f>
        <v>30.673355</v>
      </c>
      <c r="K49" s="1" t="s">
        <v>320</v>
      </c>
      <c r="T49" s="1" t="s">
        <v>169</v>
      </c>
      <c r="AJ49" s="3"/>
    </row>
    <row r="50" spans="1:36" ht="13.5">
      <c r="A50" s="1" t="s">
        <v>170</v>
      </c>
      <c r="C50" s="1">
        <v>21614.12</v>
      </c>
      <c r="D50" s="15">
        <f>E45/(C50/1000)</f>
        <v>32.78632509674232</v>
      </c>
      <c r="E50" s="1" t="s">
        <v>171</v>
      </c>
      <c r="AJ50" s="3"/>
    </row>
    <row r="51" spans="4:36" ht="13.5">
      <c r="D51" s="28"/>
      <c r="AJ51" s="3"/>
    </row>
    <row r="52" spans="2:36" ht="13.5">
      <c r="B52" s="27" t="s">
        <v>172</v>
      </c>
      <c r="C52" s="7"/>
      <c r="L52" s="6" t="s">
        <v>173</v>
      </c>
      <c r="R52" s="22" t="s">
        <v>174</v>
      </c>
      <c r="S52" s="22"/>
      <c r="U52" s="5" t="s">
        <v>173</v>
      </c>
      <c r="X52" s="1" t="str">
        <f>X3</f>
        <v>All income</v>
      </c>
      <c r="AD52" s="5" t="s">
        <v>173</v>
      </c>
      <c r="AJ52" s="3"/>
    </row>
    <row r="53" spans="5:36" ht="13.5">
      <c r="E53" s="1" t="str">
        <f aca="true" t="shared" si="21" ref="E53:F55">E4</f>
        <v>  Total</v>
      </c>
      <c r="F53" s="1" t="str">
        <f t="shared" si="21"/>
        <v>Demographic group</v>
      </c>
      <c r="N53" s="1" t="str">
        <f>N4</f>
        <v>      heads'</v>
      </c>
      <c r="O53" s="7" t="str">
        <f>O4</f>
        <v>Non-head adults:</v>
      </c>
      <c r="P53" s="7"/>
      <c r="Q53" s="1" t="str">
        <f>Q4</f>
        <v>Check:</v>
      </c>
      <c r="W53" s="1" t="str">
        <f>W4</f>
        <v>Kids'</v>
      </c>
      <c r="X53" s="1" t="str">
        <f>X4</f>
        <v>incl. kids'</v>
      </c>
      <c r="AE53" s="1" t="str">
        <f aca="true" t="shared" si="22" ref="AE53:AG55">AE4</f>
        <v>1000s of </v>
      </c>
      <c r="AF53" s="1" t="str">
        <f t="shared" si="22"/>
        <v>Their</v>
      </c>
      <c r="AG53" s="1" t="str">
        <f t="shared" si="22"/>
        <v>Cumulative % shares:</v>
      </c>
      <c r="AJ53" s="3"/>
    </row>
    <row r="54" spans="1:36" ht="13.5">
      <c r="A54" s="1" t="str">
        <f aca="true" t="shared" si="23" ref="A54:A93">A5</f>
        <v>Income class, </v>
      </c>
      <c r="C54" s="1" t="str">
        <f>C5</f>
        <v>1000s of</v>
      </c>
      <c r="D54" s="1" t="str">
        <f>D5</f>
        <v>Ave. annual</v>
      </c>
      <c r="E54" s="1" t="str">
        <f t="shared" si="21"/>
        <v>income</v>
      </c>
      <c r="F54" s="1" t="str">
        <f t="shared" si="21"/>
        <v>n.a. or</v>
      </c>
      <c r="K54" s="1" t="s">
        <v>21</v>
      </c>
      <c r="M54" s="3" t="s">
        <v>17</v>
      </c>
      <c r="N54" s="4" t="s">
        <v>26</v>
      </c>
      <c r="O54" s="3" t="s">
        <v>27</v>
      </c>
      <c r="P54" s="4" t="s">
        <v>175</v>
      </c>
      <c r="Q54" s="3" t="s">
        <v>29</v>
      </c>
      <c r="R54" s="3" t="s">
        <v>30</v>
      </c>
      <c r="S54" s="3"/>
      <c r="T54" s="1" t="str">
        <f>T5</f>
        <v>Income class, </v>
      </c>
      <c r="V54" s="8" t="str">
        <f>V5</f>
        <v>1000s of </v>
      </c>
      <c r="W54" s="1" t="str">
        <f>W5</f>
        <v>income</v>
      </c>
      <c r="X54" s="1" t="str">
        <f>X5</f>
        <v>and adult</v>
      </c>
      <c r="Y54" s="1" t="str">
        <f>Y5</f>
        <v>Cumulative % of:</v>
      </c>
      <c r="AA54" s="1" t="str">
        <f>AA5</f>
        <v>  Contrib.</v>
      </c>
      <c r="AC54" s="1" t="str">
        <f aca="true" t="shared" si="24" ref="AC54:AC60">AC5</f>
        <v>Income class, </v>
      </c>
      <c r="AE54" s="1" t="str">
        <f t="shared" si="22"/>
        <v>franchised</v>
      </c>
      <c r="AF54" s="1" t="str">
        <f t="shared" si="22"/>
        <v>h'hold </v>
      </c>
      <c r="AG54" s="1" t="str">
        <f t="shared" si="22"/>
        <v>Franchised</v>
      </c>
      <c r="AI54" s="1" t="str">
        <f>AI5</f>
        <v>Contrib.</v>
      </c>
      <c r="AJ54" s="3"/>
    </row>
    <row r="55" spans="1:36" ht="13.5">
      <c r="A55" s="1" t="str">
        <f t="shared" si="23"/>
        <v>   subdivision</v>
      </c>
      <c r="C55" s="1" t="str">
        <f>C6</f>
        <v>recipients</v>
      </c>
      <c r="D55" s="1" t="str">
        <f>D6</f>
        <v> income (£)</v>
      </c>
      <c r="E55" s="1" t="str">
        <f t="shared" si="21"/>
        <v> (£ m.)</v>
      </c>
      <c r="F55" s="1" t="str">
        <f t="shared" si="21"/>
        <v>  men</v>
      </c>
      <c r="G55" s="1" t="str">
        <f aca="true" t="shared" si="25" ref="G55:I74">G6</f>
        <v>Women</v>
      </c>
      <c r="H55" s="1" t="str">
        <f t="shared" si="25"/>
        <v> Boys</v>
      </c>
      <c r="I55" s="1" t="str">
        <f t="shared" si="25"/>
        <v> Girls</v>
      </c>
      <c r="K55" s="1" t="s">
        <v>39</v>
      </c>
      <c r="M55" s="3" t="s">
        <v>47</v>
      </c>
      <c r="N55" s="4" t="s">
        <v>48</v>
      </c>
      <c r="O55" s="3" t="s">
        <v>49</v>
      </c>
      <c r="P55" s="4" t="s">
        <v>50</v>
      </c>
      <c r="Q55" s="3" t="s">
        <v>51</v>
      </c>
      <c r="R55" s="3" t="s">
        <v>51</v>
      </c>
      <c r="S55" s="3"/>
      <c r="T55" s="1" t="str">
        <f>T6</f>
        <v>   subdivision</v>
      </c>
      <c r="V55" s="8" t="str">
        <f>V6</f>
        <v>h. heads</v>
      </c>
      <c r="W55" s="1" t="str">
        <f>W6</f>
        <v>(£ m.)</v>
      </c>
      <c r="X55" s="1" t="str">
        <f>X6</f>
        <v>non-heads'</v>
      </c>
      <c r="Y55" s="1" t="str">
        <f>Y6</f>
        <v>Heads</v>
      </c>
      <c r="Z55" s="1" t="str">
        <f>Z6</f>
        <v>Income</v>
      </c>
      <c r="AA55" s="1" t="str">
        <f>AA6</f>
        <v>   to Gini:</v>
      </c>
      <c r="AC55" s="1" t="str">
        <f t="shared" si="24"/>
        <v>   subdivision</v>
      </c>
      <c r="AE55" s="1" t="str">
        <f t="shared" si="22"/>
        <v>h'hold heads</v>
      </c>
      <c r="AF55" s="1" t="str">
        <f t="shared" si="22"/>
        <v>income(£m)</v>
      </c>
      <c r="AG55" s="1" t="str">
        <f t="shared" si="22"/>
        <v>h'hold heads:</v>
      </c>
      <c r="AH55" s="1" t="str">
        <f>AH6</f>
        <v>Income</v>
      </c>
      <c r="AI55" s="1" t="str">
        <f>AI6</f>
        <v>to Gini</v>
      </c>
      <c r="AJ55" s="3"/>
    </row>
    <row r="56" spans="1:36" ht="13.5">
      <c r="A56" s="1" t="str">
        <f t="shared" si="23"/>
        <v>Large incomes, (1)</v>
      </c>
      <c r="C56" s="3">
        <v>0.6</v>
      </c>
      <c r="D56" s="3">
        <f aca="true" t="shared" si="26" ref="D56:D94">1000*E56/C56</f>
        <v>16780</v>
      </c>
      <c r="E56" s="3">
        <v>10.068</v>
      </c>
      <c r="F56" s="1">
        <f aca="true" t="shared" si="27" ref="F56:F93">F7</f>
        <v>1</v>
      </c>
      <c r="G56" s="1">
        <f t="shared" si="25"/>
        <v>0</v>
      </c>
      <c r="H56" s="1">
        <f t="shared" si="25"/>
        <v>0</v>
      </c>
      <c r="I56" s="1">
        <f t="shared" si="25"/>
        <v>0</v>
      </c>
      <c r="K56" s="1" t="s">
        <v>63</v>
      </c>
      <c r="M56" s="3">
        <v>0.486</v>
      </c>
      <c r="N56" s="4">
        <v>8.15508</v>
      </c>
      <c r="O56" s="3">
        <v>0.11399999999999999</v>
      </c>
      <c r="P56" s="4">
        <v>1.91292</v>
      </c>
      <c r="Q56" s="3">
        <v>16780</v>
      </c>
      <c r="R56" s="3">
        <v>16780</v>
      </c>
      <c r="S56" s="3"/>
      <c r="T56" s="1" t="s">
        <v>63</v>
      </c>
      <c r="V56" s="8">
        <v>0.486</v>
      </c>
      <c r="W56" s="4">
        <f aca="true" t="shared" si="28" ref="W56:W77">(6.772*V56)/1000</f>
        <v>0.003291192</v>
      </c>
      <c r="X56" s="4">
        <f aca="true" t="shared" si="29" ref="X56:X77">N56+P56+W56</f>
        <v>10.071291192</v>
      </c>
      <c r="Y56" s="8">
        <f>(100*V56/791.4)</f>
        <v>0.06141015921152389</v>
      </c>
      <c r="Z56" s="8">
        <f>(100*X56/75.75)</f>
        <v>13.295433916831684</v>
      </c>
      <c r="AA56" s="4">
        <f>Y56*(Z56-Y56)/100</f>
        <v>0.008127035059645436</v>
      </c>
      <c r="AB56" s="4"/>
      <c r="AC56" s="1" t="str">
        <f t="shared" si="24"/>
        <v>Large incomes, (1)</v>
      </c>
      <c r="AE56" s="4">
        <f>V56</f>
        <v>0.486</v>
      </c>
      <c r="AF56" s="4">
        <f>X56</f>
        <v>10.071291192</v>
      </c>
      <c r="AG56" s="4">
        <f>100*AE56/113.818</f>
        <v>0.42699748721643327</v>
      </c>
      <c r="AH56" s="4">
        <f>100*AF56/AF$61</f>
        <v>27.432808454814115</v>
      </c>
      <c r="AI56" s="8">
        <f>AG56*(AH56-AG56)/100</f>
        <v>0.11531413423406205</v>
      </c>
      <c r="AJ56" s="3">
        <f aca="true" t="shared" si="30" ref="AJ56:AJ77">1000*X56/V56</f>
        <v>20722.82138271605</v>
      </c>
    </row>
    <row r="57" spans="1:36" ht="13.5">
      <c r="A57" s="1" t="str">
        <f t="shared" si="23"/>
        <v>Large incomes, (2)</v>
      </c>
      <c r="C57" s="3">
        <v>4.1</v>
      </c>
      <c r="D57" s="3">
        <f t="shared" si="26"/>
        <v>2074.390243902439</v>
      </c>
      <c r="E57" s="3">
        <v>8.505</v>
      </c>
      <c r="F57" s="1">
        <f t="shared" si="27"/>
        <v>1</v>
      </c>
      <c r="G57" s="1">
        <f t="shared" si="25"/>
        <v>0</v>
      </c>
      <c r="H57" s="1">
        <f t="shared" si="25"/>
        <v>0</v>
      </c>
      <c r="I57" s="1">
        <f t="shared" si="25"/>
        <v>0</v>
      </c>
      <c r="K57" s="1" t="s">
        <v>64</v>
      </c>
      <c r="M57" s="3">
        <v>3.3209999999999997</v>
      </c>
      <c r="N57" s="4">
        <v>6.889050000000001</v>
      </c>
      <c r="O57" s="3">
        <v>0.7789999999999999</v>
      </c>
      <c r="P57" s="4">
        <v>1.6159500000000002</v>
      </c>
      <c r="Q57" s="3">
        <v>2074.3902439024396</v>
      </c>
      <c r="R57" s="3">
        <v>2074.3902439024396</v>
      </c>
      <c r="S57" s="3"/>
      <c r="T57" s="1" t="s">
        <v>64</v>
      </c>
      <c r="V57" s="8">
        <v>3.3209999999999997</v>
      </c>
      <c r="W57" s="4">
        <f t="shared" si="28"/>
        <v>0.022489812</v>
      </c>
      <c r="X57" s="4">
        <f t="shared" si="29"/>
        <v>8.527489812</v>
      </c>
      <c r="Y57" s="8">
        <f aca="true" t="shared" si="31" ref="Y57:Y77">(100*V57/791.4)+Y56</f>
        <v>0.48104624715693706</v>
      </c>
      <c r="Z57" s="8">
        <f aca="true" t="shared" si="32" ref="Z57:Z77">(100*X57/75.75)+Z56</f>
        <v>24.55284620990099</v>
      </c>
      <c r="AA57" s="4">
        <f aca="true" t="shared" si="33" ref="AA57:AA77">(Y57-Y56)*(Z57-Y57+Z56-Y56)/100</f>
        <v>0.15654869923594836</v>
      </c>
      <c r="AB57" s="4"/>
      <c r="AC57" s="1" t="str">
        <f t="shared" si="24"/>
        <v>Large incomes, (2)</v>
      </c>
      <c r="AE57" s="4">
        <f>V57</f>
        <v>3.3209999999999997</v>
      </c>
      <c r="AF57" s="4">
        <f>X57</f>
        <v>8.527489812</v>
      </c>
      <c r="AG57" s="4">
        <f>(100*AE57/113.818)+AG56</f>
        <v>3.3448136498620604</v>
      </c>
      <c r="AH57" s="4">
        <f>(100*AF57/AF$61)+AH56</f>
        <v>50.66051482863007</v>
      </c>
      <c r="AI57" s="8">
        <f>(AG57-AG56)*(AH57-AG57+AH56-AG56)/100</f>
        <v>2.1685650937292906</v>
      </c>
      <c r="AJ57" s="3">
        <f t="shared" si="30"/>
        <v>2567.7476097560975</v>
      </c>
    </row>
    <row r="58" spans="1:36" ht="13.5">
      <c r="A58" s="1" t="str">
        <f t="shared" si="23"/>
        <v>Middle incomes</v>
      </c>
      <c r="C58" s="3">
        <v>13.9</v>
      </c>
      <c r="D58" s="3">
        <f t="shared" si="26"/>
        <v>536.9784172661871</v>
      </c>
      <c r="E58" s="3">
        <v>7.464</v>
      </c>
      <c r="F58" s="1">
        <f t="shared" si="27"/>
        <v>1</v>
      </c>
      <c r="G58" s="1">
        <f t="shared" si="25"/>
        <v>0</v>
      </c>
      <c r="H58" s="1">
        <f t="shared" si="25"/>
        <v>0</v>
      </c>
      <c r="I58" s="1">
        <f t="shared" si="25"/>
        <v>0</v>
      </c>
      <c r="K58" s="1" t="s">
        <v>65</v>
      </c>
      <c r="M58" s="3">
        <v>11.259</v>
      </c>
      <c r="N58" s="4">
        <v>6.045840000000001</v>
      </c>
      <c r="O58" s="3">
        <v>2.641</v>
      </c>
      <c r="P58" s="4">
        <v>1.41816</v>
      </c>
      <c r="Q58" s="3">
        <v>536.9784172661871</v>
      </c>
      <c r="R58" s="3">
        <v>536.9784172661871</v>
      </c>
      <c r="S58" s="3"/>
      <c r="T58" s="1" t="s">
        <v>65</v>
      </c>
      <c r="V58" s="8">
        <v>11.259</v>
      </c>
      <c r="W58" s="4">
        <f t="shared" si="28"/>
        <v>0.076245948</v>
      </c>
      <c r="X58" s="4">
        <f t="shared" si="29"/>
        <v>7.540245948000002</v>
      </c>
      <c r="Y58" s="8">
        <f t="shared" si="31"/>
        <v>1.9037149355572405</v>
      </c>
      <c r="Z58" s="8">
        <f t="shared" si="32"/>
        <v>34.50696627326733</v>
      </c>
      <c r="AA58" s="4">
        <f t="shared" si="33"/>
        <v>0.8062982089863701</v>
      </c>
      <c r="AB58" s="4"/>
      <c r="AC58" s="1" t="str">
        <f t="shared" si="24"/>
        <v>Middle incomes</v>
      </c>
      <c r="AE58" s="4">
        <f>V58</f>
        <v>11.259</v>
      </c>
      <c r="AF58" s="4">
        <f>X58</f>
        <v>7.540245948000002</v>
      </c>
      <c r="AG58" s="4">
        <f>(100*AE58/113.818)+AG57</f>
        <v>13.236922103709432</v>
      </c>
      <c r="AH58" s="4">
        <f>(100*AF58/AF$61)+AH57</f>
        <v>71.19910505010843</v>
      </c>
      <c r="AI58" s="8">
        <f>(AG58-AG57)*(AH58-AG58+AH57-AG57)/100</f>
        <v>10.414202475577286</v>
      </c>
      <c r="AJ58" s="3">
        <f t="shared" si="30"/>
        <v>669.7083176125767</v>
      </c>
    </row>
    <row r="59" spans="1:36" ht="13.5">
      <c r="A59" s="1" t="str">
        <f t="shared" si="23"/>
        <v>Small incomes, (1)</v>
      </c>
      <c r="C59" s="3">
        <v>97.4</v>
      </c>
      <c r="D59" s="3">
        <f t="shared" si="26"/>
        <v>89.10677618069815</v>
      </c>
      <c r="E59" s="3">
        <v>8.679</v>
      </c>
      <c r="F59" s="1">
        <f t="shared" si="27"/>
        <v>1</v>
      </c>
      <c r="G59" s="1">
        <f t="shared" si="25"/>
        <v>0</v>
      </c>
      <c r="H59" s="1">
        <f t="shared" si="25"/>
        <v>0</v>
      </c>
      <c r="I59" s="1">
        <f t="shared" si="25"/>
        <v>0</v>
      </c>
      <c r="K59" s="1" t="s">
        <v>66</v>
      </c>
      <c r="M59" s="3">
        <v>78.894</v>
      </c>
      <c r="N59" s="4">
        <v>7.029990000000001</v>
      </c>
      <c r="O59" s="3">
        <v>18.506</v>
      </c>
      <c r="P59" s="4">
        <v>1.64901</v>
      </c>
      <c r="Q59" s="3">
        <v>89.10677618069815</v>
      </c>
      <c r="R59" s="3">
        <v>89.10677618069815</v>
      </c>
      <c r="S59" s="3"/>
      <c r="T59" s="1" t="s">
        <v>66</v>
      </c>
      <c r="V59" s="8">
        <v>78.894</v>
      </c>
      <c r="W59" s="4">
        <f t="shared" si="28"/>
        <v>0.534270168</v>
      </c>
      <c r="X59" s="4">
        <f t="shared" si="29"/>
        <v>9.213270168000001</v>
      </c>
      <c r="Y59" s="8">
        <f t="shared" si="31"/>
        <v>11.872630780894617</v>
      </c>
      <c r="Z59" s="8">
        <f t="shared" si="32"/>
        <v>46.66969916831684</v>
      </c>
      <c r="AA59" s="4">
        <f t="shared" si="33"/>
        <v>6.719081152886769</v>
      </c>
      <c r="AB59" s="4"/>
      <c r="AC59" s="1" t="str">
        <f t="shared" si="24"/>
        <v>Small incomes, (1)</v>
      </c>
      <c r="AE59" s="4">
        <f>V59</f>
        <v>78.894</v>
      </c>
      <c r="AF59" s="4">
        <f>X59</f>
        <v>9.213270168000001</v>
      </c>
      <c r="AG59" s="4">
        <f>(100*AE59/113.818)+AG58</f>
        <v>82.55284752851044</v>
      </c>
      <c r="AH59" s="4">
        <f>(100*AF59/AF$61)+AH58</f>
        <v>96.29478254992718</v>
      </c>
      <c r="AI59" s="8">
        <f>(AG59-AG58)*(AH59-AG59+AH58-AG58)/100</f>
        <v>49.702372937082494</v>
      </c>
      <c r="AJ59" s="3">
        <f t="shared" si="30"/>
        <v>116.7803656551829</v>
      </c>
    </row>
    <row r="60" spans="1:36" ht="13.5">
      <c r="A60" s="1" t="str">
        <f t="shared" si="23"/>
        <v>Small incomes, (2)</v>
      </c>
      <c r="C60" s="3">
        <v>156</v>
      </c>
      <c r="D60" s="3">
        <f t="shared" si="26"/>
        <v>50</v>
      </c>
      <c r="E60" s="3">
        <v>7.8</v>
      </c>
      <c r="F60" s="1">
        <f t="shared" si="27"/>
        <v>1</v>
      </c>
      <c r="G60" s="1">
        <f t="shared" si="25"/>
        <v>0</v>
      </c>
      <c r="H60" s="1">
        <f t="shared" si="25"/>
        <v>0</v>
      </c>
      <c r="I60" s="1">
        <f t="shared" si="25"/>
        <v>0</v>
      </c>
      <c r="K60" s="1" t="s">
        <v>68</v>
      </c>
      <c r="L60" s="1" t="s">
        <v>69</v>
      </c>
      <c r="M60" s="3">
        <v>4.170132772914682</v>
      </c>
      <c r="N60" s="4">
        <v>0.28682214499815667</v>
      </c>
      <c r="O60" s="3">
        <v>0.9781792924120859</v>
      </c>
      <c r="P60" s="4">
        <f>13.115*M60/1000</f>
        <v>0.05469129131677606</v>
      </c>
      <c r="Q60" s="3">
        <v>68.7800990081389</v>
      </c>
      <c r="R60" s="3">
        <v>68.7800990081389</v>
      </c>
      <c r="S60" s="3"/>
      <c r="T60" s="1" t="s">
        <v>68</v>
      </c>
      <c r="U60" s="1" t="s">
        <v>69</v>
      </c>
      <c r="V60" s="8">
        <v>4.170132772914682</v>
      </c>
      <c r="W60" s="4">
        <f t="shared" si="28"/>
        <v>0.02824013913817823</v>
      </c>
      <c r="X60" s="4">
        <f t="shared" si="29"/>
        <v>0.369753575453111</v>
      </c>
      <c r="Y60" s="8">
        <f t="shared" si="31"/>
        <v>12.399561886898494</v>
      </c>
      <c r="Z60" s="8">
        <f t="shared" si="32"/>
        <v>47.15782270026814</v>
      </c>
      <c r="AA60" s="4">
        <f t="shared" si="33"/>
        <v>0.36650866544237026</v>
      </c>
      <c r="AB60" s="4"/>
      <c r="AC60" s="1" t="str">
        <f t="shared" si="24"/>
        <v>Small incomes, (2)</v>
      </c>
      <c r="AE60" s="4">
        <f>AE61-AE56-AE57-AE58-AE59</f>
        <v>19.85799999999999</v>
      </c>
      <c r="AF60" s="4">
        <f>X62*AE60/V62</f>
        <v>1.360280845135802</v>
      </c>
      <c r="AG60" s="4">
        <f>(100*AE60/113.818)+AG59</f>
        <v>100</v>
      </c>
      <c r="AH60" s="4">
        <f>(100*AF60/AF$61)+AH59</f>
        <v>100</v>
      </c>
      <c r="AI60" s="8">
        <f>(AG60-AG59)*(AH60-AG60+AH59-AG59)/100</f>
        <v>2.3975763557195995</v>
      </c>
      <c r="AJ60" s="3">
        <f t="shared" si="30"/>
        <v>88.66709900813892</v>
      </c>
    </row>
    <row r="61" spans="1:36" ht="13.5">
      <c r="A61" s="1" t="str">
        <f t="shared" si="23"/>
        <v>Manual IV,(1)</v>
      </c>
      <c r="B61" s="1" t="str">
        <f aca="true" t="shared" si="34" ref="B61:B93">B12</f>
        <v>men</v>
      </c>
      <c r="C61" s="3">
        <f>137*C12/(C12+C13+C23+C25+C27+C29+C35+C36)</f>
        <v>5.148312065326768</v>
      </c>
      <c r="D61" s="3">
        <f t="shared" si="26"/>
        <v>68.7800990081389</v>
      </c>
      <c r="E61" s="3">
        <f>6.454*E12/(E12+E13+E23+E25+E27+E29+E35+E36)</f>
        <v>0.3541014135779712</v>
      </c>
      <c r="F61" s="1">
        <f t="shared" si="27"/>
        <v>1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K61" s="1" t="s">
        <v>71</v>
      </c>
      <c r="L61" s="1" t="s">
        <v>69</v>
      </c>
      <c r="M61" s="3">
        <v>78.91630408648496</v>
      </c>
      <c r="N61" s="4">
        <v>4.461264006924519</v>
      </c>
      <c r="O61" s="3">
        <v>18.51123182275573</v>
      </c>
      <c r="P61" s="4">
        <f>13.115*M61/1000</f>
        <v>1.03498732809425</v>
      </c>
      <c r="Q61" s="3">
        <v>56.53158822586758</v>
      </c>
      <c r="R61" s="3">
        <v>56.53158822586759</v>
      </c>
      <c r="S61" s="3"/>
      <c r="T61" s="1" t="s">
        <v>71</v>
      </c>
      <c r="U61" s="1" t="s">
        <v>69</v>
      </c>
      <c r="V61" s="8">
        <v>78.91630408648496</v>
      </c>
      <c r="W61" s="4">
        <f t="shared" si="28"/>
        <v>0.5344212112736761</v>
      </c>
      <c r="X61" s="4">
        <f t="shared" si="29"/>
        <v>6.030672546292445</v>
      </c>
      <c r="Y61" s="8">
        <f t="shared" si="31"/>
        <v>22.37129603985338</v>
      </c>
      <c r="Z61" s="8">
        <f t="shared" si="32"/>
        <v>55.11910658976312</v>
      </c>
      <c r="AA61" s="4">
        <f t="shared" si="33"/>
        <v>6.731525973450228</v>
      </c>
      <c r="AB61" s="4"/>
      <c r="AE61" s="4">
        <v>113.818</v>
      </c>
      <c r="AF61" s="4">
        <f>SUM(AF56:AF60)</f>
        <v>36.71257796513581</v>
      </c>
      <c r="AI61" s="20" t="s">
        <v>70</v>
      </c>
      <c r="AJ61" s="3">
        <f t="shared" si="30"/>
        <v>76.41858822586758</v>
      </c>
    </row>
    <row r="62" spans="1:36" ht="13.5">
      <c r="A62" s="1" t="str">
        <f t="shared" si="23"/>
        <v>Manual IV,(2)</v>
      </c>
      <c r="B62" s="1" t="str">
        <f t="shared" si="34"/>
        <v>men</v>
      </c>
      <c r="C62" s="3">
        <f>137*C13/(C12+C13+C23+C25+C27+C29+C35+C36)</f>
        <v>97.42753590924067</v>
      </c>
      <c r="D62" s="3">
        <f t="shared" si="26"/>
        <v>56.53158822586759</v>
      </c>
      <c r="E62" s="3">
        <f>6.454*E13/(E12+E13+E23+E25+E27+E29+E35+E36)</f>
        <v>5.507733341882122</v>
      </c>
      <c r="F62" s="1">
        <f t="shared" si="27"/>
        <v>1</v>
      </c>
      <c r="G62" s="1">
        <f t="shared" si="25"/>
        <v>0</v>
      </c>
      <c r="H62" s="1">
        <f t="shared" si="25"/>
        <v>0</v>
      </c>
      <c r="I62" s="1">
        <f t="shared" si="25"/>
        <v>0</v>
      </c>
      <c r="K62" s="1" t="s">
        <v>67</v>
      </c>
      <c r="M62" s="3">
        <v>126.36</v>
      </c>
      <c r="N62" s="4">
        <v>6.3180000000000005</v>
      </c>
      <c r="O62" s="3">
        <v>29.64</v>
      </c>
      <c r="P62" s="4">
        <v>1.482</v>
      </c>
      <c r="Q62" s="3">
        <v>50</v>
      </c>
      <c r="R62" s="3">
        <v>50</v>
      </c>
      <c r="S62" s="3"/>
      <c r="T62" s="1" t="s">
        <v>67</v>
      </c>
      <c r="V62" s="8">
        <v>126.36</v>
      </c>
      <c r="W62" s="4">
        <f t="shared" si="28"/>
        <v>0.85570992</v>
      </c>
      <c r="X62" s="4">
        <f t="shared" si="29"/>
        <v>8.655709920000001</v>
      </c>
      <c r="Y62" s="8">
        <f t="shared" si="31"/>
        <v>38.33793743484959</v>
      </c>
      <c r="Z62" s="8">
        <f t="shared" si="32"/>
        <v>66.54578635213936</v>
      </c>
      <c r="AA62" s="4">
        <f t="shared" si="33"/>
        <v>9.732571557082805</v>
      </c>
      <c r="AB62" s="4"/>
      <c r="AC62" s="1" t="str">
        <f>AC13</f>
        <v>Average franchised income:</v>
      </c>
      <c r="AF62" s="3">
        <f>1000*AF61/AE61</f>
        <v>322.55511399897915</v>
      </c>
      <c r="AI62" s="21">
        <f>SUM(AI56:AI60)</f>
        <v>64.79803099634273</v>
      </c>
      <c r="AJ62" s="3">
        <f t="shared" si="30"/>
        <v>68.5003950617284</v>
      </c>
    </row>
    <row r="63" spans="1:36" ht="13.5">
      <c r="A63" s="1" t="str">
        <f t="shared" si="23"/>
        <v>Manual V, (3)</v>
      </c>
      <c r="B63" s="1" t="str">
        <f t="shared" si="34"/>
        <v>men</v>
      </c>
      <c r="C63" s="3">
        <f>C14*0.1461</f>
        <v>85.03020000000001</v>
      </c>
      <c r="D63" s="3">
        <f t="shared" si="26"/>
        <v>46.020533880903486</v>
      </c>
      <c r="E63" s="4">
        <f>E14*0.1293</f>
        <v>3.9131351999999997</v>
      </c>
      <c r="F63" s="1">
        <f t="shared" si="27"/>
        <v>1</v>
      </c>
      <c r="G63" s="1">
        <f t="shared" si="25"/>
        <v>0</v>
      </c>
      <c r="H63" s="1">
        <f t="shared" si="25"/>
        <v>0</v>
      </c>
      <c r="I63" s="1">
        <f t="shared" si="25"/>
        <v>0</v>
      </c>
      <c r="K63" s="1" t="s">
        <v>149</v>
      </c>
      <c r="L63" s="1" t="s">
        <v>69</v>
      </c>
      <c r="M63" s="3">
        <v>68.87446200000001</v>
      </c>
      <c r="N63" s="4">
        <v>3.169639512</v>
      </c>
      <c r="O63" s="3">
        <v>16.155738000000003</v>
      </c>
      <c r="P63" s="4">
        <f aca="true" t="shared" si="35" ref="P63:P77">13.115*M63/1000</f>
        <v>0.9032885691300001</v>
      </c>
      <c r="Q63" s="3">
        <v>46.02053388090348</v>
      </c>
      <c r="R63" s="3">
        <v>46.02053388090348</v>
      </c>
      <c r="S63" s="3"/>
      <c r="T63" s="1" t="s">
        <v>149</v>
      </c>
      <c r="U63" s="1" t="s">
        <v>69</v>
      </c>
      <c r="V63" s="8">
        <v>68.87446200000001</v>
      </c>
      <c r="W63" s="4">
        <f t="shared" si="28"/>
        <v>0.46641785666400004</v>
      </c>
      <c r="X63" s="4">
        <f t="shared" si="29"/>
        <v>4.539345937794</v>
      </c>
      <c r="Y63" s="8">
        <f t="shared" si="31"/>
        <v>47.04080096782913</v>
      </c>
      <c r="Z63" s="8">
        <f t="shared" si="32"/>
        <v>72.53832224361659</v>
      </c>
      <c r="AA63" s="4">
        <f t="shared" si="33"/>
        <v>4.673905077784979</v>
      </c>
      <c r="AB63" s="4"/>
      <c r="AC63" s="1" t="s">
        <v>150</v>
      </c>
      <c r="AE63" s="15">
        <f>100*AE61/V78</f>
        <v>14.381407491541616</v>
      </c>
      <c r="AJ63" s="3">
        <f t="shared" si="30"/>
        <v>65.90753388090349</v>
      </c>
    </row>
    <row r="64" spans="1:36" ht="13.5">
      <c r="A64" s="1" t="str">
        <f t="shared" si="23"/>
        <v>Manual V, (4)</v>
      </c>
      <c r="B64" s="1" t="str">
        <f t="shared" si="34"/>
        <v>men</v>
      </c>
      <c r="C64" s="3">
        <f>C15*0.1461</f>
        <v>150.1908</v>
      </c>
      <c r="D64" s="3">
        <f t="shared" si="26"/>
        <v>40.71047227926078</v>
      </c>
      <c r="E64" s="4">
        <f>E15*0.1293</f>
        <v>6.114338399999999</v>
      </c>
      <c r="F64" s="1">
        <f t="shared" si="27"/>
        <v>1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K64" s="1" t="s">
        <v>151</v>
      </c>
      <c r="L64" s="1" t="s">
        <v>69</v>
      </c>
      <c r="M64" s="3">
        <v>121.654548</v>
      </c>
      <c r="N64" s="4">
        <v>4.952614104</v>
      </c>
      <c r="O64" s="3">
        <v>28.536252</v>
      </c>
      <c r="P64" s="4">
        <f t="shared" si="35"/>
        <v>1.59549939702</v>
      </c>
      <c r="Q64" s="3">
        <v>40.71047227926078</v>
      </c>
      <c r="R64" s="3">
        <v>40.71047227926078</v>
      </c>
      <c r="S64" s="3"/>
      <c r="T64" s="1" t="s">
        <v>151</v>
      </c>
      <c r="U64" s="1" t="s">
        <v>69</v>
      </c>
      <c r="V64" s="8">
        <v>121.654548</v>
      </c>
      <c r="W64" s="4">
        <f t="shared" si="28"/>
        <v>0.8238445990560002</v>
      </c>
      <c r="X64" s="4">
        <f t="shared" si="29"/>
        <v>7.371958100076</v>
      </c>
      <c r="Y64" s="8">
        <f t="shared" si="31"/>
        <v>62.41286920133936</v>
      </c>
      <c r="Z64" s="8">
        <f t="shared" si="32"/>
        <v>82.2702801315057</v>
      </c>
      <c r="AA64" s="4">
        <f t="shared" si="33"/>
        <v>6.971991125961527</v>
      </c>
      <c r="AB64" s="4"/>
      <c r="AJ64" s="3">
        <f t="shared" si="30"/>
        <v>60.59747227926078</v>
      </c>
    </row>
    <row r="65" spans="1:36" ht="13.5">
      <c r="A65" s="1" t="str">
        <f t="shared" si="23"/>
        <v>Manual VI,(5)</v>
      </c>
      <c r="B65" s="1" t="str">
        <f t="shared" si="34"/>
        <v>men</v>
      </c>
      <c r="C65" s="3">
        <f>C16*0.1502</f>
        <v>39.106072000000005</v>
      </c>
      <c r="D65" s="3">
        <f t="shared" si="26"/>
        <v>30.084553928095875</v>
      </c>
      <c r="E65" s="4">
        <f>E16*0.1238</f>
        <v>1.1764887320000001</v>
      </c>
      <c r="F65" s="1">
        <f t="shared" si="27"/>
        <v>1</v>
      </c>
      <c r="G65" s="1">
        <f t="shared" si="25"/>
        <v>0</v>
      </c>
      <c r="H65" s="1">
        <f t="shared" si="25"/>
        <v>0</v>
      </c>
      <c r="I65" s="1">
        <f t="shared" si="25"/>
        <v>0</v>
      </c>
      <c r="K65" s="1" t="s">
        <v>152</v>
      </c>
      <c r="L65" s="1" t="s">
        <v>69</v>
      </c>
      <c r="M65" s="3">
        <v>31.675918320000005</v>
      </c>
      <c r="N65" s="4">
        <v>0.9529558729200002</v>
      </c>
      <c r="O65" s="3">
        <v>7.430153680000001</v>
      </c>
      <c r="P65" s="4">
        <f t="shared" si="35"/>
        <v>0.4154296687668001</v>
      </c>
      <c r="Q65" s="3">
        <v>30.084553928095872</v>
      </c>
      <c r="R65" s="3">
        <v>30.084553928095872</v>
      </c>
      <c r="S65" s="3"/>
      <c r="T65" s="1" t="s">
        <v>152</v>
      </c>
      <c r="U65" s="1" t="s">
        <v>69</v>
      </c>
      <c r="V65" s="8">
        <v>31.675918320000005</v>
      </c>
      <c r="W65" s="4">
        <f t="shared" si="28"/>
        <v>0.21450931886304006</v>
      </c>
      <c r="X65" s="4">
        <f t="shared" si="29"/>
        <v>1.5828948605498403</v>
      </c>
      <c r="Y65" s="8">
        <f t="shared" si="31"/>
        <v>66.4153860474349</v>
      </c>
      <c r="Z65" s="8">
        <f t="shared" si="32"/>
        <v>84.35991031044938</v>
      </c>
      <c r="AA65" s="4">
        <f t="shared" si="33"/>
        <v>1.5130288242571779</v>
      </c>
      <c r="AB65" s="4"/>
      <c r="AJ65" s="3">
        <f t="shared" si="30"/>
        <v>49.97155392809588</v>
      </c>
    </row>
    <row r="66" spans="1:36" ht="13.5">
      <c r="A66" s="1" t="str">
        <f t="shared" si="23"/>
        <v>Manual VI,(6)</v>
      </c>
      <c r="B66" s="1" t="str">
        <f t="shared" si="34"/>
        <v>men</v>
      </c>
      <c r="C66" s="3">
        <f>C17*0.1502</f>
        <v>172.5047</v>
      </c>
      <c r="D66" s="3">
        <f t="shared" si="26"/>
        <v>27.199733688415446</v>
      </c>
      <c r="E66" s="4">
        <f>E17*0.1238</f>
        <v>4.6920819</v>
      </c>
      <c r="F66" s="1">
        <f t="shared" si="27"/>
        <v>1</v>
      </c>
      <c r="G66" s="1">
        <f t="shared" si="25"/>
        <v>0</v>
      </c>
      <c r="H66" s="1">
        <f t="shared" si="25"/>
        <v>0</v>
      </c>
      <c r="I66" s="1">
        <f t="shared" si="25"/>
        <v>0</v>
      </c>
      <c r="K66" s="1" t="s">
        <v>151</v>
      </c>
      <c r="L66" s="1" t="s">
        <v>157</v>
      </c>
      <c r="M66" s="3">
        <v>43.507796903999996</v>
      </c>
      <c r="N66" s="4">
        <v>1.25140752594</v>
      </c>
      <c r="O66" s="3">
        <v>57.908979095999996</v>
      </c>
      <c r="P66" s="4">
        <f t="shared" si="35"/>
        <v>0.57060475639596</v>
      </c>
      <c r="Q66" s="3">
        <v>28.762833675564682</v>
      </c>
      <c r="R66" s="3">
        <v>28.762833675564682</v>
      </c>
      <c r="S66" s="3"/>
      <c r="T66" s="1" t="s">
        <v>151</v>
      </c>
      <c r="U66" s="1" t="s">
        <v>157</v>
      </c>
      <c r="V66" s="8">
        <v>43.507796903999996</v>
      </c>
      <c r="W66" s="4">
        <f t="shared" si="28"/>
        <v>0.294634800633888</v>
      </c>
      <c r="X66" s="4">
        <f t="shared" si="29"/>
        <v>2.116647082969848</v>
      </c>
      <c r="Y66" s="8">
        <f t="shared" si="31"/>
        <v>71.91295957586553</v>
      </c>
      <c r="Z66" s="8">
        <f t="shared" si="32"/>
        <v>87.15416388532707</v>
      </c>
      <c r="AA66" s="4">
        <f t="shared" si="33"/>
        <v>1.8244098292172837</v>
      </c>
      <c r="AB66" s="4"/>
      <c r="AJ66" s="3">
        <f t="shared" si="30"/>
        <v>48.64983367556468</v>
      </c>
    </row>
    <row r="67" spans="1:36" ht="13.5">
      <c r="A67" s="1" t="str">
        <f t="shared" si="23"/>
        <v>Manual VI,(7)</v>
      </c>
      <c r="B67" s="1" t="str">
        <f t="shared" si="34"/>
        <v>men (a)</v>
      </c>
      <c r="C67" s="3">
        <f>C18*0.1502</f>
        <v>11.02468</v>
      </c>
      <c r="D67" s="3">
        <f t="shared" si="26"/>
        <v>24.727030625832224</v>
      </c>
      <c r="E67" s="4">
        <f>E18*0.1238</f>
        <v>0.2726076</v>
      </c>
      <c r="F67" s="1">
        <f t="shared" si="27"/>
        <v>1</v>
      </c>
      <c r="G67" s="1">
        <f t="shared" si="25"/>
        <v>0</v>
      </c>
      <c r="H67" s="1">
        <f t="shared" si="25"/>
        <v>0</v>
      </c>
      <c r="I67" s="1">
        <f t="shared" si="25"/>
        <v>0</v>
      </c>
      <c r="K67" s="1" t="s">
        <v>153</v>
      </c>
      <c r="L67" s="1" t="s">
        <v>69</v>
      </c>
      <c r="M67" s="3">
        <v>139.72880700000002</v>
      </c>
      <c r="N67" s="4">
        <v>3.800586339</v>
      </c>
      <c r="O67" s="3">
        <v>32.775893</v>
      </c>
      <c r="P67" s="4">
        <f t="shared" si="35"/>
        <v>1.8325433038050003</v>
      </c>
      <c r="Q67" s="3">
        <v>27.199733688415442</v>
      </c>
      <c r="R67" s="3">
        <v>27.199733688415442</v>
      </c>
      <c r="S67" s="3"/>
      <c r="T67" s="1" t="s">
        <v>153</v>
      </c>
      <c r="U67" s="1" t="s">
        <v>69</v>
      </c>
      <c r="V67" s="8">
        <v>139.72880700000002</v>
      </c>
      <c r="W67" s="4">
        <f t="shared" si="28"/>
        <v>0.9462434810040001</v>
      </c>
      <c r="X67" s="4">
        <f t="shared" si="29"/>
        <v>6.579373123809001</v>
      </c>
      <c r="Y67" s="8">
        <f t="shared" si="31"/>
        <v>89.5688613954258</v>
      </c>
      <c r="Z67" s="8">
        <f t="shared" si="32"/>
        <v>95.8398049728637</v>
      </c>
      <c r="AA67" s="4">
        <f t="shared" si="33"/>
        <v>3.7981637101895744</v>
      </c>
      <c r="AB67" s="4"/>
      <c r="AJ67" s="3">
        <f t="shared" si="30"/>
        <v>47.08673368841544</v>
      </c>
    </row>
    <row r="68" spans="1:36" ht="13.5">
      <c r="A68" s="1" t="str">
        <f t="shared" si="23"/>
        <v>Manual VI,(7)</v>
      </c>
      <c r="B68" s="1" t="str">
        <f t="shared" si="34"/>
        <v>men (b)</v>
      </c>
      <c r="C68" s="3">
        <f>C19*0.1502</f>
        <v>5.1819</v>
      </c>
      <c r="D68" s="3">
        <f t="shared" si="26"/>
        <v>16.484687083888147</v>
      </c>
      <c r="E68" s="4">
        <f>E19*0.1238</f>
        <v>0.08542199999999998</v>
      </c>
      <c r="F68" s="1">
        <f t="shared" si="27"/>
        <v>1</v>
      </c>
      <c r="G68" s="1">
        <f t="shared" si="25"/>
        <v>0</v>
      </c>
      <c r="H68" s="1">
        <f t="shared" si="25"/>
        <v>0</v>
      </c>
      <c r="I68" s="1">
        <f t="shared" si="25"/>
        <v>0</v>
      </c>
      <c r="K68" s="1" t="s">
        <v>154</v>
      </c>
      <c r="L68" s="1" t="s">
        <v>155</v>
      </c>
      <c r="M68" s="3">
        <v>8.9299908</v>
      </c>
      <c r="N68" s="4">
        <v>0.220812156</v>
      </c>
      <c r="O68" s="3">
        <v>2.0946892</v>
      </c>
      <c r="P68" s="4">
        <f t="shared" si="35"/>
        <v>0.117116829342</v>
      </c>
      <c r="Q68" s="3">
        <v>24.727030625832228</v>
      </c>
      <c r="R68" s="3">
        <v>24.727030625832224</v>
      </c>
      <c r="S68" s="3"/>
      <c r="T68" s="1" t="s">
        <v>154</v>
      </c>
      <c r="U68" s="1" t="s">
        <v>155</v>
      </c>
      <c r="V68" s="8">
        <v>8.9299908</v>
      </c>
      <c r="W68" s="4">
        <f t="shared" si="28"/>
        <v>0.06047389769760001</v>
      </c>
      <c r="X68" s="4">
        <f t="shared" si="29"/>
        <v>0.39840288303960003</v>
      </c>
      <c r="Y68" s="8">
        <f t="shared" si="31"/>
        <v>90.69724031885264</v>
      </c>
      <c r="Z68" s="8">
        <f t="shared" si="32"/>
        <v>96.36574937291599</v>
      </c>
      <c r="AA68" s="4">
        <f t="shared" si="33"/>
        <v>0.134722267066391</v>
      </c>
      <c r="AB68" s="4"/>
      <c r="AJ68" s="3">
        <f t="shared" si="30"/>
        <v>44.61403062583223</v>
      </c>
    </row>
    <row r="69" spans="1:36" ht="13.5">
      <c r="A69" s="1" t="str">
        <f t="shared" si="23"/>
        <v>Manual V, (4)</v>
      </c>
      <c r="B69" s="1" t="str">
        <f t="shared" si="34"/>
        <v>maidserv'ts</v>
      </c>
      <c r="C69" s="3">
        <f>C20*0.1461</f>
        <v>101.416776</v>
      </c>
      <c r="D69" s="3">
        <f t="shared" si="26"/>
        <v>28.762833675564682</v>
      </c>
      <c r="E69" s="4">
        <f>E20*0.1293</f>
        <v>2.91703386</v>
      </c>
      <c r="F69" s="1">
        <f t="shared" si="27"/>
        <v>0</v>
      </c>
      <c r="G69" s="1">
        <f t="shared" si="25"/>
        <v>1</v>
      </c>
      <c r="H69" s="1">
        <f t="shared" si="25"/>
        <v>0</v>
      </c>
      <c r="I69" s="1">
        <f t="shared" si="25"/>
        <v>0</v>
      </c>
      <c r="K69" s="1" t="s">
        <v>158</v>
      </c>
      <c r="L69" s="1" t="s">
        <v>159</v>
      </c>
      <c r="M69" s="3">
        <v>28.815689759999998</v>
      </c>
      <c r="N69" s="4">
        <v>0.593772036</v>
      </c>
      <c r="O69" s="3">
        <v>38.35375024</v>
      </c>
      <c r="P69" s="4">
        <f t="shared" si="35"/>
        <v>0.3779177712024</v>
      </c>
      <c r="Q69" s="3">
        <v>20.60585885486018</v>
      </c>
      <c r="R69" s="3">
        <v>20.605858854860188</v>
      </c>
      <c r="S69" s="3"/>
      <c r="T69" s="1" t="s">
        <v>158</v>
      </c>
      <c r="U69" s="1" t="s">
        <v>159</v>
      </c>
      <c r="V69" s="8">
        <v>28.815689759999998</v>
      </c>
      <c r="W69" s="4">
        <f t="shared" si="28"/>
        <v>0.19513985105472</v>
      </c>
      <c r="X69" s="4">
        <f t="shared" si="29"/>
        <v>1.16682965825712</v>
      </c>
      <c r="Y69" s="8">
        <f t="shared" si="31"/>
        <v>94.3383433969421</v>
      </c>
      <c r="Z69" s="8">
        <f t="shared" si="32"/>
        <v>97.90611855873397</v>
      </c>
      <c r="AA69" s="4">
        <f t="shared" si="33"/>
        <v>0.33630262888459517</v>
      </c>
      <c r="AB69" s="4"/>
      <c r="AJ69" s="3">
        <f t="shared" si="30"/>
        <v>40.49285885486019</v>
      </c>
    </row>
    <row r="70" spans="1:36" ht="13.5">
      <c r="A70" s="1" t="str">
        <f t="shared" si="23"/>
        <v>Manual VI,(8)</v>
      </c>
      <c r="B70" s="1" t="str">
        <f t="shared" si="34"/>
        <v>women</v>
      </c>
      <c r="C70" s="3">
        <f>C21*0.1502</f>
        <v>67.16944</v>
      </c>
      <c r="D70" s="3">
        <f t="shared" si="26"/>
        <v>20.605858854860184</v>
      </c>
      <c r="E70" s="4">
        <f>E21*0.1238</f>
        <v>1.3840839999999999</v>
      </c>
      <c r="F70" s="1">
        <f t="shared" si="27"/>
        <v>0</v>
      </c>
      <c r="G70" s="1">
        <f t="shared" si="25"/>
        <v>1</v>
      </c>
      <c r="H70" s="1">
        <f t="shared" si="25"/>
        <v>0</v>
      </c>
      <c r="I70" s="1">
        <f t="shared" si="25"/>
        <v>0</v>
      </c>
      <c r="K70" s="1" t="s">
        <v>151</v>
      </c>
      <c r="L70" s="1" t="s">
        <v>159</v>
      </c>
      <c r="M70" s="3">
        <v>18.5523624</v>
      </c>
      <c r="N70" s="4">
        <v>0.3447996552</v>
      </c>
      <c r="O70" s="3">
        <v>24.6932376</v>
      </c>
      <c r="P70" s="4">
        <f t="shared" si="35"/>
        <v>0.24331423287600001</v>
      </c>
      <c r="Q70" s="3">
        <v>18.585215605749486</v>
      </c>
      <c r="R70" s="3">
        <v>18.58521560574949</v>
      </c>
      <c r="S70" s="3"/>
      <c r="T70" s="1" t="s">
        <v>151</v>
      </c>
      <c r="U70" s="1" t="s">
        <v>159</v>
      </c>
      <c r="V70" s="8">
        <v>18.5523624</v>
      </c>
      <c r="W70" s="4">
        <f t="shared" si="28"/>
        <v>0.1256365981728</v>
      </c>
      <c r="X70" s="4">
        <f t="shared" si="29"/>
        <v>0.7137504862488</v>
      </c>
      <c r="Y70" s="8">
        <f t="shared" si="31"/>
        <v>96.68258934083899</v>
      </c>
      <c r="Z70" s="8">
        <f t="shared" si="32"/>
        <v>98.84836342506901</v>
      </c>
      <c r="AA70" s="4">
        <f t="shared" si="33"/>
        <v>0.1344084956411992</v>
      </c>
      <c r="AB70" s="4"/>
      <c r="AJ70" s="3">
        <f t="shared" si="30"/>
        <v>38.47221560574949</v>
      </c>
    </row>
    <row r="71" spans="1:36" ht="13.5">
      <c r="A71" s="1" t="str">
        <f t="shared" si="23"/>
        <v>Manual V, (4)</v>
      </c>
      <c r="B71" s="1" t="str">
        <f t="shared" si="34"/>
        <v>"Do, girls"</v>
      </c>
      <c r="C71" s="3">
        <f>C22*0.1461</f>
        <v>56.512941000000005</v>
      </c>
      <c r="D71" s="3">
        <f t="shared" si="26"/>
        <v>20.35523613963039</v>
      </c>
      <c r="E71" s="4">
        <f>E22*0.1293</f>
        <v>1.150334259</v>
      </c>
      <c r="F71" s="1">
        <f t="shared" si="27"/>
        <v>0</v>
      </c>
      <c r="G71" s="1">
        <f t="shared" si="25"/>
        <v>0</v>
      </c>
      <c r="H71" s="1">
        <f t="shared" si="25"/>
        <v>0</v>
      </c>
      <c r="I71" s="1">
        <f t="shared" si="25"/>
        <v>1</v>
      </c>
      <c r="K71" s="1" t="s">
        <v>71</v>
      </c>
      <c r="L71" s="1" t="s">
        <v>159</v>
      </c>
      <c r="M71" s="3">
        <v>1.988810030544004</v>
      </c>
      <c r="N71" s="4">
        <v>0.03560302007362645</v>
      </c>
      <c r="O71" s="3">
        <v>2.647110786574886</v>
      </c>
      <c r="P71" s="4">
        <f t="shared" si="35"/>
        <v>0.02608324355058461</v>
      </c>
      <c r="Q71" s="3">
        <v>17.901669604858075</v>
      </c>
      <c r="R71" s="3">
        <v>17.901669604858075</v>
      </c>
      <c r="S71" s="3"/>
      <c r="T71" s="1" t="s">
        <v>71</v>
      </c>
      <c r="U71" s="1" t="s">
        <v>159</v>
      </c>
      <c r="V71" s="8">
        <v>1.988810030544004</v>
      </c>
      <c r="W71" s="4">
        <f t="shared" si="28"/>
        <v>0.013468221526843996</v>
      </c>
      <c r="X71" s="4">
        <f t="shared" si="29"/>
        <v>0.07515448515105506</v>
      </c>
      <c r="Y71" s="8">
        <f t="shared" si="31"/>
        <v>96.93389209931055</v>
      </c>
      <c r="Z71" s="8">
        <f t="shared" si="32"/>
        <v>98.94757726685258</v>
      </c>
      <c r="AA71" s="4">
        <f t="shared" si="33"/>
        <v>0.010503096388898271</v>
      </c>
      <c r="AB71" s="4"/>
      <c r="AJ71" s="3">
        <f t="shared" si="30"/>
        <v>37.78866960485808</v>
      </c>
    </row>
    <row r="72" spans="1:36" ht="13.5">
      <c r="A72" s="1" t="str">
        <f t="shared" si="23"/>
        <v>Manual IV,(1)</v>
      </c>
      <c r="B72" s="1" t="str">
        <f t="shared" si="34"/>
        <v>boys</v>
      </c>
      <c r="C72" s="3">
        <f>137*C23/(C12+C13+C23+C25+C27+C29+C35+C36)</f>
        <v>1.278538162194894</v>
      </c>
      <c r="D72" s="3">
        <f t="shared" si="26"/>
        <v>19.78605587905366</v>
      </c>
      <c r="E72" s="4">
        <f>6.454*E23/(E12+E13+E23+E25+E27+E29+E35+E36)</f>
        <v>0.025297227520690743</v>
      </c>
      <c r="F72" s="1">
        <f t="shared" si="27"/>
        <v>0</v>
      </c>
      <c r="G72" s="1">
        <f t="shared" si="25"/>
        <v>0</v>
      </c>
      <c r="H72" s="1">
        <f t="shared" si="25"/>
        <v>1</v>
      </c>
      <c r="I72" s="1">
        <f t="shared" si="25"/>
        <v>0</v>
      </c>
      <c r="K72" s="1" t="s">
        <v>68</v>
      </c>
      <c r="L72" s="1" t="s">
        <v>159</v>
      </c>
      <c r="M72" s="3">
        <v>0.11985197289330972</v>
      </c>
      <c r="N72" s="4">
        <v>0.002032626713898729</v>
      </c>
      <c r="O72" s="3">
        <v>0.1595232552962234</v>
      </c>
      <c r="P72" s="4">
        <f t="shared" si="35"/>
        <v>0.0015718586244957572</v>
      </c>
      <c r="Q72" s="3">
        <v>16.95947646776028</v>
      </c>
      <c r="R72" s="3">
        <v>16.959476467760275</v>
      </c>
      <c r="S72" s="3"/>
      <c r="T72" s="1" t="s">
        <v>68</v>
      </c>
      <c r="U72" s="1" t="s">
        <v>159</v>
      </c>
      <c r="V72" s="8">
        <v>0.11985197289330972</v>
      </c>
      <c r="W72" s="4">
        <f t="shared" si="28"/>
        <v>0.0008116375604334935</v>
      </c>
      <c r="X72" s="4">
        <f t="shared" si="29"/>
        <v>0.00441612289882798</v>
      </c>
      <c r="Y72" s="8">
        <f t="shared" si="31"/>
        <v>96.9490363971237</v>
      </c>
      <c r="Z72" s="8">
        <f t="shared" si="32"/>
        <v>98.95340713206555</v>
      </c>
      <c r="AA72" s="4">
        <f t="shared" si="33"/>
        <v>0.0006085063521710607</v>
      </c>
      <c r="AB72" s="4"/>
      <c r="AJ72" s="3">
        <f t="shared" si="30"/>
        <v>36.84647646776028</v>
      </c>
    </row>
    <row r="73" spans="1:36" ht="13.5">
      <c r="A73" s="1" t="str">
        <f t="shared" si="23"/>
        <v>Manual V, (4)</v>
      </c>
      <c r="B73" s="1" t="str">
        <f t="shared" si="34"/>
        <v>women</v>
      </c>
      <c r="C73" s="3">
        <f>C24*0.1461</f>
        <v>43.2456</v>
      </c>
      <c r="D73" s="3">
        <f t="shared" si="26"/>
        <v>18.585215605749486</v>
      </c>
      <c r="E73" s="4">
        <f>E24*0.1293</f>
        <v>0.8037288</v>
      </c>
      <c r="F73" s="1">
        <f t="shared" si="27"/>
        <v>0</v>
      </c>
      <c r="G73" s="1">
        <f t="shared" si="25"/>
        <v>1</v>
      </c>
      <c r="H73" s="1">
        <f t="shared" si="25"/>
        <v>0</v>
      </c>
      <c r="I73" s="1">
        <f t="shared" si="25"/>
        <v>0</v>
      </c>
      <c r="K73" s="1" t="s">
        <v>149</v>
      </c>
      <c r="L73" s="1" t="s">
        <v>159</v>
      </c>
      <c r="M73" s="3">
        <v>5.8289517</v>
      </c>
      <c r="N73" s="4">
        <v>0.09801495989999999</v>
      </c>
      <c r="O73" s="3">
        <v>7.7583483</v>
      </c>
      <c r="P73" s="4">
        <f t="shared" si="35"/>
        <v>0.07644670154550001</v>
      </c>
      <c r="Q73" s="3">
        <v>16.81519507186858</v>
      </c>
      <c r="R73" s="3">
        <v>16.815195071868583</v>
      </c>
      <c r="S73" s="3"/>
      <c r="T73" s="1" t="s">
        <v>149</v>
      </c>
      <c r="U73" s="1" t="s">
        <v>159</v>
      </c>
      <c r="V73" s="8">
        <v>5.8289517</v>
      </c>
      <c r="W73" s="4">
        <f t="shared" si="28"/>
        <v>0.039473660912399997</v>
      </c>
      <c r="X73" s="4">
        <f t="shared" si="29"/>
        <v>0.21393532235790003</v>
      </c>
      <c r="Y73" s="8">
        <f t="shared" si="31"/>
        <v>97.68557312949672</v>
      </c>
      <c r="Z73" s="8">
        <f t="shared" si="32"/>
        <v>99.23582999986476</v>
      </c>
      <c r="AA73" s="4">
        <f t="shared" si="33"/>
        <v>0.026181138012178477</v>
      </c>
      <c r="AB73" s="4"/>
      <c r="AJ73" s="3">
        <f t="shared" si="30"/>
        <v>36.70219507186859</v>
      </c>
    </row>
    <row r="74" spans="1:36" ht="13.5">
      <c r="A74" s="1" t="str">
        <f t="shared" si="23"/>
        <v>Manual IV,(2)</v>
      </c>
      <c r="B74" s="1" t="str">
        <f t="shared" si="34"/>
        <v>women</v>
      </c>
      <c r="C74" s="3">
        <f>137*C25/(C12+C13+C23+C25+C27+C29+C35+C36)</f>
        <v>4.63592081711889</v>
      </c>
      <c r="D74" s="3">
        <f t="shared" si="26"/>
        <v>17.90166960485807</v>
      </c>
      <c r="E74" s="4">
        <f>6.454*E25/(E12+E13+E23+E25+E27+E29+E35+E36)</f>
        <v>0.08299072278234604</v>
      </c>
      <c r="F74" s="1">
        <f t="shared" si="27"/>
        <v>0</v>
      </c>
      <c r="G74" s="1">
        <f t="shared" si="25"/>
        <v>1</v>
      </c>
      <c r="H74" s="1">
        <f t="shared" si="25"/>
        <v>0</v>
      </c>
      <c r="I74" s="1">
        <f t="shared" si="25"/>
        <v>0</v>
      </c>
      <c r="K74" s="1" t="s">
        <v>154</v>
      </c>
      <c r="L74" s="1" t="s">
        <v>156</v>
      </c>
      <c r="M74" s="3">
        <v>4.197339</v>
      </c>
      <c r="N74" s="4">
        <v>0.06919181999999999</v>
      </c>
      <c r="O74" s="3">
        <v>0.9845609999999999</v>
      </c>
      <c r="P74" s="4">
        <f t="shared" si="35"/>
        <v>0.05504810098500001</v>
      </c>
      <c r="Q74" s="3">
        <v>16.484687083888147</v>
      </c>
      <c r="R74" s="3">
        <v>16.484687083888147</v>
      </c>
      <c r="S74" s="3"/>
      <c r="T74" s="1" t="s">
        <v>154</v>
      </c>
      <c r="U74" s="1" t="s">
        <v>156</v>
      </c>
      <c r="V74" s="8">
        <v>4.197339</v>
      </c>
      <c r="W74" s="4">
        <f t="shared" si="28"/>
        <v>0.028424379708000002</v>
      </c>
      <c r="X74" s="4">
        <f t="shared" si="29"/>
        <v>0.152664300693</v>
      </c>
      <c r="Y74" s="8">
        <f t="shared" si="31"/>
        <v>98.21594196952704</v>
      </c>
      <c r="Z74" s="8">
        <f t="shared" si="32"/>
        <v>99.43736703048259</v>
      </c>
      <c r="AA74" s="4">
        <f t="shared" si="33"/>
        <v>0.014700137308490947</v>
      </c>
      <c r="AB74" s="4"/>
      <c r="AJ74" s="3">
        <f t="shared" si="30"/>
        <v>36.37168708388815</v>
      </c>
    </row>
    <row r="75" spans="1:36" ht="13.5">
      <c r="A75" s="1" t="str">
        <f t="shared" si="23"/>
        <v>Manual V, (3)</v>
      </c>
      <c r="B75" s="1" t="str">
        <f t="shared" si="34"/>
        <v>women</v>
      </c>
      <c r="C75" s="3">
        <f>C26*0.1461</f>
        <v>13.5873</v>
      </c>
      <c r="D75" s="3">
        <f t="shared" si="26"/>
        <v>16.81519507186858</v>
      </c>
      <c r="E75" s="4">
        <f>E26*0.1293</f>
        <v>0.22847309999999998</v>
      </c>
      <c r="F75" s="1">
        <f t="shared" si="27"/>
        <v>0</v>
      </c>
      <c r="G75" s="1">
        <f aca="true" t="shared" si="36" ref="G75:I93">G26</f>
        <v>1</v>
      </c>
      <c r="H75" s="1">
        <f t="shared" si="36"/>
        <v>0</v>
      </c>
      <c r="I75" s="1">
        <f t="shared" si="36"/>
        <v>0</v>
      </c>
      <c r="K75" s="1" t="s">
        <v>152</v>
      </c>
      <c r="L75" s="1" t="s">
        <v>159</v>
      </c>
      <c r="M75" s="3">
        <v>2.91249816</v>
      </c>
      <c r="N75" s="4">
        <v>0.04441074924</v>
      </c>
      <c r="O75" s="3">
        <v>3.8765418400000002</v>
      </c>
      <c r="P75" s="4">
        <f t="shared" si="35"/>
        <v>0.0381974133684</v>
      </c>
      <c r="Q75" s="3">
        <v>15.248335552596535</v>
      </c>
      <c r="R75" s="3">
        <v>15.248335552596538</v>
      </c>
      <c r="S75" s="3"/>
      <c r="T75" s="1" t="s">
        <v>152</v>
      </c>
      <c r="U75" s="1" t="s">
        <v>159</v>
      </c>
      <c r="V75" s="8">
        <v>2.91249816</v>
      </c>
      <c r="W75" s="4">
        <f t="shared" si="28"/>
        <v>0.01972343753952</v>
      </c>
      <c r="X75" s="4">
        <f t="shared" si="29"/>
        <v>0.10233160014792</v>
      </c>
      <c r="Y75" s="8">
        <f t="shared" si="31"/>
        <v>98.58396043806381</v>
      </c>
      <c r="Z75" s="8">
        <f t="shared" si="32"/>
        <v>99.57245825179997</v>
      </c>
      <c r="AA75" s="4">
        <f t="shared" si="33"/>
        <v>0.008132924319284314</v>
      </c>
      <c r="AB75" s="4"/>
      <c r="AJ75" s="3">
        <f t="shared" si="30"/>
        <v>35.13533555259654</v>
      </c>
    </row>
    <row r="76" spans="1:36" ht="13.5">
      <c r="A76" s="1" t="str">
        <f t="shared" si="23"/>
        <v>Manual IV,(2)</v>
      </c>
      <c r="B76" s="1" t="str">
        <f t="shared" si="34"/>
        <v>boys</v>
      </c>
      <c r="C76" s="3">
        <f>137*C27/(C12+C13+C23+C25+C27+C29+C35+C36)</f>
        <v>25.485364702529896</v>
      </c>
      <c r="D76" s="3">
        <f t="shared" si="26"/>
        <v>17.430573036309177</v>
      </c>
      <c r="E76" s="4">
        <f>6.454*E27/(E12+E13+E23+E25+E27+E29+E35+E36)</f>
        <v>0.44422451080442327</v>
      </c>
      <c r="F76" s="1">
        <f t="shared" si="27"/>
        <v>0</v>
      </c>
      <c r="G76" s="1">
        <f t="shared" si="36"/>
        <v>0</v>
      </c>
      <c r="H76" s="1">
        <f t="shared" si="36"/>
        <v>1</v>
      </c>
      <c r="I76" s="1">
        <f t="shared" si="36"/>
        <v>0</v>
      </c>
      <c r="K76" s="1" t="s">
        <v>154</v>
      </c>
      <c r="L76" s="1" t="s">
        <v>159</v>
      </c>
      <c r="M76" s="3">
        <v>3.04781334</v>
      </c>
      <c r="N76" s="4">
        <v>0.036425630669999993</v>
      </c>
      <c r="O76" s="3">
        <v>4.056646659999999</v>
      </c>
      <c r="P76" s="4">
        <f t="shared" si="35"/>
        <v>0.0399720719541</v>
      </c>
      <c r="Q76" s="3">
        <v>11.951398135818907</v>
      </c>
      <c r="R76" s="3">
        <v>11.951398135818907</v>
      </c>
      <c r="S76" s="3"/>
      <c r="T76" s="1" t="s">
        <v>154</v>
      </c>
      <c r="U76" s="1" t="s">
        <v>159</v>
      </c>
      <c r="V76" s="8">
        <v>3.04781334</v>
      </c>
      <c r="W76" s="4">
        <f t="shared" si="28"/>
        <v>0.02063979193848</v>
      </c>
      <c r="X76" s="4">
        <f t="shared" si="29"/>
        <v>0.09703749456257998</v>
      </c>
      <c r="Y76" s="8">
        <f t="shared" si="31"/>
        <v>98.96907710978482</v>
      </c>
      <c r="Z76" s="8">
        <f t="shared" si="32"/>
        <v>99.70056055485288</v>
      </c>
      <c r="AA76" s="4">
        <f t="shared" si="33"/>
        <v>0.006623934578131922</v>
      </c>
      <c r="AB76" s="4"/>
      <c r="AJ76" s="3">
        <f t="shared" si="30"/>
        <v>31.838398135818903</v>
      </c>
    </row>
    <row r="77" spans="1:36" ht="13.5">
      <c r="A77" s="1" t="str">
        <f t="shared" si="23"/>
        <v>Manual VI,(5)</v>
      </c>
      <c r="B77" s="1" t="str">
        <f t="shared" si="34"/>
        <v>women</v>
      </c>
      <c r="C77" s="3">
        <f>C28*0.1502</f>
        <v>6.789040000000001</v>
      </c>
      <c r="D77" s="3">
        <f t="shared" si="26"/>
        <v>15.248335552596535</v>
      </c>
      <c r="E77" s="4">
        <f>E28*0.1238</f>
        <v>0.10352156</v>
      </c>
      <c r="F77" s="1">
        <f t="shared" si="27"/>
        <v>0</v>
      </c>
      <c r="G77" s="1">
        <f t="shared" si="36"/>
        <v>1</v>
      </c>
      <c r="H77" s="1">
        <f t="shared" si="36"/>
        <v>0</v>
      </c>
      <c r="I77" s="1">
        <f t="shared" si="36"/>
        <v>0</v>
      </c>
      <c r="K77" s="1" t="s">
        <v>153</v>
      </c>
      <c r="L77" s="1" t="s">
        <v>159</v>
      </c>
      <c r="M77" s="3">
        <v>8.183346599999998</v>
      </c>
      <c r="N77" s="4">
        <v>0.06407745629999999</v>
      </c>
      <c r="O77" s="3">
        <v>10.892053399999998</v>
      </c>
      <c r="P77" s="4">
        <f t="shared" si="35"/>
        <v>0.10732459065899998</v>
      </c>
      <c r="Q77" s="3">
        <v>7.8302263648468715</v>
      </c>
      <c r="R77" s="3">
        <v>7.8302263648468715</v>
      </c>
      <c r="S77" s="3"/>
      <c r="T77" s="1" t="s">
        <v>153</v>
      </c>
      <c r="U77" s="1" t="s">
        <v>159</v>
      </c>
      <c r="V77" s="8">
        <v>8.183346599999998</v>
      </c>
      <c r="W77" s="4">
        <f t="shared" si="28"/>
        <v>0.05541762317519999</v>
      </c>
      <c r="X77" s="4">
        <f t="shared" si="29"/>
        <v>0.22681967013419996</v>
      </c>
      <c r="Y77" s="8">
        <f t="shared" si="31"/>
        <v>100.00311130235495</v>
      </c>
      <c r="Z77" s="8">
        <f t="shared" si="32"/>
        <v>99.99999246262081</v>
      </c>
      <c r="AA77" s="4">
        <f t="shared" si="33"/>
        <v>0.0075315390657312575</v>
      </c>
      <c r="AB77" s="4"/>
      <c r="AJ77" s="3">
        <f t="shared" si="30"/>
        <v>27.71722636484687</v>
      </c>
    </row>
    <row r="78" spans="1:36" ht="13.5">
      <c r="A78" s="1" t="str">
        <f t="shared" si="23"/>
        <v>Manual IV,(1)</v>
      </c>
      <c r="B78" s="1" t="str">
        <f t="shared" si="34"/>
        <v>women</v>
      </c>
      <c r="C78" s="3">
        <f>137*C29/(C12+C13+C23+C25+C27+C29+C35+C36)</f>
        <v>0.27937522818953314</v>
      </c>
      <c r="D78" s="3">
        <f t="shared" si="26"/>
        <v>16.95947646776028</v>
      </c>
      <c r="E78" s="4">
        <f>6.454*E29/(E12+E13+E23+E25+E27+E29+E35+E36)</f>
        <v>0.004738057608155545</v>
      </c>
      <c r="F78" s="1">
        <f t="shared" si="27"/>
        <v>0</v>
      </c>
      <c r="G78" s="1">
        <f t="shared" si="36"/>
        <v>1</v>
      </c>
      <c r="H78" s="1">
        <f t="shared" si="36"/>
        <v>0</v>
      </c>
      <c r="I78" s="1">
        <f t="shared" si="36"/>
        <v>0</v>
      </c>
      <c r="L78" s="1" t="s">
        <v>162</v>
      </c>
      <c r="M78" s="3">
        <f>SUM(M56:M77)</f>
        <v>791.424622846837</v>
      </c>
      <c r="N78" s="3">
        <f>SUM(N56:N77)</f>
        <v>54.8223896158802</v>
      </c>
      <c r="O78" s="3">
        <f>SUM(O56:O77)</f>
        <v>309.492889173039</v>
      </c>
      <c r="P78" s="3">
        <f>SUM(P56:P77)</f>
        <v>15.568077128636263</v>
      </c>
      <c r="Q78" s="3">
        <f>(1000*P78)/O78</f>
        <v>50.30188955304907</v>
      </c>
      <c r="R78" s="3">
        <f>(1000*N78)/M78</f>
        <v>69.27051298793097</v>
      </c>
      <c r="S78" s="3"/>
      <c r="U78" s="1" t="s">
        <v>162</v>
      </c>
      <c r="V78" s="8">
        <f>SUM(V56:V77)</f>
        <v>791.424622846837</v>
      </c>
      <c r="W78" s="4">
        <f>SUM(W56:W77)</f>
        <v>5.35952754591878</v>
      </c>
      <c r="X78" s="4">
        <f>SUM(X56:X77)</f>
        <v>75.74999429043527</v>
      </c>
      <c r="AA78" s="20" t="s">
        <v>163</v>
      </c>
      <c r="AB78" s="28"/>
      <c r="AJ78" s="3"/>
    </row>
    <row r="79" spans="1:36" ht="13.5">
      <c r="A79" s="1" t="str">
        <f t="shared" si="23"/>
        <v>Manual V, (3)</v>
      </c>
      <c r="B79" s="1" t="str">
        <f t="shared" si="34"/>
        <v>boys</v>
      </c>
      <c r="C79" s="3">
        <f>C30*0.1461</f>
        <v>21.000414000000003</v>
      </c>
      <c r="D79" s="3">
        <f t="shared" si="26"/>
        <v>14.602669404517451</v>
      </c>
      <c r="E79" s="4">
        <f>E30*0.1293</f>
        <v>0.306662103</v>
      </c>
      <c r="F79" s="1">
        <f t="shared" si="27"/>
        <v>0</v>
      </c>
      <c r="G79" s="1">
        <f t="shared" si="36"/>
        <v>0</v>
      </c>
      <c r="H79" s="1">
        <f t="shared" si="36"/>
        <v>1</v>
      </c>
      <c r="I79" s="1">
        <f t="shared" si="36"/>
        <v>0</v>
      </c>
      <c r="L79" s="1" t="s">
        <v>165</v>
      </c>
      <c r="M79" s="3">
        <f>SUM(M60:M61)+SUM(M63:M77)</f>
        <v>571.104622846837</v>
      </c>
      <c r="N79" s="3">
        <f>SUM(N60:N61)+SUM(N63:N77)</f>
        <v>20.3844296158802</v>
      </c>
      <c r="O79" s="3">
        <f>SUM(O60:O61)+SUM(O63:O77)</f>
        <v>257.81288917303897</v>
      </c>
      <c r="P79" s="3">
        <f>SUM(P60:P61)+SUM(P63:P77)</f>
        <v>7.490037128636267</v>
      </c>
      <c r="Q79" s="3">
        <f>(1000*P79)/O79</f>
        <v>29.05222137132601</v>
      </c>
      <c r="R79" s="3">
        <f>(1000*N79)/M79</f>
        <v>35.69298653943316</v>
      </c>
      <c r="S79" s="3"/>
      <c r="U79" s="1" t="s">
        <v>165</v>
      </c>
      <c r="V79" s="8">
        <f>SUM(V60:V61)+SUM(V63:V77)</f>
        <v>571.104622846837</v>
      </c>
      <c r="W79" s="4">
        <f>SUM(W60:W61)+SUM(W63:W77)</f>
        <v>3.8675205059187805</v>
      </c>
      <c r="X79" s="4">
        <f>SUM(X60:X61)+SUM(X63:X77)</f>
        <v>31.74198725043526</v>
      </c>
      <c r="AA79" s="17">
        <f>SUM(AA56:AA77)</f>
        <v>43.98187452717174</v>
      </c>
      <c r="AB79" s="53"/>
      <c r="AJ79" s="3"/>
    </row>
    <row r="80" spans="1:36" ht="13.5">
      <c r="A80" s="1" t="str">
        <f t="shared" si="23"/>
        <v>Manual V, (4)</v>
      </c>
      <c r="B80" s="1" t="str">
        <f t="shared" si="34"/>
        <v>boys</v>
      </c>
      <c r="C80" s="3">
        <f>C31*0.1461</f>
        <v>51.212433</v>
      </c>
      <c r="D80" s="3">
        <f t="shared" si="26"/>
        <v>13.717659137576998</v>
      </c>
      <c r="E80" s="4">
        <f>E31*0.1293</f>
        <v>0.7025146994999998</v>
      </c>
      <c r="F80" s="1">
        <f t="shared" si="27"/>
        <v>0</v>
      </c>
      <c r="G80" s="1">
        <f t="shared" si="36"/>
        <v>0</v>
      </c>
      <c r="H80" s="1">
        <f t="shared" si="36"/>
        <v>1</v>
      </c>
      <c r="I80" s="1">
        <f t="shared" si="36"/>
        <v>0</v>
      </c>
      <c r="M80" s="3"/>
      <c r="N80" s="4"/>
      <c r="O80" s="3"/>
      <c r="P80" s="4"/>
      <c r="Q80" s="3"/>
      <c r="R80" s="3"/>
      <c r="S80" s="3"/>
      <c r="AJ80" s="3"/>
    </row>
    <row r="81" spans="1:36" ht="13.5">
      <c r="A81" s="1" t="str">
        <f t="shared" si="23"/>
        <v>Manual VI,(5)</v>
      </c>
      <c r="B81" s="1" t="str">
        <f t="shared" si="34"/>
        <v>girls</v>
      </c>
      <c r="C81" s="3">
        <f>C32*0.1502</f>
        <v>3.646856</v>
      </c>
      <c r="D81" s="3">
        <f t="shared" si="26"/>
        <v>12.775632490013317</v>
      </c>
      <c r="E81" s="4">
        <f>E32*0.1238</f>
        <v>0.046590892</v>
      </c>
      <c r="F81" s="1">
        <f t="shared" si="27"/>
        <v>0</v>
      </c>
      <c r="G81" s="1">
        <f t="shared" si="36"/>
        <v>0</v>
      </c>
      <c r="H81" s="1">
        <f t="shared" si="36"/>
        <v>0</v>
      </c>
      <c r="I81" s="1">
        <f t="shared" si="36"/>
        <v>1</v>
      </c>
      <c r="L81" s="1" t="s">
        <v>176</v>
      </c>
      <c r="M81" s="3" t="s">
        <v>177</v>
      </c>
      <c r="N81" s="4" t="s">
        <v>178</v>
      </c>
      <c r="O81" s="3"/>
      <c r="P81" s="4"/>
      <c r="Q81" s="3"/>
      <c r="R81" s="3"/>
      <c r="S81" s="3"/>
      <c r="AJ81" s="3"/>
    </row>
    <row r="82" spans="1:36" ht="13.5">
      <c r="A82" s="1" t="str">
        <f t="shared" si="23"/>
        <v>Manual VI,(7)</v>
      </c>
      <c r="B82" s="1" t="str">
        <f t="shared" si="34"/>
        <v>women</v>
      </c>
      <c r="C82" s="3">
        <f>C33*0.1502</f>
        <v>7.1044599999999996</v>
      </c>
      <c r="D82" s="3">
        <f t="shared" si="26"/>
        <v>11.951398135818907</v>
      </c>
      <c r="E82" s="4">
        <f>E33*0.1238</f>
        <v>0.08490822999999999</v>
      </c>
      <c r="F82" s="1">
        <f t="shared" si="27"/>
        <v>0</v>
      </c>
      <c r="G82" s="1">
        <f t="shared" si="36"/>
        <v>1</v>
      </c>
      <c r="H82" s="1">
        <f t="shared" si="36"/>
        <v>0</v>
      </c>
      <c r="I82" s="1">
        <f t="shared" si="36"/>
        <v>0</v>
      </c>
      <c r="K82" s="16" t="s">
        <v>179</v>
      </c>
      <c r="L82" s="7" t="s">
        <v>180</v>
      </c>
      <c r="M82" s="23" t="s">
        <v>24</v>
      </c>
      <c r="N82" s="24" t="s">
        <v>24</v>
      </c>
      <c r="O82" s="3"/>
      <c r="P82" s="4" t="s">
        <v>73</v>
      </c>
      <c r="Q82" s="3"/>
      <c r="R82" s="3"/>
      <c r="S82" s="3"/>
      <c r="AJ82" s="3"/>
    </row>
    <row r="83" spans="1:36" ht="13.5">
      <c r="A83" s="1" t="str">
        <f t="shared" si="23"/>
        <v>Manual VI,(7)</v>
      </c>
      <c r="B83" s="1" t="str">
        <f t="shared" si="34"/>
        <v>girls</v>
      </c>
      <c r="C83" s="3">
        <f>C34*0.1502</f>
        <v>3.776028</v>
      </c>
      <c r="D83" s="3">
        <f t="shared" si="26"/>
        <v>11.95139813581891</v>
      </c>
      <c r="E83" s="4">
        <f>E34*0.1238</f>
        <v>0.045128814</v>
      </c>
      <c r="F83" s="1">
        <f t="shared" si="27"/>
        <v>0</v>
      </c>
      <c r="G83" s="1">
        <f t="shared" si="36"/>
        <v>0</v>
      </c>
      <c r="H83" s="1">
        <f t="shared" si="36"/>
        <v>0</v>
      </c>
      <c r="I83" s="1">
        <f t="shared" si="36"/>
        <v>1</v>
      </c>
      <c r="K83" s="17" t="s">
        <v>74</v>
      </c>
      <c r="L83" s="3">
        <f>C94-M78-O78</f>
        <v>293.14172598012453</v>
      </c>
      <c r="M83" s="8">
        <f>1000*N83/L83</f>
        <v>13.194410713969022</v>
      </c>
      <c r="N83" s="4">
        <f>E94-N78-P78</f>
        <v>3.8678323299835267</v>
      </c>
      <c r="O83" s="3"/>
      <c r="P83" s="4" t="s">
        <v>75</v>
      </c>
      <c r="Q83" s="3"/>
      <c r="R83" s="3"/>
      <c r="S83" s="3"/>
      <c r="AJ83" s="3"/>
    </row>
    <row r="84" spans="1:36" ht="13.5">
      <c r="A84" s="1" t="str">
        <f t="shared" si="23"/>
        <v>Manual IV,(1)</v>
      </c>
      <c r="B84" s="1" t="str">
        <f t="shared" si="34"/>
        <v>girls</v>
      </c>
      <c r="C84" s="3">
        <f>137*C35/(C12+C13+C23+C25+C27+C29+C35+C36)</f>
        <v>0.21959624923194743</v>
      </c>
      <c r="D84" s="3">
        <f t="shared" si="26"/>
        <v>12.719607350820212</v>
      </c>
      <c r="E84" s="4">
        <f>6.454*E35/(E12+E13+E23+E25+E27+E29+E35+E36)</f>
        <v>0.0027931780659432256</v>
      </c>
      <c r="F84" s="1">
        <f t="shared" si="27"/>
        <v>0</v>
      </c>
      <c r="G84" s="1">
        <f t="shared" si="36"/>
        <v>0</v>
      </c>
      <c r="H84" s="1">
        <f t="shared" si="36"/>
        <v>0</v>
      </c>
      <c r="I84" s="1">
        <f t="shared" si="36"/>
        <v>1</v>
      </c>
      <c r="M84" s="3"/>
      <c r="N84" s="4"/>
      <c r="O84" s="3"/>
      <c r="P84" s="4" t="s">
        <v>76</v>
      </c>
      <c r="Q84" s="3"/>
      <c r="R84" s="3"/>
      <c r="S84" s="3"/>
      <c r="AJ84" s="3"/>
    </row>
    <row r="85" spans="1:36" ht="13.5">
      <c r="A85" s="1" t="str">
        <f t="shared" si="23"/>
        <v>Manual IV,(2)</v>
      </c>
      <c r="B85" s="1" t="str">
        <f t="shared" si="34"/>
        <v>girls</v>
      </c>
      <c r="C85" s="3">
        <f>137*C36/(C12+C13+C23+C25+C27+C29+C35+C36)</f>
        <v>2.5253568661673955</v>
      </c>
      <c r="D85" s="3">
        <f t="shared" si="26"/>
        <v>12.719607350820207</v>
      </c>
      <c r="E85" s="4">
        <f>6.454*E36/(E12+E13+E23+E25+E27+E29+E35+E36)</f>
        <v>0.03212154775834709</v>
      </c>
      <c r="F85" s="1">
        <f t="shared" si="27"/>
        <v>0</v>
      </c>
      <c r="G85" s="1">
        <f t="shared" si="36"/>
        <v>0</v>
      </c>
      <c r="H85" s="1">
        <f t="shared" si="36"/>
        <v>0</v>
      </c>
      <c r="I85" s="1">
        <f t="shared" si="36"/>
        <v>1</v>
      </c>
      <c r="K85" s="1" t="s">
        <v>77</v>
      </c>
      <c r="M85" s="3"/>
      <c r="N85" s="4" t="s">
        <v>78</v>
      </c>
      <c r="O85" s="3"/>
      <c r="P85" s="4" t="s">
        <v>79</v>
      </c>
      <c r="Q85" s="3"/>
      <c r="R85" s="3"/>
      <c r="S85" s="3"/>
      <c r="AJ85" s="3"/>
    </row>
    <row r="86" spans="1:36" ht="13.5">
      <c r="A86" s="1" t="str">
        <f t="shared" si="23"/>
        <v>Manual V, (3)</v>
      </c>
      <c r="B86" s="1" t="str">
        <f t="shared" si="34"/>
        <v>girls</v>
      </c>
      <c r="C86" s="3">
        <f>C37*0.1461</f>
        <v>8.441658</v>
      </c>
      <c r="D86" s="3">
        <f t="shared" si="26"/>
        <v>11.947638603696097</v>
      </c>
      <c r="E86" s="4">
        <f>E37*0.1293</f>
        <v>0.100857879</v>
      </c>
      <c r="F86" s="1">
        <f t="shared" si="27"/>
        <v>0</v>
      </c>
      <c r="G86" s="1">
        <f t="shared" si="36"/>
        <v>0</v>
      </c>
      <c r="H86" s="1">
        <f t="shared" si="36"/>
        <v>0</v>
      </c>
      <c r="I86" s="1">
        <f t="shared" si="36"/>
        <v>1</v>
      </c>
      <c r="K86" s="1" t="s">
        <v>80</v>
      </c>
      <c r="M86" s="3"/>
      <c r="N86" s="4">
        <f>1000*N83/M79</f>
        <v>6.77254600164711</v>
      </c>
      <c r="O86" s="3"/>
      <c r="P86" s="4" t="s">
        <v>81</v>
      </c>
      <c r="Q86" s="3"/>
      <c r="R86" s="3"/>
      <c r="S86" s="3"/>
      <c r="AJ86" s="3"/>
    </row>
    <row r="87" spans="1:36" ht="13.5">
      <c r="A87" s="1" t="str">
        <f t="shared" si="23"/>
        <v>Manual VI,(5)</v>
      </c>
      <c r="B87" s="1" t="str">
        <f t="shared" si="34"/>
        <v>boys</v>
      </c>
      <c r="C87" s="3">
        <f>C38*0.1502</f>
        <v>13.472940000000001</v>
      </c>
      <c r="D87" s="3">
        <f t="shared" si="26"/>
        <v>11.127163781624498</v>
      </c>
      <c r="E87" s="4">
        <f>E38*0.1238</f>
        <v>0.14991560999999998</v>
      </c>
      <c r="F87" s="1">
        <f t="shared" si="27"/>
        <v>0</v>
      </c>
      <c r="G87" s="1">
        <f t="shared" si="36"/>
        <v>0</v>
      </c>
      <c r="H87" s="1">
        <f t="shared" si="36"/>
        <v>1</v>
      </c>
      <c r="I87" s="1">
        <f t="shared" si="36"/>
        <v>0</v>
      </c>
      <c r="M87" s="3"/>
      <c r="N87" s="4"/>
      <c r="O87" s="3"/>
      <c r="P87" s="4" t="s">
        <v>82</v>
      </c>
      <c r="Q87" s="3"/>
      <c r="R87" s="3"/>
      <c r="S87" s="3"/>
      <c r="AJ87" s="3"/>
    </row>
    <row r="88" spans="1:36" ht="13.5">
      <c r="A88" s="1" t="str">
        <f t="shared" si="23"/>
        <v>Manual V, (4)</v>
      </c>
      <c r="B88" s="1" t="str">
        <f t="shared" si="34"/>
        <v>girls</v>
      </c>
      <c r="C88" s="3">
        <f>C39*0.1461</f>
        <v>27.402516000000002</v>
      </c>
      <c r="D88" s="3">
        <f t="shared" si="26"/>
        <v>11.062628336755646</v>
      </c>
      <c r="E88" s="4">
        <f>E39*0.1293</f>
        <v>0.30314385</v>
      </c>
      <c r="F88" s="1">
        <f t="shared" si="27"/>
        <v>0</v>
      </c>
      <c r="G88" s="1">
        <f t="shared" si="36"/>
        <v>0</v>
      </c>
      <c r="H88" s="1">
        <f t="shared" si="36"/>
        <v>0</v>
      </c>
      <c r="I88" s="1">
        <f t="shared" si="36"/>
        <v>1</v>
      </c>
      <c r="K88" s="1" t="s">
        <v>83</v>
      </c>
      <c r="M88" s="3"/>
      <c r="N88" s="4" t="s">
        <v>78</v>
      </c>
      <c r="O88" s="3"/>
      <c r="P88" s="4" t="s">
        <v>84</v>
      </c>
      <c r="Q88" s="3"/>
      <c r="R88" s="3"/>
      <c r="S88" s="3"/>
      <c r="AJ88" s="3"/>
    </row>
    <row r="89" spans="1:36" ht="13.5">
      <c r="A89" s="1" t="str">
        <f t="shared" si="23"/>
        <v>Manual VI,(7)</v>
      </c>
      <c r="B89" s="1" t="str">
        <f t="shared" si="34"/>
        <v>boys</v>
      </c>
      <c r="C89" s="3">
        <f>C40*0.1502</f>
        <v>3.3464560000000003</v>
      </c>
      <c r="D89" s="3">
        <f t="shared" si="26"/>
        <v>10.302929427430094</v>
      </c>
      <c r="E89" s="4">
        <f>E40*0.1238</f>
        <v>0.0344783</v>
      </c>
      <c r="F89" s="1">
        <f t="shared" si="27"/>
        <v>0</v>
      </c>
      <c r="G89" s="1">
        <f t="shared" si="36"/>
        <v>0</v>
      </c>
      <c r="H89" s="1">
        <f t="shared" si="36"/>
        <v>1</v>
      </c>
      <c r="I89" s="1">
        <f t="shared" si="36"/>
        <v>0</v>
      </c>
      <c r="K89" s="1" t="s">
        <v>85</v>
      </c>
      <c r="M89" s="3"/>
      <c r="N89" s="4">
        <f>1000*P79/M79</f>
        <v>13.115</v>
      </c>
      <c r="O89" s="3"/>
      <c r="P89" s="4" t="s">
        <v>86</v>
      </c>
      <c r="Q89" s="3"/>
      <c r="R89" s="3"/>
      <c r="S89" s="3"/>
      <c r="AJ89" s="3"/>
    </row>
    <row r="90" spans="1:36" ht="13.5">
      <c r="A90" s="1" t="str">
        <f t="shared" si="23"/>
        <v>Manual VI,(8)</v>
      </c>
      <c r="B90" s="1" t="str">
        <f t="shared" si="34"/>
        <v>girls</v>
      </c>
      <c r="C90" s="3">
        <f>C41*0.1502</f>
        <v>14.620468</v>
      </c>
      <c r="D90" s="3">
        <f t="shared" si="26"/>
        <v>8.654460719041278</v>
      </c>
      <c r="E90" s="4">
        <f>E41*0.1238</f>
        <v>0.126532266</v>
      </c>
      <c r="F90" s="1">
        <f t="shared" si="27"/>
        <v>0</v>
      </c>
      <c r="G90" s="1">
        <f t="shared" si="36"/>
        <v>0</v>
      </c>
      <c r="H90" s="1">
        <f t="shared" si="36"/>
        <v>0</v>
      </c>
      <c r="I90" s="1">
        <f t="shared" si="36"/>
        <v>1</v>
      </c>
      <c r="M90" s="3"/>
      <c r="N90" s="4"/>
      <c r="O90" s="3"/>
      <c r="P90" s="4" t="s">
        <v>87</v>
      </c>
      <c r="Q90" s="3"/>
      <c r="R90" s="3"/>
      <c r="S90" s="3"/>
      <c r="AJ90" s="3"/>
    </row>
    <row r="91" spans="1:36" ht="13.5">
      <c r="A91" s="1" t="str">
        <f t="shared" si="23"/>
        <v>Manual VI,(6)</v>
      </c>
      <c r="B91" s="1" t="str">
        <f t="shared" si="34"/>
        <v>women</v>
      </c>
      <c r="C91" s="3">
        <f>C42*0.1502</f>
        <v>19.0754</v>
      </c>
      <c r="D91" s="3">
        <f t="shared" si="26"/>
        <v>7.8302263648468715</v>
      </c>
      <c r="E91" s="4">
        <f>E42*0.1238</f>
        <v>0.1493647</v>
      </c>
      <c r="F91" s="1">
        <f t="shared" si="27"/>
        <v>0</v>
      </c>
      <c r="G91" s="1">
        <f t="shared" si="36"/>
        <v>1</v>
      </c>
      <c r="H91" s="1">
        <f t="shared" si="36"/>
        <v>0</v>
      </c>
      <c r="I91" s="1">
        <f t="shared" si="36"/>
        <v>0</v>
      </c>
      <c r="M91" s="3"/>
      <c r="N91" s="4"/>
      <c r="O91" s="3"/>
      <c r="P91" s="4" t="s">
        <v>88</v>
      </c>
      <c r="Q91" s="3"/>
      <c r="R91" s="3"/>
      <c r="S91" s="3"/>
      <c r="AJ91" s="3"/>
    </row>
    <row r="92" spans="1:36" ht="13.5">
      <c r="A92" s="1" t="str">
        <f t="shared" si="23"/>
        <v>Manual VI,(6)</v>
      </c>
      <c r="B92" s="1" t="str">
        <f t="shared" si="34"/>
        <v>boys</v>
      </c>
      <c r="C92" s="3">
        <f>C43*0.1502</f>
        <v>54.77794</v>
      </c>
      <c r="D92" s="3">
        <f t="shared" si="26"/>
        <v>6.593874833555258</v>
      </c>
      <c r="E92" s="4">
        <f>E43*0.1238</f>
        <v>0.36119887999999994</v>
      </c>
      <c r="F92" s="1">
        <f t="shared" si="27"/>
        <v>0</v>
      </c>
      <c r="G92" s="1">
        <f t="shared" si="36"/>
        <v>0</v>
      </c>
      <c r="H92" s="1">
        <f t="shared" si="36"/>
        <v>1</v>
      </c>
      <c r="I92" s="1">
        <f t="shared" si="36"/>
        <v>0</v>
      </c>
      <c r="M92" s="3"/>
      <c r="N92" s="4"/>
      <c r="O92" s="3"/>
      <c r="P92" s="4"/>
      <c r="Q92" s="3"/>
      <c r="R92" s="3"/>
      <c r="S92" s="3"/>
      <c r="AJ92" s="3"/>
    </row>
    <row r="93" spans="1:36" ht="13.5">
      <c r="A93" s="1" t="str">
        <f t="shared" si="23"/>
        <v>Manual VI,(6)</v>
      </c>
      <c r="B93" s="1" t="str">
        <f t="shared" si="34"/>
        <v>girls</v>
      </c>
      <c r="C93" s="3">
        <f>C44*0.1502</f>
        <v>5.42222</v>
      </c>
      <c r="D93" s="3">
        <f t="shared" si="26"/>
        <v>6.593874833555259</v>
      </c>
      <c r="E93" s="4">
        <f>E44*0.1238</f>
        <v>0.03575344</v>
      </c>
      <c r="F93" s="1">
        <f t="shared" si="27"/>
        <v>0</v>
      </c>
      <c r="G93" s="1">
        <f t="shared" si="36"/>
        <v>0</v>
      </c>
      <c r="H93" s="1">
        <f t="shared" si="36"/>
        <v>0</v>
      </c>
      <c r="I93" s="1">
        <f t="shared" si="36"/>
        <v>1</v>
      </c>
      <c r="M93" s="3"/>
      <c r="N93" s="4"/>
      <c r="O93" s="3"/>
      <c r="P93" s="4"/>
      <c r="Q93" s="3"/>
      <c r="R93" s="3"/>
      <c r="S93" s="3"/>
      <c r="AJ93" s="3"/>
    </row>
    <row r="94" spans="1:36" ht="13.5">
      <c r="A94" s="1" t="s">
        <v>89</v>
      </c>
      <c r="C94" s="1">
        <f>SUM(C56:C93)</f>
        <v>1394.0592380000005</v>
      </c>
      <c r="D94" s="3">
        <f t="shared" si="26"/>
        <v>53.26767833842937</v>
      </c>
      <c r="E94" s="1">
        <f>SUM(E56:E93)</f>
        <v>74.25829907449999</v>
      </c>
      <c r="AJ94" s="3"/>
    </row>
    <row r="95" ht="13.5">
      <c r="AJ95" s="3"/>
    </row>
    <row r="96" spans="1:36" ht="13.5">
      <c r="A96" s="1" t="s">
        <v>90</v>
      </c>
      <c r="C96" s="1">
        <v>3237.47</v>
      </c>
      <c r="D96" s="15">
        <f>E94/(C96/1000)</f>
        <v>22.93713889997436</v>
      </c>
      <c r="E96" s="1" t="s">
        <v>91</v>
      </c>
      <c r="AJ96" s="3"/>
    </row>
    <row r="97" spans="1:36" ht="13.5">
      <c r="A97" s="1" t="s">
        <v>180</v>
      </c>
      <c r="AJ97" s="3"/>
    </row>
    <row r="98" ht="13.5">
      <c r="AJ98" s="3"/>
    </row>
    <row r="99" ht="13.5">
      <c r="AJ99" s="3"/>
    </row>
    <row r="100" spans="12:36" ht="13.5">
      <c r="L100" s="1" t="str">
        <f>L2</f>
        <v>Deriving the Distribution of Income among UK Households, 1867</v>
      </c>
      <c r="U100" s="1" t="str">
        <f>U2</f>
        <v>Deriving the Distribution of Income among UK Households, 1867</v>
      </c>
      <c r="AD100" s="1" t="str">
        <f>AD2</f>
        <v>UK Household Heads, 1867.</v>
      </c>
      <c r="AJ100" s="3"/>
    </row>
    <row r="101" spans="2:36" ht="13.5">
      <c r="B101" s="27" t="s">
        <v>92</v>
      </c>
      <c r="C101" s="7"/>
      <c r="E101" s="4"/>
      <c r="L101" s="6" t="s">
        <v>121</v>
      </c>
      <c r="R101" s="22" t="s">
        <v>174</v>
      </c>
      <c r="S101" s="22"/>
      <c r="U101" s="5" t="s">
        <v>121</v>
      </c>
      <c r="X101" s="1" t="str">
        <f>X3</f>
        <v>All income</v>
      </c>
      <c r="AD101" s="5" t="s">
        <v>121</v>
      </c>
      <c r="AJ101" s="3"/>
    </row>
    <row r="102" spans="5:36" ht="13.5">
      <c r="E102" s="4" t="str">
        <f aca="true" t="shared" si="37" ref="E102:F104">E53</f>
        <v>  Total</v>
      </c>
      <c r="F102" s="1" t="str">
        <f t="shared" si="37"/>
        <v>Demographic group</v>
      </c>
      <c r="N102" s="1" t="str">
        <f aca="true" t="shared" si="38" ref="N102:O104">N4</f>
        <v>      heads'</v>
      </c>
      <c r="O102" s="7" t="str">
        <f t="shared" si="38"/>
        <v>Non-head adults:</v>
      </c>
      <c r="P102" s="7"/>
      <c r="Q102" s="1" t="str">
        <f>Q4</f>
        <v>Check:</v>
      </c>
      <c r="W102" s="1" t="str">
        <f>W4</f>
        <v>Kids'</v>
      </c>
      <c r="X102" s="1" t="str">
        <f>X4</f>
        <v>incl. kids'</v>
      </c>
      <c r="AE102" s="1" t="str">
        <f aca="true" t="shared" si="39" ref="AE102:AG104">AE4</f>
        <v>1000s of </v>
      </c>
      <c r="AF102" s="1" t="str">
        <f t="shared" si="39"/>
        <v>Their</v>
      </c>
      <c r="AG102" s="1" t="str">
        <f t="shared" si="39"/>
        <v>Cumulative % shares:</v>
      </c>
      <c r="AJ102" s="3"/>
    </row>
    <row r="103" spans="1:36" ht="13.5">
      <c r="A103" s="1" t="str">
        <f aca="true" t="shared" si="40" ref="A103:A143">A54</f>
        <v>Income class, </v>
      </c>
      <c r="C103" s="1" t="str">
        <f>C54</f>
        <v>1000s of</v>
      </c>
      <c r="D103" s="1" t="str">
        <f>D54</f>
        <v>Ave. annual</v>
      </c>
      <c r="E103" s="4" t="str">
        <f t="shared" si="37"/>
        <v>income</v>
      </c>
      <c r="F103" s="1" t="str">
        <f t="shared" si="37"/>
        <v>n.a. or</v>
      </c>
      <c r="K103" s="1" t="str">
        <f>K5</f>
        <v>Income class, </v>
      </c>
      <c r="M103" s="1" t="str">
        <f>M5</f>
        <v>1000s of </v>
      </c>
      <c r="N103" s="1" t="str">
        <f t="shared" si="38"/>
        <v>    income,</v>
      </c>
      <c r="O103" s="1" t="str">
        <f t="shared" si="38"/>
        <v>1000s </v>
      </c>
      <c r="P103" s="1" t="s">
        <v>175</v>
      </c>
      <c r="Q103" s="1" t="str">
        <f>Q5</f>
        <v>non-head</v>
      </c>
      <c r="R103" s="1" t="str">
        <f>R5</f>
        <v>heads'</v>
      </c>
      <c r="T103" s="1" t="str">
        <f>T5</f>
        <v>Income class, </v>
      </c>
      <c r="V103" s="8" t="str">
        <f>V5</f>
        <v>1000s of </v>
      </c>
      <c r="W103" s="1" t="str">
        <f>W5</f>
        <v>income</v>
      </c>
      <c r="X103" s="1" t="str">
        <f>X5</f>
        <v>and adult</v>
      </c>
      <c r="Y103" s="1" t="str">
        <f>Y5</f>
        <v>Cumulative % of:</v>
      </c>
      <c r="AA103" s="1" t="str">
        <f>AA5</f>
        <v>  Contrib.</v>
      </c>
      <c r="AC103" s="1" t="str">
        <f aca="true" t="shared" si="41" ref="AC103:AC109">AC5</f>
        <v>Income class, </v>
      </c>
      <c r="AE103" s="1" t="str">
        <f t="shared" si="39"/>
        <v>franchised</v>
      </c>
      <c r="AF103" s="1" t="str">
        <f t="shared" si="39"/>
        <v>h'hold </v>
      </c>
      <c r="AG103" s="1" t="str">
        <f t="shared" si="39"/>
        <v>Franchised</v>
      </c>
      <c r="AI103" s="1" t="str">
        <f>AI5</f>
        <v>Contrib.</v>
      </c>
      <c r="AJ103" s="3"/>
    </row>
    <row r="104" spans="1:36" ht="13.5">
      <c r="A104" s="1" t="str">
        <f t="shared" si="40"/>
        <v>   subdivision</v>
      </c>
      <c r="C104" s="1" t="str">
        <f>C55</f>
        <v>recipients</v>
      </c>
      <c r="D104" s="1" t="str">
        <f>D55</f>
        <v> income (£)</v>
      </c>
      <c r="E104" s="4" t="str">
        <f t="shared" si="37"/>
        <v> (£ m.)</v>
      </c>
      <c r="F104" s="1" t="str">
        <f t="shared" si="37"/>
        <v>  men</v>
      </c>
      <c r="G104" s="1" t="str">
        <f aca="true" t="shared" si="42" ref="G104:I123">G55</f>
        <v>Women</v>
      </c>
      <c r="H104" s="1" t="str">
        <f t="shared" si="42"/>
        <v> Boys</v>
      </c>
      <c r="I104" s="1" t="str">
        <f t="shared" si="42"/>
        <v> Girls</v>
      </c>
      <c r="K104" s="1" t="str">
        <f>K6</f>
        <v>   subdivision</v>
      </c>
      <c r="M104" s="1" t="str">
        <f>M6</f>
        <v>h. heads</v>
      </c>
      <c r="N104" s="1" t="str">
        <f t="shared" si="38"/>
        <v>       £ m.</v>
      </c>
      <c r="O104" s="1" t="str">
        <f t="shared" si="38"/>
        <v>of them</v>
      </c>
      <c r="P104" s="1" t="str">
        <f>P6</f>
        <v>come(£m.)</v>
      </c>
      <c r="Q104" s="1" t="str">
        <f>Q6</f>
        <v>ave.inc.</v>
      </c>
      <c r="R104" s="1" t="str">
        <f>R6</f>
        <v>ave.inc.</v>
      </c>
      <c r="T104" s="1" t="str">
        <f>T6</f>
        <v>   subdivision</v>
      </c>
      <c r="V104" s="8" t="str">
        <f>V6</f>
        <v>h. heads</v>
      </c>
      <c r="W104" s="1" t="str">
        <f>W6</f>
        <v>(£ m.)</v>
      </c>
      <c r="X104" s="1" t="str">
        <f>X6</f>
        <v>non-heads'</v>
      </c>
      <c r="Y104" s="1" t="str">
        <f>Y6</f>
        <v>Heads</v>
      </c>
      <c r="Z104" s="1" t="str">
        <f>Z6</f>
        <v>Income</v>
      </c>
      <c r="AA104" s="1" t="str">
        <f>AA6</f>
        <v>   to Gini:</v>
      </c>
      <c r="AC104" s="1" t="str">
        <f t="shared" si="41"/>
        <v>   subdivision</v>
      </c>
      <c r="AE104" s="1" t="str">
        <f t="shared" si="39"/>
        <v>h'hold heads</v>
      </c>
      <c r="AF104" s="1" t="str">
        <f t="shared" si="39"/>
        <v>income(£m)</v>
      </c>
      <c r="AG104" s="1" t="str">
        <f t="shared" si="39"/>
        <v>h'hold heads:</v>
      </c>
      <c r="AH104" s="1" t="str">
        <f>AH6</f>
        <v>Income</v>
      </c>
      <c r="AI104" s="1" t="str">
        <f>AI6</f>
        <v>to Gini</v>
      </c>
      <c r="AJ104" s="3"/>
    </row>
    <row r="105" spans="1:36" ht="13.5">
      <c r="A105" s="1" t="str">
        <f t="shared" si="40"/>
        <v>Large incomes, (1)</v>
      </c>
      <c r="C105" s="3">
        <v>0.4</v>
      </c>
      <c r="D105" s="3">
        <f aca="true" t="shared" si="43" ref="D105:D143">1000*E105/C105</f>
        <v>12462.5</v>
      </c>
      <c r="E105" s="4">
        <v>4.985</v>
      </c>
      <c r="F105" s="1">
        <f aca="true" t="shared" si="44" ref="F105:F142">F56</f>
        <v>1</v>
      </c>
      <c r="G105" s="1">
        <f t="shared" si="42"/>
        <v>0</v>
      </c>
      <c r="H105" s="1">
        <f t="shared" si="42"/>
        <v>0</v>
      </c>
      <c r="I105" s="1">
        <f t="shared" si="42"/>
        <v>0</v>
      </c>
      <c r="K105" s="1" t="s">
        <v>63</v>
      </c>
      <c r="M105" s="3">
        <v>0.32400000000000007</v>
      </c>
      <c r="N105" s="4">
        <v>4.037850000000001</v>
      </c>
      <c r="O105" s="3">
        <v>0.07600000000000001</v>
      </c>
      <c r="P105" s="4">
        <v>0.94715</v>
      </c>
      <c r="Q105" s="3">
        <v>12462.5</v>
      </c>
      <c r="R105" s="3">
        <v>12462.5</v>
      </c>
      <c r="S105" s="3"/>
      <c r="T105" s="1" t="s">
        <v>63</v>
      </c>
      <c r="V105" s="8">
        <v>0.32400000000000007</v>
      </c>
      <c r="W105" s="4">
        <f aca="true" t="shared" si="45" ref="W105:W126">(4.245*V105)/1000</f>
        <v>0.0013753800000000003</v>
      </c>
      <c r="X105" s="4">
        <f aca="true" t="shared" si="46" ref="X105:X126">N105+P105+W105</f>
        <v>4.98637538</v>
      </c>
      <c r="Y105" s="8">
        <f>(100*V105/1403.9)</f>
        <v>0.02307856684949071</v>
      </c>
      <c r="Z105" s="8">
        <f>(100*X105/79.413)</f>
        <v>6.27904169342551</v>
      </c>
      <c r="AA105" s="4">
        <f>Y105*(Z105-Y105)/100</f>
        <v>0.0014437866322463359</v>
      </c>
      <c r="AB105" s="4"/>
      <c r="AC105" s="1" t="str">
        <f t="shared" si="41"/>
        <v>Large incomes, (1)</v>
      </c>
      <c r="AE105" s="4">
        <f>V105</f>
        <v>0.32400000000000007</v>
      </c>
      <c r="AF105" s="4">
        <f>X105</f>
        <v>4.98637538</v>
      </c>
      <c r="AG105" s="3">
        <f>100*AE105/206.278</f>
        <v>0.1570695857047286</v>
      </c>
      <c r="AH105" s="3">
        <f>100*AF105/33.46</f>
        <v>14.902496652719664</v>
      </c>
      <c r="AI105" s="8">
        <f>AG105*(AH105-AG105)/100</f>
        <v>0.02316058120455327</v>
      </c>
      <c r="AJ105" s="3">
        <f aca="true" t="shared" si="47" ref="AJ105:AJ126">1000*X105/V105</f>
        <v>15390.047469135801</v>
      </c>
    </row>
    <row r="106" spans="1:36" ht="13.5">
      <c r="A106" s="1" t="str">
        <f t="shared" si="40"/>
        <v>Large incomes, (2)</v>
      </c>
      <c r="C106" s="3">
        <v>2.7</v>
      </c>
      <c r="D106" s="3">
        <f t="shared" si="43"/>
        <v>1992.2222222222222</v>
      </c>
      <c r="E106" s="4">
        <v>5.379</v>
      </c>
      <c r="F106" s="1">
        <f t="shared" si="44"/>
        <v>1</v>
      </c>
      <c r="G106" s="1">
        <f t="shared" si="42"/>
        <v>0</v>
      </c>
      <c r="H106" s="1">
        <f t="shared" si="42"/>
        <v>0</v>
      </c>
      <c r="I106" s="1">
        <f t="shared" si="42"/>
        <v>0</v>
      </c>
      <c r="K106" s="1" t="s">
        <v>64</v>
      </c>
      <c r="M106" s="3">
        <v>2.1870000000000003</v>
      </c>
      <c r="N106" s="4">
        <v>4.35699</v>
      </c>
      <c r="O106" s="3">
        <v>0.513</v>
      </c>
      <c r="P106" s="4">
        <v>1.0220099999999999</v>
      </c>
      <c r="Q106" s="3">
        <v>1992.222222222222</v>
      </c>
      <c r="R106" s="3">
        <v>1992.222222222222</v>
      </c>
      <c r="S106" s="3"/>
      <c r="T106" s="1" t="s">
        <v>64</v>
      </c>
      <c r="V106" s="8">
        <v>2.1870000000000003</v>
      </c>
      <c r="W106" s="4">
        <f t="shared" si="45"/>
        <v>0.009283815</v>
      </c>
      <c r="X106" s="4">
        <f t="shared" si="46"/>
        <v>5.388283814999999</v>
      </c>
      <c r="Y106" s="8">
        <f aca="true" t="shared" si="48" ref="Y106:Y126">(100*V106/1403.9)+Y105</f>
        <v>0.17885889308355296</v>
      </c>
      <c r="Z106" s="8">
        <f aca="true" t="shared" si="49" ref="Z106:Z126">(100*X106/79.413)+Z105</f>
        <v>13.064182432347348</v>
      </c>
      <c r="AA106" s="4">
        <f aca="true" t="shared" si="50" ref="AA106:AA126">(Y106-Y105)*(Z106-Y106+Z105-Y105)/100</f>
        <v>0.029818358813442317</v>
      </c>
      <c r="AB106" s="4"/>
      <c r="AC106" s="1" t="str">
        <f t="shared" si="41"/>
        <v>Large incomes, (2)</v>
      </c>
      <c r="AE106" s="4">
        <f>V106</f>
        <v>2.1870000000000003</v>
      </c>
      <c r="AF106" s="4">
        <f>X106</f>
        <v>5.388283814999999</v>
      </c>
      <c r="AG106" s="3">
        <f>(100*AE106/206.278)+AG105</f>
        <v>1.2172892892116467</v>
      </c>
      <c r="AH106" s="3">
        <f>(100*AF106/33.46)+AH105</f>
        <v>31.006154199043635</v>
      </c>
      <c r="AI106" s="8">
        <f>(AG106-AG105)*(AH106-AG106+AH105-AG105)/100</f>
        <v>0.47216133835583174</v>
      </c>
      <c r="AJ106" s="3">
        <f t="shared" si="47"/>
        <v>2463.7786076817556</v>
      </c>
    </row>
    <row r="107" spans="1:36" ht="13.5">
      <c r="A107" s="1" t="str">
        <f t="shared" si="40"/>
        <v>Middle incomes</v>
      </c>
      <c r="C107" s="3">
        <v>14.4</v>
      </c>
      <c r="D107" s="3">
        <f t="shared" si="43"/>
        <v>510.2083333333333</v>
      </c>
      <c r="E107" s="4">
        <v>7.347</v>
      </c>
      <c r="F107" s="1">
        <f t="shared" si="44"/>
        <v>1</v>
      </c>
      <c r="G107" s="1">
        <f t="shared" si="42"/>
        <v>0</v>
      </c>
      <c r="H107" s="1">
        <f t="shared" si="42"/>
        <v>0</v>
      </c>
      <c r="I107" s="1">
        <f t="shared" si="42"/>
        <v>0</v>
      </c>
      <c r="K107" s="1" t="s">
        <v>65</v>
      </c>
      <c r="M107" s="3">
        <v>11.664000000000001</v>
      </c>
      <c r="N107" s="4">
        <v>5.9510700000000005</v>
      </c>
      <c r="O107" s="3">
        <v>2.736</v>
      </c>
      <c r="P107" s="4">
        <v>1.3959300000000001</v>
      </c>
      <c r="Q107" s="3">
        <v>510.2083333333333</v>
      </c>
      <c r="R107" s="3">
        <v>510.2083333333333</v>
      </c>
      <c r="S107" s="3"/>
      <c r="T107" s="1" t="s">
        <v>65</v>
      </c>
      <c r="V107" s="8">
        <v>11.664000000000001</v>
      </c>
      <c r="W107" s="4">
        <f t="shared" si="45"/>
        <v>0.04951368000000001</v>
      </c>
      <c r="X107" s="4">
        <f t="shared" si="46"/>
        <v>7.396513680000001</v>
      </c>
      <c r="Y107" s="8">
        <f t="shared" si="48"/>
        <v>1.0096872996652184</v>
      </c>
      <c r="Z107" s="8">
        <f t="shared" si="49"/>
        <v>22.37816588593807</v>
      </c>
      <c r="AA107" s="4">
        <f t="shared" si="50"/>
        <v>0.2845903183932328</v>
      </c>
      <c r="AB107" s="4"/>
      <c r="AC107" s="1" t="str">
        <f t="shared" si="41"/>
        <v>Middle incomes</v>
      </c>
      <c r="AE107" s="4">
        <f>V107</f>
        <v>11.664000000000001</v>
      </c>
      <c r="AF107" s="4">
        <f>X107</f>
        <v>7.396513680000001</v>
      </c>
      <c r="AG107" s="3">
        <f>(100*AE107/206.278)+AG106</f>
        <v>6.871794374581876</v>
      </c>
      <c r="AH107" s="3">
        <f>(100*AF107/33.46)+AH106</f>
        <v>53.111694187089064</v>
      </c>
      <c r="AI107" s="8">
        <f>(AG107-AG106)*(AH107-AG107+AH106-AG106)/100</f>
        <v>4.299050367568836</v>
      </c>
      <c r="AJ107" s="3">
        <f t="shared" si="47"/>
        <v>634.1318312757202</v>
      </c>
    </row>
    <row r="108" spans="1:36" ht="13.5">
      <c r="A108" s="1" t="str">
        <f t="shared" si="40"/>
        <v>Small incomes, (1)</v>
      </c>
      <c r="C108" s="3">
        <v>78.5</v>
      </c>
      <c r="D108" s="3">
        <f t="shared" si="43"/>
        <v>108.62420382165605</v>
      </c>
      <c r="E108" s="4">
        <v>8.527</v>
      </c>
      <c r="F108" s="1">
        <f t="shared" si="44"/>
        <v>1</v>
      </c>
      <c r="G108" s="1">
        <f t="shared" si="42"/>
        <v>0</v>
      </c>
      <c r="H108" s="1">
        <f t="shared" si="42"/>
        <v>0</v>
      </c>
      <c r="I108" s="1">
        <f t="shared" si="42"/>
        <v>0</v>
      </c>
      <c r="K108" s="1" t="s">
        <v>66</v>
      </c>
      <c r="M108" s="3">
        <v>63.585</v>
      </c>
      <c r="N108" s="4">
        <v>6.90687</v>
      </c>
      <c r="O108" s="3">
        <v>14.915</v>
      </c>
      <c r="P108" s="4">
        <v>1.6201299999999998</v>
      </c>
      <c r="Q108" s="3">
        <v>108.62420382165604</v>
      </c>
      <c r="R108" s="3">
        <v>108.62420382165605</v>
      </c>
      <c r="S108" s="3"/>
      <c r="T108" s="1" t="s">
        <v>66</v>
      </c>
      <c r="V108" s="8">
        <v>63.585</v>
      </c>
      <c r="W108" s="4">
        <f t="shared" si="45"/>
        <v>0.269918325</v>
      </c>
      <c r="X108" s="4">
        <f t="shared" si="46"/>
        <v>8.796918325</v>
      </c>
      <c r="Y108" s="8">
        <f t="shared" si="48"/>
        <v>5.538856043877769</v>
      </c>
      <c r="Z108" s="8">
        <f t="shared" si="49"/>
        <v>33.45559442408674</v>
      </c>
      <c r="AA108" s="4">
        <f t="shared" si="50"/>
        <v>2.2322106423632357</v>
      </c>
      <c r="AB108" s="4"/>
      <c r="AC108" s="1" t="str">
        <f t="shared" si="41"/>
        <v>Small incomes, (1)</v>
      </c>
      <c r="AE108" s="4">
        <f>V108</f>
        <v>63.585</v>
      </c>
      <c r="AF108" s="4">
        <f>X108</f>
        <v>8.796918325</v>
      </c>
      <c r="AG108" s="3">
        <f>(100*AE108/206.278)+AG107</f>
        <v>37.69670056913486</v>
      </c>
      <c r="AH108" s="3">
        <f>(100*AF108/33.46)+AH107</f>
        <v>79.4025439330544</v>
      </c>
      <c r="AI108" s="8">
        <f>(AG108-AG107)*(AH108-AG108+AH107-AG107)/100</f>
        <v>27.10919283623602</v>
      </c>
      <c r="AJ108" s="3">
        <f t="shared" si="47"/>
        <v>138.34895533537784</v>
      </c>
    </row>
    <row r="109" spans="1:36" ht="13.5">
      <c r="A109" s="1" t="str">
        <f t="shared" si="40"/>
        <v>Small incomes, (2)</v>
      </c>
      <c r="C109" s="3">
        <v>338</v>
      </c>
      <c r="D109" s="3">
        <f t="shared" si="43"/>
        <v>40</v>
      </c>
      <c r="E109" s="4">
        <v>13.52</v>
      </c>
      <c r="F109" s="1">
        <f t="shared" si="44"/>
        <v>1</v>
      </c>
      <c r="G109" s="1">
        <f t="shared" si="42"/>
        <v>0</v>
      </c>
      <c r="H109" s="1">
        <f t="shared" si="42"/>
        <v>0</v>
      </c>
      <c r="I109" s="1">
        <f t="shared" si="42"/>
        <v>0</v>
      </c>
      <c r="K109" s="1" t="s">
        <v>68</v>
      </c>
      <c r="L109" s="1" t="s">
        <v>69</v>
      </c>
      <c r="M109" s="3">
        <v>2.5875774000000007</v>
      </c>
      <c r="N109" s="4">
        <v>0.16665017079600003</v>
      </c>
      <c r="O109" s="3">
        <v>0.6069626000000001</v>
      </c>
      <c r="P109" s="4">
        <f>8.8*M109/1000</f>
        <v>0.02277068112000001</v>
      </c>
      <c r="Q109" s="3">
        <v>64.40393659180977</v>
      </c>
      <c r="R109" s="3">
        <v>64.40393659180977</v>
      </c>
      <c r="S109" s="3"/>
      <c r="T109" s="1" t="s">
        <v>68</v>
      </c>
      <c r="U109" s="1" t="s">
        <v>69</v>
      </c>
      <c r="V109" s="8">
        <v>2.5875774000000007</v>
      </c>
      <c r="W109" s="4">
        <f t="shared" si="45"/>
        <v>0.010984266063000004</v>
      </c>
      <c r="X109" s="4">
        <f t="shared" si="46"/>
        <v>0.20040511797900007</v>
      </c>
      <c r="Y109" s="8">
        <f t="shared" si="48"/>
        <v>5.723169556236199</v>
      </c>
      <c r="Z109" s="8">
        <f t="shared" si="49"/>
        <v>33.70795249893469</v>
      </c>
      <c r="AA109" s="4">
        <f t="shared" si="50"/>
        <v>0.10303405741204733</v>
      </c>
      <c r="AB109" s="4"/>
      <c r="AC109" s="1" t="str">
        <f t="shared" si="41"/>
        <v>Small incomes, (2)</v>
      </c>
      <c r="AE109" s="4">
        <f>AE110-AE105-AE106-AE107-AE108</f>
        <v>128.51799999999994</v>
      </c>
      <c r="AF109" s="4">
        <f>X111*AE109/V111</f>
        <v>6.892126811234565</v>
      </c>
      <c r="AG109" s="3">
        <f>(100*AE109/206.278)+AG108</f>
        <v>99.99999999999997</v>
      </c>
      <c r="AH109" s="3">
        <f>(100*AF109/33.46)+AH108</f>
        <v>100.00065155778412</v>
      </c>
      <c r="AI109" s="8">
        <f>(AG109-AG108)*(AH109-AG109+AH108-AG108)/100</f>
        <v>25.984522413187605</v>
      </c>
      <c r="AJ109" s="3">
        <f t="shared" si="47"/>
        <v>77.44893659180978</v>
      </c>
    </row>
    <row r="110" spans="1:36" ht="13.5">
      <c r="A110" s="1" t="str">
        <f t="shared" si="40"/>
        <v>Manual IV,(1)</v>
      </c>
      <c r="B110" s="1" t="str">
        <f aca="true" t="shared" si="51" ref="B110:B142">B61</f>
        <v>men</v>
      </c>
      <c r="C110" s="3">
        <f>C12*0.0757</f>
        <v>3.1945400000000004</v>
      </c>
      <c r="D110" s="3">
        <f t="shared" si="43"/>
        <v>64.40393659180977</v>
      </c>
      <c r="E110" s="4">
        <f>E12*0.066786</f>
        <v>0.20574095160000003</v>
      </c>
      <c r="F110" s="1">
        <f t="shared" si="44"/>
        <v>1</v>
      </c>
      <c r="G110" s="1">
        <f t="shared" si="42"/>
        <v>0</v>
      </c>
      <c r="H110" s="1">
        <f t="shared" si="42"/>
        <v>0</v>
      </c>
      <c r="I110" s="1">
        <f t="shared" si="42"/>
        <v>0</v>
      </c>
      <c r="K110" s="1" t="s">
        <v>71</v>
      </c>
      <c r="L110" s="1" t="s">
        <v>69</v>
      </c>
      <c r="M110" s="3">
        <v>48.96775620000001</v>
      </c>
      <c r="N110" s="4">
        <v>2.59209556056</v>
      </c>
      <c r="O110" s="3">
        <v>11.486263800000001</v>
      </c>
      <c r="P110" s="4">
        <f>8.8*M110/1000</f>
        <v>0.43091625456000016</v>
      </c>
      <c r="Q110" s="3">
        <v>52.9347424042272</v>
      </c>
      <c r="R110" s="3">
        <v>52.934742404227194</v>
      </c>
      <c r="S110" s="3"/>
      <c r="T110" s="1" t="s">
        <v>71</v>
      </c>
      <c r="U110" s="1" t="s">
        <v>69</v>
      </c>
      <c r="V110" s="8">
        <v>48.96775620000001</v>
      </c>
      <c r="W110" s="4">
        <f t="shared" si="45"/>
        <v>0.20786812506900007</v>
      </c>
      <c r="X110" s="4">
        <f t="shared" si="46"/>
        <v>3.230879940189</v>
      </c>
      <c r="Y110" s="8">
        <f t="shared" si="48"/>
        <v>9.21114991096232</v>
      </c>
      <c r="Z110" s="8">
        <f t="shared" si="49"/>
        <v>37.77640469213857</v>
      </c>
      <c r="AA110" s="4">
        <f t="shared" si="50"/>
        <v>1.9724542063989612</v>
      </c>
      <c r="AB110" s="4"/>
      <c r="AE110" s="1">
        <v>206.278</v>
      </c>
      <c r="AF110" s="4">
        <f>SUM(AF105:AF109)</f>
        <v>33.460218011234566</v>
      </c>
      <c r="AI110" s="20" t="s">
        <v>70</v>
      </c>
      <c r="AJ110" s="3">
        <f t="shared" si="47"/>
        <v>65.9797424042272</v>
      </c>
    </row>
    <row r="111" spans="1:36" ht="13.5">
      <c r="A111" s="1" t="str">
        <f t="shared" si="40"/>
        <v>Manual IV,(2)</v>
      </c>
      <c r="B111" s="1" t="str">
        <f t="shared" si="51"/>
        <v>men</v>
      </c>
      <c r="C111" s="3">
        <f>C13*0.0757</f>
        <v>60.45402000000001</v>
      </c>
      <c r="D111" s="3">
        <f t="shared" si="43"/>
        <v>52.9347424042272</v>
      </c>
      <c r="E111" s="4">
        <f>E13*0.066786</f>
        <v>3.2001179759999996</v>
      </c>
      <c r="F111" s="1">
        <f t="shared" si="44"/>
        <v>1</v>
      </c>
      <c r="G111" s="1">
        <f t="shared" si="42"/>
        <v>0</v>
      </c>
      <c r="H111" s="1">
        <f t="shared" si="42"/>
        <v>0</v>
      </c>
      <c r="I111" s="1">
        <f t="shared" si="42"/>
        <v>0</v>
      </c>
      <c r="K111" s="1" t="s">
        <v>67</v>
      </c>
      <c r="M111" s="3">
        <v>273.78</v>
      </c>
      <c r="N111" s="4">
        <v>10.9512</v>
      </c>
      <c r="O111" s="3">
        <v>64.22</v>
      </c>
      <c r="P111" s="4">
        <v>2.5688</v>
      </c>
      <c r="Q111" s="3">
        <v>40</v>
      </c>
      <c r="R111" s="3">
        <v>40</v>
      </c>
      <c r="S111" s="3"/>
      <c r="T111" s="1" t="s">
        <v>67</v>
      </c>
      <c r="V111" s="8">
        <v>273.78</v>
      </c>
      <c r="W111" s="4">
        <f t="shared" si="45"/>
        <v>1.1621960999999998</v>
      </c>
      <c r="X111" s="4">
        <f t="shared" si="46"/>
        <v>14.682196099999999</v>
      </c>
      <c r="Y111" s="8">
        <f t="shared" si="48"/>
        <v>28.71253889878196</v>
      </c>
      <c r="Z111" s="8">
        <f t="shared" si="49"/>
        <v>56.2648084799315</v>
      </c>
      <c r="AA111" s="4">
        <f t="shared" si="50"/>
        <v>10.943696716231607</v>
      </c>
      <c r="AB111" s="4"/>
      <c r="AC111" s="1" t="str">
        <f>AC13</f>
        <v>Average franchised income:</v>
      </c>
      <c r="AF111" s="3">
        <f>1000*AF110/AE110</f>
        <v>162.20933890785525</v>
      </c>
      <c r="AI111" s="21">
        <f>SUM(AI105:AI109)</f>
        <v>57.888087536552845</v>
      </c>
      <c r="AJ111" s="3">
        <f t="shared" si="47"/>
        <v>53.62771604938272</v>
      </c>
    </row>
    <row r="112" spans="1:36" ht="13.5">
      <c r="A112" s="1" t="str">
        <f t="shared" si="40"/>
        <v>Manual V, (3)</v>
      </c>
      <c r="B112" s="1" t="str">
        <f t="shared" si="51"/>
        <v>men</v>
      </c>
      <c r="C112" s="3">
        <f>C14*0.1859</f>
        <v>108.19380000000001</v>
      </c>
      <c r="D112" s="3">
        <f t="shared" si="43"/>
        <v>35.38461538461538</v>
      </c>
      <c r="E112" s="4">
        <f>E14*0.1265</f>
        <v>3.828396</v>
      </c>
      <c r="F112" s="1">
        <f t="shared" si="44"/>
        <v>1</v>
      </c>
      <c r="G112" s="1">
        <f t="shared" si="42"/>
        <v>0</v>
      </c>
      <c r="H112" s="1">
        <f t="shared" si="42"/>
        <v>0</v>
      </c>
      <c r="I112" s="1">
        <f t="shared" si="42"/>
        <v>0</v>
      </c>
      <c r="K112" s="1" t="s">
        <v>149</v>
      </c>
      <c r="L112" s="1" t="s">
        <v>69</v>
      </c>
      <c r="M112" s="3">
        <v>87.63697800000001</v>
      </c>
      <c r="N112" s="4">
        <v>3.1010007600000002</v>
      </c>
      <c r="O112" s="3">
        <v>20.556822000000004</v>
      </c>
      <c r="P112" s="4">
        <f aca="true" t="shared" si="52" ref="P112:P126">8.8*M112/1000</f>
        <v>0.7712054064000001</v>
      </c>
      <c r="Q112" s="3">
        <v>35.38461538461537</v>
      </c>
      <c r="R112" s="3">
        <v>35.38461538461539</v>
      </c>
      <c r="S112" s="3"/>
      <c r="T112" s="1" t="s">
        <v>149</v>
      </c>
      <c r="U112" s="1" t="s">
        <v>69</v>
      </c>
      <c r="V112" s="8">
        <v>87.63697800000001</v>
      </c>
      <c r="W112" s="4">
        <f t="shared" si="45"/>
        <v>0.37201897161</v>
      </c>
      <c r="X112" s="4">
        <f t="shared" si="46"/>
        <v>4.24422513801</v>
      </c>
      <c r="Y112" s="8">
        <f t="shared" si="48"/>
        <v>34.95493351378303</v>
      </c>
      <c r="Z112" s="8">
        <f t="shared" si="49"/>
        <v>61.60930514673669</v>
      </c>
      <c r="AA112" s="4">
        <f t="shared" si="50"/>
        <v>3.383792452122129</v>
      </c>
      <c r="AB112" s="4"/>
      <c r="AC112" s="1" t="s">
        <v>150</v>
      </c>
      <c r="AE112" s="15">
        <f>100*AE110/M127</f>
        <v>14.69342566773478</v>
      </c>
      <c r="AJ112" s="3">
        <f t="shared" si="47"/>
        <v>48.429615384615374</v>
      </c>
    </row>
    <row r="113" spans="1:36" ht="13.5">
      <c r="A113" s="1" t="str">
        <f t="shared" si="40"/>
        <v>Manual V, (4)</v>
      </c>
      <c r="B113" s="1" t="str">
        <f t="shared" si="51"/>
        <v>men</v>
      </c>
      <c r="C113" s="3">
        <f>C15*0.1859</f>
        <v>191.1052</v>
      </c>
      <c r="D113" s="3">
        <f t="shared" si="43"/>
        <v>31.301775147928993</v>
      </c>
      <c r="E113" s="4">
        <f>E15*0.1265</f>
        <v>5.981932</v>
      </c>
      <c r="F113" s="1">
        <f t="shared" si="44"/>
        <v>1</v>
      </c>
      <c r="G113" s="1">
        <f t="shared" si="42"/>
        <v>0</v>
      </c>
      <c r="H113" s="1">
        <f t="shared" si="42"/>
        <v>0</v>
      </c>
      <c r="I113" s="1">
        <f t="shared" si="42"/>
        <v>0</v>
      </c>
      <c r="K113" s="1" t="s">
        <v>151</v>
      </c>
      <c r="L113" s="1" t="s">
        <v>69</v>
      </c>
      <c r="M113" s="3">
        <v>154.79521200000002</v>
      </c>
      <c r="N113" s="4">
        <v>4.84536492</v>
      </c>
      <c r="O113" s="3">
        <v>36.309988</v>
      </c>
      <c r="P113" s="4">
        <f t="shared" si="52"/>
        <v>1.3621978656000004</v>
      </c>
      <c r="Q113" s="3">
        <v>31.301775147928993</v>
      </c>
      <c r="R113" s="3">
        <v>31.30177514792899</v>
      </c>
      <c r="S113" s="3"/>
      <c r="T113" s="1" t="s">
        <v>151</v>
      </c>
      <c r="U113" s="1" t="s">
        <v>69</v>
      </c>
      <c r="V113" s="8">
        <v>154.79521200000002</v>
      </c>
      <c r="W113" s="4">
        <f t="shared" si="45"/>
        <v>0.65710567494</v>
      </c>
      <c r="X113" s="4">
        <f t="shared" si="46"/>
        <v>6.864668460540001</v>
      </c>
      <c r="Y113" s="8">
        <f t="shared" si="48"/>
        <v>45.98101884749626</v>
      </c>
      <c r="Z113" s="8">
        <f t="shared" si="49"/>
        <v>70.25356800110562</v>
      </c>
      <c r="AA113" s="4">
        <f t="shared" si="50"/>
        <v>5.615245743758977</v>
      </c>
      <c r="AB113" s="4"/>
      <c r="AJ113" s="3">
        <f t="shared" si="47"/>
        <v>44.346775147928994</v>
      </c>
    </row>
    <row r="114" spans="1:36" ht="13.5">
      <c r="A114" s="1" t="str">
        <f t="shared" si="40"/>
        <v>Manual VI,(5)</v>
      </c>
      <c r="B114" s="1" t="str">
        <f t="shared" si="51"/>
        <v>men</v>
      </c>
      <c r="C114" s="3">
        <f>C16*0.4428</f>
        <v>115.28740800000001</v>
      </c>
      <c r="D114" s="3">
        <f t="shared" si="43"/>
        <v>21.266937669376695</v>
      </c>
      <c r="E114" s="4">
        <f>E16*0.258</f>
        <v>2.4518101200000006</v>
      </c>
      <c r="F114" s="1">
        <f t="shared" si="44"/>
        <v>1</v>
      </c>
      <c r="G114" s="1">
        <f t="shared" si="42"/>
        <v>0</v>
      </c>
      <c r="H114" s="1">
        <f t="shared" si="42"/>
        <v>0</v>
      </c>
      <c r="I114" s="1">
        <f t="shared" si="42"/>
        <v>0</v>
      </c>
      <c r="K114" s="1" t="s">
        <v>151</v>
      </c>
      <c r="L114" s="1" t="s">
        <v>157</v>
      </c>
      <c r="M114" s="3">
        <v>55.360023575999996</v>
      </c>
      <c r="N114" s="4">
        <v>1.2243082137</v>
      </c>
      <c r="O114" s="3">
        <v>73.68432042399999</v>
      </c>
      <c r="P114" s="4">
        <f t="shared" si="52"/>
        <v>0.4871682074688</v>
      </c>
      <c r="Q114" s="3">
        <v>22.115384615384617</v>
      </c>
      <c r="R114" s="3">
        <v>22.11538461538462</v>
      </c>
      <c r="S114" s="3"/>
      <c r="T114" s="1" t="s">
        <v>151</v>
      </c>
      <c r="U114" s="1" t="s">
        <v>157</v>
      </c>
      <c r="V114" s="8">
        <v>55.360023575999996</v>
      </c>
      <c r="W114" s="4">
        <f t="shared" si="45"/>
        <v>0.23500330008012</v>
      </c>
      <c r="X114" s="4">
        <f t="shared" si="46"/>
        <v>1.94647972124892</v>
      </c>
      <c r="Y114" s="8">
        <f t="shared" si="48"/>
        <v>49.92432133171878</v>
      </c>
      <c r="Z114" s="8">
        <f t="shared" si="49"/>
        <v>72.70465248506784</v>
      </c>
      <c r="AA114" s="4">
        <f t="shared" si="50"/>
        <v>1.8554373980425405</v>
      </c>
      <c r="AB114" s="4"/>
      <c r="AJ114" s="3">
        <f t="shared" si="47"/>
        <v>35.160384615384615</v>
      </c>
    </row>
    <row r="115" spans="1:36" ht="13.5">
      <c r="A115" s="1" t="str">
        <f t="shared" si="40"/>
        <v>Manual VI,(6)</v>
      </c>
      <c r="B115" s="1" t="str">
        <f t="shared" si="51"/>
        <v>men</v>
      </c>
      <c r="C115" s="3">
        <f>C17*0.4428</f>
        <v>508.55580000000003</v>
      </c>
      <c r="D115" s="3">
        <f t="shared" si="43"/>
        <v>19.227642276422767</v>
      </c>
      <c r="E115" s="4">
        <f>E17*0.258</f>
        <v>9.778329000000001</v>
      </c>
      <c r="F115" s="1">
        <f t="shared" si="44"/>
        <v>1</v>
      </c>
      <c r="G115" s="1">
        <f t="shared" si="42"/>
        <v>0</v>
      </c>
      <c r="H115" s="1">
        <f t="shared" si="42"/>
        <v>0</v>
      </c>
      <c r="I115" s="1">
        <f t="shared" si="42"/>
        <v>0</v>
      </c>
      <c r="K115" s="1" t="s">
        <v>152</v>
      </c>
      <c r="L115" s="1" t="s">
        <v>69</v>
      </c>
      <c r="M115" s="3">
        <v>93.38280048000001</v>
      </c>
      <c r="N115" s="4">
        <v>1.9859661972000007</v>
      </c>
      <c r="O115" s="3">
        <v>21.904607520000003</v>
      </c>
      <c r="P115" s="4">
        <f t="shared" si="52"/>
        <v>0.8217686442240002</v>
      </c>
      <c r="Q115" s="3">
        <v>21.2669376693767</v>
      </c>
      <c r="R115" s="3">
        <v>21.266937669376695</v>
      </c>
      <c r="S115" s="3"/>
      <c r="T115" s="1" t="s">
        <v>152</v>
      </c>
      <c r="U115" s="1" t="s">
        <v>69</v>
      </c>
      <c r="V115" s="8">
        <v>93.38280048000001</v>
      </c>
      <c r="W115" s="4">
        <f t="shared" si="45"/>
        <v>0.3964099880376</v>
      </c>
      <c r="X115" s="4">
        <f t="shared" si="46"/>
        <v>3.2041448294616006</v>
      </c>
      <c r="Y115" s="8">
        <f t="shared" si="48"/>
        <v>56.575991712800054</v>
      </c>
      <c r="Z115" s="8">
        <f t="shared" si="49"/>
        <v>76.7394387662329</v>
      </c>
      <c r="AA115" s="4">
        <f t="shared" si="50"/>
        <v>2.8564785754977464</v>
      </c>
      <c r="AB115" s="4"/>
      <c r="AJ115" s="3">
        <f t="shared" si="47"/>
        <v>34.3119376693767</v>
      </c>
    </row>
    <row r="116" spans="1:36" ht="13.5">
      <c r="A116" s="1" t="str">
        <f t="shared" si="40"/>
        <v>Manual VI,(7)</v>
      </c>
      <c r="B116" s="1" t="str">
        <f t="shared" si="51"/>
        <v>men (a)</v>
      </c>
      <c r="C116" s="3">
        <f>C18*0.4428</f>
        <v>32.501520000000006</v>
      </c>
      <c r="D116" s="3">
        <f t="shared" si="43"/>
        <v>17.479674796747965</v>
      </c>
      <c r="E116" s="4">
        <f>E18*0.258</f>
        <v>0.568116</v>
      </c>
      <c r="F116" s="1">
        <f t="shared" si="44"/>
        <v>1</v>
      </c>
      <c r="G116" s="1">
        <f t="shared" si="42"/>
        <v>0</v>
      </c>
      <c r="H116" s="1">
        <f t="shared" si="42"/>
        <v>0</v>
      </c>
      <c r="I116" s="1">
        <f t="shared" si="42"/>
        <v>0</v>
      </c>
      <c r="K116" s="1" t="s">
        <v>153</v>
      </c>
      <c r="L116" s="1" t="s">
        <v>69</v>
      </c>
      <c r="M116" s="3">
        <v>411.9301980000001</v>
      </c>
      <c r="N116" s="4">
        <v>7.920446490000002</v>
      </c>
      <c r="O116" s="3">
        <v>96.625602</v>
      </c>
      <c r="P116" s="4">
        <f t="shared" si="52"/>
        <v>3.624985742400001</v>
      </c>
      <c r="Q116" s="3">
        <v>19.227642276422767</v>
      </c>
      <c r="R116" s="3">
        <v>19.227642276422763</v>
      </c>
      <c r="S116" s="3"/>
      <c r="T116" s="1" t="s">
        <v>153</v>
      </c>
      <c r="U116" s="1" t="s">
        <v>69</v>
      </c>
      <c r="V116" s="8">
        <v>411.9301980000001</v>
      </c>
      <c r="W116" s="4">
        <f t="shared" si="45"/>
        <v>1.7486436905100005</v>
      </c>
      <c r="X116" s="4">
        <f t="shared" si="46"/>
        <v>13.294075922910004</v>
      </c>
      <c r="Y116" s="8">
        <f t="shared" si="48"/>
        <v>85.91783928029062</v>
      </c>
      <c r="Z116" s="8">
        <f t="shared" si="49"/>
        <v>93.47986655879835</v>
      </c>
      <c r="AA116" s="4">
        <f t="shared" si="50"/>
        <v>8.135166415841725</v>
      </c>
      <c r="AB116" s="4"/>
      <c r="AJ116" s="3">
        <f t="shared" si="47"/>
        <v>32.272642276422765</v>
      </c>
    </row>
    <row r="117" spans="1:36" ht="13.5">
      <c r="A117" s="1" t="str">
        <f t="shared" si="40"/>
        <v>Manual VI,(7)</v>
      </c>
      <c r="B117" s="1" t="str">
        <f t="shared" si="51"/>
        <v>men (b)</v>
      </c>
      <c r="C117" s="3">
        <f>C19*0.4428</f>
        <v>15.2766</v>
      </c>
      <c r="D117" s="3">
        <f t="shared" si="43"/>
        <v>11.65311653116531</v>
      </c>
      <c r="E117" s="4">
        <f>E19*0.258</f>
        <v>0.17801999999999998</v>
      </c>
      <c r="F117" s="1">
        <f t="shared" si="44"/>
        <v>1</v>
      </c>
      <c r="G117" s="1">
        <f t="shared" si="42"/>
        <v>0</v>
      </c>
      <c r="H117" s="1">
        <f t="shared" si="42"/>
        <v>0</v>
      </c>
      <c r="I117" s="1">
        <f t="shared" si="42"/>
        <v>0</v>
      </c>
      <c r="K117" s="1" t="s">
        <v>154</v>
      </c>
      <c r="L117" s="1" t="s">
        <v>155</v>
      </c>
      <c r="M117" s="3">
        <v>26.326231200000006</v>
      </c>
      <c r="N117" s="4">
        <v>0.46017396</v>
      </c>
      <c r="O117" s="3">
        <v>6.1752888000000015</v>
      </c>
      <c r="P117" s="4">
        <f t="shared" si="52"/>
        <v>0.23167083456000007</v>
      </c>
      <c r="Q117" s="3">
        <v>17.47967479674796</v>
      </c>
      <c r="R117" s="3">
        <v>17.47967479674796</v>
      </c>
      <c r="S117" s="3"/>
      <c r="T117" s="1" t="s">
        <v>154</v>
      </c>
      <c r="U117" s="1" t="s">
        <v>155</v>
      </c>
      <c r="V117" s="8">
        <v>26.326231200000006</v>
      </c>
      <c r="W117" s="4">
        <f t="shared" si="45"/>
        <v>0.11175485144400002</v>
      </c>
      <c r="X117" s="4">
        <f t="shared" si="46"/>
        <v>0.803599646004</v>
      </c>
      <c r="Y117" s="8">
        <f t="shared" si="48"/>
        <v>87.79306053536577</v>
      </c>
      <c r="Z117" s="8">
        <f t="shared" si="49"/>
        <v>94.49179111271773</v>
      </c>
      <c r="AA117" s="4">
        <f t="shared" si="50"/>
        <v>0.2674207624478797</v>
      </c>
      <c r="AB117" s="4"/>
      <c r="AJ117" s="3">
        <f t="shared" si="47"/>
        <v>30.524674796747963</v>
      </c>
    </row>
    <row r="118" spans="1:36" ht="13.5">
      <c r="A118" s="1" t="str">
        <f t="shared" si="40"/>
        <v>Manual V, (4)</v>
      </c>
      <c r="B118" s="1" t="str">
        <f t="shared" si="51"/>
        <v>maidserv'ts</v>
      </c>
      <c r="C118" s="3">
        <f>C20*0.1859</f>
        <v>129.044344</v>
      </c>
      <c r="D118" s="3">
        <f t="shared" si="43"/>
        <v>22.11538461538462</v>
      </c>
      <c r="E118" s="4">
        <f>E20*0.1265</f>
        <v>2.8538653000000003</v>
      </c>
      <c r="F118" s="1">
        <f t="shared" si="44"/>
        <v>0</v>
      </c>
      <c r="G118" s="1">
        <f t="shared" si="42"/>
        <v>1</v>
      </c>
      <c r="H118" s="1">
        <f t="shared" si="42"/>
        <v>0</v>
      </c>
      <c r="I118" s="1">
        <f t="shared" si="42"/>
        <v>0</v>
      </c>
      <c r="K118" s="1" t="s">
        <v>71</v>
      </c>
      <c r="L118" s="1" t="s">
        <v>159</v>
      </c>
      <c r="M118" s="3">
        <v>1.2340614</v>
      </c>
      <c r="N118" s="4">
        <v>0.020686162068</v>
      </c>
      <c r="O118" s="3">
        <v>1.6425386</v>
      </c>
      <c r="P118" s="4">
        <f t="shared" si="52"/>
        <v>0.010859740320000002</v>
      </c>
      <c r="Q118" s="3">
        <v>16.762668428005284</v>
      </c>
      <c r="R118" s="3">
        <v>16.76266842800528</v>
      </c>
      <c r="S118" s="3"/>
      <c r="T118" s="1" t="s">
        <v>71</v>
      </c>
      <c r="U118" s="1" t="s">
        <v>159</v>
      </c>
      <c r="V118" s="8">
        <v>1.2340614</v>
      </c>
      <c r="W118" s="4">
        <f t="shared" si="45"/>
        <v>0.005238590643</v>
      </c>
      <c r="X118" s="4">
        <f t="shared" si="46"/>
        <v>0.036784493031</v>
      </c>
      <c r="Y118" s="8">
        <f t="shared" si="48"/>
        <v>87.88096290732959</v>
      </c>
      <c r="Z118" s="8">
        <f t="shared" si="49"/>
        <v>94.53811160562317</v>
      </c>
      <c r="AA118" s="4">
        <f t="shared" si="50"/>
        <v>0.011740134679916863</v>
      </c>
      <c r="AB118" s="4"/>
      <c r="AJ118" s="3">
        <f t="shared" si="47"/>
        <v>29.807668428005286</v>
      </c>
    </row>
    <row r="119" spans="1:36" ht="13.5">
      <c r="A119" s="1" t="str">
        <f t="shared" si="40"/>
        <v>Manual VI,(8)</v>
      </c>
      <c r="B119" s="1" t="str">
        <f t="shared" si="51"/>
        <v>women</v>
      </c>
      <c r="C119" s="3">
        <f>C21*0.4428</f>
        <v>198.02016</v>
      </c>
      <c r="D119" s="3">
        <f t="shared" si="43"/>
        <v>14.566395663956639</v>
      </c>
      <c r="E119" s="4">
        <f>E21*0.258</f>
        <v>2.88444</v>
      </c>
      <c r="F119" s="1">
        <f t="shared" si="44"/>
        <v>0</v>
      </c>
      <c r="G119" s="1">
        <f t="shared" si="42"/>
        <v>1</v>
      </c>
      <c r="H119" s="1">
        <f t="shared" si="42"/>
        <v>0</v>
      </c>
      <c r="I119" s="1">
        <f t="shared" si="42"/>
        <v>0</v>
      </c>
      <c r="K119" s="1" t="s">
        <v>68</v>
      </c>
      <c r="L119" s="1" t="s">
        <v>159</v>
      </c>
      <c r="M119" s="3">
        <v>0.074368437</v>
      </c>
      <c r="N119" s="4">
        <v>0.00118100221668</v>
      </c>
      <c r="O119" s="3">
        <v>0.098984563</v>
      </c>
      <c r="P119" s="4">
        <f t="shared" si="52"/>
        <v>0.0006544422456</v>
      </c>
      <c r="Q119" s="3">
        <v>15.880422721268161</v>
      </c>
      <c r="R119" s="3">
        <v>15.880422721268163</v>
      </c>
      <c r="S119" s="3"/>
      <c r="T119" s="1" t="s">
        <v>68</v>
      </c>
      <c r="U119" s="1" t="s">
        <v>159</v>
      </c>
      <c r="V119" s="8">
        <v>0.074368437</v>
      </c>
      <c r="W119" s="4">
        <f t="shared" si="45"/>
        <v>0.000315694015065</v>
      </c>
      <c r="X119" s="4">
        <f t="shared" si="46"/>
        <v>0.002151138477345</v>
      </c>
      <c r="Y119" s="8">
        <f t="shared" si="48"/>
        <v>87.88626018185057</v>
      </c>
      <c r="Z119" s="8">
        <f t="shared" si="49"/>
        <v>94.54082040453184</v>
      </c>
      <c r="AA119" s="4">
        <f t="shared" si="50"/>
        <v>0.0007051577649783915</v>
      </c>
      <c r="AB119" s="4"/>
      <c r="AJ119" s="3">
        <f t="shared" si="47"/>
        <v>28.925422721268166</v>
      </c>
    </row>
    <row r="120" spans="1:36" ht="13.5">
      <c r="A120" s="1" t="str">
        <f t="shared" si="40"/>
        <v>Manual V, (4)</v>
      </c>
      <c r="B120" s="1" t="str">
        <f t="shared" si="51"/>
        <v>"Do, girls"</v>
      </c>
      <c r="C120" s="3">
        <f>C22*0.1859</f>
        <v>71.907979</v>
      </c>
      <c r="D120" s="3">
        <f t="shared" si="43"/>
        <v>15.650887573964496</v>
      </c>
      <c r="E120" s="4">
        <f>E22*0.1265</f>
        <v>1.125423695</v>
      </c>
      <c r="F120" s="1">
        <f t="shared" si="44"/>
        <v>0</v>
      </c>
      <c r="G120" s="1">
        <f t="shared" si="42"/>
        <v>0</v>
      </c>
      <c r="H120" s="1">
        <f t="shared" si="42"/>
        <v>0</v>
      </c>
      <c r="I120" s="1">
        <f t="shared" si="42"/>
        <v>1</v>
      </c>
      <c r="K120" s="1" t="s">
        <v>158</v>
      </c>
      <c r="L120" s="1" t="s">
        <v>159</v>
      </c>
      <c r="M120" s="3">
        <v>84.95064864</v>
      </c>
      <c r="N120" s="4">
        <v>1.2374247600000001</v>
      </c>
      <c r="O120" s="3">
        <v>113.06951135999999</v>
      </c>
      <c r="P120" s="4">
        <f t="shared" si="52"/>
        <v>0.7475657080320001</v>
      </c>
      <c r="Q120" s="3">
        <v>14.56639566395664</v>
      </c>
      <c r="R120" s="3">
        <v>14.56639566395664</v>
      </c>
      <c r="S120" s="3"/>
      <c r="T120" s="1" t="s">
        <v>158</v>
      </c>
      <c r="U120" s="1" t="s">
        <v>159</v>
      </c>
      <c r="V120" s="8">
        <v>84.95064864</v>
      </c>
      <c r="W120" s="4">
        <f t="shared" si="45"/>
        <v>0.3606155034768</v>
      </c>
      <c r="X120" s="4">
        <f t="shared" si="46"/>
        <v>2.3456059715088</v>
      </c>
      <c r="Y120" s="8">
        <f t="shared" si="48"/>
        <v>93.93730716810316</v>
      </c>
      <c r="Z120" s="8">
        <f t="shared" si="49"/>
        <v>97.49450049659335</v>
      </c>
      <c r="AA120" s="4">
        <f t="shared" si="50"/>
        <v>0.6179180055017018</v>
      </c>
      <c r="AB120" s="4"/>
      <c r="AJ120" s="3">
        <f t="shared" si="47"/>
        <v>27.61139566395664</v>
      </c>
    </row>
    <row r="121" spans="1:36" ht="13.5">
      <c r="A121" s="1" t="str">
        <f t="shared" si="40"/>
        <v>Manual IV,(1)</v>
      </c>
      <c r="B121" s="1" t="str">
        <f t="shared" si="51"/>
        <v>boys</v>
      </c>
      <c r="C121" s="3">
        <f>C23*0.0757</f>
        <v>0.793336</v>
      </c>
      <c r="D121" s="3">
        <f t="shared" si="43"/>
        <v>18.527159841479527</v>
      </c>
      <c r="E121" s="4">
        <f>E23*0.066786</f>
        <v>0.014698262880000002</v>
      </c>
      <c r="F121" s="1">
        <f t="shared" si="44"/>
        <v>0</v>
      </c>
      <c r="G121" s="1">
        <f t="shared" si="42"/>
        <v>0</v>
      </c>
      <c r="H121" s="1">
        <f t="shared" si="42"/>
        <v>1</v>
      </c>
      <c r="I121" s="1">
        <f t="shared" si="42"/>
        <v>0</v>
      </c>
      <c r="K121" s="1" t="s">
        <v>151</v>
      </c>
      <c r="L121" s="1" t="s">
        <v>159</v>
      </c>
      <c r="M121" s="3">
        <v>23.6063256</v>
      </c>
      <c r="N121" s="4">
        <v>0.337332996</v>
      </c>
      <c r="O121" s="3">
        <v>31.420074399999997</v>
      </c>
      <c r="P121" s="4">
        <f t="shared" si="52"/>
        <v>0.20773566528000004</v>
      </c>
      <c r="Q121" s="3">
        <v>14.289940828402367</v>
      </c>
      <c r="R121" s="3">
        <v>14.289940828402365</v>
      </c>
      <c r="S121" s="3"/>
      <c r="T121" s="1" t="s">
        <v>151</v>
      </c>
      <c r="U121" s="1" t="s">
        <v>159</v>
      </c>
      <c r="V121" s="8">
        <v>23.6063256</v>
      </c>
      <c r="W121" s="4">
        <f t="shared" si="45"/>
        <v>0.10020885217200001</v>
      </c>
      <c r="X121" s="4">
        <f t="shared" si="46"/>
        <v>0.645277513452</v>
      </c>
      <c r="Y121" s="8">
        <f t="shared" si="48"/>
        <v>95.61878915399959</v>
      </c>
      <c r="Z121" s="8">
        <f t="shared" si="49"/>
        <v>98.30705954039222</v>
      </c>
      <c r="AA121" s="4">
        <f t="shared" si="50"/>
        <v>0.10501634730145228</v>
      </c>
      <c r="AB121" s="4"/>
      <c r="AJ121" s="3">
        <f t="shared" si="47"/>
        <v>27.334940828402363</v>
      </c>
    </row>
    <row r="122" spans="1:36" ht="13.5">
      <c r="A122" s="1" t="str">
        <f t="shared" si="40"/>
        <v>Manual V, (4)</v>
      </c>
      <c r="B122" s="1" t="str">
        <f t="shared" si="51"/>
        <v>women</v>
      </c>
      <c r="C122" s="3">
        <f>C24*0.1859</f>
        <v>55.0264</v>
      </c>
      <c r="D122" s="3">
        <f t="shared" si="43"/>
        <v>14.289940828402367</v>
      </c>
      <c r="E122" s="4">
        <f>E24*0.1265</f>
        <v>0.786324</v>
      </c>
      <c r="F122" s="1">
        <f t="shared" si="44"/>
        <v>0</v>
      </c>
      <c r="G122" s="1">
        <f t="shared" si="42"/>
        <v>1</v>
      </c>
      <c r="H122" s="1">
        <f t="shared" si="42"/>
        <v>0</v>
      </c>
      <c r="I122" s="1">
        <f t="shared" si="42"/>
        <v>0</v>
      </c>
      <c r="K122" s="1" t="s">
        <v>149</v>
      </c>
      <c r="L122" s="1" t="s">
        <v>159</v>
      </c>
      <c r="M122" s="3">
        <v>7.4168523</v>
      </c>
      <c r="N122" s="4">
        <v>0.0958924395</v>
      </c>
      <c r="O122" s="3">
        <v>9.8718477</v>
      </c>
      <c r="P122" s="4">
        <f t="shared" si="52"/>
        <v>0.06526830024000001</v>
      </c>
      <c r="Q122" s="3">
        <v>12.928994082840235</v>
      </c>
      <c r="R122" s="3">
        <v>12.928994082840235</v>
      </c>
      <c r="S122" s="3"/>
      <c r="T122" s="1" t="s">
        <v>149</v>
      </c>
      <c r="U122" s="1" t="s">
        <v>159</v>
      </c>
      <c r="V122" s="8">
        <v>7.4168523</v>
      </c>
      <c r="W122" s="4">
        <f t="shared" si="45"/>
        <v>0.031484538013500006</v>
      </c>
      <c r="X122" s="4">
        <f t="shared" si="46"/>
        <v>0.19264527775350002</v>
      </c>
      <c r="Y122" s="8">
        <f t="shared" si="48"/>
        <v>96.14709261578462</v>
      </c>
      <c r="Z122" s="8">
        <f t="shared" si="49"/>
        <v>98.54964611658691</v>
      </c>
      <c r="AA122" s="4">
        <f t="shared" si="50"/>
        <v>0.026894998829429997</v>
      </c>
      <c r="AB122" s="4"/>
      <c r="AJ122" s="3">
        <f t="shared" si="47"/>
        <v>25.973994082840235</v>
      </c>
    </row>
    <row r="123" spans="1:36" ht="13.5">
      <c r="A123" s="1" t="str">
        <f t="shared" si="40"/>
        <v>Manual IV,(2)</v>
      </c>
      <c r="B123" s="1" t="str">
        <f t="shared" si="51"/>
        <v>women</v>
      </c>
      <c r="C123" s="3">
        <f>C25*0.0757</f>
        <v>2.8766000000000003</v>
      </c>
      <c r="D123" s="3">
        <f t="shared" si="43"/>
        <v>16.76266842800528</v>
      </c>
      <c r="E123" s="4">
        <f>E25*0.066786</f>
        <v>0.048219491999999996</v>
      </c>
      <c r="F123" s="1">
        <f t="shared" si="44"/>
        <v>0</v>
      </c>
      <c r="G123" s="1">
        <f t="shared" si="42"/>
        <v>1</v>
      </c>
      <c r="H123" s="1">
        <f t="shared" si="42"/>
        <v>0</v>
      </c>
      <c r="I123" s="1">
        <f t="shared" si="42"/>
        <v>0</v>
      </c>
      <c r="K123" s="1" t="s">
        <v>154</v>
      </c>
      <c r="L123" s="1" t="s">
        <v>156</v>
      </c>
      <c r="M123" s="3">
        <v>12.374046000000002</v>
      </c>
      <c r="N123" s="4">
        <v>0.1441962</v>
      </c>
      <c r="O123" s="3">
        <v>2.902554</v>
      </c>
      <c r="P123" s="4">
        <f t="shared" si="52"/>
        <v>0.10889160480000003</v>
      </c>
      <c r="Q123" s="3">
        <v>11.65311653116531</v>
      </c>
      <c r="R123" s="3">
        <v>11.65311653116531</v>
      </c>
      <c r="S123" s="3"/>
      <c r="T123" s="1" t="s">
        <v>154</v>
      </c>
      <c r="U123" s="1" t="s">
        <v>156</v>
      </c>
      <c r="V123" s="8">
        <v>12.374046000000002</v>
      </c>
      <c r="W123" s="4">
        <f t="shared" si="45"/>
        <v>0.05252782527000001</v>
      </c>
      <c r="X123" s="4">
        <f t="shared" si="46"/>
        <v>0.30561563007000003</v>
      </c>
      <c r="Y123" s="8">
        <f t="shared" si="48"/>
        <v>97.02849770161694</v>
      </c>
      <c r="Z123" s="8">
        <f t="shared" si="49"/>
        <v>98.93448944207519</v>
      </c>
      <c r="AA123" s="4">
        <f t="shared" si="50"/>
        <v>0.03797573688185716</v>
      </c>
      <c r="AB123" s="4"/>
      <c r="AJ123" s="3">
        <f t="shared" si="47"/>
        <v>24.698116531165308</v>
      </c>
    </row>
    <row r="124" spans="1:36" ht="13.5">
      <c r="A124" s="1" t="str">
        <f t="shared" si="40"/>
        <v>Manual V, (3)</v>
      </c>
      <c r="B124" s="1" t="str">
        <f t="shared" si="51"/>
        <v>women</v>
      </c>
      <c r="C124" s="3">
        <f>C26*0.1859</f>
        <v>17.288700000000002</v>
      </c>
      <c r="D124" s="3">
        <f t="shared" si="43"/>
        <v>12.928994082840235</v>
      </c>
      <c r="E124" s="4">
        <f>E26*0.1265</f>
        <v>0.2235255</v>
      </c>
      <c r="F124" s="1">
        <f t="shared" si="44"/>
        <v>0</v>
      </c>
      <c r="G124" s="1">
        <f aca="true" t="shared" si="53" ref="G124:I142">G75</f>
        <v>1</v>
      </c>
      <c r="H124" s="1">
        <f t="shared" si="53"/>
        <v>0</v>
      </c>
      <c r="I124" s="1">
        <f t="shared" si="53"/>
        <v>0</v>
      </c>
      <c r="K124" s="1" t="s">
        <v>152</v>
      </c>
      <c r="L124" s="1" t="s">
        <v>159</v>
      </c>
      <c r="M124" s="3">
        <v>8.586246240000001</v>
      </c>
      <c r="N124" s="4">
        <v>0.09255228840000002</v>
      </c>
      <c r="O124" s="3">
        <v>11.42831376</v>
      </c>
      <c r="P124" s="4">
        <f t="shared" si="52"/>
        <v>0.07555896691200002</v>
      </c>
      <c r="Q124" s="3">
        <v>10.779132791327914</v>
      </c>
      <c r="R124" s="3">
        <v>10.779132791327912</v>
      </c>
      <c r="S124" s="3"/>
      <c r="T124" s="1" t="s">
        <v>152</v>
      </c>
      <c r="U124" s="1" t="s">
        <v>159</v>
      </c>
      <c r="V124" s="8">
        <v>8.586246240000001</v>
      </c>
      <c r="W124" s="4">
        <f t="shared" si="45"/>
        <v>0.03644861528880001</v>
      </c>
      <c r="X124" s="4">
        <f t="shared" si="46"/>
        <v>0.20455987060080005</v>
      </c>
      <c r="Y124" s="8">
        <f t="shared" si="48"/>
        <v>97.64009726283925</v>
      </c>
      <c r="Z124" s="8">
        <f t="shared" si="49"/>
        <v>99.19207934624806</v>
      </c>
      <c r="AA124" s="4">
        <f t="shared" si="50"/>
        <v>0.02114895273395316</v>
      </c>
      <c r="AB124" s="4"/>
      <c r="AJ124" s="3">
        <f t="shared" si="47"/>
        <v>23.824132791327916</v>
      </c>
    </row>
    <row r="125" spans="1:36" ht="13.5">
      <c r="A125" s="1" t="str">
        <f t="shared" si="40"/>
        <v>Manual IV,(2)</v>
      </c>
      <c r="B125" s="1" t="str">
        <f t="shared" si="51"/>
        <v>boys</v>
      </c>
      <c r="C125" s="3">
        <f>C27*0.0757</f>
        <v>15.813730000000001</v>
      </c>
      <c r="D125" s="3">
        <f t="shared" si="43"/>
        <v>16.32496697490092</v>
      </c>
      <c r="E125" s="4">
        <f>E27*0.0668</f>
        <v>0.25815862</v>
      </c>
      <c r="F125" s="1">
        <f t="shared" si="44"/>
        <v>0</v>
      </c>
      <c r="G125" s="1">
        <f t="shared" si="53"/>
        <v>0</v>
      </c>
      <c r="H125" s="1">
        <f t="shared" si="53"/>
        <v>1</v>
      </c>
      <c r="I125" s="1">
        <f t="shared" si="53"/>
        <v>0</v>
      </c>
      <c r="K125" s="1" t="s">
        <v>154</v>
      </c>
      <c r="L125" s="1" t="s">
        <v>159</v>
      </c>
      <c r="M125" s="3">
        <v>8.98516476</v>
      </c>
      <c r="N125" s="4">
        <v>0.0759112497</v>
      </c>
      <c r="O125" s="3">
        <v>11.959275239999998</v>
      </c>
      <c r="P125" s="4">
        <f t="shared" si="52"/>
        <v>0.079069449888</v>
      </c>
      <c r="Q125" s="3">
        <v>8.448509485094851</v>
      </c>
      <c r="R125" s="3">
        <v>8.448509485094851</v>
      </c>
      <c r="S125" s="3"/>
      <c r="T125" s="1" t="s">
        <v>154</v>
      </c>
      <c r="U125" s="1" t="s">
        <v>159</v>
      </c>
      <c r="V125" s="8">
        <v>8.98516476</v>
      </c>
      <c r="W125" s="4">
        <f t="shared" si="45"/>
        <v>0.0381420244062</v>
      </c>
      <c r="X125" s="4">
        <f t="shared" si="46"/>
        <v>0.1931227239942</v>
      </c>
      <c r="Y125" s="8">
        <f t="shared" si="48"/>
        <v>98.28011184792365</v>
      </c>
      <c r="Z125" s="8">
        <f t="shared" si="49"/>
        <v>99.43526714168986</v>
      </c>
      <c r="AA125" s="4">
        <f t="shared" si="50"/>
        <v>0.017326074052191512</v>
      </c>
      <c r="AB125" s="4"/>
      <c r="AJ125" s="3">
        <f t="shared" si="47"/>
        <v>21.49350948509485</v>
      </c>
    </row>
    <row r="126" spans="1:36" ht="13.5">
      <c r="A126" s="1" t="str">
        <f t="shared" si="40"/>
        <v>Manual VI,(5)</v>
      </c>
      <c r="B126" s="1" t="str">
        <f t="shared" si="51"/>
        <v>women</v>
      </c>
      <c r="C126" s="3">
        <f>C28*0.4428</f>
        <v>20.014560000000003</v>
      </c>
      <c r="D126" s="3">
        <f t="shared" si="43"/>
        <v>10.779132791327912</v>
      </c>
      <c r="E126" s="4">
        <f>E28*0.258</f>
        <v>0.21573960000000003</v>
      </c>
      <c r="F126" s="1">
        <f t="shared" si="44"/>
        <v>0</v>
      </c>
      <c r="G126" s="1">
        <f t="shared" si="53"/>
        <v>1</v>
      </c>
      <c r="H126" s="1">
        <f t="shared" si="53"/>
        <v>0</v>
      </c>
      <c r="I126" s="1">
        <f t="shared" si="53"/>
        <v>0</v>
      </c>
      <c r="K126" s="1" t="s">
        <v>153</v>
      </c>
      <c r="L126" s="1" t="s">
        <v>159</v>
      </c>
      <c r="M126" s="3">
        <v>24.1250724</v>
      </c>
      <c r="N126" s="4">
        <v>0.133537833</v>
      </c>
      <c r="O126" s="3">
        <v>32.1105276</v>
      </c>
      <c r="P126" s="4">
        <f t="shared" si="52"/>
        <v>0.21230063712000002</v>
      </c>
      <c r="Q126" s="3">
        <v>5.535230352303523</v>
      </c>
      <c r="R126" s="3">
        <v>5.535230352303524</v>
      </c>
      <c r="S126" s="3"/>
      <c r="T126" s="1" t="s">
        <v>153</v>
      </c>
      <c r="U126" s="1" t="s">
        <v>159</v>
      </c>
      <c r="V126" s="8">
        <v>24.1250724</v>
      </c>
      <c r="W126" s="4">
        <f t="shared" si="45"/>
        <v>0.10241093233800001</v>
      </c>
      <c r="X126" s="4">
        <f t="shared" si="46"/>
        <v>0.44824940245800005</v>
      </c>
      <c r="Y126" s="8">
        <f t="shared" si="48"/>
        <v>99.99854424339341</v>
      </c>
      <c r="Z126" s="8">
        <f t="shared" si="49"/>
        <v>99.99972057180584</v>
      </c>
      <c r="AA126" s="4">
        <f t="shared" si="50"/>
        <v>0.019870777194578772</v>
      </c>
      <c r="AB126" s="4"/>
      <c r="AJ126" s="3">
        <f t="shared" si="47"/>
        <v>18.580230352303523</v>
      </c>
    </row>
    <row r="127" spans="1:36" ht="13.5">
      <c r="A127" s="1" t="str">
        <f t="shared" si="40"/>
        <v>Manual IV,(1)</v>
      </c>
      <c r="B127" s="1" t="str">
        <f t="shared" si="51"/>
        <v>women</v>
      </c>
      <c r="C127" s="3">
        <f>C29*0.0757</f>
        <v>0.173353</v>
      </c>
      <c r="D127" s="3">
        <f t="shared" si="43"/>
        <v>15.880422721268163</v>
      </c>
      <c r="E127" s="4">
        <f>E29*0.066786</f>
        <v>0.00275291892</v>
      </c>
      <c r="F127" s="1">
        <f t="shared" si="44"/>
        <v>0</v>
      </c>
      <c r="G127" s="1">
        <f t="shared" si="53"/>
        <v>1</v>
      </c>
      <c r="H127" s="1">
        <f t="shared" si="53"/>
        <v>0</v>
      </c>
      <c r="I127" s="1">
        <f t="shared" si="53"/>
        <v>0</v>
      </c>
      <c r="L127" s="1" t="s">
        <v>162</v>
      </c>
      <c r="M127" s="3">
        <f>SUM(M105:M126)</f>
        <v>1403.879562633</v>
      </c>
      <c r="N127" s="3">
        <f>SUM(N105:N126)</f>
        <v>56.63870120314069</v>
      </c>
      <c r="O127" s="3">
        <f>SUM(O105:O126)</f>
        <v>564.3134823669999</v>
      </c>
      <c r="P127" s="3">
        <f>SUM(P105:P126)</f>
        <v>16.8146081511704</v>
      </c>
      <c r="Q127" s="3">
        <f>(1000*P127)/O127</f>
        <v>29.79657349429596</v>
      </c>
      <c r="R127" s="3">
        <f>(1000*N127)/M127</f>
        <v>40.344416081472005</v>
      </c>
      <c r="S127" s="3"/>
      <c r="U127" s="1" t="s">
        <v>162</v>
      </c>
      <c r="V127" s="8">
        <f>SUM(V105:V126)</f>
        <v>1403.879562633</v>
      </c>
      <c r="W127" s="4">
        <f>SUM(W105:W126)</f>
        <v>5.959468743377085</v>
      </c>
      <c r="X127" s="4">
        <f>SUM(X105:X126)</f>
        <v>79.41277809768818</v>
      </c>
      <c r="AA127" s="20" t="s">
        <v>163</v>
      </c>
      <c r="AB127" s="28"/>
      <c r="AJ127" s="3"/>
    </row>
    <row r="128" spans="1:36" ht="13.5">
      <c r="A128" s="1" t="str">
        <f t="shared" si="40"/>
        <v>Manual V, (3)</v>
      </c>
      <c r="B128" s="1" t="str">
        <f t="shared" si="51"/>
        <v>boys</v>
      </c>
      <c r="C128" s="3">
        <f>C30*0.1859</f>
        <v>26.721266000000004</v>
      </c>
      <c r="D128" s="3">
        <f t="shared" si="43"/>
        <v>11.227810650887573</v>
      </c>
      <c r="E128" s="4">
        <f>E30*0.1265</f>
        <v>0.300021315</v>
      </c>
      <c r="F128" s="1">
        <f t="shared" si="44"/>
        <v>0</v>
      </c>
      <c r="G128" s="1">
        <f t="shared" si="53"/>
        <v>0</v>
      </c>
      <c r="H128" s="1">
        <f t="shared" si="53"/>
        <v>1</v>
      </c>
      <c r="I128" s="1">
        <f t="shared" si="53"/>
        <v>0</v>
      </c>
      <c r="L128" s="1" t="s">
        <v>93</v>
      </c>
      <c r="M128" s="3">
        <f>SUM(M109:M110)+SUM(M112:M126)</f>
        <v>1052.3395626330002</v>
      </c>
      <c r="N128" s="3">
        <f>SUM(N109:N110)+SUM(N112:N126)</f>
        <v>24.434721203140676</v>
      </c>
      <c r="O128" s="3">
        <f>SUM(O109:O110)+SUM(O112:O126)</f>
        <v>481.85348236699997</v>
      </c>
      <c r="P128" s="3">
        <f>SUM(P109:P110)+SUM(P112:P126)</f>
        <v>9.260588151170401</v>
      </c>
      <c r="Q128" s="3">
        <f>(1000*P128)/O128</f>
        <v>19.218680553432517</v>
      </c>
      <c r="R128" s="3">
        <f>(1000*N128)/M128</f>
        <v>23.219426571784414</v>
      </c>
      <c r="S128" s="3"/>
      <c r="U128" s="1" t="s">
        <v>93</v>
      </c>
      <c r="V128" s="8">
        <f>SUM(V109:V110)+SUM(V112:V126)</f>
        <v>1052.3395626330002</v>
      </c>
      <c r="W128" s="4">
        <f>SUM(W109:W110)+SUM(W112:W126)</f>
        <v>4.467181443377086</v>
      </c>
      <c r="X128" s="4">
        <f>SUM(X109:X110)+SUM(X112:X126)</f>
        <v>38.16249079768817</v>
      </c>
      <c r="AA128" s="25">
        <f>SUM(AA105:AA126)</f>
        <v>38.539385618895814</v>
      </c>
      <c r="AB128" s="54"/>
      <c r="AJ128" s="3"/>
    </row>
    <row r="129" spans="1:36" ht="13.5">
      <c r="A129" s="1" t="str">
        <f t="shared" si="40"/>
        <v>Manual V, (4)</v>
      </c>
      <c r="B129" s="1" t="str">
        <f t="shared" si="51"/>
        <v>boys</v>
      </c>
      <c r="C129" s="3">
        <f>C31*0.1859</f>
        <v>65.163527</v>
      </c>
      <c r="D129" s="3">
        <f t="shared" si="43"/>
        <v>10.547337278106506</v>
      </c>
      <c r="E129" s="4">
        <f>E31*0.1265</f>
        <v>0.6873016974999998</v>
      </c>
      <c r="F129" s="1">
        <f t="shared" si="44"/>
        <v>0</v>
      </c>
      <c r="G129" s="1">
        <f t="shared" si="53"/>
        <v>0</v>
      </c>
      <c r="H129" s="1">
        <f t="shared" si="53"/>
        <v>1</v>
      </c>
      <c r="I129" s="1">
        <f t="shared" si="53"/>
        <v>0</v>
      </c>
      <c r="M129" s="3"/>
      <c r="N129" s="4"/>
      <c r="O129" s="3"/>
      <c r="P129" s="4"/>
      <c r="Q129" s="3"/>
      <c r="R129" s="3"/>
      <c r="S129" s="3"/>
      <c r="AJ129" s="3"/>
    </row>
    <row r="130" spans="1:36" ht="13.5">
      <c r="A130" s="1" t="str">
        <f t="shared" si="40"/>
        <v>Manual VI,(5)</v>
      </c>
      <c r="B130" s="1" t="str">
        <f t="shared" si="51"/>
        <v>girls</v>
      </c>
      <c r="C130" s="3">
        <f>C32*0.4428</f>
        <v>10.751184</v>
      </c>
      <c r="D130" s="3">
        <f t="shared" si="43"/>
        <v>9.031165311653117</v>
      </c>
      <c r="E130" s="4">
        <f>E32*0.258</f>
        <v>0.09709572000000001</v>
      </c>
      <c r="F130" s="1">
        <f t="shared" si="44"/>
        <v>0</v>
      </c>
      <c r="G130" s="1">
        <f t="shared" si="53"/>
        <v>0</v>
      </c>
      <c r="H130" s="1">
        <f t="shared" si="53"/>
        <v>0</v>
      </c>
      <c r="I130" s="1">
        <f t="shared" si="53"/>
        <v>1</v>
      </c>
      <c r="L130" s="1" t="s">
        <v>176</v>
      </c>
      <c r="M130" s="3" t="s">
        <v>94</v>
      </c>
      <c r="N130" s="4" t="s">
        <v>95</v>
      </c>
      <c r="O130" s="3"/>
      <c r="P130" s="4"/>
      <c r="Q130" s="3"/>
      <c r="R130" s="3"/>
      <c r="S130" s="3"/>
      <c r="AJ130" s="3"/>
    </row>
    <row r="131" spans="1:36" ht="13.5">
      <c r="A131" s="1" t="str">
        <f t="shared" si="40"/>
        <v>Manual VI,(7)</v>
      </c>
      <c r="B131" s="1" t="str">
        <f t="shared" si="51"/>
        <v>women</v>
      </c>
      <c r="C131" s="3">
        <f>C33*0.4428</f>
        <v>20.94444</v>
      </c>
      <c r="D131" s="3">
        <f t="shared" si="43"/>
        <v>8.448509485094851</v>
      </c>
      <c r="E131" s="4">
        <f>E33*0.258</f>
        <v>0.1769493</v>
      </c>
      <c r="F131" s="1">
        <f t="shared" si="44"/>
        <v>0</v>
      </c>
      <c r="G131" s="1">
        <f t="shared" si="53"/>
        <v>1</v>
      </c>
      <c r="H131" s="1">
        <f t="shared" si="53"/>
        <v>0</v>
      </c>
      <c r="I131" s="1">
        <f t="shared" si="53"/>
        <v>0</v>
      </c>
      <c r="K131" s="16" t="s">
        <v>96</v>
      </c>
      <c r="L131" s="7" t="s">
        <v>180</v>
      </c>
      <c r="M131" s="23" t="s">
        <v>24</v>
      </c>
      <c r="N131" s="24" t="s">
        <v>24</v>
      </c>
      <c r="O131" s="3"/>
      <c r="P131" s="4"/>
      <c r="Q131" s="3"/>
      <c r="R131" s="3"/>
      <c r="S131" s="3"/>
      <c r="Y131" s="1" t="s">
        <v>97</v>
      </c>
      <c r="AJ131" s="3"/>
    </row>
    <row r="132" spans="1:36" ht="13.5">
      <c r="A132" s="1" t="str">
        <f t="shared" si="40"/>
        <v>Manual VI,(7)</v>
      </c>
      <c r="B132" s="1" t="str">
        <f t="shared" si="51"/>
        <v>girls</v>
      </c>
      <c r="C132" s="3">
        <f>C34*0.4428</f>
        <v>11.131992</v>
      </c>
      <c r="D132" s="3">
        <f t="shared" si="43"/>
        <v>8.448509485094851</v>
      </c>
      <c r="E132" s="4">
        <f>E34*0.258</f>
        <v>0.09404874</v>
      </c>
      <c r="F132" s="1">
        <f t="shared" si="44"/>
        <v>0</v>
      </c>
      <c r="G132" s="1">
        <f t="shared" si="53"/>
        <v>0</v>
      </c>
      <c r="H132" s="1">
        <f t="shared" si="53"/>
        <v>0</v>
      </c>
      <c r="I132" s="1">
        <f t="shared" si="53"/>
        <v>1</v>
      </c>
      <c r="K132" s="17" t="s">
        <v>74</v>
      </c>
      <c r="L132" s="3">
        <f>C143-M127-O127</f>
        <v>519.7561060000008</v>
      </c>
      <c r="M132" s="8">
        <f>1000*N132/L132</f>
        <v>8.595871131697455</v>
      </c>
      <c r="N132" s="4">
        <f>E143-N127-P127</f>
        <v>4.46775650708889</v>
      </c>
      <c r="O132" s="3"/>
      <c r="P132" s="4"/>
      <c r="Q132" s="3"/>
      <c r="R132" s="3"/>
      <c r="S132" s="3"/>
      <c r="AJ132" s="3"/>
    </row>
    <row r="133" spans="1:36" ht="13.5">
      <c r="A133" s="1" t="str">
        <f t="shared" si="40"/>
        <v>Manual IV,(1)</v>
      </c>
      <c r="B133" s="1" t="str">
        <f t="shared" si="51"/>
        <v>girls</v>
      </c>
      <c r="C133" s="3">
        <f>C35*0.0757</f>
        <v>0.13626000000000002</v>
      </c>
      <c r="D133" s="3">
        <f t="shared" si="43"/>
        <v>11.910317040951123</v>
      </c>
      <c r="E133" s="4">
        <f>E35*0.066786</f>
        <v>0.0016228998000000002</v>
      </c>
      <c r="F133" s="1">
        <f t="shared" si="44"/>
        <v>0</v>
      </c>
      <c r="G133" s="1">
        <f t="shared" si="53"/>
        <v>0</v>
      </c>
      <c r="H133" s="1">
        <f t="shared" si="53"/>
        <v>0</v>
      </c>
      <c r="I133" s="1">
        <f t="shared" si="53"/>
        <v>1</v>
      </c>
      <c r="M133" s="3"/>
      <c r="N133" s="4"/>
      <c r="O133" s="3"/>
      <c r="P133" s="4"/>
      <c r="Q133" s="3"/>
      <c r="R133" s="3"/>
      <c r="S133" s="3"/>
      <c r="AJ133" s="3"/>
    </row>
    <row r="134" spans="1:36" ht="13.5">
      <c r="A134" s="1" t="str">
        <f t="shared" si="40"/>
        <v>Manual IV,(2)</v>
      </c>
      <c r="B134" s="1" t="str">
        <f t="shared" si="51"/>
        <v>girls</v>
      </c>
      <c r="C134" s="3">
        <f>C36*0.0757</f>
        <v>1.56699</v>
      </c>
      <c r="D134" s="3">
        <f t="shared" si="43"/>
        <v>11.91031704095112</v>
      </c>
      <c r="E134" s="4">
        <f>E36*0.066786</f>
        <v>0.0186633477</v>
      </c>
      <c r="F134" s="1">
        <f t="shared" si="44"/>
        <v>0</v>
      </c>
      <c r="G134" s="1">
        <f t="shared" si="53"/>
        <v>0</v>
      </c>
      <c r="H134" s="1">
        <f t="shared" si="53"/>
        <v>0</v>
      </c>
      <c r="I134" s="1">
        <f t="shared" si="53"/>
        <v>1</v>
      </c>
      <c r="K134" s="1" t="s">
        <v>98</v>
      </c>
      <c r="M134" s="3"/>
      <c r="N134" s="4" t="s">
        <v>99</v>
      </c>
      <c r="O134" s="3"/>
      <c r="P134" s="4"/>
      <c r="Q134" s="3"/>
      <c r="R134" s="3"/>
      <c r="S134" s="3"/>
      <c r="AJ134" s="3"/>
    </row>
    <row r="135" spans="1:36" ht="13.5">
      <c r="A135" s="1" t="str">
        <f t="shared" si="40"/>
        <v>Manual V, (3)</v>
      </c>
      <c r="B135" s="1" t="str">
        <f t="shared" si="51"/>
        <v>girls</v>
      </c>
      <c r="C135" s="3">
        <f>C37*0.1859</f>
        <v>10.741302000000001</v>
      </c>
      <c r="D135" s="3">
        <f t="shared" si="43"/>
        <v>9.186390532544378</v>
      </c>
      <c r="E135" s="4">
        <f>E37*0.1265</f>
        <v>0.098673795</v>
      </c>
      <c r="F135" s="1">
        <f t="shared" si="44"/>
        <v>0</v>
      </c>
      <c r="G135" s="1">
        <f t="shared" si="53"/>
        <v>0</v>
      </c>
      <c r="H135" s="1">
        <f t="shared" si="53"/>
        <v>0</v>
      </c>
      <c r="I135" s="1">
        <f t="shared" si="53"/>
        <v>1</v>
      </c>
      <c r="K135" s="1" t="s">
        <v>100</v>
      </c>
      <c r="M135" s="3"/>
      <c r="N135" s="4">
        <f>1000*N132/M128</f>
        <v>4.245546462123276</v>
      </c>
      <c r="O135" s="3"/>
      <c r="P135" s="4"/>
      <c r="Q135" s="3"/>
      <c r="R135" s="3"/>
      <c r="S135" s="3"/>
      <c r="AJ135" s="3"/>
    </row>
    <row r="136" spans="1:36" ht="13.5">
      <c r="A136" s="1" t="str">
        <f t="shared" si="40"/>
        <v>Manual VI,(5)</v>
      </c>
      <c r="B136" s="1" t="str">
        <f t="shared" si="51"/>
        <v>boys</v>
      </c>
      <c r="C136" s="3">
        <f>C38*0.4428</f>
        <v>39.71916</v>
      </c>
      <c r="D136" s="3">
        <f t="shared" si="43"/>
        <v>7.865853658536585</v>
      </c>
      <c r="E136" s="4">
        <f>E38*0.258</f>
        <v>0.3124251</v>
      </c>
      <c r="F136" s="1">
        <f t="shared" si="44"/>
        <v>0</v>
      </c>
      <c r="G136" s="1">
        <f t="shared" si="53"/>
        <v>0</v>
      </c>
      <c r="H136" s="1">
        <f t="shared" si="53"/>
        <v>1</v>
      </c>
      <c r="I136" s="1">
        <f t="shared" si="53"/>
        <v>0</v>
      </c>
      <c r="M136" s="3"/>
      <c r="N136" s="4"/>
      <c r="O136" s="3"/>
      <c r="P136" s="4"/>
      <c r="Q136" s="3"/>
      <c r="R136" s="3"/>
      <c r="S136" s="3"/>
      <c r="AJ136" s="3"/>
    </row>
    <row r="137" spans="1:36" ht="13.5">
      <c r="A137" s="1" t="str">
        <f t="shared" si="40"/>
        <v>Manual V, (4)</v>
      </c>
      <c r="B137" s="1" t="str">
        <f t="shared" si="51"/>
        <v>girls</v>
      </c>
      <c r="C137" s="3">
        <f>C39*0.1859</f>
        <v>34.867404</v>
      </c>
      <c r="D137" s="3">
        <f t="shared" si="43"/>
        <v>8.505917159763314</v>
      </c>
      <c r="E137" s="4">
        <f>E39*0.1265</f>
        <v>0.29657925</v>
      </c>
      <c r="F137" s="1">
        <f t="shared" si="44"/>
        <v>0</v>
      </c>
      <c r="G137" s="1">
        <f t="shared" si="53"/>
        <v>0</v>
      </c>
      <c r="H137" s="1">
        <f t="shared" si="53"/>
        <v>0</v>
      </c>
      <c r="I137" s="1">
        <f t="shared" si="53"/>
        <v>1</v>
      </c>
      <c r="K137" s="1" t="s">
        <v>101</v>
      </c>
      <c r="M137" s="3"/>
      <c r="N137" s="4"/>
      <c r="O137" s="3"/>
      <c r="P137" s="4"/>
      <c r="Q137" s="3"/>
      <c r="R137" s="3"/>
      <c r="S137" s="3"/>
      <c r="AJ137" s="3"/>
    </row>
    <row r="138" spans="1:36" ht="13.5">
      <c r="A138" s="1" t="str">
        <f t="shared" si="40"/>
        <v>Manual VI,(7)</v>
      </c>
      <c r="B138" s="1" t="str">
        <f t="shared" si="51"/>
        <v>boys</v>
      </c>
      <c r="C138" s="3">
        <f>C40*0.4428</f>
        <v>9.865584000000002</v>
      </c>
      <c r="D138" s="3">
        <f t="shared" si="43"/>
        <v>7.2831978319783195</v>
      </c>
      <c r="E138" s="4">
        <f>E40*0.258</f>
        <v>0.07185300000000001</v>
      </c>
      <c r="F138" s="1">
        <f t="shared" si="44"/>
        <v>0</v>
      </c>
      <c r="G138" s="1">
        <f t="shared" si="53"/>
        <v>0</v>
      </c>
      <c r="H138" s="1">
        <f t="shared" si="53"/>
        <v>1</v>
      </c>
      <c r="I138" s="1">
        <f t="shared" si="53"/>
        <v>0</v>
      </c>
      <c r="K138" s="1" t="s">
        <v>321</v>
      </c>
      <c r="M138" s="3"/>
      <c r="N138" s="4">
        <f>1000*P128/M128</f>
        <v>8.799999999999999</v>
      </c>
      <c r="O138" s="3"/>
      <c r="P138" s="4"/>
      <c r="Q138" s="3"/>
      <c r="R138" s="3"/>
      <c r="S138" s="3"/>
      <c r="AJ138" s="3"/>
    </row>
    <row r="139" spans="1:36" ht="13.5">
      <c r="A139" s="1" t="str">
        <f t="shared" si="40"/>
        <v>Manual VI,(8)</v>
      </c>
      <c r="B139" s="1" t="str">
        <f t="shared" si="51"/>
        <v>girls</v>
      </c>
      <c r="C139" s="3">
        <f>C41*0.4428</f>
        <v>43.102152000000004</v>
      </c>
      <c r="D139" s="3">
        <f t="shared" si="43"/>
        <v>6.117886178861789</v>
      </c>
      <c r="E139" s="4">
        <f>E41*0.258</f>
        <v>0.26369406</v>
      </c>
      <c r="F139" s="1">
        <f t="shared" si="44"/>
        <v>0</v>
      </c>
      <c r="G139" s="1">
        <f t="shared" si="53"/>
        <v>0</v>
      </c>
      <c r="H139" s="1">
        <f t="shared" si="53"/>
        <v>0</v>
      </c>
      <c r="I139" s="1">
        <f t="shared" si="53"/>
        <v>1</v>
      </c>
      <c r="M139" s="3"/>
      <c r="N139" s="4"/>
      <c r="O139" s="3"/>
      <c r="P139" s="4"/>
      <c r="Q139" s="3"/>
      <c r="R139" s="3"/>
      <c r="S139" s="3"/>
      <c r="AJ139" s="3"/>
    </row>
    <row r="140" spans="1:36" ht="13.5">
      <c r="A140" s="1" t="str">
        <f t="shared" si="40"/>
        <v>Manual VI,(6)</v>
      </c>
      <c r="B140" s="1" t="str">
        <f t="shared" si="51"/>
        <v>women</v>
      </c>
      <c r="C140" s="3">
        <f>C42*0.4428</f>
        <v>56.235600000000005</v>
      </c>
      <c r="D140" s="3">
        <f t="shared" si="43"/>
        <v>5.535230352303523</v>
      </c>
      <c r="E140" s="4">
        <f>E42*0.258</f>
        <v>0.31127699999999997</v>
      </c>
      <c r="F140" s="1">
        <f t="shared" si="44"/>
        <v>0</v>
      </c>
      <c r="G140" s="1">
        <f t="shared" si="53"/>
        <v>1</v>
      </c>
      <c r="H140" s="1">
        <f t="shared" si="53"/>
        <v>0</v>
      </c>
      <c r="I140" s="1">
        <f t="shared" si="53"/>
        <v>0</v>
      </c>
      <c r="M140" s="3"/>
      <c r="N140" s="4"/>
      <c r="O140" s="3"/>
      <c r="P140" s="4"/>
      <c r="Q140" s="3"/>
      <c r="R140" s="3"/>
      <c r="S140" s="3"/>
      <c r="AJ140" s="3"/>
    </row>
    <row r="141" spans="1:36" ht="13.5">
      <c r="A141" s="1" t="str">
        <f t="shared" si="40"/>
        <v>Manual VI,(6)</v>
      </c>
      <c r="B141" s="1" t="str">
        <f t="shared" si="51"/>
        <v>boys</v>
      </c>
      <c r="C141" s="3">
        <f>C43*0.4428</f>
        <v>161.48916</v>
      </c>
      <c r="D141" s="3">
        <f t="shared" si="43"/>
        <v>4.661246612466125</v>
      </c>
      <c r="E141" s="4">
        <f>E43*0.258</f>
        <v>0.7527408</v>
      </c>
      <c r="F141" s="1">
        <f t="shared" si="44"/>
        <v>0</v>
      </c>
      <c r="G141" s="1">
        <f t="shared" si="53"/>
        <v>0</v>
      </c>
      <c r="H141" s="1">
        <f t="shared" si="53"/>
        <v>1</v>
      </c>
      <c r="I141" s="1">
        <f t="shared" si="53"/>
        <v>0</v>
      </c>
      <c r="M141" s="3"/>
      <c r="N141" s="4"/>
      <c r="O141" s="3"/>
      <c r="P141" s="4"/>
      <c r="Q141" s="3"/>
      <c r="R141" s="3"/>
      <c r="S141" s="3"/>
      <c r="AJ141" s="3"/>
    </row>
    <row r="142" spans="1:36" ht="13.5">
      <c r="A142" s="1" t="str">
        <f t="shared" si="40"/>
        <v>Manual VI,(6)</v>
      </c>
      <c r="B142" s="1" t="str">
        <f t="shared" si="51"/>
        <v>girls</v>
      </c>
      <c r="C142" s="3">
        <f>C44*0.4428</f>
        <v>15.985080000000002</v>
      </c>
      <c r="D142" s="3">
        <f t="shared" si="43"/>
        <v>4.661246612466124</v>
      </c>
      <c r="E142" s="4">
        <f>E44*0.258</f>
        <v>0.0745104</v>
      </c>
      <c r="F142" s="1">
        <f t="shared" si="44"/>
        <v>0</v>
      </c>
      <c r="G142" s="1">
        <f t="shared" si="53"/>
        <v>0</v>
      </c>
      <c r="H142" s="1">
        <f t="shared" si="53"/>
        <v>0</v>
      </c>
      <c r="I142" s="1">
        <f t="shared" si="53"/>
        <v>1</v>
      </c>
      <c r="M142" s="3"/>
      <c r="N142" s="4"/>
      <c r="O142" s="3"/>
      <c r="P142" s="4"/>
      <c r="Q142" s="3"/>
      <c r="R142" s="3"/>
      <c r="S142" s="3"/>
      <c r="AJ142" s="3"/>
    </row>
    <row r="143" spans="1:36" ht="13.5">
      <c r="A143" s="1" t="str">
        <f t="shared" si="40"/>
        <v>Totals do check w/Baxter:</v>
      </c>
      <c r="C143" s="1">
        <f>SUM(C105:C142)</f>
        <v>2487.9491510000007</v>
      </c>
      <c r="D143" s="3">
        <f t="shared" si="43"/>
        <v>31.319396471620237</v>
      </c>
      <c r="E143" s="1">
        <f>SUM(E105:E142)</f>
        <v>77.92106586139998</v>
      </c>
      <c r="AJ143" s="3"/>
    </row>
    <row r="144" ht="13.5">
      <c r="AJ144" s="3"/>
    </row>
    <row r="145" spans="1:36" ht="13.5">
      <c r="A145" s="1" t="s">
        <v>322</v>
      </c>
      <c r="C145" s="1">
        <v>5563.6</v>
      </c>
      <c r="D145" s="15">
        <f>E143/(C145/1000)</f>
        <v>14.00551187385865</v>
      </c>
      <c r="E145" s="1" t="s">
        <v>323</v>
      </c>
      <c r="AJ145" s="3"/>
    </row>
    <row r="146" spans="1:36" ht="13.5">
      <c r="A146" s="1" t="s">
        <v>180</v>
      </c>
      <c r="AJ146" s="3"/>
    </row>
    <row r="147" ht="13.5">
      <c r="AJ147" s="3"/>
    </row>
    <row r="148" ht="13.5">
      <c r="AJ148" s="3"/>
    </row>
    <row r="149" spans="30:36" ht="13.5">
      <c r="AD149" s="5" t="str">
        <f>AD1</f>
        <v>The Distribution of Household Incomes among Franchised</v>
      </c>
      <c r="AJ149" s="3"/>
    </row>
    <row r="150" spans="12:36" ht="13.5">
      <c r="L150" s="26" t="s">
        <v>324</v>
      </c>
      <c r="R150" s="22"/>
      <c r="S150" s="22"/>
      <c r="U150" s="5" t="str">
        <f>U2</f>
        <v>Deriving the Distribution of Income among UK Households, 1867</v>
      </c>
      <c r="AD150" s="5" t="str">
        <f>AD2</f>
        <v>UK Household Heads, 1867.</v>
      </c>
      <c r="AJ150" s="3"/>
    </row>
    <row r="151" spans="2:36" ht="13.5">
      <c r="B151" s="26" t="s">
        <v>181</v>
      </c>
      <c r="L151" s="26" t="s">
        <v>182</v>
      </c>
      <c r="AA151" s="22" t="s">
        <v>183</v>
      </c>
      <c r="AB151" s="22"/>
      <c r="AJ151" s="3"/>
    </row>
    <row r="152" spans="14:36" ht="13.5">
      <c r="N152" s="1" t="str">
        <f aca="true" t="shared" si="54" ref="N152:O154">N4</f>
        <v>      heads'</v>
      </c>
      <c r="O152" s="7" t="str">
        <f t="shared" si="54"/>
        <v>Non-head adults:</v>
      </c>
      <c r="P152" s="7"/>
      <c r="Q152" s="1" t="str">
        <f>Q4</f>
        <v>Check:</v>
      </c>
      <c r="W152" s="1" t="str">
        <f aca="true" t="shared" si="55" ref="W152:X154">W4</f>
        <v>Kids'</v>
      </c>
      <c r="X152" s="1" t="str">
        <f t="shared" si="55"/>
        <v>incl. kids'</v>
      </c>
      <c r="AE152" s="1" t="str">
        <f aca="true" t="shared" si="56" ref="AE152:AG154">AE4</f>
        <v>1000s of </v>
      </c>
      <c r="AF152" s="1" t="str">
        <f t="shared" si="56"/>
        <v>Their</v>
      </c>
      <c r="AG152" s="1" t="str">
        <f t="shared" si="56"/>
        <v>Cumulative % shares:</v>
      </c>
      <c r="AJ152" s="3"/>
    </row>
    <row r="153" spans="1:36" ht="13.5">
      <c r="A153" s="1" t="str">
        <f>A5</f>
        <v>Income class, </v>
      </c>
      <c r="C153" s="1" t="str">
        <f aca="true" t="shared" si="57" ref="C153:F172">C5</f>
        <v>1000s of</v>
      </c>
      <c r="D153" s="1" t="str">
        <f t="shared" si="57"/>
        <v>Ave. annual</v>
      </c>
      <c r="E153" s="1" t="str">
        <f t="shared" si="57"/>
        <v>income</v>
      </c>
      <c r="F153" s="1" t="str">
        <f t="shared" si="57"/>
        <v>n.a. or</v>
      </c>
      <c r="K153" s="1" t="str">
        <f>K5</f>
        <v>Income class, </v>
      </c>
      <c r="M153" s="1" t="str">
        <f>M5</f>
        <v>1000s of </v>
      </c>
      <c r="N153" s="1" t="str">
        <f t="shared" si="54"/>
        <v>    income,</v>
      </c>
      <c r="O153" s="1" t="str">
        <f t="shared" si="54"/>
        <v>1000s </v>
      </c>
      <c r="P153" s="1" t="str">
        <f>P5</f>
        <v>Their in-</v>
      </c>
      <c r="Q153" s="1" t="str">
        <f>Q5</f>
        <v>non-head</v>
      </c>
      <c r="R153" s="1" t="str">
        <f>R5</f>
        <v>heads'</v>
      </c>
      <c r="T153" s="1" t="str">
        <f>T5</f>
        <v>Income class, </v>
      </c>
      <c r="V153" s="8" t="str">
        <f>V5</f>
        <v>1000s of </v>
      </c>
      <c r="W153" s="1" t="str">
        <f t="shared" si="55"/>
        <v>income</v>
      </c>
      <c r="X153" s="1" t="str">
        <f t="shared" si="55"/>
        <v>and adult</v>
      </c>
      <c r="Y153" s="1" t="str">
        <f>Y5</f>
        <v>Cumulative % of:</v>
      </c>
      <c r="AA153" s="1" t="str">
        <f>AA5</f>
        <v>  Contrib.</v>
      </c>
      <c r="AC153" s="1" t="str">
        <f>AC5</f>
        <v>Income class, </v>
      </c>
      <c r="AE153" s="1" t="str">
        <f t="shared" si="56"/>
        <v>franchised</v>
      </c>
      <c r="AF153" s="1" t="str">
        <f t="shared" si="56"/>
        <v>h'hold </v>
      </c>
      <c r="AG153" s="1" t="str">
        <f t="shared" si="56"/>
        <v>Franchised</v>
      </c>
      <c r="AI153" s="1" t="str">
        <f>AI5</f>
        <v>Contrib.</v>
      </c>
      <c r="AJ153" s="3"/>
    </row>
    <row r="154" spans="1:37" ht="13.5">
      <c r="A154" s="1" t="s">
        <v>184</v>
      </c>
      <c r="C154" s="1" t="str">
        <f t="shared" si="57"/>
        <v>recipients</v>
      </c>
      <c r="D154" s="1" t="str">
        <f t="shared" si="57"/>
        <v> income (£)</v>
      </c>
      <c r="E154" s="1" t="str">
        <f t="shared" si="57"/>
        <v> (£ m.)</v>
      </c>
      <c r="F154" s="1" t="str">
        <f t="shared" si="57"/>
        <v>  men</v>
      </c>
      <c r="G154" s="1" t="str">
        <f aca="true" t="shared" si="58" ref="G154:I173">G6</f>
        <v>Women</v>
      </c>
      <c r="H154" s="1" t="str">
        <f t="shared" si="58"/>
        <v> Boys</v>
      </c>
      <c r="I154" s="1" t="str">
        <f t="shared" si="58"/>
        <v> Girls</v>
      </c>
      <c r="K154" s="1" t="str">
        <f>K6</f>
        <v>   subdivision</v>
      </c>
      <c r="M154" s="1" t="str">
        <f>M6</f>
        <v>h. heads</v>
      </c>
      <c r="N154" s="1" t="str">
        <f t="shared" si="54"/>
        <v>       £ m.</v>
      </c>
      <c r="O154" s="1" t="str">
        <f t="shared" si="54"/>
        <v>of them</v>
      </c>
      <c r="P154" s="1" t="str">
        <f>P6</f>
        <v>come(£m.)</v>
      </c>
      <c r="Q154" s="1" t="str">
        <f>Q6</f>
        <v>ave.inc.</v>
      </c>
      <c r="R154" s="1" t="str">
        <f>R6</f>
        <v>ave.inc.</v>
      </c>
      <c r="T154" s="1" t="str">
        <f>T6</f>
        <v>   subdivision</v>
      </c>
      <c r="V154" s="8" t="str">
        <f>V6</f>
        <v>h. heads</v>
      </c>
      <c r="W154" s="1" t="str">
        <f t="shared" si="55"/>
        <v>(£ m.)</v>
      </c>
      <c r="X154" s="1" t="str">
        <f t="shared" si="55"/>
        <v>non-heads'</v>
      </c>
      <c r="Y154" s="1" t="str">
        <f>Y6</f>
        <v>Heads</v>
      </c>
      <c r="Z154" s="1" t="str">
        <f>Z6</f>
        <v>Income</v>
      </c>
      <c r="AA154" s="1" t="str">
        <f>AA6</f>
        <v>   to Gini:</v>
      </c>
      <c r="AC154" s="1" t="str">
        <f>AC6</f>
        <v>   subdivision</v>
      </c>
      <c r="AE154" s="1" t="str">
        <f t="shared" si="56"/>
        <v>h'hold heads</v>
      </c>
      <c r="AF154" s="1" t="str">
        <f t="shared" si="56"/>
        <v>income(£m)</v>
      </c>
      <c r="AG154" s="1" t="str">
        <f t="shared" si="56"/>
        <v>h'hold heads:</v>
      </c>
      <c r="AH154" s="1" t="str">
        <f>AH6</f>
        <v>Income</v>
      </c>
      <c r="AI154" s="1" t="str">
        <f>AI6</f>
        <v>to Gini</v>
      </c>
      <c r="AJ154" s="3"/>
      <c r="AK154" s="1" t="s">
        <v>62</v>
      </c>
    </row>
    <row r="155" spans="1:37" ht="13.5">
      <c r="A155" s="1" t="s">
        <v>185</v>
      </c>
      <c r="C155" s="3">
        <f t="shared" si="57"/>
        <v>4.29</v>
      </c>
      <c r="D155" s="3">
        <f t="shared" si="57"/>
        <v>21068.53146853147</v>
      </c>
      <c r="E155" s="3">
        <f t="shared" si="57"/>
        <v>90.384</v>
      </c>
      <c r="F155" s="18">
        <f t="shared" si="57"/>
        <v>1</v>
      </c>
      <c r="G155" s="18">
        <f t="shared" si="58"/>
        <v>0</v>
      </c>
      <c r="H155" s="18">
        <f t="shared" si="58"/>
        <v>0</v>
      </c>
      <c r="I155" s="18">
        <f t="shared" si="58"/>
        <v>0</v>
      </c>
      <c r="J155" s="18"/>
      <c r="K155" s="1" t="s">
        <v>186</v>
      </c>
      <c r="M155" s="3">
        <v>3.33333</v>
      </c>
      <c r="N155" s="3">
        <v>70.228368</v>
      </c>
      <c r="O155" s="4">
        <v>0.95667</v>
      </c>
      <c r="P155" s="4">
        <v>20.155632</v>
      </c>
      <c r="Q155" s="3">
        <v>21068.53146853147</v>
      </c>
      <c r="R155" s="3">
        <v>21068.53146853147</v>
      </c>
      <c r="S155" s="3"/>
      <c r="T155" s="3" t="s">
        <v>186</v>
      </c>
      <c r="V155" s="8">
        <v>3.33333</v>
      </c>
      <c r="W155" s="4">
        <v>0.026138307195</v>
      </c>
      <c r="X155" s="4">
        <v>90.410138307195</v>
      </c>
      <c r="Y155" s="8">
        <f>(100*V155/V221)</f>
        <v>0.04327961960536981</v>
      </c>
      <c r="Z155" s="8">
        <f>(100*X155/875.346)</f>
        <v>10.32850304990198</v>
      </c>
      <c r="AA155" s="4">
        <f>Y155*(Z155-Y155)/100</f>
        <v>0.0044514055761947415</v>
      </c>
      <c r="AB155" s="4"/>
      <c r="AC155" s="1" t="s">
        <v>186</v>
      </c>
      <c r="AE155" s="4">
        <v>3.33333</v>
      </c>
      <c r="AF155" s="4">
        <v>90.384</v>
      </c>
      <c r="AG155" s="4">
        <f>100*AE155/1368.021</f>
        <v>0.24366073327821725</v>
      </c>
      <c r="AH155" s="4">
        <f>100*AF155/448.09</f>
        <v>20.170947800665044</v>
      </c>
      <c r="AI155" s="4">
        <f>AG155*(AH155-AG155)/100</f>
        <v>0.048554973790850095</v>
      </c>
      <c r="AJ155" s="3">
        <f aca="true" t="shared" si="59" ref="AJ155:AJ186">1000*X155/V155</f>
        <v>27123.068615227112</v>
      </c>
      <c r="AK155" s="8">
        <f aca="true" t="shared" si="60" ref="AK155:AK169">1000*AF155/AE155</f>
        <v>27115.227115227113</v>
      </c>
    </row>
    <row r="156" spans="1:37" ht="13.5">
      <c r="A156" s="1" t="s">
        <v>187</v>
      </c>
      <c r="C156" s="3">
        <f t="shared" si="57"/>
        <v>25.2</v>
      </c>
      <c r="D156" s="3">
        <f t="shared" si="57"/>
        <v>2997.777777777778</v>
      </c>
      <c r="E156" s="3">
        <f t="shared" si="57"/>
        <v>75.544</v>
      </c>
      <c r="F156" s="18">
        <f t="shared" si="57"/>
        <v>1</v>
      </c>
      <c r="G156" s="18">
        <f t="shared" si="58"/>
        <v>0</v>
      </c>
      <c r="H156" s="18">
        <f t="shared" si="58"/>
        <v>0</v>
      </c>
      <c r="I156" s="18">
        <f t="shared" si="58"/>
        <v>0</v>
      </c>
      <c r="J156" s="18"/>
      <c r="K156" s="1" t="s">
        <v>188</v>
      </c>
      <c r="M156" s="3">
        <v>0.486</v>
      </c>
      <c r="N156" s="3">
        <v>8.15508</v>
      </c>
      <c r="O156" s="4">
        <v>0.11399999999999999</v>
      </c>
      <c r="P156" s="4">
        <v>1.91292</v>
      </c>
      <c r="Q156" s="3">
        <v>16780</v>
      </c>
      <c r="R156" s="3">
        <v>16780</v>
      </c>
      <c r="S156" s="3"/>
      <c r="T156" s="3" t="s">
        <v>188</v>
      </c>
      <c r="V156" s="8">
        <v>0.486</v>
      </c>
      <c r="W156" s="4">
        <v>0.00269487</v>
      </c>
      <c r="X156" s="4">
        <v>10.070694869999999</v>
      </c>
      <c r="Y156" s="8">
        <f aca="true" t="shared" si="61" ref="Y156:Y187">(100*V156/7701.8)+Y155</f>
        <v>0.049589832802284815</v>
      </c>
      <c r="Z156" s="8">
        <f aca="true" t="shared" si="62" ref="Z156:Z187">(100*X156/875.346)+Z155</f>
        <v>11.478984673168666</v>
      </c>
      <c r="AA156" s="4">
        <f aca="true" t="shared" si="63" ref="AA156:AA187">(Y156-Y155)*(Z156-Y156+Z155-Y155)/100</f>
        <v>0.0013702387077750933</v>
      </c>
      <c r="AB156" s="4"/>
      <c r="AC156" s="1" t="s">
        <v>188</v>
      </c>
      <c r="AE156" s="4">
        <v>0.486</v>
      </c>
      <c r="AF156" s="4">
        <v>10.071</v>
      </c>
      <c r="AG156" s="4">
        <f aca="true" t="shared" si="64" ref="AG156:AG169">100*AE156/1368.021+AG155</f>
        <v>0.2791865037159518</v>
      </c>
      <c r="AH156" s="4">
        <f aca="true" t="shared" si="65" ref="AH156:AH169">(100*AF156/448.09)+AH155</f>
        <v>22.41848735745051</v>
      </c>
      <c r="AI156" s="4">
        <f aca="true" t="shared" si="66" ref="AI156:AI169">(AG156-AG155)*(AH156-AG156+AH155-AG155)/100</f>
        <v>0.014944479455845342</v>
      </c>
      <c r="AJ156" s="3">
        <f t="shared" si="59"/>
        <v>20721.594382716048</v>
      </c>
      <c r="AK156" s="8">
        <f t="shared" si="60"/>
        <v>20722.222222222223</v>
      </c>
    </row>
    <row r="157" spans="1:37" ht="13.5">
      <c r="A157" s="1" t="s">
        <v>189</v>
      </c>
      <c r="C157" s="3">
        <f t="shared" si="57"/>
        <v>90</v>
      </c>
      <c r="D157" s="3">
        <f t="shared" si="57"/>
        <v>881.0666666666667</v>
      </c>
      <c r="E157" s="3">
        <f t="shared" si="57"/>
        <v>79.296</v>
      </c>
      <c r="F157" s="18">
        <f t="shared" si="57"/>
        <v>1</v>
      </c>
      <c r="G157" s="18">
        <f t="shared" si="58"/>
        <v>0</v>
      </c>
      <c r="H157" s="18">
        <f t="shared" si="58"/>
        <v>0</v>
      </c>
      <c r="I157" s="18">
        <f t="shared" si="58"/>
        <v>0</v>
      </c>
      <c r="J157" s="18"/>
      <c r="K157" s="1" t="s">
        <v>190</v>
      </c>
      <c r="M157" s="3">
        <v>0.32400000000000007</v>
      </c>
      <c r="N157" s="3">
        <v>4.037850000000001</v>
      </c>
      <c r="O157" s="4">
        <v>0.07600000000000001</v>
      </c>
      <c r="P157" s="4">
        <v>0.94715</v>
      </c>
      <c r="Q157" s="3">
        <v>12462.5</v>
      </c>
      <c r="R157" s="3">
        <v>12462.5</v>
      </c>
      <c r="S157" s="3"/>
      <c r="T157" s="3" t="s">
        <v>190</v>
      </c>
      <c r="V157" s="8">
        <v>0.32400000000000007</v>
      </c>
      <c r="W157" s="4">
        <v>0.0013753800000000003</v>
      </c>
      <c r="X157" s="4">
        <v>4.98637538</v>
      </c>
      <c r="Y157" s="8">
        <f t="shared" si="61"/>
        <v>0.05379664160022815</v>
      </c>
      <c r="Z157" s="8">
        <f t="shared" si="62"/>
        <v>12.048630890778616</v>
      </c>
      <c r="AA157" s="4">
        <f t="shared" si="63"/>
        <v>0.0009854125301893718</v>
      </c>
      <c r="AB157" s="4"/>
      <c r="AC157" s="1" t="s">
        <v>190</v>
      </c>
      <c r="AE157" s="4">
        <v>0.324</v>
      </c>
      <c r="AF157" s="4">
        <v>4.986</v>
      </c>
      <c r="AG157" s="4">
        <f t="shared" si="64"/>
        <v>0.30287035067444146</v>
      </c>
      <c r="AH157" s="4">
        <f t="shared" si="65"/>
        <v>23.53121024794126</v>
      </c>
      <c r="AI157" s="4">
        <f t="shared" si="66"/>
        <v>0.010744802604144565</v>
      </c>
      <c r="AJ157" s="3">
        <f t="shared" si="59"/>
        <v>15390.047469135801</v>
      </c>
      <c r="AK157" s="8">
        <f t="shared" si="60"/>
        <v>15388.888888888889</v>
      </c>
    </row>
    <row r="158" spans="1:37" ht="13.5">
      <c r="A158" s="1" t="s">
        <v>191</v>
      </c>
      <c r="C158" s="3">
        <f t="shared" si="57"/>
        <v>510.3</v>
      </c>
      <c r="D158" s="3">
        <f t="shared" si="57"/>
        <v>199.83539094650206</v>
      </c>
      <c r="E158" s="3">
        <f t="shared" si="57"/>
        <v>101.976</v>
      </c>
      <c r="F158" s="18">
        <f t="shared" si="57"/>
        <v>1</v>
      </c>
      <c r="G158" s="18">
        <f t="shared" si="58"/>
        <v>0</v>
      </c>
      <c r="H158" s="18">
        <f t="shared" si="58"/>
        <v>0</v>
      </c>
      <c r="I158" s="18">
        <f t="shared" si="58"/>
        <v>0</v>
      </c>
      <c r="J158" s="18"/>
      <c r="K158" s="1" t="s">
        <v>187</v>
      </c>
      <c r="M158" s="3">
        <v>19.5804</v>
      </c>
      <c r="N158" s="3">
        <v>58.697688</v>
      </c>
      <c r="O158" s="4">
        <v>5.6196</v>
      </c>
      <c r="P158" s="4">
        <v>16.846312</v>
      </c>
      <c r="Q158" s="3">
        <v>2997.777777777778</v>
      </c>
      <c r="R158" s="3">
        <v>2997.777777777778</v>
      </c>
      <c r="S158" s="3"/>
      <c r="T158" s="3" t="s">
        <v>187</v>
      </c>
      <c r="V158" s="8">
        <v>19.5804</v>
      </c>
      <c r="W158" s="4">
        <v>0.1535397066</v>
      </c>
      <c r="X158" s="4">
        <v>75.6975397066</v>
      </c>
      <c r="Y158" s="8">
        <f t="shared" si="61"/>
        <v>0.30802811995593726</v>
      </c>
      <c r="Z158" s="8">
        <f t="shared" si="62"/>
        <v>20.696358727154177</v>
      </c>
      <c r="AA158" s="4">
        <f t="shared" si="63"/>
        <v>0.08232819875273276</v>
      </c>
      <c r="AB158" s="4"/>
      <c r="AC158" s="1" t="s">
        <v>187</v>
      </c>
      <c r="AE158" s="4">
        <v>19.58</v>
      </c>
      <c r="AF158" s="4">
        <v>75.544</v>
      </c>
      <c r="AG158" s="4">
        <f t="shared" si="64"/>
        <v>1.734134929215268</v>
      </c>
      <c r="AH158" s="4">
        <f t="shared" si="65"/>
        <v>40.39032337253677</v>
      </c>
      <c r="AI158" s="4">
        <f t="shared" si="66"/>
        <v>0.8857313337358999</v>
      </c>
      <c r="AJ158" s="3">
        <f t="shared" si="59"/>
        <v>3865.985358143858</v>
      </c>
      <c r="AK158" s="8">
        <f t="shared" si="60"/>
        <v>3858.2226762002047</v>
      </c>
    </row>
    <row r="159" spans="1:37" ht="13.5">
      <c r="A159" s="1" t="s">
        <v>192</v>
      </c>
      <c r="C159" s="3">
        <f t="shared" si="57"/>
        <v>1422.86</v>
      </c>
      <c r="D159" s="3">
        <f t="shared" si="57"/>
        <v>75.00035140491686</v>
      </c>
      <c r="E159" s="3">
        <f t="shared" si="57"/>
        <v>106.715</v>
      </c>
      <c r="F159" s="18">
        <f t="shared" si="57"/>
        <v>1</v>
      </c>
      <c r="G159" s="18">
        <f t="shared" si="58"/>
        <v>0</v>
      </c>
      <c r="H159" s="18">
        <f t="shared" si="58"/>
        <v>0</v>
      </c>
      <c r="I159" s="18">
        <f t="shared" si="58"/>
        <v>0</v>
      </c>
      <c r="J159" s="18"/>
      <c r="K159" s="1" t="s">
        <v>193</v>
      </c>
      <c r="M159" s="3">
        <v>3.3209999999999997</v>
      </c>
      <c r="N159" s="3">
        <v>6.889050000000001</v>
      </c>
      <c r="O159" s="4">
        <v>0.7789999999999999</v>
      </c>
      <c r="P159" s="4">
        <v>1.6159500000000002</v>
      </c>
      <c r="Q159" s="3">
        <v>2074.3902439024396</v>
      </c>
      <c r="R159" s="3">
        <v>2074.3902439024396</v>
      </c>
      <c r="S159" s="3"/>
      <c r="T159" s="3" t="s">
        <v>193</v>
      </c>
      <c r="V159" s="8">
        <v>3.3209999999999997</v>
      </c>
      <c r="W159" s="4">
        <v>0.018414945</v>
      </c>
      <c r="X159" s="4">
        <v>8.523414945</v>
      </c>
      <c r="Y159" s="8">
        <f t="shared" si="61"/>
        <v>0.35114791013485647</v>
      </c>
      <c r="Z159" s="8">
        <f t="shared" si="62"/>
        <v>21.67007825577486</v>
      </c>
      <c r="AA159" s="4">
        <f t="shared" si="63"/>
        <v>0.01798408341223815</v>
      </c>
      <c r="AB159" s="4"/>
      <c r="AC159" s="1" t="s">
        <v>193</v>
      </c>
      <c r="AE159" s="4">
        <v>3.321</v>
      </c>
      <c r="AF159" s="4">
        <v>8.527</v>
      </c>
      <c r="AG159" s="4">
        <f t="shared" si="64"/>
        <v>1.976894360539787</v>
      </c>
      <c r="AH159" s="4">
        <f t="shared" si="65"/>
        <v>42.29328929456136</v>
      </c>
      <c r="AI159" s="4">
        <f t="shared" si="66"/>
        <v>0.19171339430911977</v>
      </c>
      <c r="AJ159" s="3">
        <f t="shared" si="59"/>
        <v>2566.520609756098</v>
      </c>
      <c r="AK159" s="8">
        <f t="shared" si="60"/>
        <v>2567.600120445649</v>
      </c>
    </row>
    <row r="160" spans="1:37" ht="13.5">
      <c r="A160" s="1" t="str">
        <f aca="true" t="shared" si="67" ref="A160:A192">A12</f>
        <v>Manual IV,(1)</v>
      </c>
      <c r="B160" s="1" t="s">
        <v>194</v>
      </c>
      <c r="C160" s="3">
        <f t="shared" si="57"/>
        <v>42.2</v>
      </c>
      <c r="D160" s="3">
        <f t="shared" si="57"/>
        <v>73</v>
      </c>
      <c r="E160" s="3">
        <f t="shared" si="57"/>
        <v>3.0806000000000004</v>
      </c>
      <c r="F160" s="18">
        <f t="shared" si="57"/>
        <v>1</v>
      </c>
      <c r="G160" s="18">
        <f t="shared" si="58"/>
        <v>0</v>
      </c>
      <c r="H160" s="18">
        <f t="shared" si="58"/>
        <v>0</v>
      </c>
      <c r="I160" s="18">
        <f t="shared" si="58"/>
        <v>0</v>
      </c>
      <c r="J160" s="18"/>
      <c r="K160" s="1" t="s">
        <v>195</v>
      </c>
      <c r="M160" s="3">
        <v>2.1870000000000003</v>
      </c>
      <c r="N160" s="3">
        <v>4.35699</v>
      </c>
      <c r="O160" s="4">
        <v>0.513</v>
      </c>
      <c r="P160" s="4">
        <v>1.0220099999999999</v>
      </c>
      <c r="Q160" s="3">
        <v>1992.222222222222</v>
      </c>
      <c r="R160" s="3">
        <v>1992.222222222222</v>
      </c>
      <c r="S160" s="3"/>
      <c r="T160" s="3" t="s">
        <v>195</v>
      </c>
      <c r="V160" s="8">
        <v>2.1870000000000003</v>
      </c>
      <c r="W160" s="4">
        <v>0.009283815</v>
      </c>
      <c r="X160" s="4">
        <v>5.388283814999999</v>
      </c>
      <c r="Y160" s="8">
        <f t="shared" si="61"/>
        <v>0.379543869520974</v>
      </c>
      <c r="Z160" s="8">
        <f t="shared" si="62"/>
        <v>22.285638710155187</v>
      </c>
      <c r="AA160" s="4">
        <f t="shared" si="63"/>
        <v>0.012274160596533513</v>
      </c>
      <c r="AB160" s="4"/>
      <c r="AC160" s="1" t="s">
        <v>195</v>
      </c>
      <c r="AE160" s="4">
        <v>2.187</v>
      </c>
      <c r="AF160" s="4">
        <v>5.388</v>
      </c>
      <c r="AG160" s="4">
        <f t="shared" si="64"/>
        <v>2.1367603275095925</v>
      </c>
      <c r="AH160" s="4">
        <f t="shared" si="65"/>
        <v>43.49572630498338</v>
      </c>
      <c r="AI160" s="4">
        <f t="shared" si="66"/>
        <v>0.1305711054972406</v>
      </c>
      <c r="AJ160" s="3">
        <f t="shared" si="59"/>
        <v>2463.7786076817556</v>
      </c>
      <c r="AK160" s="8">
        <f t="shared" si="60"/>
        <v>2463.6488340192045</v>
      </c>
    </row>
    <row r="161" spans="1:37" ht="13.5">
      <c r="A161" s="1" t="str">
        <f t="shared" si="67"/>
        <v>Manual IV,(2)</v>
      </c>
      <c r="B161" s="1" t="s">
        <v>194</v>
      </c>
      <c r="C161" s="3">
        <f t="shared" si="57"/>
        <v>798.6</v>
      </c>
      <c r="D161" s="3">
        <f t="shared" si="57"/>
        <v>60</v>
      </c>
      <c r="E161" s="3">
        <f t="shared" si="57"/>
        <v>47.916</v>
      </c>
      <c r="F161" s="18">
        <f t="shared" si="57"/>
        <v>1</v>
      </c>
      <c r="G161" s="18">
        <f t="shared" si="58"/>
        <v>0</v>
      </c>
      <c r="H161" s="18">
        <f t="shared" si="58"/>
        <v>0</v>
      </c>
      <c r="I161" s="18">
        <f t="shared" si="58"/>
        <v>0</v>
      </c>
      <c r="J161" s="18"/>
      <c r="K161" s="1" t="s">
        <v>189</v>
      </c>
      <c r="M161" s="3">
        <v>69.93</v>
      </c>
      <c r="N161" s="3">
        <v>61.612992000000006</v>
      </c>
      <c r="O161" s="4">
        <v>20.07</v>
      </c>
      <c r="P161" s="4">
        <v>17.683008</v>
      </c>
      <c r="Q161" s="3">
        <v>881.0666666666667</v>
      </c>
      <c r="R161" s="3">
        <v>881.0666666666666</v>
      </c>
      <c r="S161" s="3"/>
      <c r="T161" s="3" t="s">
        <v>189</v>
      </c>
      <c r="V161" s="8">
        <v>69.93</v>
      </c>
      <c r="W161" s="4">
        <v>0.548356095</v>
      </c>
      <c r="X161" s="4">
        <v>79.84435609500001</v>
      </c>
      <c r="Y161" s="8">
        <f t="shared" si="61"/>
        <v>1.2875134350770778</v>
      </c>
      <c r="Z161" s="8">
        <f t="shared" si="62"/>
        <v>31.407101091316466</v>
      </c>
      <c r="AA161" s="4">
        <f t="shared" si="63"/>
        <v>0.4723773633444611</v>
      </c>
      <c r="AB161" s="4"/>
      <c r="AC161" s="1" t="s">
        <v>189</v>
      </c>
      <c r="AE161" s="4">
        <v>69.93</v>
      </c>
      <c r="AF161" s="4">
        <v>79.296</v>
      </c>
      <c r="AG161" s="4">
        <f t="shared" si="64"/>
        <v>7.2485239627169475</v>
      </c>
      <c r="AH161" s="4">
        <f t="shared" si="65"/>
        <v>61.19217121560401</v>
      </c>
      <c r="AI161" s="4">
        <f t="shared" si="66"/>
        <v>4.8716443265119</v>
      </c>
      <c r="AJ161" s="3">
        <f t="shared" si="59"/>
        <v>1141.775433933934</v>
      </c>
      <c r="AK161" s="8">
        <f t="shared" si="60"/>
        <v>1133.9339339339338</v>
      </c>
    </row>
    <row r="162" spans="1:37" ht="13.5">
      <c r="A162" s="1" t="str">
        <f t="shared" si="67"/>
        <v>Manual V, (3)</v>
      </c>
      <c r="B162" s="1" t="s">
        <v>194</v>
      </c>
      <c r="C162" s="3">
        <f t="shared" si="57"/>
        <v>582</v>
      </c>
      <c r="D162" s="3">
        <f t="shared" si="57"/>
        <v>52</v>
      </c>
      <c r="E162" s="3">
        <f t="shared" si="57"/>
        <v>30.264</v>
      </c>
      <c r="F162" s="18">
        <f t="shared" si="57"/>
        <v>1</v>
      </c>
      <c r="G162" s="18">
        <f t="shared" si="58"/>
        <v>0</v>
      </c>
      <c r="H162" s="18">
        <f t="shared" si="58"/>
        <v>0</v>
      </c>
      <c r="I162" s="18">
        <f t="shared" si="58"/>
        <v>0</v>
      </c>
      <c r="J162" s="18"/>
      <c r="K162" s="1" t="s">
        <v>196</v>
      </c>
      <c r="M162" s="3">
        <v>11.259</v>
      </c>
      <c r="N162" s="3">
        <v>6.045840000000001</v>
      </c>
      <c r="O162" s="4">
        <v>2.641</v>
      </c>
      <c r="P162" s="4">
        <v>1.41816</v>
      </c>
      <c r="Q162" s="3">
        <v>536.9784172661871</v>
      </c>
      <c r="R162" s="3">
        <v>536.9784172661871</v>
      </c>
      <c r="S162" s="3"/>
      <c r="T162" s="3" t="s">
        <v>196</v>
      </c>
      <c r="V162" s="8">
        <v>11.259</v>
      </c>
      <c r="W162" s="4">
        <v>0.062431155</v>
      </c>
      <c r="X162" s="4">
        <v>7.526431155000001</v>
      </c>
      <c r="Y162" s="8">
        <f t="shared" si="61"/>
        <v>1.4337000408056089</v>
      </c>
      <c r="Z162" s="8">
        <f t="shared" si="62"/>
        <v>32.266924653085184</v>
      </c>
      <c r="AA162" s="4">
        <f t="shared" si="63"/>
        <v>0.0891048473514315</v>
      </c>
      <c r="AB162" s="4"/>
      <c r="AC162" s="1" t="s">
        <v>196</v>
      </c>
      <c r="AE162" s="4">
        <v>11.259</v>
      </c>
      <c r="AF162" s="4">
        <v>7.54</v>
      </c>
      <c r="AG162" s="4">
        <f t="shared" si="64"/>
        <v>8.071537644524463</v>
      </c>
      <c r="AH162" s="4">
        <f t="shared" si="65"/>
        <v>62.874868887946626</v>
      </c>
      <c r="AI162" s="4">
        <f t="shared" si="66"/>
        <v>0.895002511576902</v>
      </c>
      <c r="AJ162" s="3">
        <f t="shared" si="59"/>
        <v>668.4813176125767</v>
      </c>
      <c r="AK162" s="8">
        <f t="shared" si="60"/>
        <v>669.6864730437871</v>
      </c>
    </row>
    <row r="163" spans="1:37" ht="13.5">
      <c r="A163" s="1" t="str">
        <f t="shared" si="67"/>
        <v>Manual V, (4)</v>
      </c>
      <c r="B163" s="1" t="s">
        <v>194</v>
      </c>
      <c r="C163" s="3">
        <f t="shared" si="57"/>
        <v>1028</v>
      </c>
      <c r="D163" s="3">
        <f t="shared" si="57"/>
        <v>46</v>
      </c>
      <c r="E163" s="3">
        <f t="shared" si="57"/>
        <v>47.288</v>
      </c>
      <c r="F163" s="18">
        <f t="shared" si="57"/>
        <v>1</v>
      </c>
      <c r="G163" s="18">
        <f t="shared" si="58"/>
        <v>0</v>
      </c>
      <c r="H163" s="18">
        <f t="shared" si="58"/>
        <v>0</v>
      </c>
      <c r="I163" s="18">
        <f t="shared" si="58"/>
        <v>0</v>
      </c>
      <c r="J163" s="18"/>
      <c r="K163" s="1" t="s">
        <v>197</v>
      </c>
      <c r="M163" s="3">
        <v>11.664000000000001</v>
      </c>
      <c r="N163" s="3">
        <v>5.9510700000000005</v>
      </c>
      <c r="O163" s="4">
        <v>2.736</v>
      </c>
      <c r="P163" s="4">
        <v>1.3959300000000001</v>
      </c>
      <c r="Q163" s="3">
        <v>510.2083333333333</v>
      </c>
      <c r="R163" s="3">
        <v>510.2083333333333</v>
      </c>
      <c r="S163" s="3"/>
      <c r="T163" s="3" t="s">
        <v>197</v>
      </c>
      <c r="V163" s="8">
        <v>11.664000000000001</v>
      </c>
      <c r="W163" s="4">
        <v>0.04951368000000001</v>
      </c>
      <c r="X163" s="4">
        <v>7.396513680000001</v>
      </c>
      <c r="Y163" s="8">
        <f t="shared" si="61"/>
        <v>1.585145157531569</v>
      </c>
      <c r="Z163" s="8">
        <f t="shared" si="62"/>
        <v>33.111906372313925</v>
      </c>
      <c r="AA163" s="4">
        <f t="shared" si="63"/>
        <v>0.09444115332608609</v>
      </c>
      <c r="AB163" s="4"/>
      <c r="AC163" s="1" t="s">
        <v>197</v>
      </c>
      <c r="AE163" s="4">
        <v>11.664</v>
      </c>
      <c r="AF163" s="4">
        <v>7.397</v>
      </c>
      <c r="AG163" s="4">
        <f t="shared" si="64"/>
        <v>8.924156135030092</v>
      </c>
      <c r="AH163" s="4">
        <f t="shared" si="65"/>
        <v>64.52565332857239</v>
      </c>
      <c r="AI163" s="4">
        <f t="shared" si="66"/>
        <v>0.9413319816645753</v>
      </c>
      <c r="AJ163" s="3">
        <f t="shared" si="59"/>
        <v>634.1318312757202</v>
      </c>
      <c r="AK163" s="8">
        <f t="shared" si="60"/>
        <v>634.1735253772291</v>
      </c>
    </row>
    <row r="164" spans="1:37" ht="13.5">
      <c r="A164" s="1" t="str">
        <f t="shared" si="67"/>
        <v>Manual VI,(5)</v>
      </c>
      <c r="B164" s="1" t="s">
        <v>194</v>
      </c>
      <c r="C164" s="3">
        <f t="shared" si="57"/>
        <v>260.36</v>
      </c>
      <c r="D164" s="3">
        <f t="shared" si="57"/>
        <v>36.5</v>
      </c>
      <c r="E164" s="3">
        <f t="shared" si="57"/>
        <v>9.503140000000002</v>
      </c>
      <c r="F164" s="18">
        <f t="shared" si="57"/>
        <v>1</v>
      </c>
      <c r="G164" s="18">
        <f t="shared" si="58"/>
        <v>0</v>
      </c>
      <c r="H164" s="18">
        <f t="shared" si="58"/>
        <v>0</v>
      </c>
      <c r="I164" s="18">
        <f t="shared" si="58"/>
        <v>0</v>
      </c>
      <c r="J164" s="18"/>
      <c r="K164" s="1" t="s">
        <v>191</v>
      </c>
      <c r="M164" s="3">
        <v>396.5031</v>
      </c>
      <c r="N164" s="3">
        <v>79.235352</v>
      </c>
      <c r="O164" s="4">
        <v>113.79690000000001</v>
      </c>
      <c r="P164" s="4">
        <v>22.740648</v>
      </c>
      <c r="Q164" s="3">
        <v>199.83539094650206</v>
      </c>
      <c r="R164" s="3">
        <v>199.83539094650206</v>
      </c>
      <c r="S164" s="3"/>
      <c r="T164" s="3" t="s">
        <v>191</v>
      </c>
      <c r="V164" s="8">
        <v>396.5031</v>
      </c>
      <c r="W164" s="4">
        <v>3.10917905865</v>
      </c>
      <c r="X164" s="4">
        <v>105.08517905865</v>
      </c>
      <c r="Y164" s="8">
        <f t="shared" si="61"/>
        <v>6.733332594234678</v>
      </c>
      <c r="Z164" s="8">
        <f t="shared" si="62"/>
        <v>45.116894006763616</v>
      </c>
      <c r="AA164" s="4">
        <f t="shared" si="63"/>
        <v>3.599114446457851</v>
      </c>
      <c r="AB164" s="4"/>
      <c r="AC164" s="1" t="s">
        <v>198</v>
      </c>
      <c r="AE164" s="4">
        <v>252.115</v>
      </c>
      <c r="AF164" s="4">
        <v>64.841</v>
      </c>
      <c r="AG164" s="4">
        <f t="shared" si="64"/>
        <v>27.353332295337573</v>
      </c>
      <c r="AH164" s="4">
        <f t="shared" si="65"/>
        <v>78.99618380236113</v>
      </c>
      <c r="AI164" s="4">
        <f t="shared" si="66"/>
        <v>19.76424994400171</v>
      </c>
      <c r="AJ164" s="3">
        <f t="shared" si="59"/>
        <v>265.0299053365535</v>
      </c>
      <c r="AK164" s="8">
        <f t="shared" si="60"/>
        <v>257.1881879301112</v>
      </c>
    </row>
    <row r="165" spans="1:37" ht="13.5">
      <c r="A165" s="1" t="str">
        <f t="shared" si="67"/>
        <v>Manual VI,(6)</v>
      </c>
      <c r="B165" s="1" t="s">
        <v>194</v>
      </c>
      <c r="C165" s="3">
        <f t="shared" si="57"/>
        <v>1148.5</v>
      </c>
      <c r="D165" s="3">
        <f t="shared" si="57"/>
        <v>33</v>
      </c>
      <c r="E165" s="3">
        <f t="shared" si="57"/>
        <v>37.9005</v>
      </c>
      <c r="F165" s="18">
        <f t="shared" si="57"/>
        <v>1</v>
      </c>
      <c r="G165" s="18">
        <f t="shared" si="58"/>
        <v>0</v>
      </c>
      <c r="H165" s="18">
        <f t="shared" si="58"/>
        <v>0</v>
      </c>
      <c r="I165" s="18">
        <f t="shared" si="58"/>
        <v>0</v>
      </c>
      <c r="J165" s="18"/>
      <c r="K165" s="1" t="s">
        <v>199</v>
      </c>
      <c r="M165" s="3">
        <v>63.585</v>
      </c>
      <c r="N165" s="3">
        <v>6.90687</v>
      </c>
      <c r="O165" s="4">
        <v>14.915</v>
      </c>
      <c r="P165" s="4">
        <v>1.6201299999999998</v>
      </c>
      <c r="Q165" s="3">
        <v>108.62420382165604</v>
      </c>
      <c r="R165" s="3">
        <v>108.62420382165605</v>
      </c>
      <c r="S165" s="3"/>
      <c r="T165" s="3" t="s">
        <v>199</v>
      </c>
      <c r="V165" s="8">
        <v>63.585</v>
      </c>
      <c r="W165" s="4">
        <v>0.269918325</v>
      </c>
      <c r="X165" s="4">
        <v>8.796918325</v>
      </c>
      <c r="Y165" s="8">
        <f t="shared" si="61"/>
        <v>7.5589188208310585</v>
      </c>
      <c r="Z165" s="8">
        <f t="shared" si="62"/>
        <v>46.121858709292674</v>
      </c>
      <c r="AA165" s="4">
        <f t="shared" si="63"/>
        <v>0.6352597165887824</v>
      </c>
      <c r="AB165" s="4"/>
      <c r="AC165" s="1" t="s">
        <v>199</v>
      </c>
      <c r="AE165" s="4">
        <v>63.585</v>
      </c>
      <c r="AF165" s="4">
        <v>8.797</v>
      </c>
      <c r="AG165" s="4">
        <f t="shared" si="64"/>
        <v>32.00128726094117</v>
      </c>
      <c r="AH165" s="4">
        <f t="shared" si="65"/>
        <v>80.95940547657837</v>
      </c>
      <c r="AI165" s="4">
        <f t="shared" si="66"/>
        <v>4.6758877676697805</v>
      </c>
      <c r="AJ165" s="3">
        <f t="shared" si="59"/>
        <v>138.34895533537784</v>
      </c>
      <c r="AK165" s="8">
        <f t="shared" si="60"/>
        <v>138.3502398364394</v>
      </c>
    </row>
    <row r="166" spans="1:37" ht="13.5">
      <c r="A166" s="1" t="str">
        <f t="shared" si="67"/>
        <v>Manual VI,(7)</v>
      </c>
      <c r="B166" s="1" t="s">
        <v>200</v>
      </c>
      <c r="C166" s="3">
        <f t="shared" si="57"/>
        <v>73.4</v>
      </c>
      <c r="D166" s="3">
        <f t="shared" si="57"/>
        <v>30</v>
      </c>
      <c r="E166" s="3">
        <f t="shared" si="57"/>
        <v>2.202</v>
      </c>
      <c r="F166" s="18">
        <f t="shared" si="57"/>
        <v>1</v>
      </c>
      <c r="G166" s="18">
        <f t="shared" si="58"/>
        <v>0</v>
      </c>
      <c r="H166" s="18">
        <f t="shared" si="58"/>
        <v>0</v>
      </c>
      <c r="I166" s="18">
        <f t="shared" si="58"/>
        <v>0</v>
      </c>
      <c r="J166" s="18"/>
      <c r="K166" s="1" t="s">
        <v>201</v>
      </c>
      <c r="M166" s="3">
        <v>78.894</v>
      </c>
      <c r="N166" s="3">
        <v>7.029990000000001</v>
      </c>
      <c r="O166" s="4">
        <v>18.506</v>
      </c>
      <c r="P166" s="4">
        <v>1.64901</v>
      </c>
      <c r="Q166" s="3">
        <v>89.10677618069815</v>
      </c>
      <c r="R166" s="3">
        <v>89.10677618069815</v>
      </c>
      <c r="S166" s="3"/>
      <c r="T166" s="3" t="s">
        <v>201</v>
      </c>
      <c r="V166" s="8">
        <v>78.894</v>
      </c>
      <c r="W166" s="4">
        <v>0.43746723000000004</v>
      </c>
      <c r="X166" s="4">
        <v>9.11646723</v>
      </c>
      <c r="Y166" s="8">
        <f t="shared" si="61"/>
        <v>8.583276763130261</v>
      </c>
      <c r="Z166" s="8">
        <f t="shared" si="62"/>
        <v>47.16332885138506</v>
      </c>
      <c r="AA166" s="4">
        <f t="shared" si="63"/>
        <v>0.7902203652407311</v>
      </c>
      <c r="AB166" s="4"/>
      <c r="AC166" s="1" t="s">
        <v>201</v>
      </c>
      <c r="AE166" s="4">
        <v>78.894</v>
      </c>
      <c r="AF166" s="4">
        <v>9.213</v>
      </c>
      <c r="AG166" s="4">
        <f t="shared" si="64"/>
        <v>37.768303995333405</v>
      </c>
      <c r="AH166" s="4">
        <f t="shared" si="65"/>
        <v>83.01546564306278</v>
      </c>
      <c r="AI166" s="4">
        <f t="shared" si="66"/>
        <v>5.43283425440139</v>
      </c>
      <c r="AJ166" s="3">
        <f t="shared" si="59"/>
        <v>115.5533656551829</v>
      </c>
      <c r="AK166" s="8">
        <f t="shared" si="60"/>
        <v>116.77694121225947</v>
      </c>
    </row>
    <row r="167" spans="1:37" ht="13.5">
      <c r="A167" s="1" t="str">
        <f t="shared" si="67"/>
        <v>Manual VI,(7)</v>
      </c>
      <c r="B167" s="1" t="s">
        <v>202</v>
      </c>
      <c r="C167" s="3">
        <f t="shared" si="57"/>
        <v>34.5</v>
      </c>
      <c r="D167" s="3">
        <f t="shared" si="57"/>
        <v>20</v>
      </c>
      <c r="E167" s="3">
        <f t="shared" si="57"/>
        <v>0.69</v>
      </c>
      <c r="F167" s="18">
        <f t="shared" si="57"/>
        <v>1</v>
      </c>
      <c r="G167" s="18">
        <f t="shared" si="58"/>
        <v>0</v>
      </c>
      <c r="H167" s="18">
        <f t="shared" si="58"/>
        <v>0</v>
      </c>
      <c r="I167" s="18">
        <f t="shared" si="58"/>
        <v>0</v>
      </c>
      <c r="J167" s="18"/>
      <c r="K167" s="1" t="s">
        <v>192</v>
      </c>
      <c r="M167" s="3">
        <v>1105.56222</v>
      </c>
      <c r="N167" s="3">
        <v>82.91755500000001</v>
      </c>
      <c r="O167" s="4">
        <v>317.29778</v>
      </c>
      <c r="P167" s="4">
        <v>23.797445</v>
      </c>
      <c r="Q167" s="3">
        <v>75.00035140491686</v>
      </c>
      <c r="R167" s="3">
        <v>75.00035140491686</v>
      </c>
      <c r="S167" s="3"/>
      <c r="T167" s="3" t="s">
        <v>192</v>
      </c>
      <c r="V167" s="8">
        <v>1105.56222</v>
      </c>
      <c r="W167" s="4">
        <v>8.66926614813</v>
      </c>
      <c r="X167" s="4">
        <v>115.38426614813</v>
      </c>
      <c r="Y167" s="8">
        <f t="shared" si="61"/>
        <v>22.937872052543128</v>
      </c>
      <c r="Z167" s="8">
        <f t="shared" si="62"/>
        <v>60.3448897596579</v>
      </c>
      <c r="AA167" s="4">
        <f t="shared" si="63"/>
        <v>10.907636341408988</v>
      </c>
      <c r="AB167" s="4"/>
      <c r="AC167" s="1" t="s">
        <v>203</v>
      </c>
      <c r="AE167" s="4">
        <v>702.967</v>
      </c>
      <c r="AF167" s="4">
        <v>67.854</v>
      </c>
      <c r="AG167" s="4">
        <f t="shared" si="64"/>
        <v>89.15399178813774</v>
      </c>
      <c r="AH167" s="4">
        <f t="shared" si="65"/>
        <v>98.15840567743088</v>
      </c>
      <c r="AI167" s="4">
        <f t="shared" si="66"/>
        <v>27.877545228131805</v>
      </c>
      <c r="AJ167" s="3">
        <f t="shared" si="59"/>
        <v>104.36704878367678</v>
      </c>
      <c r="AK167" s="8">
        <f t="shared" si="60"/>
        <v>96.52515694193326</v>
      </c>
    </row>
    <row r="168" spans="1:37" ht="13.5">
      <c r="A168" s="1" t="str">
        <f t="shared" si="67"/>
        <v>Manual V, (4)</v>
      </c>
      <c r="B168" s="1" t="s">
        <v>204</v>
      </c>
      <c r="C168" s="3">
        <f t="shared" si="57"/>
        <v>694.16</v>
      </c>
      <c r="D168" s="3">
        <f t="shared" si="57"/>
        <v>32.5</v>
      </c>
      <c r="E168" s="3">
        <f t="shared" si="57"/>
        <v>22.560200000000002</v>
      </c>
      <c r="F168" s="18">
        <f t="shared" si="57"/>
        <v>0</v>
      </c>
      <c r="G168" s="18">
        <f t="shared" si="58"/>
        <v>1</v>
      </c>
      <c r="H168" s="18">
        <f t="shared" si="58"/>
        <v>0</v>
      </c>
      <c r="I168" s="18">
        <f t="shared" si="58"/>
        <v>0</v>
      </c>
      <c r="J168" s="18"/>
      <c r="K168" s="1" t="s">
        <v>68</v>
      </c>
      <c r="L168" s="1" t="s">
        <v>194</v>
      </c>
      <c r="M168" s="3">
        <v>32.7894</v>
      </c>
      <c r="N168" s="3">
        <v>2.3936262000000004</v>
      </c>
      <c r="O168" s="4">
        <v>9.4106</v>
      </c>
      <c r="P168" s="4">
        <v>0.6869738000000001</v>
      </c>
      <c r="Q168" s="3">
        <v>73</v>
      </c>
      <c r="R168" s="3">
        <v>73</v>
      </c>
      <c r="S168" s="3"/>
      <c r="T168" s="3" t="s">
        <v>68</v>
      </c>
      <c r="U168" s="1" t="s">
        <v>194</v>
      </c>
      <c r="V168" s="8">
        <v>32.7894</v>
      </c>
      <c r="W168" s="4">
        <v>0.2571180801</v>
      </c>
      <c r="X168" s="4">
        <v>3.3377180801000006</v>
      </c>
      <c r="Y168" s="8">
        <f t="shared" si="61"/>
        <v>23.363608893281658</v>
      </c>
      <c r="Z168" s="8">
        <f t="shared" si="62"/>
        <v>60.726192476537854</v>
      </c>
      <c r="AA168" s="4">
        <f t="shared" si="63"/>
        <v>0.3183217383664206</v>
      </c>
      <c r="AB168" s="4"/>
      <c r="AC168" s="1" t="s">
        <v>205</v>
      </c>
      <c r="AE168" s="4">
        <v>19.858</v>
      </c>
      <c r="AF168" s="4">
        <v>1.36</v>
      </c>
      <c r="AG168" s="4">
        <f t="shared" si="64"/>
        <v>90.6055776921553</v>
      </c>
      <c r="AH168" s="4">
        <f t="shared" si="65"/>
        <v>98.46191613291973</v>
      </c>
      <c r="AI168" s="4">
        <f t="shared" si="66"/>
        <v>0.24474830413442597</v>
      </c>
      <c r="AJ168" s="3">
        <f t="shared" si="59"/>
        <v>101.79259395109396</v>
      </c>
      <c r="AK168" s="8">
        <f t="shared" si="60"/>
        <v>68.48625239198307</v>
      </c>
    </row>
    <row r="169" spans="1:37" ht="13.5">
      <c r="A169" s="1" t="str">
        <f t="shared" si="67"/>
        <v>Manual VI,(8)</v>
      </c>
      <c r="B169" s="1" t="s">
        <v>206</v>
      </c>
      <c r="C169" s="3">
        <f t="shared" si="57"/>
        <v>447.2</v>
      </c>
      <c r="D169" s="3">
        <f t="shared" si="57"/>
        <v>25</v>
      </c>
      <c r="E169" s="3">
        <f t="shared" si="57"/>
        <v>11.18</v>
      </c>
      <c r="F169" s="18">
        <f t="shared" si="57"/>
        <v>0</v>
      </c>
      <c r="G169" s="18">
        <f t="shared" si="58"/>
        <v>1</v>
      </c>
      <c r="H169" s="18">
        <f t="shared" si="58"/>
        <v>0</v>
      </c>
      <c r="I169" s="18">
        <f t="shared" si="58"/>
        <v>0</v>
      </c>
      <c r="J169" s="18"/>
      <c r="K169" s="1" t="s">
        <v>68</v>
      </c>
      <c r="L169" s="1" t="s">
        <v>207</v>
      </c>
      <c r="M169" s="3">
        <v>4.170132772914682</v>
      </c>
      <c r="N169" s="3">
        <v>0.28682214499815667</v>
      </c>
      <c r="O169" s="4">
        <v>0.9781792924120859</v>
      </c>
      <c r="P169" s="4">
        <f>13.115*M169/1000</f>
        <v>0.05469129131677606</v>
      </c>
      <c r="Q169" s="3">
        <v>68.7800990081389</v>
      </c>
      <c r="R169" s="3">
        <v>68.7800990081389</v>
      </c>
      <c r="S169" s="3"/>
      <c r="T169" s="3" t="s">
        <v>68</v>
      </c>
      <c r="U169" s="1" t="s">
        <v>207</v>
      </c>
      <c r="V169" s="8">
        <v>4.170132772914682</v>
      </c>
      <c r="W169" s="4">
        <v>0.023123386225811914</v>
      </c>
      <c r="X169" s="4">
        <v>0.36463682254074464</v>
      </c>
      <c r="Y169" s="8">
        <f t="shared" si="61"/>
        <v>23.417753804509093</v>
      </c>
      <c r="Z169" s="8">
        <f t="shared" si="62"/>
        <v>60.76784878416258</v>
      </c>
      <c r="AA169" s="4">
        <f t="shared" si="63"/>
        <v>0.04045311348352684</v>
      </c>
      <c r="AB169" s="4"/>
      <c r="AC169" s="3" t="s">
        <v>208</v>
      </c>
      <c r="AE169" s="4">
        <v>128.518</v>
      </c>
      <c r="AF169" s="4">
        <v>6.892</v>
      </c>
      <c r="AG169" s="4">
        <f t="shared" si="64"/>
        <v>100.0000241224367</v>
      </c>
      <c r="AH169" s="4">
        <f t="shared" si="65"/>
        <v>100</v>
      </c>
      <c r="AI169" s="4">
        <f t="shared" si="66"/>
        <v>0.7380572400298268</v>
      </c>
      <c r="AJ169" s="3">
        <f t="shared" si="59"/>
        <v>87.4400990081389</v>
      </c>
      <c r="AK169" s="8">
        <f t="shared" si="60"/>
        <v>53.626729329743696</v>
      </c>
    </row>
    <row r="170" spans="1:36" ht="13.5">
      <c r="A170" s="1" t="str">
        <f t="shared" si="67"/>
        <v>Manual V, (4)</v>
      </c>
      <c r="B170" s="1" t="s">
        <v>209</v>
      </c>
      <c r="C170" s="3">
        <f t="shared" si="57"/>
        <v>386.81</v>
      </c>
      <c r="D170" s="3">
        <f t="shared" si="57"/>
        <v>23</v>
      </c>
      <c r="E170" s="3">
        <f t="shared" si="57"/>
        <v>8.89663</v>
      </c>
      <c r="F170" s="18">
        <f t="shared" si="57"/>
        <v>0</v>
      </c>
      <c r="G170" s="18">
        <f t="shared" si="58"/>
        <v>0</v>
      </c>
      <c r="H170" s="18">
        <f t="shared" si="58"/>
        <v>0</v>
      </c>
      <c r="I170" s="18">
        <f t="shared" si="58"/>
        <v>1</v>
      </c>
      <c r="J170" s="18"/>
      <c r="K170" s="1" t="s">
        <v>68</v>
      </c>
      <c r="L170" s="1" t="s">
        <v>210</v>
      </c>
      <c r="M170" s="3">
        <v>2.5875774000000007</v>
      </c>
      <c r="N170" s="3">
        <v>0.16665017079600003</v>
      </c>
      <c r="O170" s="4">
        <v>0.6069626000000001</v>
      </c>
      <c r="P170" s="4">
        <f>8.8*M170/1000</f>
        <v>0.02277068112000001</v>
      </c>
      <c r="Q170" s="3">
        <v>64.40393659180977</v>
      </c>
      <c r="R170" s="3">
        <v>64.40393659180977</v>
      </c>
      <c r="S170" s="3"/>
      <c r="T170" s="3" t="s">
        <v>71</v>
      </c>
      <c r="U170" s="1" t="s">
        <v>194</v>
      </c>
      <c r="V170" s="8">
        <v>620.5122</v>
      </c>
      <c r="W170" s="4">
        <v>4.8657464162999995</v>
      </c>
      <c r="X170" s="4">
        <v>52.781746416299995</v>
      </c>
      <c r="Y170" s="8">
        <f t="shared" si="61"/>
        <v>31.474470416210252</v>
      </c>
      <c r="Z170" s="8">
        <f t="shared" si="62"/>
        <v>66.7976640133748</v>
      </c>
      <c r="AA170" s="4">
        <f t="shared" si="63"/>
        <v>5.8550809130380195</v>
      </c>
      <c r="AB170" s="4"/>
      <c r="AE170" s="4"/>
      <c r="AI170" s="20" t="s">
        <v>70</v>
      </c>
      <c r="AJ170" s="3">
        <f t="shared" si="59"/>
        <v>85.06157722007721</v>
      </c>
    </row>
    <row r="171" spans="1:36" ht="13.5">
      <c r="A171" s="1" t="str">
        <f t="shared" si="67"/>
        <v>Manual IV,(1)</v>
      </c>
      <c r="B171" s="1" t="s">
        <v>211</v>
      </c>
      <c r="C171" s="3">
        <f t="shared" si="57"/>
        <v>10.48</v>
      </c>
      <c r="D171" s="3">
        <f t="shared" si="57"/>
        <v>21</v>
      </c>
      <c r="E171" s="3">
        <f t="shared" si="57"/>
        <v>0.22008000000000003</v>
      </c>
      <c r="F171" s="18">
        <f t="shared" si="57"/>
        <v>0</v>
      </c>
      <c r="G171" s="18">
        <f t="shared" si="58"/>
        <v>0</v>
      </c>
      <c r="H171" s="18">
        <f t="shared" si="58"/>
        <v>1</v>
      </c>
      <c r="I171" s="18">
        <f t="shared" si="58"/>
        <v>0</v>
      </c>
      <c r="J171" s="18"/>
      <c r="K171" s="1" t="s">
        <v>71</v>
      </c>
      <c r="L171" s="1" t="s">
        <v>194</v>
      </c>
      <c r="M171" s="3">
        <v>620.5122</v>
      </c>
      <c r="N171" s="3">
        <v>37.230731999999996</v>
      </c>
      <c r="O171" s="4">
        <v>178.08780000000002</v>
      </c>
      <c r="P171" s="4">
        <v>10.685267999999999</v>
      </c>
      <c r="Q171" s="3">
        <v>60</v>
      </c>
      <c r="R171" s="3">
        <v>60</v>
      </c>
      <c r="S171" s="3"/>
      <c r="T171" s="3" t="s">
        <v>151</v>
      </c>
      <c r="U171" s="1" t="s">
        <v>204</v>
      </c>
      <c r="V171" s="8">
        <v>321.39608</v>
      </c>
      <c r="W171" s="4">
        <v>2.52022736132</v>
      </c>
      <c r="X171" s="4">
        <v>25.08042736132</v>
      </c>
      <c r="Y171" s="8">
        <f t="shared" si="61"/>
        <v>35.64746997475501</v>
      </c>
      <c r="Z171" s="8">
        <f t="shared" si="62"/>
        <v>69.66286558638936</v>
      </c>
      <c r="AA171" s="4">
        <f t="shared" si="63"/>
        <v>2.8934990215843426</v>
      </c>
      <c r="AB171" s="4"/>
      <c r="AD171" s="1" t="s">
        <v>162</v>
      </c>
      <c r="AE171" s="4">
        <f>SUM(AE155:AE169)</f>
        <v>1368.0213299999998</v>
      </c>
      <c r="AF171" s="4">
        <f>SUM(AF155:AF169)</f>
        <v>448.0900000000001</v>
      </c>
      <c r="AI171" s="21">
        <f>SUM(AI155:AI169)</f>
        <v>66.72356164751542</v>
      </c>
      <c r="AJ171" s="3">
        <f t="shared" si="59"/>
        <v>78.03588444924407</v>
      </c>
    </row>
    <row r="172" spans="1:36" ht="13.5">
      <c r="A172" s="1" t="str">
        <f t="shared" si="67"/>
        <v>Manual V, (4)</v>
      </c>
      <c r="B172" s="1" t="s">
        <v>206</v>
      </c>
      <c r="C172" s="3">
        <f t="shared" si="57"/>
        <v>296</v>
      </c>
      <c r="D172" s="3">
        <f t="shared" si="57"/>
        <v>21</v>
      </c>
      <c r="E172" s="3">
        <f t="shared" si="57"/>
        <v>6.216</v>
      </c>
      <c r="F172" s="18">
        <f t="shared" si="57"/>
        <v>0</v>
      </c>
      <c r="G172" s="18">
        <f t="shared" si="58"/>
        <v>1</v>
      </c>
      <c r="H172" s="18">
        <f t="shared" si="58"/>
        <v>0</v>
      </c>
      <c r="I172" s="18">
        <f t="shared" si="58"/>
        <v>0</v>
      </c>
      <c r="J172" s="18"/>
      <c r="K172" s="1" t="s">
        <v>71</v>
      </c>
      <c r="L172" s="1" t="s">
        <v>207</v>
      </c>
      <c r="M172" s="3">
        <v>78.91630408648496</v>
      </c>
      <c r="N172" s="3">
        <v>4.461264006924519</v>
      </c>
      <c r="O172" s="4">
        <v>18.51123182275573</v>
      </c>
      <c r="P172" s="4">
        <f>13.115*M172/1000</f>
        <v>1.03498732809425</v>
      </c>
      <c r="Q172" s="3">
        <v>56.53158822586758</v>
      </c>
      <c r="R172" s="3">
        <v>56.53158822586759</v>
      </c>
      <c r="S172" s="3"/>
      <c r="T172" s="3" t="s">
        <v>68</v>
      </c>
      <c r="U172" s="1" t="s">
        <v>210</v>
      </c>
      <c r="V172" s="8">
        <v>2.5875774000000007</v>
      </c>
      <c r="W172" s="4">
        <v>0.010984266063000004</v>
      </c>
      <c r="X172" s="4">
        <v>0.20040511797900007</v>
      </c>
      <c r="Y172" s="8">
        <f t="shared" si="61"/>
        <v>35.68106702219847</v>
      </c>
      <c r="Z172" s="8">
        <f t="shared" si="62"/>
        <v>69.68575997534857</v>
      </c>
      <c r="AA172" s="4">
        <f t="shared" si="63"/>
        <v>0.022852741426192435</v>
      </c>
      <c r="AB172" s="4"/>
      <c r="AC172" s="1" t="s">
        <v>72</v>
      </c>
      <c r="AF172" s="4">
        <f>1000*AF171/AE171</f>
        <v>327.546062457959</v>
      </c>
      <c r="AJ172" s="3">
        <f t="shared" si="59"/>
        <v>77.44893659180978</v>
      </c>
    </row>
    <row r="173" spans="1:36" ht="13.5">
      <c r="A173" s="1" t="str">
        <f t="shared" si="67"/>
        <v>Manual IV,(2)</v>
      </c>
      <c r="B173" s="1" t="s">
        <v>206</v>
      </c>
      <c r="C173" s="3">
        <f aca="true" t="shared" si="68" ref="C173:F192">C25</f>
        <v>38</v>
      </c>
      <c r="D173" s="3">
        <f t="shared" si="68"/>
        <v>19</v>
      </c>
      <c r="E173" s="3">
        <f t="shared" si="68"/>
        <v>0.722</v>
      </c>
      <c r="F173" s="18">
        <f t="shared" si="68"/>
        <v>0</v>
      </c>
      <c r="G173" s="18">
        <f t="shared" si="58"/>
        <v>1</v>
      </c>
      <c r="H173" s="18">
        <f t="shared" si="58"/>
        <v>0</v>
      </c>
      <c r="I173" s="18">
        <f t="shared" si="58"/>
        <v>0</v>
      </c>
      <c r="J173" s="18"/>
      <c r="K173" s="1" t="s">
        <v>71</v>
      </c>
      <c r="L173" s="1" t="s">
        <v>210</v>
      </c>
      <c r="M173" s="3">
        <v>48.96775620000001</v>
      </c>
      <c r="N173" s="3">
        <v>2.59209556056</v>
      </c>
      <c r="O173" s="4">
        <v>11.486263800000001</v>
      </c>
      <c r="P173" s="4">
        <f>8.8*M173/1000</f>
        <v>0.43091625456000016</v>
      </c>
      <c r="Q173" s="3">
        <v>52.9347424042272</v>
      </c>
      <c r="R173" s="3">
        <v>52.934742404227194</v>
      </c>
      <c r="S173" s="3"/>
      <c r="T173" s="3" t="s">
        <v>71</v>
      </c>
      <c r="U173" s="1" t="s">
        <v>207</v>
      </c>
      <c r="V173" s="8">
        <v>78.91630408648496</v>
      </c>
      <c r="W173" s="4">
        <v>0.4375909061595591</v>
      </c>
      <c r="X173" s="4">
        <v>5.933842241178328</v>
      </c>
      <c r="Y173" s="8">
        <f t="shared" si="61"/>
        <v>36.7057145602608</v>
      </c>
      <c r="Z173" s="8">
        <f t="shared" si="62"/>
        <v>70.3636453191073</v>
      </c>
      <c r="AA173" s="4">
        <f t="shared" si="63"/>
        <v>0.6933034080533532</v>
      </c>
      <c r="AB173" s="4"/>
      <c r="AC173" s="1" t="s">
        <v>150</v>
      </c>
      <c r="AE173" s="15">
        <f>100*AE171/7701.85</f>
        <v>17.76224322727656</v>
      </c>
      <c r="AJ173" s="3">
        <f t="shared" si="59"/>
        <v>75.19158822586759</v>
      </c>
    </row>
    <row r="174" spans="1:36" ht="13.5">
      <c r="A174" s="1" t="str">
        <f t="shared" si="67"/>
        <v>Manual V, (3)</v>
      </c>
      <c r="B174" s="1" t="s">
        <v>206</v>
      </c>
      <c r="C174" s="3">
        <f t="shared" si="68"/>
        <v>93</v>
      </c>
      <c r="D174" s="3">
        <f t="shared" si="68"/>
        <v>19</v>
      </c>
      <c r="E174" s="3">
        <f t="shared" si="68"/>
        <v>1.767</v>
      </c>
      <c r="F174" s="18">
        <f t="shared" si="68"/>
        <v>0</v>
      </c>
      <c r="G174" s="18">
        <f aca="true" t="shared" si="69" ref="G174:I192">G26</f>
        <v>1</v>
      </c>
      <c r="H174" s="18">
        <f t="shared" si="69"/>
        <v>0</v>
      </c>
      <c r="I174" s="18">
        <f t="shared" si="69"/>
        <v>0</v>
      </c>
      <c r="J174" s="18"/>
      <c r="K174" s="1" t="s">
        <v>149</v>
      </c>
      <c r="L174" s="1" t="s">
        <v>194</v>
      </c>
      <c r="M174" s="3">
        <v>452.214</v>
      </c>
      <c r="N174" s="3">
        <v>23.515128</v>
      </c>
      <c r="O174" s="4">
        <v>129.786</v>
      </c>
      <c r="P174" s="4">
        <v>6.7488719999999995</v>
      </c>
      <c r="Q174" s="3">
        <v>52</v>
      </c>
      <c r="R174" s="3">
        <v>52</v>
      </c>
      <c r="S174" s="3"/>
      <c r="T174" s="3" t="s">
        <v>149</v>
      </c>
      <c r="U174" s="1" t="s">
        <v>194</v>
      </c>
      <c r="V174" s="8">
        <v>452.214</v>
      </c>
      <c r="W174" s="4">
        <v>3.5460360809999996</v>
      </c>
      <c r="X174" s="4">
        <v>33.810036081</v>
      </c>
      <c r="Y174" s="8">
        <f t="shared" si="61"/>
        <v>42.57725108419027</v>
      </c>
      <c r="Z174" s="8">
        <f t="shared" si="62"/>
        <v>74.22612210897097</v>
      </c>
      <c r="AA174" s="4">
        <f t="shared" si="63"/>
        <v>3.834512719335894</v>
      </c>
      <c r="AB174" s="4"/>
      <c r="AJ174" s="3">
        <f t="shared" si="59"/>
        <v>74.76556692406692</v>
      </c>
    </row>
    <row r="175" spans="1:36" ht="13.5">
      <c r="A175" s="1" t="str">
        <f t="shared" si="67"/>
        <v>Manual IV,(2)</v>
      </c>
      <c r="B175" s="1" t="s">
        <v>211</v>
      </c>
      <c r="C175" s="3">
        <f t="shared" si="68"/>
        <v>208.9</v>
      </c>
      <c r="D175" s="3">
        <f t="shared" si="68"/>
        <v>18.5</v>
      </c>
      <c r="E175" s="3">
        <f t="shared" si="68"/>
        <v>3.86465</v>
      </c>
      <c r="F175" s="18">
        <f t="shared" si="68"/>
        <v>0</v>
      </c>
      <c r="G175" s="18">
        <f t="shared" si="69"/>
        <v>0</v>
      </c>
      <c r="H175" s="18">
        <f t="shared" si="69"/>
        <v>1</v>
      </c>
      <c r="I175" s="18">
        <f t="shared" si="69"/>
        <v>0</v>
      </c>
      <c r="J175" s="18"/>
      <c r="K175" s="1" t="s">
        <v>205</v>
      </c>
      <c r="M175" s="3">
        <v>126.36</v>
      </c>
      <c r="N175" s="3">
        <v>6.3180000000000005</v>
      </c>
      <c r="O175" s="4">
        <v>29.64</v>
      </c>
      <c r="P175" s="4">
        <v>1.482</v>
      </c>
      <c r="Q175" s="3">
        <v>50</v>
      </c>
      <c r="R175" s="3">
        <v>50</v>
      </c>
      <c r="S175" s="3"/>
      <c r="T175" s="3" t="s">
        <v>205</v>
      </c>
      <c r="V175" s="8">
        <v>126.36</v>
      </c>
      <c r="W175" s="4">
        <v>0.7006662000000001</v>
      </c>
      <c r="X175" s="4">
        <v>8.500666200000001</v>
      </c>
      <c r="Y175" s="8">
        <f t="shared" si="61"/>
        <v>44.21790651538817</v>
      </c>
      <c r="Z175" s="8">
        <f t="shared" si="62"/>
        <v>75.19724280867143</v>
      </c>
      <c r="AA175" s="4">
        <f t="shared" si="63"/>
        <v>1.0275130848256966</v>
      </c>
      <c r="AB175" s="4"/>
      <c r="AC175" s="1" t="s">
        <v>111</v>
      </c>
      <c r="AD175" s="1">
        <f>AE175</f>
        <v>65.37040250768197</v>
      </c>
      <c r="AE175" s="8">
        <f>AH163+((AH164-AH163)*(10-AG163)/(AG164-AG163))</f>
        <v>65.37040250768197</v>
      </c>
      <c r="AF175" s="8" t="s">
        <v>112</v>
      </c>
      <c r="AG175" s="8">
        <f>AH157+((AH158-AH157)*(1-AG157)/(AG158-AG157))</f>
        <v>31.742821012787658</v>
      </c>
      <c r="AH175" s="8"/>
      <c r="AJ175" s="3">
        <f t="shared" si="59"/>
        <v>67.27339506172841</v>
      </c>
    </row>
    <row r="176" spans="1:36" ht="13.5">
      <c r="A176" s="1" t="str">
        <f t="shared" si="67"/>
        <v>Manual VI,(5)</v>
      </c>
      <c r="B176" s="1" t="s">
        <v>206</v>
      </c>
      <c r="C176" s="3">
        <f t="shared" si="68"/>
        <v>45.2</v>
      </c>
      <c r="D176" s="3">
        <f t="shared" si="68"/>
        <v>18.5</v>
      </c>
      <c r="E176" s="3">
        <f t="shared" si="68"/>
        <v>0.8362</v>
      </c>
      <c r="F176" s="18">
        <f t="shared" si="68"/>
        <v>0</v>
      </c>
      <c r="G176" s="18">
        <f t="shared" si="69"/>
        <v>1</v>
      </c>
      <c r="H176" s="18">
        <f t="shared" si="69"/>
        <v>0</v>
      </c>
      <c r="I176" s="18">
        <f t="shared" si="69"/>
        <v>0</v>
      </c>
      <c r="J176" s="18"/>
      <c r="K176" s="1" t="s">
        <v>149</v>
      </c>
      <c r="L176" s="1" t="s">
        <v>207</v>
      </c>
      <c r="M176" s="3">
        <v>68.87446200000001</v>
      </c>
      <c r="N176" s="3">
        <v>3.169639512</v>
      </c>
      <c r="O176" s="4">
        <v>16.155738000000003</v>
      </c>
      <c r="P176" s="4">
        <f>13.115*M176/1000</f>
        <v>0.9032885691300001</v>
      </c>
      <c r="Q176" s="3">
        <v>46.02053388090348</v>
      </c>
      <c r="R176" s="3">
        <v>46.02053388090348</v>
      </c>
      <c r="S176" s="3"/>
      <c r="T176" s="3" t="s">
        <v>151</v>
      </c>
      <c r="U176" s="1" t="s">
        <v>194</v>
      </c>
      <c r="V176" s="8">
        <v>798.756</v>
      </c>
      <c r="W176" s="4">
        <v>6.263445173999999</v>
      </c>
      <c r="X176" s="4">
        <v>53.551445173999994</v>
      </c>
      <c r="Y176" s="8">
        <f t="shared" si="61"/>
        <v>54.58893666418456</v>
      </c>
      <c r="Z176" s="8">
        <f t="shared" si="62"/>
        <v>81.31498883984082</v>
      </c>
      <c r="AA176" s="4">
        <f t="shared" si="63"/>
        <v>5.984643235593792</v>
      </c>
      <c r="AB176" s="4"/>
      <c r="AC176" s="1" t="s">
        <v>115</v>
      </c>
      <c r="AD176" s="8">
        <f aca="true" t="shared" si="70" ref="AD176:AD184">AE176-AE175</f>
        <v>7.851968176936296</v>
      </c>
      <c r="AE176" s="8">
        <f>AH163+((AH164-AH163)*(20-AG163)/(AG164-AG163))</f>
        <v>73.22237068461827</v>
      </c>
      <c r="AF176" s="8" t="s">
        <v>116</v>
      </c>
      <c r="AG176" s="8">
        <f>AH160+((AH161-AH160)*(5-AG160)/(AG161-AG160))</f>
        <v>53.40799274491524</v>
      </c>
      <c r="AH176" s="8" t="s">
        <v>117</v>
      </c>
      <c r="AI176" s="8">
        <f>AF172</f>
        <v>327.546062457959</v>
      </c>
      <c r="AJ176" s="3">
        <f t="shared" si="59"/>
        <v>67.0435592020592</v>
      </c>
    </row>
    <row r="177" spans="1:36" ht="13.5">
      <c r="A177" s="1" t="str">
        <f t="shared" si="67"/>
        <v>Manual IV,(1)</v>
      </c>
      <c r="B177" s="1" t="s">
        <v>206</v>
      </c>
      <c r="C177" s="3">
        <f t="shared" si="68"/>
        <v>2.29</v>
      </c>
      <c r="D177" s="3">
        <f t="shared" si="68"/>
        <v>18</v>
      </c>
      <c r="E177" s="3">
        <f t="shared" si="68"/>
        <v>0.04122</v>
      </c>
      <c r="F177" s="18">
        <f t="shared" si="68"/>
        <v>0</v>
      </c>
      <c r="G177" s="18">
        <f t="shared" si="69"/>
        <v>1</v>
      </c>
      <c r="H177" s="18">
        <f t="shared" si="69"/>
        <v>0</v>
      </c>
      <c r="I177" s="18">
        <f t="shared" si="69"/>
        <v>0</v>
      </c>
      <c r="J177" s="18"/>
      <c r="K177" s="1" t="s">
        <v>151</v>
      </c>
      <c r="L177" s="1" t="s">
        <v>194</v>
      </c>
      <c r="M177" s="3">
        <v>798.756</v>
      </c>
      <c r="N177" s="3">
        <v>36.742776</v>
      </c>
      <c r="O177" s="4">
        <v>229.244</v>
      </c>
      <c r="P177" s="4">
        <v>10.545224</v>
      </c>
      <c r="Q177" s="3">
        <v>46</v>
      </c>
      <c r="R177" s="3">
        <v>46</v>
      </c>
      <c r="S177" s="3"/>
      <c r="T177" s="3" t="s">
        <v>71</v>
      </c>
      <c r="U177" s="1" t="s">
        <v>210</v>
      </c>
      <c r="V177" s="8">
        <v>48.96775620000001</v>
      </c>
      <c r="W177" s="4">
        <v>0.20786812506900007</v>
      </c>
      <c r="X177" s="4">
        <v>3.230879940189</v>
      </c>
      <c r="Y177" s="8">
        <f t="shared" si="61"/>
        <v>55.224732922202165</v>
      </c>
      <c r="Z177" s="8">
        <f t="shared" si="62"/>
        <v>81.68408630989141</v>
      </c>
      <c r="AA177" s="4">
        <f t="shared" si="63"/>
        <v>0.3381508183832386</v>
      </c>
      <c r="AB177" s="4"/>
      <c r="AC177" s="1" t="s">
        <v>289</v>
      </c>
      <c r="AD177" s="8">
        <f t="shared" si="70"/>
        <v>6.891723132081665</v>
      </c>
      <c r="AE177" s="8">
        <f>AH164+((AH165-AH164)*(30-AG164)/(AG165-AG164))</f>
        <v>80.11409381669993</v>
      </c>
      <c r="AF177" s="8"/>
      <c r="AG177" s="8"/>
      <c r="AH177" s="8" t="s">
        <v>290</v>
      </c>
      <c r="AI177" s="8">
        <f>1000*AF167/AE167</f>
        <v>96.52515694193326</v>
      </c>
      <c r="AJ177" s="3">
        <f t="shared" si="59"/>
        <v>65.9797424042272</v>
      </c>
    </row>
    <row r="178" spans="1:36" ht="13.5">
      <c r="A178" s="1" t="str">
        <f t="shared" si="67"/>
        <v>Manual V, (3)</v>
      </c>
      <c r="B178" s="1" t="s">
        <v>211</v>
      </c>
      <c r="C178" s="3">
        <f t="shared" si="68"/>
        <v>143.74</v>
      </c>
      <c r="D178" s="3">
        <f t="shared" si="68"/>
        <v>16.5</v>
      </c>
      <c r="E178" s="3">
        <f t="shared" si="68"/>
        <v>2.37171</v>
      </c>
      <c r="F178" s="18">
        <f t="shared" si="68"/>
        <v>0</v>
      </c>
      <c r="G178" s="18">
        <f t="shared" si="69"/>
        <v>0</v>
      </c>
      <c r="H178" s="18">
        <f t="shared" si="69"/>
        <v>1</v>
      </c>
      <c r="I178" s="18">
        <f t="shared" si="69"/>
        <v>0</v>
      </c>
      <c r="J178" s="18"/>
      <c r="K178" s="1" t="s">
        <v>151</v>
      </c>
      <c r="L178" s="1" t="s">
        <v>207</v>
      </c>
      <c r="M178" s="3">
        <v>121.654548</v>
      </c>
      <c r="N178" s="3">
        <v>4.952614104</v>
      </c>
      <c r="O178" s="4">
        <v>28.536252</v>
      </c>
      <c r="P178" s="4">
        <f>13.115*M178/1000</f>
        <v>1.59549939702</v>
      </c>
      <c r="Q178" s="3">
        <v>40.71047227926078</v>
      </c>
      <c r="R178" s="3">
        <v>40.71047227926078</v>
      </c>
      <c r="S178" s="3"/>
      <c r="T178" s="3" t="s">
        <v>149</v>
      </c>
      <c r="U178" s="1" t="s">
        <v>207</v>
      </c>
      <c r="V178" s="8">
        <v>68.87446200000001</v>
      </c>
      <c r="W178" s="4">
        <v>0.38190889179000004</v>
      </c>
      <c r="X178" s="4">
        <v>4.45483697292</v>
      </c>
      <c r="Y178" s="8">
        <f t="shared" si="61"/>
        <v>56.11899740582937</v>
      </c>
      <c r="Z178" s="8">
        <f t="shared" si="62"/>
        <v>82.19300929267993</v>
      </c>
      <c r="AA178" s="4">
        <f t="shared" si="63"/>
        <v>0.46978722770435616</v>
      </c>
      <c r="AB178" s="4"/>
      <c r="AC178" s="1" t="s">
        <v>293</v>
      </c>
      <c r="AD178" s="8">
        <f t="shared" si="70"/>
        <v>3.55903430448069</v>
      </c>
      <c r="AE178" s="8">
        <f>AH166+((AH167-AH166)*(40-AG166)/(AG167-AG166))</f>
        <v>83.67312812118062</v>
      </c>
      <c r="AF178" s="8" t="s">
        <v>294</v>
      </c>
      <c r="AG178" s="8">
        <f>AE176</f>
        <v>73.22237068461827</v>
      </c>
      <c r="AH178" s="8"/>
      <c r="AI178" s="8"/>
      <c r="AJ178" s="3">
        <f t="shared" si="59"/>
        <v>64.68053388090348</v>
      </c>
    </row>
    <row r="179" spans="1:36" ht="13.5">
      <c r="A179" s="1" t="str">
        <f t="shared" si="67"/>
        <v>Manual V, (4)</v>
      </c>
      <c r="B179" s="1" t="s">
        <v>211</v>
      </c>
      <c r="C179" s="3">
        <f t="shared" si="68"/>
        <v>350.53</v>
      </c>
      <c r="D179" s="3">
        <f t="shared" si="68"/>
        <v>15.5</v>
      </c>
      <c r="E179" s="3">
        <f t="shared" si="68"/>
        <v>5.433214999999999</v>
      </c>
      <c r="F179" s="18">
        <f t="shared" si="68"/>
        <v>0</v>
      </c>
      <c r="G179" s="18">
        <f t="shared" si="69"/>
        <v>0</v>
      </c>
      <c r="H179" s="18">
        <f t="shared" si="69"/>
        <v>1</v>
      </c>
      <c r="I179" s="18">
        <f t="shared" si="69"/>
        <v>0</v>
      </c>
      <c r="J179" s="18"/>
      <c r="K179" s="1" t="s">
        <v>208</v>
      </c>
      <c r="M179" s="3">
        <v>273.78</v>
      </c>
      <c r="N179" s="3">
        <v>10.9512</v>
      </c>
      <c r="O179" s="4">
        <v>64.22</v>
      </c>
      <c r="P179" s="4">
        <v>2.5688</v>
      </c>
      <c r="Q179" s="3">
        <v>40</v>
      </c>
      <c r="R179" s="3">
        <v>40</v>
      </c>
      <c r="S179" s="3"/>
      <c r="T179" s="3" t="s">
        <v>158</v>
      </c>
      <c r="U179" s="1" t="s">
        <v>206</v>
      </c>
      <c r="V179" s="8">
        <v>207.05360000000002</v>
      </c>
      <c r="W179" s="4">
        <v>1.6236108044</v>
      </c>
      <c r="X179" s="4">
        <v>12.8036108044</v>
      </c>
      <c r="Y179" s="8">
        <f t="shared" si="61"/>
        <v>58.807376745723936</v>
      </c>
      <c r="Z179" s="8">
        <f t="shared" si="62"/>
        <v>83.65570070891991</v>
      </c>
      <c r="AA179" s="4">
        <f t="shared" si="63"/>
        <v>1.3689855563843758</v>
      </c>
      <c r="AB179" s="4"/>
      <c r="AC179" s="1" t="s">
        <v>262</v>
      </c>
      <c r="AD179" s="8">
        <f t="shared" si="70"/>
        <v>2.946917845184231</v>
      </c>
      <c r="AE179" s="8">
        <f>AH166+((AH167-AH166)*(50-AG166)/(AG167-AG166))</f>
        <v>86.62004596636486</v>
      </c>
      <c r="AF179" s="8" t="s">
        <v>263</v>
      </c>
      <c r="AG179" s="8">
        <f>SUM(AD177:AD180)</f>
        <v>16.344593126930818</v>
      </c>
      <c r="AH179" s="8" t="s">
        <v>264</v>
      </c>
      <c r="AI179" s="8">
        <f>AD179+AD180</f>
        <v>5.893835690368462</v>
      </c>
      <c r="AJ179" s="3">
        <f t="shared" si="59"/>
        <v>61.83718034557234</v>
      </c>
    </row>
    <row r="180" spans="1:36" ht="13.5">
      <c r="A180" s="1" t="str">
        <f t="shared" si="67"/>
        <v>Manual VI,(5)</v>
      </c>
      <c r="B180" s="1" t="s">
        <v>212</v>
      </c>
      <c r="C180" s="3">
        <f t="shared" si="68"/>
        <v>24.28</v>
      </c>
      <c r="D180" s="3">
        <f t="shared" si="68"/>
        <v>15.5</v>
      </c>
      <c r="E180" s="3">
        <f t="shared" si="68"/>
        <v>0.37634</v>
      </c>
      <c r="F180" s="18">
        <f t="shared" si="68"/>
        <v>0</v>
      </c>
      <c r="G180" s="18">
        <f t="shared" si="69"/>
        <v>0</v>
      </c>
      <c r="H180" s="18">
        <f t="shared" si="69"/>
        <v>0</v>
      </c>
      <c r="I180" s="18">
        <f t="shared" si="69"/>
        <v>1</v>
      </c>
      <c r="J180" s="18"/>
      <c r="K180" s="1" t="s">
        <v>152</v>
      </c>
      <c r="L180" s="1" t="s">
        <v>194</v>
      </c>
      <c r="M180" s="3">
        <v>202.29972</v>
      </c>
      <c r="N180" s="3">
        <v>7.383939780000001</v>
      </c>
      <c r="O180" s="4">
        <v>58.060280000000006</v>
      </c>
      <c r="P180" s="4">
        <v>2.1192002200000006</v>
      </c>
      <c r="Q180" s="3">
        <v>36.5</v>
      </c>
      <c r="R180" s="3">
        <v>36.5</v>
      </c>
      <c r="S180" s="3"/>
      <c r="T180" s="3" t="s">
        <v>151</v>
      </c>
      <c r="U180" s="1" t="s">
        <v>207</v>
      </c>
      <c r="V180" s="8">
        <v>121.654548</v>
      </c>
      <c r="W180" s="4">
        <v>0.6745744686599999</v>
      </c>
      <c r="X180" s="4">
        <v>7.222687969680001</v>
      </c>
      <c r="Y180" s="8">
        <f t="shared" si="61"/>
        <v>60.38693669274931</v>
      </c>
      <c r="Z180" s="8">
        <f t="shared" si="62"/>
        <v>84.48082448508157</v>
      </c>
      <c r="AA180" s="4">
        <f t="shared" si="63"/>
        <v>0.7730715740786677</v>
      </c>
      <c r="AB180" s="4"/>
      <c r="AC180" s="1" t="s">
        <v>267</v>
      </c>
      <c r="AD180" s="8">
        <f t="shared" si="70"/>
        <v>2.946917845184231</v>
      </c>
      <c r="AE180" s="8">
        <f>AH166+((AH167-AH166)*(60-AG166)/(AG167-AG166))</f>
        <v>89.56696381154909</v>
      </c>
      <c r="AF180" s="8" t="s">
        <v>268</v>
      </c>
      <c r="AG180" s="8">
        <f>SUM(AD181:AD184)</f>
        <v>10.433036188450913</v>
      </c>
      <c r="AH180" s="8" t="s">
        <v>269</v>
      </c>
      <c r="AI180" s="8">
        <f>AD183+AD184</f>
        <v>4.539200498082437</v>
      </c>
      <c r="AJ180" s="3">
        <f t="shared" si="59"/>
        <v>59.37047227926078</v>
      </c>
    </row>
    <row r="181" spans="1:36" ht="13.5">
      <c r="A181" s="1" t="str">
        <f t="shared" si="67"/>
        <v>Manual VI,(7)</v>
      </c>
      <c r="B181" s="1" t="s">
        <v>206</v>
      </c>
      <c r="C181" s="3">
        <f t="shared" si="68"/>
        <v>47.3</v>
      </c>
      <c r="D181" s="3">
        <f t="shared" si="68"/>
        <v>14.5</v>
      </c>
      <c r="E181" s="3">
        <f t="shared" si="68"/>
        <v>0.68585</v>
      </c>
      <c r="F181" s="18">
        <f t="shared" si="68"/>
        <v>0</v>
      </c>
      <c r="G181" s="18">
        <f t="shared" si="69"/>
        <v>1</v>
      </c>
      <c r="H181" s="18">
        <f t="shared" si="69"/>
        <v>0</v>
      </c>
      <c r="I181" s="18">
        <f t="shared" si="69"/>
        <v>0</v>
      </c>
      <c r="J181" s="18"/>
      <c r="K181" s="1" t="s">
        <v>149</v>
      </c>
      <c r="L181" s="1" t="s">
        <v>210</v>
      </c>
      <c r="M181" s="3">
        <v>87.63697800000001</v>
      </c>
      <c r="N181" s="3">
        <v>3.1010007600000002</v>
      </c>
      <c r="O181" s="4">
        <v>20.556822000000004</v>
      </c>
      <c r="P181" s="4">
        <f>8.8*M181/1000</f>
        <v>0.7712054064000001</v>
      </c>
      <c r="Q181" s="3">
        <v>35.38461538461537</v>
      </c>
      <c r="R181" s="3">
        <v>35.38461538461539</v>
      </c>
      <c r="S181" s="3"/>
      <c r="T181" s="3" t="s">
        <v>152</v>
      </c>
      <c r="U181" s="1" t="s">
        <v>194</v>
      </c>
      <c r="V181" s="8">
        <v>202.29972</v>
      </c>
      <c r="W181" s="4">
        <v>1.58633325438</v>
      </c>
      <c r="X181" s="4">
        <v>11.089473254380001</v>
      </c>
      <c r="Y181" s="8">
        <f t="shared" si="61"/>
        <v>63.01359176039583</v>
      </c>
      <c r="Z181" s="8">
        <f t="shared" si="62"/>
        <v>85.74769190143807</v>
      </c>
      <c r="AA181" s="4">
        <f t="shared" si="63"/>
        <v>1.230009718128884</v>
      </c>
      <c r="AB181" s="4"/>
      <c r="AC181" s="1" t="s">
        <v>129</v>
      </c>
      <c r="AD181" s="8">
        <f t="shared" si="70"/>
        <v>2.9469178451842453</v>
      </c>
      <c r="AE181" s="8">
        <f>AH166+((AH167-AH166)*(70-AG166)/(AG167-AG166))</f>
        <v>92.51388165673333</v>
      </c>
      <c r="AF181" s="8"/>
      <c r="AG181" s="8">
        <f>SUM(AG178:AG180)</f>
        <v>100</v>
      </c>
      <c r="AH181" s="8" t="s">
        <v>130</v>
      </c>
      <c r="AI181" s="8">
        <f>AG178/AI179</f>
        <v>12.423551407155136</v>
      </c>
      <c r="AJ181" s="3">
        <f t="shared" si="59"/>
        <v>54.81704697554698</v>
      </c>
    </row>
    <row r="182" spans="1:36" ht="13.5">
      <c r="A182" s="1" t="str">
        <f t="shared" si="67"/>
        <v>Manual VI,(7)</v>
      </c>
      <c r="B182" s="1" t="s">
        <v>212</v>
      </c>
      <c r="C182" s="3">
        <f t="shared" si="68"/>
        <v>25.14</v>
      </c>
      <c r="D182" s="3">
        <f t="shared" si="68"/>
        <v>14.5</v>
      </c>
      <c r="E182" s="3">
        <f t="shared" si="68"/>
        <v>0.36453</v>
      </c>
      <c r="F182" s="18">
        <f t="shared" si="68"/>
        <v>0</v>
      </c>
      <c r="G182" s="18">
        <f t="shared" si="69"/>
        <v>0</v>
      </c>
      <c r="H182" s="18">
        <f t="shared" si="69"/>
        <v>0</v>
      </c>
      <c r="I182" s="18">
        <f t="shared" si="69"/>
        <v>1</v>
      </c>
      <c r="J182" s="18"/>
      <c r="K182" s="1" t="s">
        <v>153</v>
      </c>
      <c r="L182" s="1" t="s">
        <v>194</v>
      </c>
      <c r="M182" s="3">
        <v>892.3845</v>
      </c>
      <c r="N182" s="3">
        <v>29.448688500000003</v>
      </c>
      <c r="O182" s="4">
        <v>256.1155</v>
      </c>
      <c r="P182" s="4">
        <v>8.4518115</v>
      </c>
      <c r="Q182" s="3">
        <v>33</v>
      </c>
      <c r="R182" s="3">
        <v>33</v>
      </c>
      <c r="S182" s="3"/>
      <c r="T182" s="3" t="s">
        <v>208</v>
      </c>
      <c r="V182" s="8">
        <v>273.78</v>
      </c>
      <c r="W182" s="4">
        <v>1.1621961</v>
      </c>
      <c r="X182" s="4">
        <v>14.682196099999999</v>
      </c>
      <c r="Y182" s="8">
        <f t="shared" si="61"/>
        <v>66.56834519465795</v>
      </c>
      <c r="Z182" s="8">
        <f t="shared" si="62"/>
        <v>87.42499391686968</v>
      </c>
      <c r="AA182" s="4">
        <f t="shared" si="63"/>
        <v>1.5495436422370954</v>
      </c>
      <c r="AB182" s="4"/>
      <c r="AC182" s="1" t="s">
        <v>132</v>
      </c>
      <c r="AD182" s="8">
        <f t="shared" si="70"/>
        <v>2.946917845184231</v>
      </c>
      <c r="AE182" s="8">
        <f>AH166+((AH167-AH166)*(80-AG166)/(AG167-AG166))</f>
        <v>95.46079950191756</v>
      </c>
      <c r="AF182" s="8"/>
      <c r="AH182" s="8" t="s">
        <v>133</v>
      </c>
      <c r="AI182" s="8">
        <f>AI179/AI180</f>
        <v>1.2984303497627576</v>
      </c>
      <c r="AJ182" s="3">
        <f t="shared" si="59"/>
        <v>53.62771604938272</v>
      </c>
    </row>
    <row r="183" spans="1:36" ht="13.5">
      <c r="A183" s="1" t="str">
        <f t="shared" si="67"/>
        <v>Manual IV,(1)</v>
      </c>
      <c r="B183" s="1" t="s">
        <v>212</v>
      </c>
      <c r="C183" s="3">
        <f t="shared" si="68"/>
        <v>1.8</v>
      </c>
      <c r="D183" s="3">
        <f t="shared" si="68"/>
        <v>13.5</v>
      </c>
      <c r="E183" s="3">
        <f t="shared" si="68"/>
        <v>0.024300000000000002</v>
      </c>
      <c r="F183" s="18">
        <f t="shared" si="68"/>
        <v>0</v>
      </c>
      <c r="G183" s="18">
        <f t="shared" si="69"/>
        <v>0</v>
      </c>
      <c r="H183" s="18">
        <f t="shared" si="69"/>
        <v>0</v>
      </c>
      <c r="I183" s="18">
        <f t="shared" si="69"/>
        <v>1</v>
      </c>
      <c r="J183" s="18"/>
      <c r="K183" s="1" t="s">
        <v>151</v>
      </c>
      <c r="L183" s="1" t="s">
        <v>204</v>
      </c>
      <c r="M183" s="3">
        <v>321.39608</v>
      </c>
      <c r="N183" s="3">
        <v>10.4453726</v>
      </c>
      <c r="O183" s="4">
        <v>372.76392</v>
      </c>
      <c r="P183" s="4">
        <v>12.114827400000001</v>
      </c>
      <c r="Q183" s="3">
        <v>32.5</v>
      </c>
      <c r="R183" s="3">
        <v>32.5</v>
      </c>
      <c r="S183" s="3"/>
      <c r="T183" s="3" t="s">
        <v>151</v>
      </c>
      <c r="U183" s="1" t="s">
        <v>206</v>
      </c>
      <c r="V183" s="8">
        <v>137.048</v>
      </c>
      <c r="W183" s="4">
        <v>1.074661892</v>
      </c>
      <c r="X183" s="4">
        <v>7.290661892000001</v>
      </c>
      <c r="Y183" s="8">
        <f t="shared" si="61"/>
        <v>68.34777338027689</v>
      </c>
      <c r="Z183" s="8">
        <f t="shared" si="62"/>
        <v>88.2578830706443</v>
      </c>
      <c r="AA183" s="4">
        <f t="shared" si="63"/>
        <v>0.7254151895566134</v>
      </c>
      <c r="AB183" s="4"/>
      <c r="AC183" s="1" t="s">
        <v>136</v>
      </c>
      <c r="AD183" s="8">
        <f t="shared" si="70"/>
        <v>2.8744970760235447</v>
      </c>
      <c r="AE183" s="8">
        <f>AH167+((AH168-AH167)*(90-AG167)/(AG168-AG167))</f>
        <v>98.33529657794111</v>
      </c>
      <c r="AF183" s="8"/>
      <c r="AH183" s="8"/>
      <c r="AJ183" s="3">
        <f t="shared" si="59"/>
        <v>53.19787149028078</v>
      </c>
    </row>
    <row r="184" spans="1:36" ht="13.5">
      <c r="A184" s="1" t="str">
        <f t="shared" si="67"/>
        <v>Manual IV,(2)</v>
      </c>
      <c r="B184" s="1" t="s">
        <v>212</v>
      </c>
      <c r="C184" s="3">
        <f t="shared" si="68"/>
        <v>20.7</v>
      </c>
      <c r="D184" s="3">
        <f t="shared" si="68"/>
        <v>13.5</v>
      </c>
      <c r="E184" s="3">
        <f t="shared" si="68"/>
        <v>0.27945</v>
      </c>
      <c r="F184" s="18">
        <f t="shared" si="68"/>
        <v>0</v>
      </c>
      <c r="G184" s="18">
        <f t="shared" si="69"/>
        <v>0</v>
      </c>
      <c r="H184" s="18">
        <f t="shared" si="69"/>
        <v>0</v>
      </c>
      <c r="I184" s="18">
        <f t="shared" si="69"/>
        <v>1</v>
      </c>
      <c r="J184" s="18"/>
      <c r="K184" s="1" t="s">
        <v>151</v>
      </c>
      <c r="L184" s="1" t="s">
        <v>210</v>
      </c>
      <c r="M184" s="3">
        <v>154.79521200000002</v>
      </c>
      <c r="N184" s="3">
        <v>4.84536492</v>
      </c>
      <c r="O184" s="4">
        <v>36.309988</v>
      </c>
      <c r="P184" s="4">
        <f>8.8*M184/1000</f>
        <v>1.3621978656000004</v>
      </c>
      <c r="Q184" s="3">
        <v>31.301775147928993</v>
      </c>
      <c r="R184" s="3">
        <v>31.30177514792899</v>
      </c>
      <c r="S184" s="3"/>
      <c r="T184" s="3" t="s">
        <v>153</v>
      </c>
      <c r="U184" s="1" t="s">
        <v>194</v>
      </c>
      <c r="V184" s="8">
        <v>892.3845</v>
      </c>
      <c r="W184" s="4">
        <v>6.99763305675</v>
      </c>
      <c r="X184" s="4">
        <v>44.89813305675</v>
      </c>
      <c r="Y184" s="8">
        <f t="shared" si="61"/>
        <v>79.93447389184561</v>
      </c>
      <c r="Z184" s="8">
        <f t="shared" si="62"/>
        <v>93.38707005005016</v>
      </c>
      <c r="AA184" s="4">
        <f t="shared" si="63"/>
        <v>3.865636809229654</v>
      </c>
      <c r="AB184" s="4"/>
      <c r="AC184" s="1" t="s">
        <v>139</v>
      </c>
      <c r="AD184" s="8">
        <f t="shared" si="70"/>
        <v>1.664703422058892</v>
      </c>
      <c r="AE184" s="8">
        <v>100</v>
      </c>
      <c r="AF184" s="8"/>
      <c r="AH184" s="8"/>
      <c r="AJ184" s="3">
        <f t="shared" si="59"/>
        <v>50.31254247104247</v>
      </c>
    </row>
    <row r="185" spans="1:36" ht="13.5">
      <c r="A185" s="1" t="str">
        <f t="shared" si="67"/>
        <v>Manual V, (3)</v>
      </c>
      <c r="B185" s="1" t="s">
        <v>212</v>
      </c>
      <c r="C185" s="3">
        <f t="shared" si="68"/>
        <v>57.78</v>
      </c>
      <c r="D185" s="3">
        <f t="shared" si="68"/>
        <v>13.5</v>
      </c>
      <c r="E185" s="3">
        <f t="shared" si="68"/>
        <v>0.78003</v>
      </c>
      <c r="F185" s="18">
        <f t="shared" si="68"/>
        <v>0</v>
      </c>
      <c r="G185" s="18">
        <f t="shared" si="69"/>
        <v>0</v>
      </c>
      <c r="H185" s="18">
        <f t="shared" si="69"/>
        <v>0</v>
      </c>
      <c r="I185" s="18">
        <f t="shared" si="69"/>
        <v>1</v>
      </c>
      <c r="J185" s="18"/>
      <c r="K185" s="1" t="s">
        <v>152</v>
      </c>
      <c r="L185" s="1" t="s">
        <v>207</v>
      </c>
      <c r="M185" s="3">
        <v>31.675918320000005</v>
      </c>
      <c r="N185" s="3">
        <v>0.9529558729200002</v>
      </c>
      <c r="O185" s="4">
        <v>7.430153680000001</v>
      </c>
      <c r="P185" s="4">
        <f>13.115*M185/1000</f>
        <v>0.4154296687668001</v>
      </c>
      <c r="Q185" s="3">
        <v>30.084553928095872</v>
      </c>
      <c r="R185" s="3">
        <v>30.084553928095872</v>
      </c>
      <c r="S185" s="3"/>
      <c r="T185" s="3" t="s">
        <v>71</v>
      </c>
      <c r="U185" s="1" t="s">
        <v>206</v>
      </c>
      <c r="V185" s="8">
        <v>17.594</v>
      </c>
      <c r="W185" s="4">
        <v>0.137963351</v>
      </c>
      <c r="X185" s="4">
        <v>0.859963351</v>
      </c>
      <c r="Y185" s="8">
        <f t="shared" si="61"/>
        <v>80.16291399675616</v>
      </c>
      <c r="Z185" s="8">
        <f t="shared" si="62"/>
        <v>93.48531272791696</v>
      </c>
      <c r="AA185" s="4">
        <f t="shared" si="63"/>
        <v>0.06116482641505977</v>
      </c>
      <c r="AB185" s="4"/>
      <c r="AJ185" s="3">
        <f t="shared" si="59"/>
        <v>48.87821706263499</v>
      </c>
    </row>
    <row r="186" spans="1:36" ht="13.5">
      <c r="A186" s="1" t="str">
        <f t="shared" si="67"/>
        <v>Manual VI,(5)</v>
      </c>
      <c r="B186" s="1" t="s">
        <v>211</v>
      </c>
      <c r="C186" s="3">
        <f t="shared" si="68"/>
        <v>89.7</v>
      </c>
      <c r="D186" s="3">
        <f t="shared" si="68"/>
        <v>13.5</v>
      </c>
      <c r="E186" s="3">
        <f t="shared" si="68"/>
        <v>1.21095</v>
      </c>
      <c r="F186" s="18">
        <f t="shared" si="68"/>
        <v>0</v>
      </c>
      <c r="G186" s="18">
        <f t="shared" si="69"/>
        <v>0</v>
      </c>
      <c r="H186" s="18">
        <f t="shared" si="69"/>
        <v>1</v>
      </c>
      <c r="I186" s="18">
        <f t="shared" si="69"/>
        <v>0</v>
      </c>
      <c r="J186" s="18"/>
      <c r="K186" s="1" t="s">
        <v>154</v>
      </c>
      <c r="L186" s="1" t="s">
        <v>200</v>
      </c>
      <c r="M186" s="3">
        <v>57.031800000000004</v>
      </c>
      <c r="N186" s="3">
        <v>1.710954</v>
      </c>
      <c r="O186" s="4">
        <v>16.3682</v>
      </c>
      <c r="P186" s="4">
        <v>0.491046</v>
      </c>
      <c r="Q186" s="3">
        <v>30</v>
      </c>
      <c r="R186" s="3">
        <v>30</v>
      </c>
      <c r="S186" s="3"/>
      <c r="T186" s="3" t="s">
        <v>149</v>
      </c>
      <c r="U186" s="1" t="s">
        <v>206</v>
      </c>
      <c r="V186" s="8">
        <v>43.059000000000005</v>
      </c>
      <c r="W186" s="4">
        <v>0.3376471485</v>
      </c>
      <c r="X186" s="4">
        <v>2.1046471485</v>
      </c>
      <c r="Y186" s="8">
        <f t="shared" si="61"/>
        <v>80.72199109561616</v>
      </c>
      <c r="Z186" s="8">
        <f t="shared" si="62"/>
        <v>93.72574875532784</v>
      </c>
      <c r="AA186" s="4">
        <f t="shared" si="63"/>
        <v>0.1471835113914367</v>
      </c>
      <c r="AB186" s="4"/>
      <c r="AJ186" s="3">
        <f t="shared" si="59"/>
        <v>48.87821706263498</v>
      </c>
    </row>
    <row r="187" spans="1:36" ht="13.5">
      <c r="A187" s="1" t="str">
        <f t="shared" si="67"/>
        <v>Manual V, (4)</v>
      </c>
      <c r="B187" s="1" t="s">
        <v>212</v>
      </c>
      <c r="C187" s="3">
        <f t="shared" si="68"/>
        <v>187.56</v>
      </c>
      <c r="D187" s="3">
        <f t="shared" si="68"/>
        <v>12.5</v>
      </c>
      <c r="E187" s="3">
        <f t="shared" si="68"/>
        <v>2.3445</v>
      </c>
      <c r="F187" s="18">
        <f t="shared" si="68"/>
        <v>0</v>
      </c>
      <c r="G187" s="18">
        <f t="shared" si="69"/>
        <v>0</v>
      </c>
      <c r="H187" s="18">
        <f t="shared" si="69"/>
        <v>0</v>
      </c>
      <c r="I187" s="18">
        <f t="shared" si="69"/>
        <v>1</v>
      </c>
      <c r="J187" s="18"/>
      <c r="K187" s="1" t="s">
        <v>151</v>
      </c>
      <c r="L187" s="1" t="s">
        <v>213</v>
      </c>
      <c r="M187" s="3">
        <v>43.507796903999996</v>
      </c>
      <c r="N187" s="3">
        <v>1.25140752594</v>
      </c>
      <c r="O187" s="4">
        <v>57.908979095999996</v>
      </c>
      <c r="P187" s="4">
        <f>13.115*M187/1000</f>
        <v>0.57060475639596</v>
      </c>
      <c r="Q187" s="3">
        <v>28.762833675564682</v>
      </c>
      <c r="R187" s="3">
        <v>28.762833675564682</v>
      </c>
      <c r="S187" s="3"/>
      <c r="T187" s="3" t="s">
        <v>152</v>
      </c>
      <c r="U187" s="1" t="s">
        <v>207</v>
      </c>
      <c r="V187" s="8">
        <v>31.675918320000005</v>
      </c>
      <c r="W187" s="4">
        <v>0.17564296708440003</v>
      </c>
      <c r="X187" s="4">
        <v>1.5440285087712002</v>
      </c>
      <c r="Y187" s="8">
        <f t="shared" si="61"/>
        <v>81.13327051497268</v>
      </c>
      <c r="Z187" s="8">
        <f t="shared" si="62"/>
        <v>93.90213940642708</v>
      </c>
      <c r="AA187" s="4">
        <f t="shared" si="63"/>
        <v>0.10599750883255962</v>
      </c>
      <c r="AB187" s="4"/>
      <c r="AJ187" s="3">
        <f aca="true" t="shared" si="71" ref="AJ187:AJ220">1000*X187/V187</f>
        <v>48.744553928095876</v>
      </c>
    </row>
    <row r="188" spans="1:36" ht="13.5">
      <c r="A188" s="1" t="str">
        <f t="shared" si="67"/>
        <v>Manual VI,(7)</v>
      </c>
      <c r="B188" s="1" t="s">
        <v>211</v>
      </c>
      <c r="C188" s="3">
        <f t="shared" si="68"/>
        <v>22.28</v>
      </c>
      <c r="D188" s="3">
        <f t="shared" si="68"/>
        <v>12.5</v>
      </c>
      <c r="E188" s="3">
        <f t="shared" si="68"/>
        <v>0.2785</v>
      </c>
      <c r="F188" s="18">
        <f t="shared" si="68"/>
        <v>0</v>
      </c>
      <c r="G188" s="18">
        <f t="shared" si="69"/>
        <v>0</v>
      </c>
      <c r="H188" s="18">
        <f t="shared" si="69"/>
        <v>1</v>
      </c>
      <c r="I188" s="18">
        <f t="shared" si="69"/>
        <v>0</v>
      </c>
      <c r="J188" s="18"/>
      <c r="K188" s="1" t="s">
        <v>153</v>
      </c>
      <c r="L188" s="1" t="s">
        <v>207</v>
      </c>
      <c r="M188" s="3">
        <v>139.72880700000002</v>
      </c>
      <c r="N188" s="3">
        <v>3.800586339</v>
      </c>
      <c r="O188" s="4">
        <v>32.775893</v>
      </c>
      <c r="P188" s="4">
        <f>13.115*M188/1000</f>
        <v>1.8325433038050003</v>
      </c>
      <c r="Q188" s="3">
        <v>27.199733688415442</v>
      </c>
      <c r="R188" s="3">
        <v>27.199733688415442</v>
      </c>
      <c r="S188" s="3"/>
      <c r="T188" s="3" t="s">
        <v>149</v>
      </c>
      <c r="U188" s="1" t="s">
        <v>210</v>
      </c>
      <c r="V188" s="8">
        <v>87.63697800000001</v>
      </c>
      <c r="W188" s="4">
        <v>0.37201897161</v>
      </c>
      <c r="X188" s="4">
        <v>4.24422513801</v>
      </c>
      <c r="Y188" s="8">
        <f aca="true" t="shared" si="72" ref="Y188:Y220">(100*V188/7701.8)+Y187</f>
        <v>82.27114708927998</v>
      </c>
      <c r="Z188" s="8">
        <f aca="true" t="shared" si="73" ref="Z188:Z220">(100*X188/875.346)+Z187</f>
        <v>94.38700197939937</v>
      </c>
      <c r="AA188" s="4">
        <f aca="true" t="shared" si="74" ref="AA188:AA220">(Y188-Y187)*(Z188-Y188+Z187-Y187)/100</f>
        <v>0.2831574424916057</v>
      </c>
      <c r="AB188" s="4"/>
      <c r="AJ188" s="3">
        <f t="shared" si="71"/>
        <v>48.429615384615374</v>
      </c>
    </row>
    <row r="189" spans="1:36" ht="13.5">
      <c r="A189" s="1" t="str">
        <f t="shared" si="67"/>
        <v>Manual VI,(8)</v>
      </c>
      <c r="B189" s="1" t="s">
        <v>212</v>
      </c>
      <c r="C189" s="3">
        <f t="shared" si="68"/>
        <v>97.34</v>
      </c>
      <c r="D189" s="3">
        <f t="shared" si="68"/>
        <v>10.5</v>
      </c>
      <c r="E189" s="3">
        <f t="shared" si="68"/>
        <v>1.02207</v>
      </c>
      <c r="F189" s="18">
        <f t="shared" si="68"/>
        <v>0</v>
      </c>
      <c r="G189" s="18">
        <f t="shared" si="69"/>
        <v>0</v>
      </c>
      <c r="H189" s="18">
        <f t="shared" si="69"/>
        <v>0</v>
      </c>
      <c r="I189" s="18">
        <f t="shared" si="69"/>
        <v>1</v>
      </c>
      <c r="J189" s="18"/>
      <c r="K189" s="1" t="s">
        <v>158</v>
      </c>
      <c r="L189" s="1" t="s">
        <v>206</v>
      </c>
      <c r="M189" s="3">
        <v>207.05360000000002</v>
      </c>
      <c r="N189" s="3">
        <v>5.17634</v>
      </c>
      <c r="O189" s="4">
        <v>240.1464</v>
      </c>
      <c r="P189" s="4">
        <v>6.00366</v>
      </c>
      <c r="Q189" s="3">
        <v>25</v>
      </c>
      <c r="R189" s="3">
        <v>25</v>
      </c>
      <c r="S189" s="3"/>
      <c r="T189" s="3" t="s">
        <v>152</v>
      </c>
      <c r="U189" s="1" t="s">
        <v>206</v>
      </c>
      <c r="V189" s="8">
        <v>20.9276</v>
      </c>
      <c r="W189" s="4">
        <v>0.1641037754</v>
      </c>
      <c r="X189" s="4">
        <v>1.0003037754000002</v>
      </c>
      <c r="Y189" s="8">
        <f t="shared" si="72"/>
        <v>82.54287058248936</v>
      </c>
      <c r="Z189" s="8">
        <f t="shared" si="73"/>
        <v>94.50127722317725</v>
      </c>
      <c r="AA189" s="4">
        <f t="shared" si="74"/>
        <v>0.06541542439587125</v>
      </c>
      <c r="AB189" s="4"/>
      <c r="AJ189" s="3">
        <f t="shared" si="71"/>
        <v>47.79830345572355</v>
      </c>
    </row>
    <row r="190" spans="1:36" ht="13.5">
      <c r="A190" s="1" t="str">
        <f t="shared" si="67"/>
        <v>Manual VI,(6)</v>
      </c>
      <c r="B190" s="1" t="s">
        <v>206</v>
      </c>
      <c r="C190" s="3">
        <f t="shared" si="68"/>
        <v>127</v>
      </c>
      <c r="D190" s="3">
        <f t="shared" si="68"/>
        <v>9.5</v>
      </c>
      <c r="E190" s="3">
        <f t="shared" si="68"/>
        <v>1.2065</v>
      </c>
      <c r="F190" s="18">
        <f t="shared" si="68"/>
        <v>0</v>
      </c>
      <c r="G190" s="18">
        <f t="shared" si="69"/>
        <v>1</v>
      </c>
      <c r="H190" s="18">
        <f t="shared" si="69"/>
        <v>0</v>
      </c>
      <c r="I190" s="18">
        <f t="shared" si="69"/>
        <v>0</v>
      </c>
      <c r="J190" s="18"/>
      <c r="K190" s="1" t="s">
        <v>154</v>
      </c>
      <c r="L190" s="1" t="s">
        <v>214</v>
      </c>
      <c r="M190" s="3">
        <v>8.9299908</v>
      </c>
      <c r="N190" s="3">
        <v>0.220812156</v>
      </c>
      <c r="O190" s="4">
        <v>2.0946892</v>
      </c>
      <c r="P190" s="4">
        <f>13.115*M190/1000</f>
        <v>0.117116829342</v>
      </c>
      <c r="Q190" s="3">
        <v>24.727030625832228</v>
      </c>
      <c r="R190" s="3">
        <v>24.727030625832224</v>
      </c>
      <c r="S190" s="3"/>
      <c r="T190" s="3" t="s">
        <v>151</v>
      </c>
      <c r="U190" s="1" t="s">
        <v>213</v>
      </c>
      <c r="V190" s="8">
        <v>43.507796903999996</v>
      </c>
      <c r="W190" s="4">
        <v>0.24125073383267998</v>
      </c>
      <c r="X190" s="4">
        <v>2.06326301616864</v>
      </c>
      <c r="Y190" s="8">
        <f t="shared" si="72"/>
        <v>83.10777485037478</v>
      </c>
      <c r="Z190" s="8">
        <f t="shared" si="73"/>
        <v>94.73698550495025</v>
      </c>
      <c r="AA190" s="4">
        <f t="shared" si="74"/>
        <v>0.13324745679342329</v>
      </c>
      <c r="AB190" s="4"/>
      <c r="AJ190" s="3">
        <f t="shared" si="71"/>
        <v>47.42283367556468</v>
      </c>
    </row>
    <row r="191" spans="1:36" ht="13.5">
      <c r="A191" s="1" t="str">
        <f t="shared" si="67"/>
        <v>Manual VI,(6)</v>
      </c>
      <c r="B191" s="1" t="s">
        <v>211</v>
      </c>
      <c r="C191" s="3">
        <f t="shared" si="68"/>
        <v>364.7</v>
      </c>
      <c r="D191" s="3">
        <f t="shared" si="68"/>
        <v>8</v>
      </c>
      <c r="E191" s="3">
        <f t="shared" si="68"/>
        <v>2.9175999999999997</v>
      </c>
      <c r="F191" s="18">
        <f t="shared" si="68"/>
        <v>0</v>
      </c>
      <c r="G191" s="18">
        <f t="shared" si="69"/>
        <v>0</v>
      </c>
      <c r="H191" s="18">
        <f t="shared" si="69"/>
        <v>1</v>
      </c>
      <c r="I191" s="18">
        <f t="shared" si="69"/>
        <v>0</v>
      </c>
      <c r="J191" s="18"/>
      <c r="K191" s="1" t="s">
        <v>151</v>
      </c>
      <c r="L191" s="1" t="s">
        <v>215</v>
      </c>
      <c r="M191" s="3">
        <v>55.360023575999996</v>
      </c>
      <c r="N191" s="3">
        <v>1.2243082137</v>
      </c>
      <c r="O191" s="4">
        <v>73.68432042399999</v>
      </c>
      <c r="P191" s="4">
        <f>8.8*M191/1000</f>
        <v>0.4871682074688</v>
      </c>
      <c r="Q191" s="3">
        <v>22.115384615384617</v>
      </c>
      <c r="R191" s="3">
        <v>22.11538461538462</v>
      </c>
      <c r="S191" s="3"/>
      <c r="T191" s="3" t="s">
        <v>68</v>
      </c>
      <c r="U191" s="1" t="s">
        <v>206</v>
      </c>
      <c r="V191" s="8">
        <v>1.06027</v>
      </c>
      <c r="W191" s="4">
        <v>0.008314107204999999</v>
      </c>
      <c r="X191" s="4">
        <v>0.049534107205000004</v>
      </c>
      <c r="Y191" s="8">
        <f t="shared" si="72"/>
        <v>83.12154137248649</v>
      </c>
      <c r="Z191" s="8">
        <f t="shared" si="73"/>
        <v>94.74264430812123</v>
      </c>
      <c r="AA191" s="4">
        <f t="shared" si="74"/>
        <v>0.0032007595614379535</v>
      </c>
      <c r="AB191" s="4"/>
      <c r="AJ191" s="3">
        <f t="shared" si="71"/>
        <v>46.718389848812095</v>
      </c>
    </row>
    <row r="192" spans="1:36" ht="13.5">
      <c r="A192" s="1" t="str">
        <f t="shared" si="67"/>
        <v>Manual VI,(6)</v>
      </c>
      <c r="B192" s="1" t="s">
        <v>212</v>
      </c>
      <c r="C192" s="3">
        <f t="shared" si="68"/>
        <v>36.1</v>
      </c>
      <c r="D192" s="3">
        <f t="shared" si="68"/>
        <v>8</v>
      </c>
      <c r="E192" s="3">
        <f t="shared" si="68"/>
        <v>0.2888</v>
      </c>
      <c r="F192" s="18">
        <f t="shared" si="68"/>
        <v>0</v>
      </c>
      <c r="G192" s="18">
        <f t="shared" si="69"/>
        <v>0</v>
      </c>
      <c r="H192" s="18">
        <f t="shared" si="69"/>
        <v>0</v>
      </c>
      <c r="I192" s="18">
        <f t="shared" si="69"/>
        <v>1</v>
      </c>
      <c r="J192" s="18"/>
      <c r="K192" s="1" t="s">
        <v>152</v>
      </c>
      <c r="L192" s="1" t="s">
        <v>210</v>
      </c>
      <c r="M192" s="3">
        <v>93.38280048000001</v>
      </c>
      <c r="N192" s="3">
        <v>1.9859661972000007</v>
      </c>
      <c r="O192" s="4">
        <v>21.904607520000003</v>
      </c>
      <c r="P192" s="4">
        <f>8.8*M192/1000</f>
        <v>0.8217686442240002</v>
      </c>
      <c r="Q192" s="3">
        <v>21.2669376693767</v>
      </c>
      <c r="R192" s="3">
        <v>21.266937669376695</v>
      </c>
      <c r="S192" s="3"/>
      <c r="T192" s="3" t="s">
        <v>154</v>
      </c>
      <c r="U192" s="1" t="s">
        <v>200</v>
      </c>
      <c r="V192" s="8">
        <v>57.031800000000004</v>
      </c>
      <c r="W192" s="4">
        <v>0.4472148597</v>
      </c>
      <c r="X192" s="4">
        <v>2.6492148597</v>
      </c>
      <c r="Y192" s="8">
        <f t="shared" si="72"/>
        <v>83.86204099595113</v>
      </c>
      <c r="Z192" s="8">
        <f t="shared" si="73"/>
        <v>95.04529204509609</v>
      </c>
      <c r="AA192" s="4">
        <f t="shared" si="74"/>
        <v>0.16886615539083802</v>
      </c>
      <c r="AB192" s="4"/>
      <c r="AJ192" s="3">
        <f t="shared" si="71"/>
        <v>46.451538610038604</v>
      </c>
    </row>
    <row r="193" spans="1:36" ht="13.5">
      <c r="A193" s="1" t="s">
        <v>188</v>
      </c>
      <c r="C193" s="3">
        <f aca="true" t="shared" si="75" ref="C193:I202">C56</f>
        <v>0.6</v>
      </c>
      <c r="D193" s="3">
        <f t="shared" si="75"/>
        <v>16780</v>
      </c>
      <c r="E193" s="3">
        <f t="shared" si="75"/>
        <v>10.068</v>
      </c>
      <c r="F193" s="18">
        <f t="shared" si="75"/>
        <v>1</v>
      </c>
      <c r="G193" s="18">
        <f t="shared" si="75"/>
        <v>0</v>
      </c>
      <c r="H193" s="18">
        <f t="shared" si="75"/>
        <v>0</v>
      </c>
      <c r="I193" s="18">
        <f t="shared" si="75"/>
        <v>0</v>
      </c>
      <c r="J193" s="18"/>
      <c r="K193" s="1" t="s">
        <v>151</v>
      </c>
      <c r="L193" s="1" t="s">
        <v>206</v>
      </c>
      <c r="M193" s="3">
        <v>137.048</v>
      </c>
      <c r="N193" s="3">
        <v>2.8780080000000003</v>
      </c>
      <c r="O193" s="4">
        <v>158.952</v>
      </c>
      <c r="P193" s="4">
        <v>3.3379920000000003</v>
      </c>
      <c r="Q193" s="3">
        <v>21</v>
      </c>
      <c r="R193" s="3">
        <v>21</v>
      </c>
      <c r="S193" s="3"/>
      <c r="T193" s="3" t="s">
        <v>153</v>
      </c>
      <c r="U193" s="1" t="s">
        <v>207</v>
      </c>
      <c r="V193" s="8">
        <v>139.72880700000002</v>
      </c>
      <c r="W193" s="4">
        <v>0.774796234815</v>
      </c>
      <c r="X193" s="4">
        <v>6.40792587762</v>
      </c>
      <c r="Y193" s="8">
        <f t="shared" si="72"/>
        <v>85.67627672006758</v>
      </c>
      <c r="Z193" s="8">
        <f t="shared" si="73"/>
        <v>95.77733695963502</v>
      </c>
      <c r="AA193" s="4">
        <f t="shared" si="74"/>
        <v>0.38614757903196933</v>
      </c>
      <c r="AB193" s="4"/>
      <c r="AJ193" s="3">
        <f t="shared" si="71"/>
        <v>45.859733688415446</v>
      </c>
    </row>
    <row r="194" spans="1:36" ht="13.5">
      <c r="A194" s="1" t="s">
        <v>193</v>
      </c>
      <c r="C194" s="3">
        <f t="shared" si="75"/>
        <v>4.1</v>
      </c>
      <c r="D194" s="3">
        <f t="shared" si="75"/>
        <v>2074.390243902439</v>
      </c>
      <c r="E194" s="3">
        <f t="shared" si="75"/>
        <v>8.505</v>
      </c>
      <c r="F194" s="18">
        <f t="shared" si="75"/>
        <v>1</v>
      </c>
      <c r="G194" s="18">
        <f t="shared" si="75"/>
        <v>0</v>
      </c>
      <c r="H194" s="18">
        <f t="shared" si="75"/>
        <v>0</v>
      </c>
      <c r="I194" s="18">
        <f t="shared" si="75"/>
        <v>0</v>
      </c>
      <c r="J194" s="18"/>
      <c r="K194" s="1" t="s">
        <v>158</v>
      </c>
      <c r="L194" s="1" t="s">
        <v>216</v>
      </c>
      <c r="M194" s="3">
        <v>28.815689759999998</v>
      </c>
      <c r="N194" s="3">
        <v>0.593772036</v>
      </c>
      <c r="O194" s="4">
        <v>38.35375024</v>
      </c>
      <c r="P194" s="4">
        <f>13.115*M194/1000</f>
        <v>0.3779177712024</v>
      </c>
      <c r="Q194" s="3">
        <v>20.60585885486018</v>
      </c>
      <c r="R194" s="3">
        <v>20.605858854860188</v>
      </c>
      <c r="S194" s="3"/>
      <c r="T194" s="3" t="s">
        <v>151</v>
      </c>
      <c r="U194" s="1" t="s">
        <v>210</v>
      </c>
      <c r="V194" s="8">
        <v>154.79521200000002</v>
      </c>
      <c r="W194" s="4">
        <v>0.65710567494</v>
      </c>
      <c r="X194" s="4">
        <v>6.864668460540001</v>
      </c>
      <c r="Y194" s="8">
        <f t="shared" si="72"/>
        <v>87.68613431179938</v>
      </c>
      <c r="Z194" s="8">
        <f t="shared" si="73"/>
        <v>96.56156039363026</v>
      </c>
      <c r="AA194" s="4">
        <f t="shared" si="74"/>
        <v>0.38140035097457115</v>
      </c>
      <c r="AB194" s="4"/>
      <c r="AJ194" s="3">
        <f t="shared" si="71"/>
        <v>44.346775147928994</v>
      </c>
    </row>
    <row r="195" spans="1:36" ht="13.5">
      <c r="A195" s="1" t="s">
        <v>196</v>
      </c>
      <c r="C195" s="3">
        <f t="shared" si="75"/>
        <v>13.9</v>
      </c>
      <c r="D195" s="3">
        <f t="shared" si="75"/>
        <v>536.9784172661871</v>
      </c>
      <c r="E195" s="3">
        <f t="shared" si="75"/>
        <v>7.464</v>
      </c>
      <c r="F195" s="18">
        <f t="shared" si="75"/>
        <v>1</v>
      </c>
      <c r="G195" s="18">
        <f t="shared" si="75"/>
        <v>0</v>
      </c>
      <c r="H195" s="18">
        <f t="shared" si="75"/>
        <v>0</v>
      </c>
      <c r="I195" s="18">
        <f t="shared" si="75"/>
        <v>0</v>
      </c>
      <c r="J195" s="18"/>
      <c r="K195" s="1" t="s">
        <v>154</v>
      </c>
      <c r="L195" s="1" t="s">
        <v>202</v>
      </c>
      <c r="M195" s="3">
        <v>26.8065</v>
      </c>
      <c r="N195" s="3">
        <v>0.53613</v>
      </c>
      <c r="O195" s="4">
        <v>7.6935</v>
      </c>
      <c r="P195" s="4">
        <v>0.15386999999999998</v>
      </c>
      <c r="Q195" s="3">
        <v>20</v>
      </c>
      <c r="R195" s="3">
        <v>20</v>
      </c>
      <c r="S195" s="3"/>
      <c r="T195" s="3" t="s">
        <v>154</v>
      </c>
      <c r="U195" s="1" t="s">
        <v>214</v>
      </c>
      <c r="V195" s="8">
        <v>8.9299908</v>
      </c>
      <c r="W195" s="4">
        <v>0.049516798986000005</v>
      </c>
      <c r="X195" s="4">
        <v>0.38744578432800003</v>
      </c>
      <c r="Y195" s="8">
        <f t="shared" si="72"/>
        <v>87.80208111384566</v>
      </c>
      <c r="Z195" s="8">
        <f t="shared" si="73"/>
        <v>96.60582240937352</v>
      </c>
      <c r="AA195" s="4">
        <f t="shared" si="74"/>
        <v>0.02049842920245683</v>
      </c>
      <c r="AB195" s="4"/>
      <c r="AJ195" s="3">
        <f t="shared" si="71"/>
        <v>43.387030625832224</v>
      </c>
    </row>
    <row r="196" spans="1:36" ht="13.5">
      <c r="A196" s="1" t="s">
        <v>201</v>
      </c>
      <c r="C196" s="3">
        <f t="shared" si="75"/>
        <v>97.4</v>
      </c>
      <c r="D196" s="3">
        <f t="shared" si="75"/>
        <v>89.10677618069815</v>
      </c>
      <c r="E196" s="3">
        <f t="shared" si="75"/>
        <v>8.679</v>
      </c>
      <c r="F196" s="18">
        <f t="shared" si="75"/>
        <v>1</v>
      </c>
      <c r="G196" s="18">
        <f t="shared" si="75"/>
        <v>0</v>
      </c>
      <c r="H196" s="18">
        <f t="shared" si="75"/>
        <v>0</v>
      </c>
      <c r="I196" s="18">
        <f t="shared" si="75"/>
        <v>0</v>
      </c>
      <c r="J196" s="18"/>
      <c r="K196" s="1" t="s">
        <v>153</v>
      </c>
      <c r="L196" s="1" t="s">
        <v>210</v>
      </c>
      <c r="M196" s="3">
        <v>411.9301980000001</v>
      </c>
      <c r="N196" s="3">
        <v>7.920446490000002</v>
      </c>
      <c r="O196" s="4">
        <v>96.625602</v>
      </c>
      <c r="P196" s="4">
        <f>8.8*M196/1000</f>
        <v>3.624985742400001</v>
      </c>
      <c r="Q196" s="3">
        <v>19.227642276422767</v>
      </c>
      <c r="R196" s="3">
        <v>19.227642276422763</v>
      </c>
      <c r="S196" s="3"/>
      <c r="T196" s="3" t="s">
        <v>158</v>
      </c>
      <c r="U196" s="1" t="s">
        <v>216</v>
      </c>
      <c r="V196" s="8">
        <v>28.815689759999998</v>
      </c>
      <c r="W196" s="4">
        <v>0.1597829997192</v>
      </c>
      <c r="X196" s="4">
        <v>1.1314728069216</v>
      </c>
      <c r="Y196" s="8">
        <f t="shared" si="72"/>
        <v>88.17622338915793</v>
      </c>
      <c r="Z196" s="8">
        <f t="shared" si="73"/>
        <v>96.73508247418464</v>
      </c>
      <c r="AA196" s="4">
        <f t="shared" si="74"/>
        <v>0.06496082811718307</v>
      </c>
      <c r="AB196" s="4"/>
      <c r="AJ196" s="3">
        <f t="shared" si="71"/>
        <v>39.26585885486019</v>
      </c>
    </row>
    <row r="197" spans="1:36" ht="13.5">
      <c r="A197" s="1" t="s">
        <v>205</v>
      </c>
      <c r="C197" s="3">
        <f t="shared" si="75"/>
        <v>156</v>
      </c>
      <c r="D197" s="3">
        <f t="shared" si="75"/>
        <v>50</v>
      </c>
      <c r="E197" s="3">
        <f t="shared" si="75"/>
        <v>7.8</v>
      </c>
      <c r="F197" s="18">
        <f t="shared" si="75"/>
        <v>1</v>
      </c>
      <c r="G197" s="18">
        <f t="shared" si="75"/>
        <v>0</v>
      </c>
      <c r="H197" s="18">
        <f t="shared" si="75"/>
        <v>0</v>
      </c>
      <c r="I197" s="18">
        <f t="shared" si="75"/>
        <v>0</v>
      </c>
      <c r="J197" s="18"/>
      <c r="K197" s="1" t="s">
        <v>71</v>
      </c>
      <c r="L197" s="1" t="s">
        <v>206</v>
      </c>
      <c r="M197" s="3">
        <v>17.594</v>
      </c>
      <c r="N197" s="3">
        <v>0.334286</v>
      </c>
      <c r="O197" s="4">
        <v>20.406000000000002</v>
      </c>
      <c r="P197" s="4">
        <v>0.387714</v>
      </c>
      <c r="Q197" s="3">
        <v>19</v>
      </c>
      <c r="R197" s="3">
        <v>19</v>
      </c>
      <c r="S197" s="3"/>
      <c r="T197" s="3" t="s">
        <v>154</v>
      </c>
      <c r="U197" s="1" t="s">
        <v>206</v>
      </c>
      <c r="V197" s="8">
        <v>21.8999</v>
      </c>
      <c r="W197" s="4">
        <v>0.17172806584999997</v>
      </c>
      <c r="X197" s="4">
        <v>0.85757806585</v>
      </c>
      <c r="Y197" s="8">
        <f t="shared" si="72"/>
        <v>88.46057120395447</v>
      </c>
      <c r="Z197" s="8">
        <f t="shared" si="73"/>
        <v>96.83305265578711</v>
      </c>
      <c r="AA197" s="4">
        <f t="shared" si="74"/>
        <v>0.04814389683232152</v>
      </c>
      <c r="AB197" s="4"/>
      <c r="AJ197" s="3">
        <f t="shared" si="71"/>
        <v>39.15899460043197</v>
      </c>
    </row>
    <row r="198" spans="1:36" ht="13.5">
      <c r="A198" s="1" t="str">
        <f aca="true" t="shared" si="76" ref="A198:A230">A61</f>
        <v>Manual IV,(1)</v>
      </c>
      <c r="B198" s="1" t="s">
        <v>207</v>
      </c>
      <c r="C198" s="3">
        <f t="shared" si="75"/>
        <v>5.148312065326768</v>
      </c>
      <c r="D198" s="3">
        <f t="shared" si="75"/>
        <v>68.7800990081389</v>
      </c>
      <c r="E198" s="3">
        <f t="shared" si="75"/>
        <v>0.3541014135779712</v>
      </c>
      <c r="F198" s="18">
        <f t="shared" si="75"/>
        <v>1</v>
      </c>
      <c r="G198" s="18">
        <f t="shared" si="75"/>
        <v>0</v>
      </c>
      <c r="H198" s="18">
        <f t="shared" si="75"/>
        <v>0</v>
      </c>
      <c r="I198" s="18">
        <f t="shared" si="75"/>
        <v>0</v>
      </c>
      <c r="J198" s="18"/>
      <c r="K198" s="1" t="s">
        <v>149</v>
      </c>
      <c r="L198" s="1" t="s">
        <v>206</v>
      </c>
      <c r="M198" s="3">
        <v>43.059000000000005</v>
      </c>
      <c r="N198" s="3">
        <v>0.818121</v>
      </c>
      <c r="O198" s="4">
        <v>49.941</v>
      </c>
      <c r="P198" s="4">
        <v>0.948879</v>
      </c>
      <c r="Q198" s="3">
        <v>19</v>
      </c>
      <c r="R198" s="3">
        <v>19</v>
      </c>
      <c r="S198" s="3"/>
      <c r="T198" s="3" t="s">
        <v>151</v>
      </c>
      <c r="U198" s="1" t="s">
        <v>216</v>
      </c>
      <c r="V198" s="8">
        <v>18.5523624</v>
      </c>
      <c r="W198" s="4">
        <v>0.102872849508</v>
      </c>
      <c r="X198" s="4">
        <v>0.690986737584</v>
      </c>
      <c r="Y198" s="8">
        <f t="shared" si="72"/>
        <v>88.70145466496359</v>
      </c>
      <c r="Z198" s="8">
        <f t="shared" si="73"/>
        <v>96.91199135403718</v>
      </c>
      <c r="AA198" s="4">
        <f t="shared" si="74"/>
        <v>0.03994574803758501</v>
      </c>
      <c r="AB198" s="4"/>
      <c r="AJ198" s="3">
        <f t="shared" si="71"/>
        <v>37.245215605749486</v>
      </c>
    </row>
    <row r="199" spans="1:36" ht="13.5">
      <c r="A199" s="1" t="str">
        <f t="shared" si="76"/>
        <v>Manual IV,(2)</v>
      </c>
      <c r="B199" s="1" t="s">
        <v>207</v>
      </c>
      <c r="C199" s="3">
        <f t="shared" si="75"/>
        <v>97.42753590924067</v>
      </c>
      <c r="D199" s="3">
        <f t="shared" si="75"/>
        <v>56.53158822586759</v>
      </c>
      <c r="E199" s="3">
        <f t="shared" si="75"/>
        <v>5.507733341882122</v>
      </c>
      <c r="F199" s="18">
        <f t="shared" si="75"/>
        <v>1</v>
      </c>
      <c r="G199" s="18">
        <f t="shared" si="75"/>
        <v>0</v>
      </c>
      <c r="H199" s="18">
        <f t="shared" si="75"/>
        <v>0</v>
      </c>
      <c r="I199" s="18">
        <f t="shared" si="75"/>
        <v>0</v>
      </c>
      <c r="J199" s="18"/>
      <c r="K199" s="1" t="s">
        <v>151</v>
      </c>
      <c r="L199" s="1" t="s">
        <v>216</v>
      </c>
      <c r="M199" s="3">
        <v>18.5523624</v>
      </c>
      <c r="N199" s="3">
        <v>0.3447996552</v>
      </c>
      <c r="O199" s="4">
        <v>24.6932376</v>
      </c>
      <c r="P199" s="4">
        <f>13.115*M199/1000</f>
        <v>0.24331423287600001</v>
      </c>
      <c r="Q199" s="3">
        <v>18.585215605749486</v>
      </c>
      <c r="R199" s="3">
        <v>18.58521560574949</v>
      </c>
      <c r="S199" s="3"/>
      <c r="T199" s="3" t="s">
        <v>71</v>
      </c>
      <c r="U199" s="1" t="s">
        <v>216</v>
      </c>
      <c r="V199" s="8">
        <v>1.988810030544004</v>
      </c>
      <c r="W199" s="4">
        <v>0.0110279516193665</v>
      </c>
      <c r="X199" s="4">
        <v>0.07271421524357756</v>
      </c>
      <c r="Y199" s="8">
        <f t="shared" si="72"/>
        <v>88.72727733019177</v>
      </c>
      <c r="Z199" s="8">
        <f t="shared" si="73"/>
        <v>96.92029826527498</v>
      </c>
      <c r="AA199" s="4">
        <f t="shared" si="74"/>
        <v>0.004235835770797006</v>
      </c>
      <c r="AB199" s="4"/>
      <c r="AJ199" s="3">
        <f t="shared" si="71"/>
        <v>36.56166960485807</v>
      </c>
    </row>
    <row r="200" spans="1:36" ht="13.5">
      <c r="A200" s="1" t="str">
        <f t="shared" si="76"/>
        <v>Manual V, (3)</v>
      </c>
      <c r="B200" s="1" t="s">
        <v>207</v>
      </c>
      <c r="C200" s="3">
        <f t="shared" si="75"/>
        <v>85.03020000000001</v>
      </c>
      <c r="D200" s="3">
        <f t="shared" si="75"/>
        <v>46.020533880903486</v>
      </c>
      <c r="E200" s="3">
        <f t="shared" si="75"/>
        <v>3.9131351999999997</v>
      </c>
      <c r="F200" s="18">
        <f t="shared" si="75"/>
        <v>1</v>
      </c>
      <c r="G200" s="18">
        <f t="shared" si="75"/>
        <v>0</v>
      </c>
      <c r="H200" s="18">
        <f t="shared" si="75"/>
        <v>0</v>
      </c>
      <c r="I200" s="18">
        <f t="shared" si="75"/>
        <v>0</v>
      </c>
      <c r="J200" s="18"/>
      <c r="K200" s="1" t="s">
        <v>152</v>
      </c>
      <c r="L200" s="1" t="s">
        <v>206</v>
      </c>
      <c r="M200" s="3">
        <v>20.9276</v>
      </c>
      <c r="N200" s="3">
        <v>0.3871606</v>
      </c>
      <c r="O200" s="4">
        <v>24.272400000000005</v>
      </c>
      <c r="P200" s="4">
        <v>0.44903940000000003</v>
      </c>
      <c r="Q200" s="3">
        <v>18.5</v>
      </c>
      <c r="R200" s="3">
        <v>18.5</v>
      </c>
      <c r="S200" s="3"/>
      <c r="T200" s="3" t="s">
        <v>68</v>
      </c>
      <c r="U200" s="1" t="s">
        <v>217</v>
      </c>
      <c r="V200" s="8">
        <v>0.11985197289330972</v>
      </c>
      <c r="W200" s="4">
        <v>0.0006645791896934024</v>
      </c>
      <c r="X200" s="4">
        <v>0.004269064528087889</v>
      </c>
      <c r="Y200" s="8">
        <f t="shared" si="72"/>
        <v>88.72883348554367</v>
      </c>
      <c r="Z200" s="8">
        <f t="shared" si="73"/>
        <v>96.92078596551329</v>
      </c>
      <c r="AA200" s="4">
        <f t="shared" si="74"/>
        <v>0.0002549756407067757</v>
      </c>
      <c r="AB200" s="4"/>
      <c r="AJ200" s="3">
        <f t="shared" si="71"/>
        <v>35.619476467760286</v>
      </c>
    </row>
    <row r="201" spans="1:36" ht="13.5">
      <c r="A201" s="1" t="str">
        <f t="shared" si="76"/>
        <v>Manual V, (4)</v>
      </c>
      <c r="B201" s="1" t="s">
        <v>207</v>
      </c>
      <c r="C201" s="3">
        <f t="shared" si="75"/>
        <v>150.1908</v>
      </c>
      <c r="D201" s="3">
        <f t="shared" si="75"/>
        <v>40.71047227926078</v>
      </c>
      <c r="E201" s="3">
        <f t="shared" si="75"/>
        <v>6.114338399999999</v>
      </c>
      <c r="F201" s="18">
        <f t="shared" si="75"/>
        <v>1</v>
      </c>
      <c r="G201" s="18">
        <f t="shared" si="75"/>
        <v>0</v>
      </c>
      <c r="H201" s="18">
        <f t="shared" si="75"/>
        <v>0</v>
      </c>
      <c r="I201" s="18">
        <f t="shared" si="75"/>
        <v>0</v>
      </c>
      <c r="J201" s="18"/>
      <c r="K201" s="1" t="s">
        <v>68</v>
      </c>
      <c r="L201" s="1" t="s">
        <v>206</v>
      </c>
      <c r="M201" s="3">
        <v>1.06027</v>
      </c>
      <c r="N201" s="3">
        <v>0.019084860000000002</v>
      </c>
      <c r="O201" s="4">
        <v>1.22973</v>
      </c>
      <c r="P201" s="4">
        <v>0.02213514</v>
      </c>
      <c r="Q201" s="3">
        <v>18</v>
      </c>
      <c r="R201" s="3">
        <v>18</v>
      </c>
      <c r="S201" s="3"/>
      <c r="T201" s="3" t="s">
        <v>149</v>
      </c>
      <c r="U201" s="1" t="s">
        <v>216</v>
      </c>
      <c r="V201" s="8">
        <v>5.8289517</v>
      </c>
      <c r="W201" s="4">
        <v>0.0323215371765</v>
      </c>
      <c r="X201" s="4">
        <v>0.206783198622</v>
      </c>
      <c r="Y201" s="8">
        <f t="shared" si="72"/>
        <v>88.80451646484721</v>
      </c>
      <c r="Z201" s="8">
        <f t="shared" si="73"/>
        <v>96.94440898985133</v>
      </c>
      <c r="AA201" s="4">
        <f t="shared" si="74"/>
        <v>0.012360426874999931</v>
      </c>
      <c r="AB201" s="4"/>
      <c r="AJ201" s="3">
        <f t="shared" si="71"/>
        <v>35.47519507186858</v>
      </c>
    </row>
    <row r="202" spans="1:36" ht="13.5">
      <c r="A202" s="1" t="str">
        <f t="shared" si="76"/>
        <v>Manual VI,(5)</v>
      </c>
      <c r="B202" s="1" t="s">
        <v>207</v>
      </c>
      <c r="C202" s="3">
        <f t="shared" si="75"/>
        <v>39.106072000000005</v>
      </c>
      <c r="D202" s="3">
        <f t="shared" si="75"/>
        <v>30.084553928095875</v>
      </c>
      <c r="E202" s="3">
        <f t="shared" si="75"/>
        <v>1.1764887320000001</v>
      </c>
      <c r="F202" s="18">
        <f t="shared" si="75"/>
        <v>1</v>
      </c>
      <c r="G202" s="18">
        <f t="shared" si="75"/>
        <v>0</v>
      </c>
      <c r="H202" s="18">
        <f t="shared" si="75"/>
        <v>0</v>
      </c>
      <c r="I202" s="18">
        <f t="shared" si="75"/>
        <v>0</v>
      </c>
      <c r="J202" s="18"/>
      <c r="K202" s="1" t="s">
        <v>71</v>
      </c>
      <c r="L202" s="1" t="s">
        <v>216</v>
      </c>
      <c r="M202" s="3">
        <v>1.988810030544004</v>
      </c>
      <c r="N202" s="3">
        <v>0.03560302007362645</v>
      </c>
      <c r="O202" s="4">
        <v>2.647110786574886</v>
      </c>
      <c r="P202" s="4">
        <f>13.115*M202/1000</f>
        <v>0.02608324355058461</v>
      </c>
      <c r="Q202" s="3">
        <v>17.901669604858075</v>
      </c>
      <c r="R202" s="3">
        <v>17.901669604858075</v>
      </c>
      <c r="S202" s="3"/>
      <c r="T202" s="3" t="s">
        <v>151</v>
      </c>
      <c r="U202" s="1" t="s">
        <v>215</v>
      </c>
      <c r="V202" s="8">
        <v>55.360023575999996</v>
      </c>
      <c r="W202" s="4">
        <v>0.23500330008012</v>
      </c>
      <c r="X202" s="4">
        <v>1.94647972124892</v>
      </c>
      <c r="Y202" s="8">
        <f t="shared" si="72"/>
        <v>89.52330978038384</v>
      </c>
      <c r="Z202" s="8">
        <f t="shared" si="73"/>
        <v>97.16677588491326</v>
      </c>
      <c r="AA202" s="4">
        <f t="shared" si="74"/>
        <v>0.11344972679626085</v>
      </c>
      <c r="AB202" s="4"/>
      <c r="AJ202" s="3">
        <f t="shared" si="71"/>
        <v>35.160384615384615</v>
      </c>
    </row>
    <row r="203" spans="1:36" ht="13.5">
      <c r="A203" s="1" t="str">
        <f t="shared" si="76"/>
        <v>Manual VI,(6)</v>
      </c>
      <c r="B203" s="1" t="s">
        <v>207</v>
      </c>
      <c r="C203" s="3">
        <f aca="true" t="shared" si="77" ref="C203:I212">C66</f>
        <v>172.5047</v>
      </c>
      <c r="D203" s="3">
        <f t="shared" si="77"/>
        <v>27.199733688415446</v>
      </c>
      <c r="E203" s="3">
        <f t="shared" si="77"/>
        <v>4.6920819</v>
      </c>
      <c r="F203" s="18">
        <f t="shared" si="77"/>
        <v>1</v>
      </c>
      <c r="G203" s="18">
        <f t="shared" si="77"/>
        <v>0</v>
      </c>
      <c r="H203" s="18">
        <f t="shared" si="77"/>
        <v>0</v>
      </c>
      <c r="I203" s="18">
        <f t="shared" si="77"/>
        <v>0</v>
      </c>
      <c r="J203" s="18"/>
      <c r="K203" s="1" t="s">
        <v>154</v>
      </c>
      <c r="L203" s="1" t="s">
        <v>218</v>
      </c>
      <c r="M203" s="3">
        <v>26.326231200000006</v>
      </c>
      <c r="N203" s="3">
        <v>0.46017396</v>
      </c>
      <c r="O203" s="4">
        <v>6.1752888000000015</v>
      </c>
      <c r="P203" s="4">
        <f>8.8*M203/1000</f>
        <v>0.23167083456000007</v>
      </c>
      <c r="Q203" s="3">
        <v>17.47967479674796</v>
      </c>
      <c r="R203" s="3">
        <v>17.47967479674796</v>
      </c>
      <c r="S203" s="3"/>
      <c r="T203" s="3" t="s">
        <v>154</v>
      </c>
      <c r="U203" s="1" t="s">
        <v>219</v>
      </c>
      <c r="V203" s="8">
        <v>4.197339</v>
      </c>
      <c r="W203" s="4">
        <v>0.023274244755000003</v>
      </c>
      <c r="X203" s="4">
        <v>0.14751416574</v>
      </c>
      <c r="Y203" s="8">
        <f t="shared" si="72"/>
        <v>89.577807936659</v>
      </c>
      <c r="Z203" s="8">
        <f t="shared" si="73"/>
        <v>97.18362798291109</v>
      </c>
      <c r="AA203" s="4">
        <f t="shared" si="74"/>
        <v>0.00831057979729905</v>
      </c>
      <c r="AB203" s="4"/>
      <c r="AJ203" s="3">
        <f t="shared" si="71"/>
        <v>35.14468708388815</v>
      </c>
    </row>
    <row r="204" spans="1:36" ht="13.5">
      <c r="A204" s="1" t="str">
        <f t="shared" si="76"/>
        <v>Manual VI,(7)</v>
      </c>
      <c r="B204" s="1" t="s">
        <v>214</v>
      </c>
      <c r="C204" s="3">
        <f t="shared" si="77"/>
        <v>11.02468</v>
      </c>
      <c r="D204" s="3">
        <f t="shared" si="77"/>
        <v>24.727030625832224</v>
      </c>
      <c r="E204" s="3">
        <f t="shared" si="77"/>
        <v>0.2726076</v>
      </c>
      <c r="F204" s="18">
        <f t="shared" si="77"/>
        <v>1</v>
      </c>
      <c r="G204" s="18">
        <f t="shared" si="77"/>
        <v>0</v>
      </c>
      <c r="H204" s="18">
        <f t="shared" si="77"/>
        <v>0</v>
      </c>
      <c r="I204" s="18">
        <f t="shared" si="77"/>
        <v>0</v>
      </c>
      <c r="J204" s="18"/>
      <c r="K204" s="1" t="s">
        <v>68</v>
      </c>
      <c r="L204" s="1" t="s">
        <v>217</v>
      </c>
      <c r="M204" s="3">
        <v>0.11985197289330972</v>
      </c>
      <c r="N204" s="3">
        <v>0.002032626713898729</v>
      </c>
      <c r="O204" s="4">
        <v>0.1595232552962234</v>
      </c>
      <c r="P204" s="4">
        <f>13.115*M204/1000</f>
        <v>0.0015718586244957572</v>
      </c>
      <c r="Q204" s="3">
        <v>16.95947646776028</v>
      </c>
      <c r="R204" s="3">
        <v>16.959476467760275</v>
      </c>
      <c r="S204" s="3"/>
      <c r="T204" s="3" t="s">
        <v>152</v>
      </c>
      <c r="U204" s="1" t="s">
        <v>210</v>
      </c>
      <c r="V204" s="8">
        <v>93.38280048000001</v>
      </c>
      <c r="W204" s="4">
        <v>0.3964099880376</v>
      </c>
      <c r="X204" s="4">
        <v>3.2041448294616006</v>
      </c>
      <c r="Y204" s="8">
        <f t="shared" si="72"/>
        <v>90.79028814232521</v>
      </c>
      <c r="Z204" s="8">
        <f t="shared" si="73"/>
        <v>97.54967121946687</v>
      </c>
      <c r="AA204" s="4">
        <f t="shared" si="74"/>
        <v>0.17417524437489348</v>
      </c>
      <c r="AB204" s="4"/>
      <c r="AJ204" s="3">
        <f t="shared" si="71"/>
        <v>34.3119376693767</v>
      </c>
    </row>
    <row r="205" spans="1:36" ht="13.5">
      <c r="A205" s="1" t="str">
        <f t="shared" si="76"/>
        <v>Manual VI,(7)</v>
      </c>
      <c r="B205" s="1" t="s">
        <v>219</v>
      </c>
      <c r="C205" s="3">
        <f t="shared" si="77"/>
        <v>5.1819</v>
      </c>
      <c r="D205" s="3">
        <f t="shared" si="77"/>
        <v>16.484687083888147</v>
      </c>
      <c r="E205" s="3">
        <f t="shared" si="77"/>
        <v>0.08542199999999998</v>
      </c>
      <c r="F205" s="18">
        <f t="shared" si="77"/>
        <v>1</v>
      </c>
      <c r="G205" s="18">
        <f t="shared" si="77"/>
        <v>0</v>
      </c>
      <c r="H205" s="18">
        <f t="shared" si="77"/>
        <v>0</v>
      </c>
      <c r="I205" s="18">
        <f t="shared" si="77"/>
        <v>0</v>
      </c>
      <c r="J205" s="18"/>
      <c r="K205" s="1" t="s">
        <v>149</v>
      </c>
      <c r="L205" s="1" t="s">
        <v>216</v>
      </c>
      <c r="M205" s="3">
        <v>5.8289517</v>
      </c>
      <c r="N205" s="3">
        <v>0.09801495989999999</v>
      </c>
      <c r="O205" s="4">
        <v>7.7583483</v>
      </c>
      <c r="P205" s="4">
        <f>13.115*M205/1000</f>
        <v>0.07644670154550001</v>
      </c>
      <c r="Q205" s="3">
        <v>16.81519507186858</v>
      </c>
      <c r="R205" s="3">
        <v>16.815195071868583</v>
      </c>
      <c r="S205" s="3"/>
      <c r="T205" s="3" t="s">
        <v>152</v>
      </c>
      <c r="U205" s="1" t="s">
        <v>216</v>
      </c>
      <c r="V205" s="8">
        <v>2.91249816</v>
      </c>
      <c r="W205" s="4">
        <v>0.016149802297200002</v>
      </c>
      <c r="X205" s="4">
        <v>0.0987579649056</v>
      </c>
      <c r="Y205" s="8">
        <f t="shared" si="72"/>
        <v>90.82810395369398</v>
      </c>
      <c r="Z205" s="8">
        <f t="shared" si="73"/>
        <v>97.56095338273781</v>
      </c>
      <c r="AA205" s="4">
        <f t="shared" si="74"/>
        <v>0.005102197193975406</v>
      </c>
      <c r="AB205" s="4"/>
      <c r="AJ205" s="3">
        <f t="shared" si="71"/>
        <v>33.90833555259654</v>
      </c>
    </row>
    <row r="206" spans="1:36" ht="13.5">
      <c r="A206" s="1" t="str">
        <f t="shared" si="76"/>
        <v>Manual V, (4)</v>
      </c>
      <c r="B206" s="1" t="s">
        <v>213</v>
      </c>
      <c r="C206" s="3">
        <f t="shared" si="77"/>
        <v>101.416776</v>
      </c>
      <c r="D206" s="3">
        <f t="shared" si="77"/>
        <v>28.762833675564682</v>
      </c>
      <c r="E206" s="3">
        <f t="shared" si="77"/>
        <v>2.91703386</v>
      </c>
      <c r="F206" s="18">
        <f t="shared" si="77"/>
        <v>0</v>
      </c>
      <c r="G206" s="18">
        <f t="shared" si="77"/>
        <v>1</v>
      </c>
      <c r="H206" s="18">
        <f t="shared" si="77"/>
        <v>0</v>
      </c>
      <c r="I206" s="18">
        <f t="shared" si="77"/>
        <v>0</v>
      </c>
      <c r="J206" s="18"/>
      <c r="K206" s="1" t="s">
        <v>71</v>
      </c>
      <c r="L206" s="1" t="s">
        <v>220</v>
      </c>
      <c r="M206" s="3">
        <v>1.2340614</v>
      </c>
      <c r="N206" s="3">
        <v>0.020686162068</v>
      </c>
      <c r="O206" s="4">
        <v>1.6425386</v>
      </c>
      <c r="P206" s="4">
        <f>8.8*M206/1000</f>
        <v>0.010859740320000002</v>
      </c>
      <c r="Q206" s="3">
        <v>16.762668428005284</v>
      </c>
      <c r="R206" s="3">
        <v>16.76266842800528</v>
      </c>
      <c r="S206" s="3"/>
      <c r="T206" s="3" t="s">
        <v>154</v>
      </c>
      <c r="U206" s="1" t="s">
        <v>202</v>
      </c>
      <c r="V206" s="8">
        <v>26.8065</v>
      </c>
      <c r="W206" s="4">
        <v>0.21020316974999997</v>
      </c>
      <c r="X206" s="4">
        <v>0.9002031697499999</v>
      </c>
      <c r="Y206" s="8">
        <f t="shared" si="72"/>
        <v>91.17615895382383</v>
      </c>
      <c r="Z206" s="8">
        <f t="shared" si="73"/>
        <v>97.66379307924068</v>
      </c>
      <c r="AA206" s="4">
        <f t="shared" si="74"/>
        <v>0.046014554052644464</v>
      </c>
      <c r="AB206" s="4"/>
      <c r="AJ206" s="3">
        <f t="shared" si="71"/>
        <v>33.58152574002574</v>
      </c>
    </row>
    <row r="207" spans="1:36" ht="13.5">
      <c r="A207" s="1" t="str">
        <f t="shared" si="76"/>
        <v>Manual VI,(8)</v>
      </c>
      <c r="B207" s="1" t="s">
        <v>216</v>
      </c>
      <c r="C207" s="3">
        <f t="shared" si="77"/>
        <v>67.16944</v>
      </c>
      <c r="D207" s="3">
        <f t="shared" si="77"/>
        <v>20.605858854860184</v>
      </c>
      <c r="E207" s="3">
        <f t="shared" si="77"/>
        <v>1.3840839999999999</v>
      </c>
      <c r="F207" s="18">
        <f t="shared" si="77"/>
        <v>0</v>
      </c>
      <c r="G207" s="18">
        <f t="shared" si="77"/>
        <v>1</v>
      </c>
      <c r="H207" s="18">
        <f t="shared" si="77"/>
        <v>0</v>
      </c>
      <c r="I207" s="18">
        <f t="shared" si="77"/>
        <v>0</v>
      </c>
      <c r="J207" s="18"/>
      <c r="K207" s="1" t="s">
        <v>154</v>
      </c>
      <c r="L207" s="1" t="s">
        <v>219</v>
      </c>
      <c r="M207" s="3">
        <v>4.197339</v>
      </c>
      <c r="N207" s="3">
        <v>0.06919181999999999</v>
      </c>
      <c r="O207" s="4">
        <v>0.9845609999999999</v>
      </c>
      <c r="P207" s="4">
        <f>13.115*M207/1000</f>
        <v>0.05504810098500001</v>
      </c>
      <c r="Q207" s="3">
        <v>16.484687083888147</v>
      </c>
      <c r="R207" s="3">
        <v>16.484687083888147</v>
      </c>
      <c r="S207" s="3"/>
      <c r="T207" s="3" t="s">
        <v>153</v>
      </c>
      <c r="U207" s="1" t="s">
        <v>210</v>
      </c>
      <c r="V207" s="8">
        <v>411.9301980000001</v>
      </c>
      <c r="W207" s="4">
        <v>1.7486436905100005</v>
      </c>
      <c r="X207" s="4">
        <v>13.294075922910004</v>
      </c>
      <c r="Y207" s="8">
        <f t="shared" si="72"/>
        <v>96.52465148803661</v>
      </c>
      <c r="Z207" s="8">
        <f t="shared" si="73"/>
        <v>99.18251549562345</v>
      </c>
      <c r="AA207" s="4">
        <f t="shared" si="74"/>
        <v>0.48914628486027134</v>
      </c>
      <c r="AB207" s="4"/>
      <c r="AJ207" s="3">
        <f t="shared" si="71"/>
        <v>32.272642276422765</v>
      </c>
    </row>
    <row r="208" spans="1:36" ht="13.5">
      <c r="A208" s="1" t="str">
        <f t="shared" si="76"/>
        <v>Manual V, (4)</v>
      </c>
      <c r="B208" s="1" t="s">
        <v>221</v>
      </c>
      <c r="C208" s="3">
        <f t="shared" si="77"/>
        <v>56.512941000000005</v>
      </c>
      <c r="D208" s="3">
        <f t="shared" si="77"/>
        <v>20.35523613963039</v>
      </c>
      <c r="E208" s="3">
        <f t="shared" si="77"/>
        <v>1.150334259</v>
      </c>
      <c r="F208" s="18">
        <f t="shared" si="77"/>
        <v>0</v>
      </c>
      <c r="G208" s="18">
        <f t="shared" si="77"/>
        <v>0</v>
      </c>
      <c r="H208" s="18">
        <f t="shared" si="77"/>
        <v>0</v>
      </c>
      <c r="I208" s="18">
        <f t="shared" si="77"/>
        <v>1</v>
      </c>
      <c r="J208" s="18"/>
      <c r="K208" s="1" t="s">
        <v>68</v>
      </c>
      <c r="L208" s="1" t="s">
        <v>220</v>
      </c>
      <c r="M208" s="3">
        <v>0.074368437</v>
      </c>
      <c r="N208" s="3">
        <v>0.00118100221668</v>
      </c>
      <c r="O208" s="4">
        <v>0.098984563</v>
      </c>
      <c r="P208" s="4">
        <f>8.8*M208/1000</f>
        <v>0.0006544422456</v>
      </c>
      <c r="Q208" s="3">
        <v>15.880422721268161</v>
      </c>
      <c r="R208" s="3">
        <v>15.880422721268163</v>
      </c>
      <c r="S208" s="3"/>
      <c r="T208" s="3" t="s">
        <v>154</v>
      </c>
      <c r="U208" s="1" t="s">
        <v>216</v>
      </c>
      <c r="V208" s="8">
        <v>3.04781334</v>
      </c>
      <c r="W208" s="4">
        <v>0.0169001249703</v>
      </c>
      <c r="X208" s="4">
        <v>0.09329782759439999</v>
      </c>
      <c r="Y208" s="8">
        <f t="shared" si="72"/>
        <v>96.56422422869464</v>
      </c>
      <c r="Z208" s="8">
        <f t="shared" si="73"/>
        <v>99.19317388985777</v>
      </c>
      <c r="AA208" s="4">
        <f t="shared" si="74"/>
        <v>0.0020921370622077403</v>
      </c>
      <c r="AB208" s="4"/>
      <c r="AJ208" s="3">
        <f t="shared" si="71"/>
        <v>30.611398135818906</v>
      </c>
    </row>
    <row r="209" spans="1:36" ht="13.5">
      <c r="A209" s="1" t="str">
        <f t="shared" si="76"/>
        <v>Manual IV,(1)</v>
      </c>
      <c r="B209" s="1" t="s">
        <v>222</v>
      </c>
      <c r="C209" s="3">
        <f t="shared" si="77"/>
        <v>1.278538162194894</v>
      </c>
      <c r="D209" s="3">
        <f t="shared" si="77"/>
        <v>19.78605587905366</v>
      </c>
      <c r="E209" s="3">
        <f t="shared" si="77"/>
        <v>0.025297227520690743</v>
      </c>
      <c r="F209" s="18">
        <f t="shared" si="77"/>
        <v>0</v>
      </c>
      <c r="G209" s="18">
        <f t="shared" si="77"/>
        <v>0</v>
      </c>
      <c r="H209" s="18">
        <f t="shared" si="77"/>
        <v>1</v>
      </c>
      <c r="I209" s="18">
        <f t="shared" si="77"/>
        <v>0</v>
      </c>
      <c r="J209" s="18"/>
      <c r="K209" s="1" t="s">
        <v>152</v>
      </c>
      <c r="L209" s="1" t="s">
        <v>216</v>
      </c>
      <c r="M209" s="3">
        <v>2.91249816</v>
      </c>
      <c r="N209" s="3">
        <v>0.04441074924</v>
      </c>
      <c r="O209" s="4">
        <v>3.8765418400000002</v>
      </c>
      <c r="P209" s="4">
        <f>13.115*M209/1000</f>
        <v>0.0381974133684</v>
      </c>
      <c r="Q209" s="3">
        <v>15.248335552596535</v>
      </c>
      <c r="R209" s="3">
        <v>15.248335552596538</v>
      </c>
      <c r="S209" s="3"/>
      <c r="T209" s="3" t="s">
        <v>154</v>
      </c>
      <c r="U209" s="1" t="s">
        <v>218</v>
      </c>
      <c r="V209" s="8">
        <v>26.326231200000006</v>
      </c>
      <c r="W209" s="4">
        <v>0.11175485144400002</v>
      </c>
      <c r="X209" s="4">
        <v>0.803599646004</v>
      </c>
      <c r="Y209" s="8">
        <f t="shared" si="72"/>
        <v>96.90604342940097</v>
      </c>
      <c r="Z209" s="8">
        <f t="shared" si="73"/>
        <v>99.28497754761185</v>
      </c>
      <c r="AA209" s="4">
        <f t="shared" si="74"/>
        <v>0.01711790830695797</v>
      </c>
      <c r="AB209" s="4"/>
      <c r="AJ209" s="3">
        <f t="shared" si="71"/>
        <v>30.524674796747963</v>
      </c>
    </row>
    <row r="210" spans="1:36" ht="13.5">
      <c r="A210" s="1" t="str">
        <f t="shared" si="76"/>
        <v>Manual V, (4)</v>
      </c>
      <c r="B210" s="1" t="s">
        <v>216</v>
      </c>
      <c r="C210" s="3">
        <f t="shared" si="77"/>
        <v>43.2456</v>
      </c>
      <c r="D210" s="3">
        <f t="shared" si="77"/>
        <v>18.585215605749486</v>
      </c>
      <c r="E210" s="3">
        <f t="shared" si="77"/>
        <v>0.8037288</v>
      </c>
      <c r="F210" s="18">
        <f t="shared" si="77"/>
        <v>0</v>
      </c>
      <c r="G210" s="18">
        <f t="shared" si="77"/>
        <v>1</v>
      </c>
      <c r="H210" s="18">
        <f t="shared" si="77"/>
        <v>0</v>
      </c>
      <c r="I210" s="18">
        <f t="shared" si="77"/>
        <v>0</v>
      </c>
      <c r="J210" s="18"/>
      <c r="K210" s="1" t="s">
        <v>158</v>
      </c>
      <c r="L210" s="1" t="s">
        <v>220</v>
      </c>
      <c r="M210" s="3">
        <v>84.95064864</v>
      </c>
      <c r="N210" s="3">
        <v>1.2374247600000001</v>
      </c>
      <c r="O210" s="4">
        <v>113.06951135999999</v>
      </c>
      <c r="P210" s="4">
        <f>8.8*M210/1000</f>
        <v>0.7475657080320001</v>
      </c>
      <c r="Q210" s="3">
        <v>14.56639566395664</v>
      </c>
      <c r="R210" s="3">
        <v>14.56639566395664</v>
      </c>
      <c r="S210" s="3"/>
      <c r="T210" s="3" t="s">
        <v>71</v>
      </c>
      <c r="U210" s="1" t="s">
        <v>220</v>
      </c>
      <c r="V210" s="8">
        <v>1.2340614</v>
      </c>
      <c r="W210" s="4">
        <v>0.005238590643</v>
      </c>
      <c r="X210" s="4">
        <v>0.036784493031</v>
      </c>
      <c r="Y210" s="8">
        <f t="shared" si="72"/>
        <v>96.92206645518715</v>
      </c>
      <c r="Z210" s="8">
        <f t="shared" si="73"/>
        <v>99.28917982797081</v>
      </c>
      <c r="AA210" s="4">
        <f t="shared" si="74"/>
        <v>0.0007604604133065299</v>
      </c>
      <c r="AB210" s="4"/>
      <c r="AJ210" s="3">
        <f t="shared" si="71"/>
        <v>29.807668428005286</v>
      </c>
    </row>
    <row r="211" spans="1:36" ht="13.5">
      <c r="A211" s="1" t="str">
        <f t="shared" si="76"/>
        <v>Manual IV,(2)</v>
      </c>
      <c r="B211" s="1" t="s">
        <v>216</v>
      </c>
      <c r="C211" s="3">
        <f t="shared" si="77"/>
        <v>4.63592081711889</v>
      </c>
      <c r="D211" s="3">
        <f t="shared" si="77"/>
        <v>17.90166960485807</v>
      </c>
      <c r="E211" s="3">
        <f t="shared" si="77"/>
        <v>0.08299072278234604</v>
      </c>
      <c r="F211" s="18">
        <f t="shared" si="77"/>
        <v>0</v>
      </c>
      <c r="G211" s="18">
        <f t="shared" si="77"/>
        <v>1</v>
      </c>
      <c r="H211" s="18">
        <f t="shared" si="77"/>
        <v>0</v>
      </c>
      <c r="I211" s="18">
        <f t="shared" si="77"/>
        <v>0</v>
      </c>
      <c r="J211" s="18"/>
      <c r="K211" s="1" t="s">
        <v>154</v>
      </c>
      <c r="L211" s="1" t="s">
        <v>206</v>
      </c>
      <c r="M211" s="3">
        <v>21.8999</v>
      </c>
      <c r="N211" s="3">
        <v>0.31754855</v>
      </c>
      <c r="O211" s="4">
        <v>25.4001</v>
      </c>
      <c r="P211" s="4">
        <v>0.36830145</v>
      </c>
      <c r="Q211" s="3">
        <v>14.5</v>
      </c>
      <c r="R211" s="3">
        <v>14.5</v>
      </c>
      <c r="S211" s="3"/>
      <c r="T211" s="3" t="s">
        <v>68</v>
      </c>
      <c r="U211" s="1" t="s">
        <v>220</v>
      </c>
      <c r="V211" s="8">
        <v>0.074368437</v>
      </c>
      <c r="W211" s="4">
        <v>0.000315694015065</v>
      </c>
      <c r="X211" s="4">
        <v>0.002151138477345</v>
      </c>
      <c r="Y211" s="8">
        <f t="shared" si="72"/>
        <v>96.92303205332006</v>
      </c>
      <c r="Z211" s="8">
        <f t="shared" si="73"/>
        <v>99.28942557519275</v>
      </c>
      <c r="AA211" s="4">
        <f t="shared" si="74"/>
        <v>4.570665419585101E-05</v>
      </c>
      <c r="AB211" s="4"/>
      <c r="AJ211" s="3">
        <f t="shared" si="71"/>
        <v>28.925422721268166</v>
      </c>
    </row>
    <row r="212" spans="1:36" ht="13.5">
      <c r="A212" s="1" t="str">
        <f t="shared" si="76"/>
        <v>Manual V, (3)</v>
      </c>
      <c r="B212" s="1" t="s">
        <v>216</v>
      </c>
      <c r="C212" s="3">
        <f t="shared" si="77"/>
        <v>13.5873</v>
      </c>
      <c r="D212" s="3">
        <f t="shared" si="77"/>
        <v>16.81519507186858</v>
      </c>
      <c r="E212" s="3">
        <f t="shared" si="77"/>
        <v>0.22847309999999998</v>
      </c>
      <c r="F212" s="18">
        <f t="shared" si="77"/>
        <v>0</v>
      </c>
      <c r="G212" s="18">
        <f t="shared" si="77"/>
        <v>1</v>
      </c>
      <c r="H212" s="18">
        <f t="shared" si="77"/>
        <v>0</v>
      </c>
      <c r="I212" s="18">
        <f t="shared" si="77"/>
        <v>0</v>
      </c>
      <c r="J212" s="18"/>
      <c r="K212" s="1" t="s">
        <v>151</v>
      </c>
      <c r="L212" s="1" t="s">
        <v>220</v>
      </c>
      <c r="M212" s="3">
        <v>23.6063256</v>
      </c>
      <c r="N212" s="3">
        <v>0.337332996</v>
      </c>
      <c r="O212" s="4">
        <v>31.420074399999997</v>
      </c>
      <c r="P212" s="4">
        <f>8.8*M212/1000</f>
        <v>0.20773566528000004</v>
      </c>
      <c r="Q212" s="3">
        <v>14.289940828402367</v>
      </c>
      <c r="R212" s="3">
        <v>14.289940828402365</v>
      </c>
      <c r="S212" s="3"/>
      <c r="T212" s="3" t="s">
        <v>153</v>
      </c>
      <c r="U212" s="1" t="s">
        <v>206</v>
      </c>
      <c r="V212" s="8">
        <v>58.801</v>
      </c>
      <c r="W212" s="4">
        <v>0.4610880415</v>
      </c>
      <c r="X212" s="4">
        <v>1.6675880415000002</v>
      </c>
      <c r="Y212" s="8">
        <f t="shared" si="72"/>
        <v>97.68650293025792</v>
      </c>
      <c r="Z212" s="8">
        <f t="shared" si="73"/>
        <v>99.47993173407164</v>
      </c>
      <c r="AA212" s="4">
        <f t="shared" si="74"/>
        <v>0.03175903198897496</v>
      </c>
      <c r="AB212" s="4"/>
      <c r="AJ212" s="3">
        <f t="shared" si="71"/>
        <v>28.359858531317496</v>
      </c>
    </row>
    <row r="213" spans="1:36" ht="13.5">
      <c r="A213" s="1" t="str">
        <f t="shared" si="76"/>
        <v>Manual IV,(2)</v>
      </c>
      <c r="B213" s="1" t="s">
        <v>222</v>
      </c>
      <c r="C213" s="3">
        <f aca="true" t="shared" si="78" ref="C213:I222">C76</f>
        <v>25.485364702529896</v>
      </c>
      <c r="D213" s="3">
        <f t="shared" si="78"/>
        <v>17.430573036309177</v>
      </c>
      <c r="E213" s="3">
        <f t="shared" si="78"/>
        <v>0.44422451080442327</v>
      </c>
      <c r="F213" s="18">
        <f t="shared" si="78"/>
        <v>0</v>
      </c>
      <c r="G213" s="18">
        <f t="shared" si="78"/>
        <v>0</v>
      </c>
      <c r="H213" s="18">
        <f t="shared" si="78"/>
        <v>1</v>
      </c>
      <c r="I213" s="18">
        <f t="shared" si="78"/>
        <v>0</v>
      </c>
      <c r="J213" s="18"/>
      <c r="K213" s="1" t="s">
        <v>149</v>
      </c>
      <c r="L213" s="1" t="s">
        <v>220</v>
      </c>
      <c r="M213" s="3">
        <v>7.4168523</v>
      </c>
      <c r="N213" s="3">
        <v>0.0958924395</v>
      </c>
      <c r="O213" s="4">
        <v>9.8718477</v>
      </c>
      <c r="P213" s="4">
        <f>8.8*M213/1000</f>
        <v>0.06526830024000001</v>
      </c>
      <c r="Q213" s="3">
        <v>12.928994082840235</v>
      </c>
      <c r="R213" s="3">
        <v>12.928994082840235</v>
      </c>
      <c r="S213" s="3"/>
      <c r="T213" s="3" t="s">
        <v>158</v>
      </c>
      <c r="U213" s="1" t="s">
        <v>220</v>
      </c>
      <c r="V213" s="8">
        <v>84.95064864</v>
      </c>
      <c r="W213" s="4">
        <v>0.3606155034768</v>
      </c>
      <c r="X213" s="4">
        <v>2.3456059715088</v>
      </c>
      <c r="Y213" s="8">
        <f t="shared" si="72"/>
        <v>98.78950026386823</v>
      </c>
      <c r="Z213" s="8">
        <f t="shared" si="73"/>
        <v>99.747895027616</v>
      </c>
      <c r="AA213" s="4">
        <f t="shared" si="74"/>
        <v>0.03035254057586354</v>
      </c>
      <c r="AB213" s="4"/>
      <c r="AJ213" s="3">
        <f t="shared" si="71"/>
        <v>27.61139566395664</v>
      </c>
    </row>
    <row r="214" spans="1:36" ht="13.5">
      <c r="A214" s="1" t="str">
        <f t="shared" si="76"/>
        <v>Manual VI,(5)</v>
      </c>
      <c r="B214" s="1" t="s">
        <v>216</v>
      </c>
      <c r="C214" s="3">
        <f t="shared" si="78"/>
        <v>6.789040000000001</v>
      </c>
      <c r="D214" s="3">
        <f t="shared" si="78"/>
        <v>15.248335552596535</v>
      </c>
      <c r="E214" s="3">
        <f t="shared" si="78"/>
        <v>0.10352156</v>
      </c>
      <c r="F214" s="18">
        <f t="shared" si="78"/>
        <v>0</v>
      </c>
      <c r="G214" s="18">
        <f t="shared" si="78"/>
        <v>1</v>
      </c>
      <c r="H214" s="18">
        <f t="shared" si="78"/>
        <v>0</v>
      </c>
      <c r="I214" s="18">
        <f t="shared" si="78"/>
        <v>0</v>
      </c>
      <c r="J214" s="18"/>
      <c r="K214" s="1" t="s">
        <v>154</v>
      </c>
      <c r="L214" s="1" t="s">
        <v>216</v>
      </c>
      <c r="M214" s="3">
        <v>3.04781334</v>
      </c>
      <c r="N214" s="3">
        <v>0.036425630669999993</v>
      </c>
      <c r="O214" s="4">
        <v>4.056646659999999</v>
      </c>
      <c r="P214" s="4">
        <f>13.115*M214/1000</f>
        <v>0.0399720719541</v>
      </c>
      <c r="Q214" s="3">
        <v>11.951398135818907</v>
      </c>
      <c r="R214" s="3">
        <v>11.951398135818907</v>
      </c>
      <c r="S214" s="3"/>
      <c r="T214" s="3" t="s">
        <v>151</v>
      </c>
      <c r="U214" s="1" t="s">
        <v>220</v>
      </c>
      <c r="V214" s="8">
        <v>23.6063256</v>
      </c>
      <c r="W214" s="4">
        <v>0.10020885217200001</v>
      </c>
      <c r="X214" s="4">
        <v>0.645277513452</v>
      </c>
      <c r="Y214" s="8">
        <f t="shared" si="72"/>
        <v>99.09600427072377</v>
      </c>
      <c r="Z214" s="8">
        <f t="shared" si="73"/>
        <v>99.82161187940397</v>
      </c>
      <c r="AA214" s="4">
        <f t="shared" si="74"/>
        <v>0.0051615347470339665</v>
      </c>
      <c r="AB214" s="4"/>
      <c r="AJ214" s="3">
        <f t="shared" si="71"/>
        <v>27.334940828402363</v>
      </c>
    </row>
    <row r="215" spans="1:36" ht="13.5">
      <c r="A215" s="1" t="str">
        <f t="shared" si="76"/>
        <v>Manual IV,(1)</v>
      </c>
      <c r="B215" s="1" t="s">
        <v>217</v>
      </c>
      <c r="C215" s="3">
        <f t="shared" si="78"/>
        <v>0.27937522818953314</v>
      </c>
      <c r="D215" s="3">
        <f t="shared" si="78"/>
        <v>16.95947646776028</v>
      </c>
      <c r="E215" s="3">
        <f t="shared" si="78"/>
        <v>0.004738057608155545</v>
      </c>
      <c r="F215" s="18">
        <f t="shared" si="78"/>
        <v>0</v>
      </c>
      <c r="G215" s="18">
        <f t="shared" si="78"/>
        <v>1</v>
      </c>
      <c r="H215" s="18">
        <f t="shared" si="78"/>
        <v>0</v>
      </c>
      <c r="I215" s="18">
        <f t="shared" si="78"/>
        <v>0</v>
      </c>
      <c r="J215" s="18"/>
      <c r="K215" s="1" t="s">
        <v>154</v>
      </c>
      <c r="L215" s="1" t="s">
        <v>223</v>
      </c>
      <c r="M215" s="3">
        <v>12.374046000000002</v>
      </c>
      <c r="N215" s="3">
        <v>0.1441962</v>
      </c>
      <c r="O215" s="4">
        <v>2.902554</v>
      </c>
      <c r="P215" s="4">
        <f>8.8*M215/1000</f>
        <v>0.10889160480000003</v>
      </c>
      <c r="Q215" s="3">
        <v>11.65311653116531</v>
      </c>
      <c r="R215" s="3">
        <v>11.65311653116531</v>
      </c>
      <c r="S215" s="3"/>
      <c r="T215" s="3" t="s">
        <v>153</v>
      </c>
      <c r="U215" s="1" t="s">
        <v>216</v>
      </c>
      <c r="V215" s="8">
        <v>8.183346599999998</v>
      </c>
      <c r="W215" s="4">
        <v>0.04537665689699999</v>
      </c>
      <c r="X215" s="4">
        <v>0.21677870385599995</v>
      </c>
      <c r="Y215" s="8">
        <f t="shared" si="72"/>
        <v>99.20225666107407</v>
      </c>
      <c r="Z215" s="8">
        <f t="shared" si="73"/>
        <v>99.84637679566063</v>
      </c>
      <c r="AA215" s="4">
        <f t="shared" si="74"/>
        <v>0.0014553684685122445</v>
      </c>
      <c r="AB215" s="4"/>
      <c r="AJ215" s="3">
        <f t="shared" si="71"/>
        <v>26.490226364846873</v>
      </c>
    </row>
    <row r="216" spans="1:36" ht="13.5">
      <c r="A216" s="1" t="str">
        <f t="shared" si="76"/>
        <v>Manual V, (3)</v>
      </c>
      <c r="B216" s="1" t="s">
        <v>222</v>
      </c>
      <c r="C216" s="3">
        <f t="shared" si="78"/>
        <v>21.000414000000003</v>
      </c>
      <c r="D216" s="3">
        <f t="shared" si="78"/>
        <v>14.602669404517451</v>
      </c>
      <c r="E216" s="3">
        <f t="shared" si="78"/>
        <v>0.306662103</v>
      </c>
      <c r="F216" s="18">
        <f t="shared" si="78"/>
        <v>0</v>
      </c>
      <c r="G216" s="18">
        <f t="shared" si="78"/>
        <v>0</v>
      </c>
      <c r="H216" s="18">
        <f t="shared" si="78"/>
        <v>1</v>
      </c>
      <c r="I216" s="18">
        <f t="shared" si="78"/>
        <v>0</v>
      </c>
      <c r="J216" s="18"/>
      <c r="K216" s="1" t="s">
        <v>152</v>
      </c>
      <c r="L216" s="1" t="s">
        <v>220</v>
      </c>
      <c r="M216" s="3">
        <v>8.586246240000001</v>
      </c>
      <c r="N216" s="3">
        <v>0.09255228840000002</v>
      </c>
      <c r="O216" s="4">
        <v>11.42831376</v>
      </c>
      <c r="P216" s="4">
        <f>8.8*M216/1000</f>
        <v>0.07555896691200002</v>
      </c>
      <c r="Q216" s="3">
        <v>10.779132791327914</v>
      </c>
      <c r="R216" s="3">
        <v>10.779132791327912</v>
      </c>
      <c r="S216" s="3"/>
      <c r="T216" s="3" t="s">
        <v>149</v>
      </c>
      <c r="U216" s="1" t="s">
        <v>220</v>
      </c>
      <c r="V216" s="8">
        <v>7.4168523</v>
      </c>
      <c r="W216" s="4">
        <v>0.031484538013500006</v>
      </c>
      <c r="X216" s="4">
        <v>0.19264527775350002</v>
      </c>
      <c r="Y216" s="8">
        <f t="shared" si="72"/>
        <v>99.29855690647125</v>
      </c>
      <c r="Z216" s="8">
        <f t="shared" si="73"/>
        <v>99.86838469627976</v>
      </c>
      <c r="AA216" s="4">
        <f t="shared" si="74"/>
        <v>0.001169034830186354</v>
      </c>
      <c r="AB216" s="4"/>
      <c r="AJ216" s="3">
        <f t="shared" si="71"/>
        <v>25.973994082840235</v>
      </c>
    </row>
    <row r="217" spans="1:36" ht="13.5">
      <c r="A217" s="1" t="str">
        <f t="shared" si="76"/>
        <v>Manual V, (4)</v>
      </c>
      <c r="B217" s="1" t="s">
        <v>222</v>
      </c>
      <c r="C217" s="3">
        <f t="shared" si="78"/>
        <v>51.212433</v>
      </c>
      <c r="D217" s="3">
        <f t="shared" si="78"/>
        <v>13.717659137576998</v>
      </c>
      <c r="E217" s="3">
        <f t="shared" si="78"/>
        <v>0.7025146994999998</v>
      </c>
      <c r="F217" s="18">
        <f t="shared" si="78"/>
        <v>0</v>
      </c>
      <c r="G217" s="18">
        <f t="shared" si="78"/>
        <v>0</v>
      </c>
      <c r="H217" s="18">
        <f t="shared" si="78"/>
        <v>1</v>
      </c>
      <c r="I217" s="18">
        <f t="shared" si="78"/>
        <v>0</v>
      </c>
      <c r="J217" s="18"/>
      <c r="K217" s="1" t="s">
        <v>153</v>
      </c>
      <c r="L217" s="1" t="s">
        <v>206</v>
      </c>
      <c r="M217" s="3">
        <v>58.801</v>
      </c>
      <c r="N217" s="3">
        <v>0.5586095</v>
      </c>
      <c r="O217" s="4">
        <v>68.199</v>
      </c>
      <c r="P217" s="4">
        <v>0.6478905</v>
      </c>
      <c r="Q217" s="3">
        <v>9.5</v>
      </c>
      <c r="R217" s="3">
        <v>9.5</v>
      </c>
      <c r="S217" s="3"/>
      <c r="T217" s="3" t="s">
        <v>154</v>
      </c>
      <c r="U217" s="1" t="s">
        <v>223</v>
      </c>
      <c r="V217" s="8">
        <v>12.374046000000002</v>
      </c>
      <c r="W217" s="4">
        <v>0.05252782527000001</v>
      </c>
      <c r="X217" s="4">
        <v>0.30561563007000003</v>
      </c>
      <c r="Y217" s="8">
        <f t="shared" si="72"/>
        <v>99.4592212446779</v>
      </c>
      <c r="Z217" s="8">
        <f t="shared" si="73"/>
        <v>99.90329839098676</v>
      </c>
      <c r="AA217" s="4">
        <f t="shared" si="74"/>
        <v>0.001628983655657611</v>
      </c>
      <c r="AB217" s="4"/>
      <c r="AJ217" s="3">
        <f t="shared" si="71"/>
        <v>24.698116531165308</v>
      </c>
    </row>
    <row r="218" spans="1:36" ht="13.5">
      <c r="A218" s="1" t="str">
        <f t="shared" si="76"/>
        <v>Manual VI,(5)</v>
      </c>
      <c r="B218" s="1" t="s">
        <v>224</v>
      </c>
      <c r="C218" s="3">
        <f t="shared" si="78"/>
        <v>3.646856</v>
      </c>
      <c r="D218" s="3">
        <f t="shared" si="78"/>
        <v>12.775632490013317</v>
      </c>
      <c r="E218" s="3">
        <f t="shared" si="78"/>
        <v>0.046590892</v>
      </c>
      <c r="F218" s="18">
        <f t="shared" si="78"/>
        <v>0</v>
      </c>
      <c r="G218" s="18">
        <f t="shared" si="78"/>
        <v>0</v>
      </c>
      <c r="H218" s="18">
        <f t="shared" si="78"/>
        <v>0</v>
      </c>
      <c r="I218" s="18">
        <f t="shared" si="78"/>
        <v>1</v>
      </c>
      <c r="J218" s="18"/>
      <c r="K218" s="1" t="s">
        <v>154</v>
      </c>
      <c r="L218" s="1" t="s">
        <v>220</v>
      </c>
      <c r="M218" s="3">
        <v>8.98516476</v>
      </c>
      <c r="N218" s="3">
        <v>0.0759112497</v>
      </c>
      <c r="O218" s="4">
        <v>11.959275239999998</v>
      </c>
      <c r="P218" s="4">
        <f>8.8*M218/1000</f>
        <v>0.079069449888</v>
      </c>
      <c r="Q218" s="3">
        <v>8.448509485094851</v>
      </c>
      <c r="R218" s="3">
        <v>8.448509485094851</v>
      </c>
      <c r="S218" s="3"/>
      <c r="T218" s="3" t="s">
        <v>152</v>
      </c>
      <c r="U218" s="1" t="s">
        <v>220</v>
      </c>
      <c r="V218" s="8">
        <v>8.586246240000001</v>
      </c>
      <c r="W218" s="4">
        <v>0.03644861528880001</v>
      </c>
      <c r="X218" s="4">
        <v>0.20455987060080005</v>
      </c>
      <c r="Y218" s="8">
        <f t="shared" si="72"/>
        <v>99.57070487499809</v>
      </c>
      <c r="Z218" s="8">
        <f t="shared" si="73"/>
        <v>99.92666742113036</v>
      </c>
      <c r="AA218" s="4">
        <f t="shared" si="74"/>
        <v>0.0008919132931357752</v>
      </c>
      <c r="AB218" s="4"/>
      <c r="AJ218" s="3">
        <f t="shared" si="71"/>
        <v>23.824132791327916</v>
      </c>
    </row>
    <row r="219" spans="1:36" ht="13.5">
      <c r="A219" s="1" t="str">
        <f t="shared" si="76"/>
        <v>Manual VI,(7)</v>
      </c>
      <c r="B219" s="1" t="s">
        <v>216</v>
      </c>
      <c r="C219" s="3">
        <f t="shared" si="78"/>
        <v>7.1044599999999996</v>
      </c>
      <c r="D219" s="3">
        <f t="shared" si="78"/>
        <v>11.951398135818907</v>
      </c>
      <c r="E219" s="3">
        <f t="shared" si="78"/>
        <v>0.08490822999999999</v>
      </c>
      <c r="F219" s="18">
        <f t="shared" si="78"/>
        <v>0</v>
      </c>
      <c r="G219" s="18">
        <f t="shared" si="78"/>
        <v>1</v>
      </c>
      <c r="H219" s="18">
        <f t="shared" si="78"/>
        <v>0</v>
      </c>
      <c r="I219" s="18">
        <f t="shared" si="78"/>
        <v>0</v>
      </c>
      <c r="J219" s="18"/>
      <c r="K219" s="1" t="s">
        <v>153</v>
      </c>
      <c r="L219" s="1" t="s">
        <v>216</v>
      </c>
      <c r="M219" s="3">
        <v>8.183346599999998</v>
      </c>
      <c r="N219" s="3">
        <v>0.06407745629999999</v>
      </c>
      <c r="O219" s="4">
        <v>10.892053399999998</v>
      </c>
      <c r="P219" s="4">
        <f>13.115*M219/1000</f>
        <v>0.10732459065899998</v>
      </c>
      <c r="Q219" s="3">
        <v>7.8302263648468715</v>
      </c>
      <c r="R219" s="3">
        <v>7.8302263648468715</v>
      </c>
      <c r="S219" s="3"/>
      <c r="T219" s="3" t="s">
        <v>154</v>
      </c>
      <c r="U219" s="1" t="s">
        <v>220</v>
      </c>
      <c r="V219" s="8">
        <v>8.98516476</v>
      </c>
      <c r="W219" s="4">
        <v>0.0381420244062</v>
      </c>
      <c r="X219" s="4">
        <v>0.1931227239942</v>
      </c>
      <c r="Y219" s="8">
        <f t="shared" si="72"/>
        <v>99.68736805451456</v>
      </c>
      <c r="Z219" s="8">
        <f t="shared" si="73"/>
        <v>99.94872986546599</v>
      </c>
      <c r="AA219" s="4">
        <f t="shared" si="74"/>
        <v>0.0007201902229035102</v>
      </c>
      <c r="AB219" s="4"/>
      <c r="AJ219" s="3">
        <f t="shared" si="71"/>
        <v>21.49350948509485</v>
      </c>
    </row>
    <row r="220" spans="1:36" ht="13.5">
      <c r="A220" s="1" t="str">
        <f t="shared" si="76"/>
        <v>Manual VI,(7)</v>
      </c>
      <c r="B220" s="1" t="s">
        <v>224</v>
      </c>
      <c r="C220" s="3">
        <f t="shared" si="78"/>
        <v>3.776028</v>
      </c>
      <c r="D220" s="3">
        <f t="shared" si="78"/>
        <v>11.95139813581891</v>
      </c>
      <c r="E220" s="3">
        <f t="shared" si="78"/>
        <v>0.045128814</v>
      </c>
      <c r="F220" s="18">
        <f t="shared" si="78"/>
        <v>0</v>
      </c>
      <c r="G220" s="18">
        <f t="shared" si="78"/>
        <v>0</v>
      </c>
      <c r="H220" s="18">
        <f t="shared" si="78"/>
        <v>0</v>
      </c>
      <c r="I220" s="18">
        <f t="shared" si="78"/>
        <v>1</v>
      </c>
      <c r="J220" s="18"/>
      <c r="K220" s="1" t="s">
        <v>153</v>
      </c>
      <c r="L220" s="1" t="s">
        <v>220</v>
      </c>
      <c r="M220" s="3">
        <v>24.1250724</v>
      </c>
      <c r="N220" s="3">
        <v>0.133537833</v>
      </c>
      <c r="O220" s="4">
        <v>32.1105276</v>
      </c>
      <c r="P220" s="4">
        <f>8.8*M220/1000</f>
        <v>0.21230063712000002</v>
      </c>
      <c r="Q220" s="3">
        <v>5.535230352303523</v>
      </c>
      <c r="R220" s="3">
        <v>5.535230352303524</v>
      </c>
      <c r="S220" s="3"/>
      <c r="T220" s="3" t="s">
        <v>153</v>
      </c>
      <c r="U220" s="1" t="s">
        <v>220</v>
      </c>
      <c r="V220" s="8">
        <v>24.1250724</v>
      </c>
      <c r="W220" s="4">
        <v>0.10241093233800001</v>
      </c>
      <c r="X220" s="4">
        <v>0.44824940245800005</v>
      </c>
      <c r="Y220" s="8">
        <f t="shared" si="72"/>
        <v>100.0006074582903</v>
      </c>
      <c r="Z220" s="8">
        <f t="shared" si="73"/>
        <v>99.99993811939736</v>
      </c>
      <c r="AA220" s="4">
        <f t="shared" si="74"/>
        <v>0.0008165915451642186</v>
      </c>
      <c r="AB220" s="4"/>
      <c r="AJ220" s="3">
        <f t="shared" si="71"/>
        <v>18.580230352303523</v>
      </c>
    </row>
    <row r="221" spans="1:36" ht="13.5">
      <c r="A221" s="1" t="str">
        <f t="shared" si="76"/>
        <v>Manual IV,(1)</v>
      </c>
      <c r="B221" s="1" t="s">
        <v>224</v>
      </c>
      <c r="C221" s="3">
        <f t="shared" si="78"/>
        <v>0.21959624923194743</v>
      </c>
      <c r="D221" s="3">
        <f t="shared" si="78"/>
        <v>12.719607350820212</v>
      </c>
      <c r="E221" s="3">
        <f t="shared" si="78"/>
        <v>0.0027931780659432256</v>
      </c>
      <c r="F221" s="18">
        <f t="shared" si="78"/>
        <v>0</v>
      </c>
      <c r="G221" s="18">
        <f t="shared" si="78"/>
        <v>0</v>
      </c>
      <c r="H221" s="18">
        <f t="shared" si="78"/>
        <v>0</v>
      </c>
      <c r="I221" s="18">
        <f t="shared" si="78"/>
        <v>1</v>
      </c>
      <c r="J221" s="18"/>
      <c r="L221" s="1" t="s">
        <v>162</v>
      </c>
      <c r="M221" s="3">
        <f>SUM(M155:M220)</f>
        <v>7701.8468054798395</v>
      </c>
      <c r="N221" s="3">
        <f>SUM(N155:N220)</f>
        <v>624.0495514090208</v>
      </c>
      <c r="O221" s="3">
        <f>SUM(O155:O220)</f>
        <v>3177.623751540038</v>
      </c>
      <c r="P221" s="3">
        <f>SUM(P155:P220)</f>
        <v>197.76843468980672</v>
      </c>
      <c r="Q221" s="3">
        <f>(1000*P221)/O221</f>
        <v>62.237838760475675</v>
      </c>
      <c r="R221" s="3">
        <f>(1000*N221)/M221</f>
        <v>81.02596262561488</v>
      </c>
      <c r="S221" s="3"/>
      <c r="U221" s="1" t="s">
        <v>162</v>
      </c>
      <c r="V221" s="8">
        <f>SUM(V155:V220)</f>
        <v>7701.846805479839</v>
      </c>
      <c r="W221" s="4">
        <f>SUM(W155:W220)</f>
        <v>53.52747223179279</v>
      </c>
      <c r="X221" s="4">
        <f>SUM(X155:X220)</f>
        <v>875.3454583306201</v>
      </c>
      <c r="AA221" s="20" t="s">
        <v>163</v>
      </c>
      <c r="AB221" s="28"/>
      <c r="AJ221" s="3"/>
    </row>
    <row r="222" spans="1:36" ht="13.5">
      <c r="A222" s="1" t="str">
        <f t="shared" si="76"/>
        <v>Manual IV,(2)</v>
      </c>
      <c r="B222" s="1" t="s">
        <v>224</v>
      </c>
      <c r="C222" s="3">
        <f t="shared" si="78"/>
        <v>2.5253568661673955</v>
      </c>
      <c r="D222" s="3">
        <f t="shared" si="78"/>
        <v>12.719607350820207</v>
      </c>
      <c r="E222" s="3">
        <f t="shared" si="78"/>
        <v>0.03212154775834709</v>
      </c>
      <c r="F222" s="18">
        <f t="shared" si="78"/>
        <v>0</v>
      </c>
      <c r="G222" s="18">
        <f t="shared" si="78"/>
        <v>0</v>
      </c>
      <c r="H222" s="18">
        <f t="shared" si="78"/>
        <v>0</v>
      </c>
      <c r="I222" s="18">
        <f t="shared" si="78"/>
        <v>1</v>
      </c>
      <c r="J222" s="18"/>
      <c r="L222" s="1" t="s">
        <v>165</v>
      </c>
      <c r="M222" s="3">
        <f>SUM(M168:M174)+SUM(M176:M178)+SUM(M180:M220)</f>
        <v>5535.077755479837</v>
      </c>
      <c r="N222" s="3">
        <f>SUM(N168:N174)+SUM(N176:N178)+SUM(N180:N220)</f>
        <v>204.7156564090209</v>
      </c>
      <c r="O222" s="3">
        <f>SUM(O168:O174)+SUM(O176:O178)+SUM(O180:O220)</f>
        <v>2585.742801540039</v>
      </c>
      <c r="P222" s="3">
        <f>SUM(P168:P174)+SUM(P176:P178)+SUM(P180:P220)</f>
        <v>80.91332968980666</v>
      </c>
      <c r="Q222" s="3">
        <f>(1000*P222)/O222</f>
        <v>31.29210285014256</v>
      </c>
      <c r="R222" s="3">
        <f>(1000*N222)/M222</f>
        <v>36.985145548560425</v>
      </c>
      <c r="S222" s="3"/>
      <c r="U222" s="1" t="s">
        <v>165</v>
      </c>
      <c r="V222" s="8">
        <f>SUM(V168:V174)+SUM(V176:V178)+SUM(V180:V220)</f>
        <v>5601.8041554798365</v>
      </c>
      <c r="W222" s="4">
        <f>SUM(W168:W174)+SUM(W176:W178)+SUM(W180:W220)</f>
        <v>37.845616511817795</v>
      </c>
      <c r="X222" s="4">
        <f>SUM(X168:X174)+SUM(X176:X178)+SUM(X180:X220)</f>
        <v>325.8146026106454</v>
      </c>
      <c r="AA222" s="25">
        <f>SUM(AA155:AA220)</f>
        <v>50.55467938929839</v>
      </c>
      <c r="AB222" s="54"/>
      <c r="AJ222" s="3"/>
    </row>
    <row r="223" spans="1:36" ht="13.5">
      <c r="A223" s="1" t="str">
        <f t="shared" si="76"/>
        <v>Manual V, (3)</v>
      </c>
      <c r="B223" s="1" t="s">
        <v>225</v>
      </c>
      <c r="C223" s="3">
        <f aca="true" t="shared" si="79" ref="C223:I230">C86</f>
        <v>8.441658</v>
      </c>
      <c r="D223" s="3">
        <f t="shared" si="79"/>
        <v>11.947638603696097</v>
      </c>
      <c r="E223" s="3">
        <f t="shared" si="79"/>
        <v>0.100857879</v>
      </c>
      <c r="F223" s="18">
        <f t="shared" si="79"/>
        <v>0</v>
      </c>
      <c r="G223" s="18">
        <f t="shared" si="79"/>
        <v>0</v>
      </c>
      <c r="H223" s="18">
        <f t="shared" si="79"/>
        <v>0</v>
      </c>
      <c r="I223" s="18">
        <f t="shared" si="79"/>
        <v>1</v>
      </c>
      <c r="J223" s="18"/>
      <c r="M223" s="3"/>
      <c r="N223" s="3"/>
      <c r="O223" s="4"/>
      <c r="P223" s="4"/>
      <c r="Q223" s="3"/>
      <c r="R223" s="3"/>
      <c r="S223" s="3"/>
      <c r="AJ223" s="3"/>
    </row>
    <row r="224" spans="1:36" ht="13.5">
      <c r="A224" s="1" t="str">
        <f t="shared" si="76"/>
        <v>Manual VI,(5)</v>
      </c>
      <c r="B224" s="1" t="s">
        <v>222</v>
      </c>
      <c r="C224" s="3">
        <f t="shared" si="79"/>
        <v>13.472940000000001</v>
      </c>
      <c r="D224" s="3">
        <f t="shared" si="79"/>
        <v>11.127163781624498</v>
      </c>
      <c r="E224" s="3">
        <f t="shared" si="79"/>
        <v>0.14991560999999998</v>
      </c>
      <c r="F224" s="18">
        <f t="shared" si="79"/>
        <v>0</v>
      </c>
      <c r="G224" s="18">
        <f t="shared" si="79"/>
        <v>0</v>
      </c>
      <c r="H224" s="18">
        <f t="shared" si="79"/>
        <v>1</v>
      </c>
      <c r="I224" s="18">
        <f t="shared" si="79"/>
        <v>0</v>
      </c>
      <c r="J224" s="18"/>
      <c r="M224" s="3"/>
      <c r="N224" s="3"/>
      <c r="O224" s="4"/>
      <c r="P224" s="4"/>
      <c r="Q224" s="3"/>
      <c r="R224" s="3"/>
      <c r="S224" s="3"/>
      <c r="V224" s="8" t="s">
        <v>226</v>
      </c>
      <c r="AJ224" s="3"/>
    </row>
    <row r="225" spans="1:36" ht="13.5">
      <c r="A225" s="1" t="str">
        <f t="shared" si="76"/>
        <v>Manual V, (4)</v>
      </c>
      <c r="B225" s="1" t="s">
        <v>224</v>
      </c>
      <c r="C225" s="3">
        <f t="shared" si="79"/>
        <v>27.402516000000002</v>
      </c>
      <c r="D225" s="3">
        <f t="shared" si="79"/>
        <v>11.062628336755646</v>
      </c>
      <c r="E225" s="3">
        <f t="shared" si="79"/>
        <v>0.30314385</v>
      </c>
      <c r="F225" s="18">
        <f t="shared" si="79"/>
        <v>0</v>
      </c>
      <c r="G225" s="18">
        <f t="shared" si="79"/>
        <v>0</v>
      </c>
      <c r="H225" s="18">
        <f t="shared" si="79"/>
        <v>0</v>
      </c>
      <c r="I225" s="18">
        <f t="shared" si="79"/>
        <v>1</v>
      </c>
      <c r="J225" s="18"/>
      <c r="M225" s="3"/>
      <c r="N225" s="3"/>
      <c r="O225" s="4"/>
      <c r="P225" s="4"/>
      <c r="Q225" s="3"/>
      <c r="R225" s="3"/>
      <c r="S225" s="3"/>
      <c r="T225" s="1" t="s">
        <v>111</v>
      </c>
      <c r="U225" s="8">
        <f>V225</f>
        <v>48.464279749717754</v>
      </c>
      <c r="V225" s="8">
        <f>Z166+((Z167-Z166)*(10-Y166)/(Y167-Y166))</f>
        <v>48.464279749717754</v>
      </c>
      <c r="W225" s="8" t="s">
        <v>112</v>
      </c>
      <c r="X225" s="8">
        <f>Z160+((Z161-Z160)*(1-Y160)/(Y161-Y160))</f>
        <v>28.518741082765086</v>
      </c>
      <c r="AJ225" s="3"/>
    </row>
    <row r="226" spans="1:36" ht="13.5">
      <c r="A226" s="1" t="str">
        <f t="shared" si="76"/>
        <v>Manual VI,(7)</v>
      </c>
      <c r="B226" s="1" t="s">
        <v>222</v>
      </c>
      <c r="C226" s="3">
        <f t="shared" si="79"/>
        <v>3.3464560000000003</v>
      </c>
      <c r="D226" s="3">
        <f t="shared" si="79"/>
        <v>10.302929427430094</v>
      </c>
      <c r="E226" s="3">
        <f t="shared" si="79"/>
        <v>0.0344783</v>
      </c>
      <c r="F226" s="18">
        <f t="shared" si="79"/>
        <v>0</v>
      </c>
      <c r="G226" s="18">
        <f t="shared" si="79"/>
        <v>0</v>
      </c>
      <c r="H226" s="18">
        <f t="shared" si="79"/>
        <v>1</v>
      </c>
      <c r="I226" s="18">
        <f t="shared" si="79"/>
        <v>0</v>
      </c>
      <c r="J226" s="18"/>
      <c r="M226" s="3"/>
      <c r="N226" s="3"/>
      <c r="O226" s="4"/>
      <c r="P226" s="4"/>
      <c r="Q226" s="3"/>
      <c r="R226" s="3"/>
      <c r="S226" s="3"/>
      <c r="T226" s="1" t="s">
        <v>115</v>
      </c>
      <c r="U226" s="8">
        <f aca="true" t="shared" si="80" ref="U226:U234">V226-V225</f>
        <v>9.18281612439106</v>
      </c>
      <c r="V226" s="8">
        <f>Z166+((Z167-Z166)*(20-Y166)/(Y167-Y166))</f>
        <v>57.647095874108814</v>
      </c>
      <c r="W226" s="8" t="s">
        <v>116</v>
      </c>
      <c r="X226" s="8">
        <f>Z163+((Z164-Z163)*(5-Y163)/(Y164-Y163))</f>
        <v>41.07495951700041</v>
      </c>
      <c r="Y226" s="1" t="s">
        <v>117</v>
      </c>
      <c r="Z226" s="8">
        <f>1000*X221/V221</f>
        <v>113.65396903348099</v>
      </c>
      <c r="AJ226" s="3"/>
    </row>
    <row r="227" spans="1:36" ht="13.5">
      <c r="A227" s="1" t="str">
        <f t="shared" si="76"/>
        <v>Manual VI,(8)</v>
      </c>
      <c r="B227" s="1" t="s">
        <v>224</v>
      </c>
      <c r="C227" s="3">
        <f t="shared" si="79"/>
        <v>14.620468</v>
      </c>
      <c r="D227" s="3">
        <f t="shared" si="79"/>
        <v>8.654460719041278</v>
      </c>
      <c r="E227" s="3">
        <f t="shared" si="79"/>
        <v>0.126532266</v>
      </c>
      <c r="F227" s="18">
        <f t="shared" si="79"/>
        <v>0</v>
      </c>
      <c r="G227" s="18">
        <f t="shared" si="79"/>
        <v>0</v>
      </c>
      <c r="H227" s="18">
        <f t="shared" si="79"/>
        <v>0</v>
      </c>
      <c r="I227" s="18">
        <f t="shared" si="79"/>
        <v>1</v>
      </c>
      <c r="J227" s="18"/>
      <c r="M227" s="3"/>
      <c r="N227" s="3"/>
      <c r="O227" s="4"/>
      <c r="P227" s="4"/>
      <c r="Q227" s="3"/>
      <c r="R227" s="3"/>
      <c r="S227" s="3"/>
      <c r="T227" s="1" t="s">
        <v>289</v>
      </c>
      <c r="U227" s="8">
        <f t="shared" si="80"/>
        <v>8.138189657883572</v>
      </c>
      <c r="V227" s="8">
        <f>Z170+((Z171-Z170)*(30-Y170)/(Y171-Y170))</f>
        <v>65.78528553199239</v>
      </c>
      <c r="W227" s="8"/>
      <c r="X227" s="8"/>
      <c r="Y227" s="1" t="s">
        <v>290</v>
      </c>
      <c r="Z227" s="8">
        <f>1000*X177/V177</f>
        <v>65.9797424042272</v>
      </c>
      <c r="AJ227" s="3"/>
    </row>
    <row r="228" spans="1:36" ht="13.5">
      <c r="A228" s="1" t="str">
        <f t="shared" si="76"/>
        <v>Manual VI,(6)</v>
      </c>
      <c r="B228" s="1" t="s">
        <v>216</v>
      </c>
      <c r="C228" s="3">
        <f t="shared" si="79"/>
        <v>19.0754</v>
      </c>
      <c r="D228" s="3">
        <f t="shared" si="79"/>
        <v>7.8302263648468715</v>
      </c>
      <c r="E228" s="3">
        <f t="shared" si="79"/>
        <v>0.1493647</v>
      </c>
      <c r="F228" s="18">
        <f t="shared" si="79"/>
        <v>0</v>
      </c>
      <c r="G228" s="18">
        <f t="shared" si="79"/>
        <v>1</v>
      </c>
      <c r="H228" s="18">
        <f t="shared" si="79"/>
        <v>0</v>
      </c>
      <c r="I228" s="18">
        <f t="shared" si="79"/>
        <v>0</v>
      </c>
      <c r="J228" s="18"/>
      <c r="M228" s="3"/>
      <c r="N228" s="3"/>
      <c r="O228" s="4"/>
      <c r="P228" s="4"/>
      <c r="Q228" s="3"/>
      <c r="R228" s="3"/>
      <c r="S228" s="3"/>
      <c r="T228" s="1" t="s">
        <v>293</v>
      </c>
      <c r="U228" s="8">
        <f t="shared" si="80"/>
        <v>6.915335348268272</v>
      </c>
      <c r="V228" s="8">
        <f>Z174+((Z175-Z174)*(40-Y174)/(Y175-Y174))</f>
        <v>72.70062088026066</v>
      </c>
      <c r="W228" s="8" t="s">
        <v>294</v>
      </c>
      <c r="X228" s="8">
        <v>57.647095874108814</v>
      </c>
      <c r="Z228" s="8"/>
      <c r="AJ228" s="3"/>
    </row>
    <row r="229" spans="1:36" ht="13.5">
      <c r="A229" s="1" t="str">
        <f t="shared" si="76"/>
        <v>Manual VI,(6)</v>
      </c>
      <c r="B229" s="1" t="s">
        <v>222</v>
      </c>
      <c r="C229" s="3">
        <f t="shared" si="79"/>
        <v>54.77794</v>
      </c>
      <c r="D229" s="3">
        <f t="shared" si="79"/>
        <v>6.593874833555258</v>
      </c>
      <c r="E229" s="3">
        <f t="shared" si="79"/>
        <v>0.36119887999999994</v>
      </c>
      <c r="F229" s="18">
        <f t="shared" si="79"/>
        <v>0</v>
      </c>
      <c r="G229" s="18">
        <f t="shared" si="79"/>
        <v>0</v>
      </c>
      <c r="H229" s="18">
        <f t="shared" si="79"/>
        <v>1</v>
      </c>
      <c r="I229" s="18">
        <f t="shared" si="79"/>
        <v>0</v>
      </c>
      <c r="J229" s="18"/>
      <c r="M229" s="3"/>
      <c r="N229" s="3"/>
      <c r="O229" s="4"/>
      <c r="P229" s="4"/>
      <c r="Q229" s="3"/>
      <c r="R229" s="3"/>
      <c r="S229" s="3"/>
      <c r="T229" s="1" t="s">
        <v>262</v>
      </c>
      <c r="U229" s="8">
        <f t="shared" si="80"/>
        <v>5.95036216902389</v>
      </c>
      <c r="V229" s="8">
        <f>Z176+((Z177-Z176)*(50-Y176)/(Y177-Y176))</f>
        <v>78.65098304928455</v>
      </c>
      <c r="W229" s="8" t="s">
        <v>263</v>
      </c>
      <c r="X229" s="8">
        <f>100-(X228+X230)</f>
        <v>26.647104377637064</v>
      </c>
      <c r="Y229" s="1" t="s">
        <v>227</v>
      </c>
      <c r="Z229" s="8">
        <f>U230+U229</f>
        <v>11.59357937148522</v>
      </c>
      <c r="AJ229" s="3"/>
    </row>
    <row r="230" spans="1:36" ht="13.5">
      <c r="A230" s="1" t="str">
        <f t="shared" si="76"/>
        <v>Manual VI,(6)</v>
      </c>
      <c r="B230" s="1" t="s">
        <v>224</v>
      </c>
      <c r="C230" s="3">
        <f t="shared" si="79"/>
        <v>5.42222</v>
      </c>
      <c r="D230" s="3">
        <f t="shared" si="79"/>
        <v>6.593874833555259</v>
      </c>
      <c r="E230" s="3">
        <f t="shared" si="79"/>
        <v>0.03575344</v>
      </c>
      <c r="F230" s="18">
        <f t="shared" si="79"/>
        <v>0</v>
      </c>
      <c r="G230" s="18">
        <f t="shared" si="79"/>
        <v>0</v>
      </c>
      <c r="H230" s="18">
        <f t="shared" si="79"/>
        <v>0</v>
      </c>
      <c r="I230" s="18">
        <f t="shared" si="79"/>
        <v>1</v>
      </c>
      <c r="J230" s="18"/>
      <c r="M230" s="3"/>
      <c r="N230" s="3"/>
      <c r="O230" s="4"/>
      <c r="P230" s="4"/>
      <c r="Q230" s="3"/>
      <c r="R230" s="3"/>
      <c r="S230" s="3"/>
      <c r="T230" s="1" t="s">
        <v>267</v>
      </c>
      <c r="U230" s="8">
        <f t="shared" si="80"/>
        <v>5.643217202461329</v>
      </c>
      <c r="V230" s="8">
        <f>Z180+((Z181-Z180)*(60-Y180)/(Y181-Y180))</f>
        <v>84.29420025174588</v>
      </c>
      <c r="W230" s="8" t="s">
        <v>268</v>
      </c>
      <c r="X230" s="8">
        <f>U234+U233+U232+U231</f>
        <v>15.705799748254123</v>
      </c>
      <c r="Y230" s="1" t="s">
        <v>228</v>
      </c>
      <c r="Z230" s="8">
        <f>U234+U233</f>
        <v>6.583900775987971</v>
      </c>
      <c r="AJ230" s="3"/>
    </row>
    <row r="231" spans="1:36" ht="13.5">
      <c r="A231" s="1" t="s">
        <v>190</v>
      </c>
      <c r="C231" s="3">
        <f aca="true" t="shared" si="81" ref="C231:I240">C105</f>
        <v>0.4</v>
      </c>
      <c r="D231" s="3">
        <f t="shared" si="81"/>
        <v>12462.5</v>
      </c>
      <c r="E231" s="3">
        <f t="shared" si="81"/>
        <v>4.985</v>
      </c>
      <c r="F231" s="18">
        <f t="shared" si="81"/>
        <v>1</v>
      </c>
      <c r="G231" s="18">
        <f t="shared" si="81"/>
        <v>0</v>
      </c>
      <c r="H231" s="18">
        <f t="shared" si="81"/>
        <v>0</v>
      </c>
      <c r="I231" s="18">
        <f t="shared" si="81"/>
        <v>0</v>
      </c>
      <c r="J231" s="18"/>
      <c r="M231" s="3"/>
      <c r="N231" s="3"/>
      <c r="O231" s="4"/>
      <c r="P231" s="4"/>
      <c r="Q231" s="3"/>
      <c r="R231" s="3"/>
      <c r="S231" s="3"/>
      <c r="T231" s="1" t="s">
        <v>129</v>
      </c>
      <c r="U231" s="8">
        <f t="shared" si="80"/>
        <v>4.75001188312676</v>
      </c>
      <c r="V231" s="8">
        <f>Z181+((Z182-Z181)*(70-Y181)/(Y182-Y181))</f>
        <v>89.04421213487264</v>
      </c>
      <c r="Y231" s="1" t="s">
        <v>130</v>
      </c>
      <c r="Z231" s="8">
        <f>100*X228/Z229</f>
        <v>497.232942708735</v>
      </c>
      <c r="AJ231" s="3"/>
    </row>
    <row r="232" spans="1:36" ht="13.5">
      <c r="A232" s="1" t="s">
        <v>195</v>
      </c>
      <c r="C232" s="3">
        <f t="shared" si="81"/>
        <v>2.7</v>
      </c>
      <c r="D232" s="3">
        <f t="shared" si="81"/>
        <v>1992.2222222222222</v>
      </c>
      <c r="E232" s="3">
        <f t="shared" si="81"/>
        <v>5.379</v>
      </c>
      <c r="F232" s="18">
        <f t="shared" si="81"/>
        <v>1</v>
      </c>
      <c r="G232" s="18">
        <f t="shared" si="81"/>
        <v>0</v>
      </c>
      <c r="H232" s="18">
        <f t="shared" si="81"/>
        <v>0</v>
      </c>
      <c r="I232" s="18">
        <f t="shared" si="81"/>
        <v>0</v>
      </c>
      <c r="J232" s="18"/>
      <c r="M232" s="3"/>
      <c r="N232" s="3"/>
      <c r="O232" s="4"/>
      <c r="P232" s="4"/>
      <c r="Q232" s="3"/>
      <c r="R232" s="3"/>
      <c r="S232" s="3"/>
      <c r="T232" s="1" t="s">
        <v>132</v>
      </c>
      <c r="U232" s="8">
        <f t="shared" si="80"/>
        <v>4.371887089139392</v>
      </c>
      <c r="V232" s="8">
        <f>Z186+((Z187-Z186)*(80-Y186)/(Y187-Y186))</f>
        <v>93.41609922401203</v>
      </c>
      <c r="Y232" s="1" t="s">
        <v>133</v>
      </c>
      <c r="Z232" s="8">
        <f>100*Z229/Z230</f>
        <v>176.08982525629733</v>
      </c>
      <c r="AJ232" s="3"/>
    </row>
    <row r="233" spans="1:36" ht="13.5">
      <c r="A233" s="1" t="s">
        <v>197</v>
      </c>
      <c r="C233" s="3">
        <f t="shared" si="81"/>
        <v>14.4</v>
      </c>
      <c r="D233" s="3">
        <f t="shared" si="81"/>
        <v>510.2083333333333</v>
      </c>
      <c r="E233" s="3">
        <f t="shared" si="81"/>
        <v>7.347</v>
      </c>
      <c r="F233" s="18">
        <f t="shared" si="81"/>
        <v>1</v>
      </c>
      <c r="G233" s="18">
        <f t="shared" si="81"/>
        <v>0</v>
      </c>
      <c r="H233" s="18">
        <f t="shared" si="81"/>
        <v>0</v>
      </c>
      <c r="I233" s="18">
        <f t="shared" si="81"/>
        <v>0</v>
      </c>
      <c r="J233" s="18"/>
      <c r="M233" s="3"/>
      <c r="N233" s="3"/>
      <c r="O233" s="4"/>
      <c r="P233" s="4"/>
      <c r="Q233" s="3"/>
      <c r="R233" s="3"/>
      <c r="S233" s="3"/>
      <c r="T233" s="1" t="s">
        <v>136</v>
      </c>
      <c r="U233" s="8">
        <f t="shared" si="80"/>
        <v>3.9490683768044477</v>
      </c>
      <c r="V233" s="8">
        <f>Z195+((Z196-Z195)*(90-Y195)/(Y196-Y195))</f>
        <v>97.36516760081648</v>
      </c>
      <c r="AJ233" s="3"/>
    </row>
    <row r="234" spans="1:36" ht="13.5">
      <c r="A234" s="1" t="s">
        <v>199</v>
      </c>
      <c r="C234" s="3">
        <f t="shared" si="81"/>
        <v>78.5</v>
      </c>
      <c r="D234" s="3">
        <f t="shared" si="81"/>
        <v>108.62420382165605</v>
      </c>
      <c r="E234" s="3">
        <f t="shared" si="81"/>
        <v>8.527</v>
      </c>
      <c r="F234" s="18">
        <f t="shared" si="81"/>
        <v>1</v>
      </c>
      <c r="G234" s="18">
        <f t="shared" si="81"/>
        <v>0</v>
      </c>
      <c r="H234" s="18">
        <f t="shared" si="81"/>
        <v>0</v>
      </c>
      <c r="I234" s="18">
        <f t="shared" si="81"/>
        <v>0</v>
      </c>
      <c r="J234" s="18"/>
      <c r="M234" s="3"/>
      <c r="N234" s="3"/>
      <c r="O234" s="4"/>
      <c r="P234" s="4"/>
      <c r="Q234" s="3"/>
      <c r="R234" s="3"/>
      <c r="S234" s="3"/>
      <c r="T234" s="1" t="s">
        <v>139</v>
      </c>
      <c r="U234" s="8">
        <f t="shared" si="80"/>
        <v>2.634832399183523</v>
      </c>
      <c r="V234" s="8">
        <v>100</v>
      </c>
      <c r="AJ234" s="3"/>
    </row>
    <row r="235" spans="1:36" ht="13.5">
      <c r="A235" s="1" t="s">
        <v>208</v>
      </c>
      <c r="C235" s="3">
        <f t="shared" si="81"/>
        <v>338</v>
      </c>
      <c r="D235" s="3">
        <f t="shared" si="81"/>
        <v>40</v>
      </c>
      <c r="E235" s="3">
        <f t="shared" si="81"/>
        <v>13.52</v>
      </c>
      <c r="F235" s="18">
        <f t="shared" si="81"/>
        <v>1</v>
      </c>
      <c r="G235" s="18">
        <f t="shared" si="81"/>
        <v>0</v>
      </c>
      <c r="H235" s="18">
        <f t="shared" si="81"/>
        <v>0</v>
      </c>
      <c r="I235" s="18">
        <f t="shared" si="81"/>
        <v>0</v>
      </c>
      <c r="J235" s="18"/>
      <c r="M235" s="3"/>
      <c r="N235" s="3"/>
      <c r="O235" s="4"/>
      <c r="P235" s="4"/>
      <c r="Q235" s="3"/>
      <c r="R235" s="3"/>
      <c r="S235" s="3"/>
      <c r="AJ235" s="3"/>
    </row>
    <row r="236" spans="1:36" ht="13.5">
      <c r="A236" s="1" t="str">
        <f aca="true" t="shared" si="82" ref="A236:A268">A12</f>
        <v>Manual IV,(1)</v>
      </c>
      <c r="B236" s="1" t="s">
        <v>210</v>
      </c>
      <c r="C236" s="3">
        <f t="shared" si="81"/>
        <v>3.1945400000000004</v>
      </c>
      <c r="D236" s="3">
        <f t="shared" si="81"/>
        <v>64.40393659180977</v>
      </c>
      <c r="E236" s="3">
        <f t="shared" si="81"/>
        <v>0.20574095160000003</v>
      </c>
      <c r="F236" s="18">
        <f t="shared" si="81"/>
        <v>1</v>
      </c>
      <c r="G236" s="18">
        <f t="shared" si="81"/>
        <v>0</v>
      </c>
      <c r="H236" s="18">
        <f t="shared" si="81"/>
        <v>0</v>
      </c>
      <c r="I236" s="18">
        <f t="shared" si="81"/>
        <v>0</v>
      </c>
      <c r="J236" s="18"/>
      <c r="M236" s="3"/>
      <c r="N236" s="3"/>
      <c r="O236" s="4"/>
      <c r="P236" s="4"/>
      <c r="Q236" s="3"/>
      <c r="R236" s="3"/>
      <c r="S236" s="3"/>
      <c r="AJ236" s="3"/>
    </row>
    <row r="237" spans="1:36" ht="13.5">
      <c r="A237" s="1" t="str">
        <f t="shared" si="82"/>
        <v>Manual IV,(2)</v>
      </c>
      <c r="B237" s="1" t="s">
        <v>210</v>
      </c>
      <c r="C237" s="3">
        <f t="shared" si="81"/>
        <v>60.45402000000001</v>
      </c>
      <c r="D237" s="3">
        <f t="shared" si="81"/>
        <v>52.9347424042272</v>
      </c>
      <c r="E237" s="3">
        <f t="shared" si="81"/>
        <v>3.2001179759999996</v>
      </c>
      <c r="F237" s="18">
        <f t="shared" si="81"/>
        <v>1</v>
      </c>
      <c r="G237" s="18">
        <f t="shared" si="81"/>
        <v>0</v>
      </c>
      <c r="H237" s="18">
        <f t="shared" si="81"/>
        <v>0</v>
      </c>
      <c r="I237" s="18">
        <f t="shared" si="81"/>
        <v>0</v>
      </c>
      <c r="J237" s="18"/>
      <c r="M237" s="3"/>
      <c r="N237" s="3"/>
      <c r="O237" s="4"/>
      <c r="P237" s="4"/>
      <c r="Q237" s="3"/>
      <c r="R237" s="3"/>
      <c r="S237" s="3"/>
      <c r="AJ237" s="3"/>
    </row>
    <row r="238" spans="1:36" ht="13.5">
      <c r="A238" s="1" t="str">
        <f t="shared" si="82"/>
        <v>Manual V, (3)</v>
      </c>
      <c r="B238" s="1" t="s">
        <v>210</v>
      </c>
      <c r="C238" s="3">
        <f t="shared" si="81"/>
        <v>108.19380000000001</v>
      </c>
      <c r="D238" s="3">
        <f t="shared" si="81"/>
        <v>35.38461538461538</v>
      </c>
      <c r="E238" s="3">
        <f t="shared" si="81"/>
        <v>3.828396</v>
      </c>
      <c r="F238" s="18">
        <f t="shared" si="81"/>
        <v>1</v>
      </c>
      <c r="G238" s="18">
        <f t="shared" si="81"/>
        <v>0</v>
      </c>
      <c r="H238" s="18">
        <f t="shared" si="81"/>
        <v>0</v>
      </c>
      <c r="I238" s="18">
        <f t="shared" si="81"/>
        <v>0</v>
      </c>
      <c r="J238" s="18"/>
      <c r="M238" s="3"/>
      <c r="N238" s="3"/>
      <c r="O238" s="4"/>
      <c r="P238" s="4"/>
      <c r="Q238" s="3"/>
      <c r="R238" s="3"/>
      <c r="S238" s="3"/>
      <c r="AJ238" s="3"/>
    </row>
    <row r="239" spans="1:36" ht="13.5">
      <c r="A239" s="1" t="str">
        <f t="shared" si="82"/>
        <v>Manual V, (4)</v>
      </c>
      <c r="B239" s="1" t="s">
        <v>210</v>
      </c>
      <c r="C239" s="3">
        <f t="shared" si="81"/>
        <v>191.1052</v>
      </c>
      <c r="D239" s="3">
        <f t="shared" si="81"/>
        <v>31.301775147928993</v>
      </c>
      <c r="E239" s="3">
        <f t="shared" si="81"/>
        <v>5.981932</v>
      </c>
      <c r="F239" s="18">
        <f t="shared" si="81"/>
        <v>1</v>
      </c>
      <c r="G239" s="18">
        <f t="shared" si="81"/>
        <v>0</v>
      </c>
      <c r="H239" s="18">
        <f t="shared" si="81"/>
        <v>0</v>
      </c>
      <c r="I239" s="18">
        <f t="shared" si="81"/>
        <v>0</v>
      </c>
      <c r="J239" s="18"/>
      <c r="M239" s="3"/>
      <c r="N239" s="3"/>
      <c r="O239" s="4"/>
      <c r="P239" s="4"/>
      <c r="Q239" s="3"/>
      <c r="R239" s="3"/>
      <c r="S239" s="3"/>
      <c r="AJ239" s="3"/>
    </row>
    <row r="240" spans="1:19" ht="13.5">
      <c r="A240" s="1" t="str">
        <f t="shared" si="82"/>
        <v>Manual VI,(5)</v>
      </c>
      <c r="B240" s="1" t="s">
        <v>210</v>
      </c>
      <c r="C240" s="3">
        <f t="shared" si="81"/>
        <v>115.28740800000001</v>
      </c>
      <c r="D240" s="3">
        <f t="shared" si="81"/>
        <v>21.266937669376695</v>
      </c>
      <c r="E240" s="3">
        <f t="shared" si="81"/>
        <v>2.4518101200000006</v>
      </c>
      <c r="F240" s="18">
        <f t="shared" si="81"/>
        <v>1</v>
      </c>
      <c r="G240" s="18">
        <f t="shared" si="81"/>
        <v>0</v>
      </c>
      <c r="H240" s="18">
        <f t="shared" si="81"/>
        <v>0</v>
      </c>
      <c r="I240" s="18">
        <f t="shared" si="81"/>
        <v>0</v>
      </c>
      <c r="J240" s="18"/>
      <c r="M240" s="3"/>
      <c r="N240" s="3"/>
      <c r="O240" s="4"/>
      <c r="P240" s="4"/>
      <c r="Q240" s="3"/>
      <c r="R240" s="3"/>
      <c r="S240" s="3"/>
    </row>
    <row r="241" spans="1:19" ht="13.5">
      <c r="A241" s="1" t="str">
        <f t="shared" si="82"/>
        <v>Manual VI,(6)</v>
      </c>
      <c r="B241" s="1" t="s">
        <v>210</v>
      </c>
      <c r="C241" s="3">
        <f aca="true" t="shared" si="83" ref="C241:I250">C115</f>
        <v>508.55580000000003</v>
      </c>
      <c r="D241" s="3">
        <f t="shared" si="83"/>
        <v>19.227642276422767</v>
      </c>
      <c r="E241" s="3">
        <f t="shared" si="83"/>
        <v>9.778329000000001</v>
      </c>
      <c r="F241" s="18">
        <f t="shared" si="83"/>
        <v>1</v>
      </c>
      <c r="G241" s="18">
        <f t="shared" si="83"/>
        <v>0</v>
      </c>
      <c r="H241" s="18">
        <f t="shared" si="83"/>
        <v>0</v>
      </c>
      <c r="I241" s="18">
        <f t="shared" si="83"/>
        <v>0</v>
      </c>
      <c r="J241" s="18"/>
      <c r="M241" s="3"/>
      <c r="N241" s="3"/>
      <c r="O241" s="4"/>
      <c r="P241" s="4"/>
      <c r="Q241" s="3"/>
      <c r="R241" s="3"/>
      <c r="S241" s="3"/>
    </row>
    <row r="242" spans="1:19" ht="13.5">
      <c r="A242" s="1" t="str">
        <f t="shared" si="82"/>
        <v>Manual VI,(7)</v>
      </c>
      <c r="B242" s="1" t="s">
        <v>218</v>
      </c>
      <c r="C242" s="3">
        <f t="shared" si="83"/>
        <v>32.501520000000006</v>
      </c>
      <c r="D242" s="3">
        <f t="shared" si="83"/>
        <v>17.479674796747965</v>
      </c>
      <c r="E242" s="3">
        <f t="shared" si="83"/>
        <v>0.568116</v>
      </c>
      <c r="F242" s="18">
        <f t="shared" si="83"/>
        <v>1</v>
      </c>
      <c r="G242" s="18">
        <f t="shared" si="83"/>
        <v>0</v>
      </c>
      <c r="H242" s="18">
        <f t="shared" si="83"/>
        <v>0</v>
      </c>
      <c r="I242" s="18">
        <f t="shared" si="83"/>
        <v>0</v>
      </c>
      <c r="J242" s="18"/>
      <c r="M242" s="3"/>
      <c r="N242" s="3"/>
      <c r="O242" s="4"/>
      <c r="P242" s="4"/>
      <c r="Q242" s="3"/>
      <c r="R242" s="3"/>
      <c r="S242" s="3"/>
    </row>
    <row r="243" spans="1:19" ht="13.5">
      <c r="A243" s="1" t="str">
        <f t="shared" si="82"/>
        <v>Manual VI,(7)</v>
      </c>
      <c r="B243" s="1" t="s">
        <v>223</v>
      </c>
      <c r="C243" s="3">
        <f t="shared" si="83"/>
        <v>15.2766</v>
      </c>
      <c r="D243" s="3">
        <f t="shared" si="83"/>
        <v>11.65311653116531</v>
      </c>
      <c r="E243" s="3">
        <f t="shared" si="83"/>
        <v>0.17801999999999998</v>
      </c>
      <c r="F243" s="18">
        <f t="shared" si="83"/>
        <v>1</v>
      </c>
      <c r="G243" s="18">
        <f t="shared" si="83"/>
        <v>0</v>
      </c>
      <c r="H243" s="18">
        <f t="shared" si="83"/>
        <v>0</v>
      </c>
      <c r="I243" s="18">
        <f t="shared" si="83"/>
        <v>0</v>
      </c>
      <c r="J243" s="18"/>
      <c r="M243" s="3"/>
      <c r="N243" s="3"/>
      <c r="O243" s="4"/>
      <c r="P243" s="4"/>
      <c r="Q243" s="3"/>
      <c r="R243" s="3"/>
      <c r="S243" s="3"/>
    </row>
    <row r="244" spans="1:19" ht="13.5">
      <c r="A244" s="1" t="str">
        <f t="shared" si="82"/>
        <v>Manual V, (4)</v>
      </c>
      <c r="B244" s="1" t="s">
        <v>215</v>
      </c>
      <c r="C244" s="3">
        <f t="shared" si="83"/>
        <v>129.044344</v>
      </c>
      <c r="D244" s="3">
        <f t="shared" si="83"/>
        <v>22.11538461538462</v>
      </c>
      <c r="E244" s="3">
        <f t="shared" si="83"/>
        <v>2.8538653000000003</v>
      </c>
      <c r="F244" s="18">
        <f t="shared" si="83"/>
        <v>0</v>
      </c>
      <c r="G244" s="18">
        <f t="shared" si="83"/>
        <v>1</v>
      </c>
      <c r="H244" s="18">
        <f t="shared" si="83"/>
        <v>0</v>
      </c>
      <c r="I244" s="18">
        <f t="shared" si="83"/>
        <v>0</v>
      </c>
      <c r="J244" s="18"/>
      <c r="M244" s="3"/>
      <c r="N244" s="3"/>
      <c r="O244" s="4"/>
      <c r="P244" s="4"/>
      <c r="Q244" s="3"/>
      <c r="R244" s="3"/>
      <c r="S244" s="3"/>
    </row>
    <row r="245" spans="1:19" ht="13.5">
      <c r="A245" s="1" t="str">
        <f t="shared" si="82"/>
        <v>Manual VI,(8)</v>
      </c>
      <c r="B245" s="1" t="s">
        <v>220</v>
      </c>
      <c r="C245" s="3">
        <f t="shared" si="83"/>
        <v>198.02016</v>
      </c>
      <c r="D245" s="3">
        <f t="shared" si="83"/>
        <v>14.566395663956639</v>
      </c>
      <c r="E245" s="3">
        <f t="shared" si="83"/>
        <v>2.88444</v>
      </c>
      <c r="F245" s="18">
        <f t="shared" si="83"/>
        <v>0</v>
      </c>
      <c r="G245" s="18">
        <f t="shared" si="83"/>
        <v>1</v>
      </c>
      <c r="H245" s="18">
        <f t="shared" si="83"/>
        <v>0</v>
      </c>
      <c r="I245" s="18">
        <f t="shared" si="83"/>
        <v>0</v>
      </c>
      <c r="J245" s="18"/>
      <c r="M245" s="3"/>
      <c r="N245" s="3"/>
      <c r="O245" s="4"/>
      <c r="P245" s="4"/>
      <c r="Q245" s="3"/>
      <c r="R245" s="3"/>
      <c r="S245" s="3"/>
    </row>
    <row r="246" spans="1:19" ht="13.5">
      <c r="A246" s="1" t="str">
        <f t="shared" si="82"/>
        <v>Manual V, (4)</v>
      </c>
      <c r="B246" s="1" t="s">
        <v>229</v>
      </c>
      <c r="C246" s="3">
        <f t="shared" si="83"/>
        <v>71.907979</v>
      </c>
      <c r="D246" s="3">
        <f t="shared" si="83"/>
        <v>15.650887573964496</v>
      </c>
      <c r="E246" s="3">
        <f t="shared" si="83"/>
        <v>1.125423695</v>
      </c>
      <c r="F246" s="18">
        <f t="shared" si="83"/>
        <v>0</v>
      </c>
      <c r="G246" s="18">
        <f t="shared" si="83"/>
        <v>0</v>
      </c>
      <c r="H246" s="18">
        <f t="shared" si="83"/>
        <v>0</v>
      </c>
      <c r="I246" s="18">
        <f t="shared" si="83"/>
        <v>1</v>
      </c>
      <c r="J246" s="18"/>
      <c r="M246" s="3"/>
      <c r="N246" s="3"/>
      <c r="O246" s="4"/>
      <c r="P246" s="4"/>
      <c r="Q246" s="3"/>
      <c r="R246" s="3"/>
      <c r="S246" s="3"/>
    </row>
    <row r="247" spans="1:19" ht="13.5">
      <c r="A247" s="1" t="str">
        <f t="shared" si="82"/>
        <v>Manual IV,(1)</v>
      </c>
      <c r="B247" s="1" t="s">
        <v>230</v>
      </c>
      <c r="C247" s="3">
        <f t="shared" si="83"/>
        <v>0.793336</v>
      </c>
      <c r="D247" s="3">
        <f t="shared" si="83"/>
        <v>18.527159841479527</v>
      </c>
      <c r="E247" s="3">
        <f t="shared" si="83"/>
        <v>0.014698262880000002</v>
      </c>
      <c r="F247" s="18">
        <f t="shared" si="83"/>
        <v>0</v>
      </c>
      <c r="G247" s="18">
        <f t="shared" si="83"/>
        <v>0</v>
      </c>
      <c r="H247" s="18">
        <f t="shared" si="83"/>
        <v>1</v>
      </c>
      <c r="I247" s="18">
        <f t="shared" si="83"/>
        <v>0</v>
      </c>
      <c r="J247" s="18"/>
      <c r="M247" s="3"/>
      <c r="N247" s="3"/>
      <c r="O247" s="4"/>
      <c r="P247" s="4"/>
      <c r="Q247" s="3"/>
      <c r="R247" s="3"/>
      <c r="S247" s="3"/>
    </row>
    <row r="248" spans="1:19" ht="13.5">
      <c r="A248" s="1" t="str">
        <f t="shared" si="82"/>
        <v>Manual V, (4)</v>
      </c>
      <c r="B248" s="1" t="s">
        <v>220</v>
      </c>
      <c r="C248" s="3">
        <f t="shared" si="83"/>
        <v>55.0264</v>
      </c>
      <c r="D248" s="3">
        <f t="shared" si="83"/>
        <v>14.289940828402367</v>
      </c>
      <c r="E248" s="3">
        <f t="shared" si="83"/>
        <v>0.786324</v>
      </c>
      <c r="F248" s="18">
        <f t="shared" si="83"/>
        <v>0</v>
      </c>
      <c r="G248" s="18">
        <f t="shared" si="83"/>
        <v>1</v>
      </c>
      <c r="H248" s="18">
        <f t="shared" si="83"/>
        <v>0</v>
      </c>
      <c r="I248" s="18">
        <f t="shared" si="83"/>
        <v>0</v>
      </c>
      <c r="J248" s="18"/>
      <c r="M248" s="3"/>
      <c r="N248" s="3"/>
      <c r="O248" s="4"/>
      <c r="P248" s="4"/>
      <c r="Q248" s="3"/>
      <c r="R248" s="3"/>
      <c r="S248" s="3"/>
    </row>
    <row r="249" spans="1:19" ht="13.5">
      <c r="A249" s="1" t="str">
        <f t="shared" si="82"/>
        <v>Manual IV,(2)</v>
      </c>
      <c r="B249" s="1" t="s">
        <v>220</v>
      </c>
      <c r="C249" s="3">
        <f t="shared" si="83"/>
        <v>2.8766000000000003</v>
      </c>
      <c r="D249" s="3">
        <f t="shared" si="83"/>
        <v>16.76266842800528</v>
      </c>
      <c r="E249" s="3">
        <f t="shared" si="83"/>
        <v>0.048219491999999996</v>
      </c>
      <c r="F249" s="18">
        <f t="shared" si="83"/>
        <v>0</v>
      </c>
      <c r="G249" s="18">
        <f t="shared" si="83"/>
        <v>1</v>
      </c>
      <c r="H249" s="18">
        <f t="shared" si="83"/>
        <v>0</v>
      </c>
      <c r="I249" s="18">
        <f t="shared" si="83"/>
        <v>0</v>
      </c>
      <c r="J249" s="18"/>
      <c r="M249" s="3"/>
      <c r="N249" s="3"/>
      <c r="O249" s="4"/>
      <c r="P249" s="4"/>
      <c r="Q249" s="3"/>
      <c r="R249" s="3"/>
      <c r="S249" s="3"/>
    </row>
    <row r="250" spans="1:19" ht="13.5">
      <c r="A250" s="1" t="str">
        <f t="shared" si="82"/>
        <v>Manual V, (3)</v>
      </c>
      <c r="B250" s="1" t="s">
        <v>220</v>
      </c>
      <c r="C250" s="3">
        <f t="shared" si="83"/>
        <v>17.288700000000002</v>
      </c>
      <c r="D250" s="3">
        <f t="shared" si="83"/>
        <v>12.928994082840235</v>
      </c>
      <c r="E250" s="3">
        <f t="shared" si="83"/>
        <v>0.2235255</v>
      </c>
      <c r="F250" s="18">
        <f t="shared" si="83"/>
        <v>0</v>
      </c>
      <c r="G250" s="18">
        <f t="shared" si="83"/>
        <v>1</v>
      </c>
      <c r="H250" s="18">
        <f t="shared" si="83"/>
        <v>0</v>
      </c>
      <c r="I250" s="18">
        <f t="shared" si="83"/>
        <v>0</v>
      </c>
      <c r="J250" s="18"/>
      <c r="M250" s="3"/>
      <c r="N250" s="3"/>
      <c r="O250" s="4"/>
      <c r="P250" s="4"/>
      <c r="Q250" s="3"/>
      <c r="R250" s="3"/>
      <c r="S250" s="3"/>
    </row>
    <row r="251" spans="1:19" ht="13.5">
      <c r="A251" s="1" t="str">
        <f t="shared" si="82"/>
        <v>Manual IV,(2)</v>
      </c>
      <c r="B251" s="1" t="s">
        <v>230</v>
      </c>
      <c r="C251" s="3">
        <f aca="true" t="shared" si="84" ref="C251:I260">C125</f>
        <v>15.813730000000001</v>
      </c>
      <c r="D251" s="3">
        <f t="shared" si="84"/>
        <v>16.32496697490092</v>
      </c>
      <c r="E251" s="3">
        <f t="shared" si="84"/>
        <v>0.25815862</v>
      </c>
      <c r="F251" s="18">
        <f t="shared" si="84"/>
        <v>0</v>
      </c>
      <c r="G251" s="18">
        <f t="shared" si="84"/>
        <v>0</v>
      </c>
      <c r="H251" s="18">
        <f t="shared" si="84"/>
        <v>1</v>
      </c>
      <c r="I251" s="18">
        <f t="shared" si="84"/>
        <v>0</v>
      </c>
      <c r="J251" s="18"/>
      <c r="M251" s="3"/>
      <c r="N251" s="3"/>
      <c r="O251" s="4"/>
      <c r="P251" s="4"/>
      <c r="Q251" s="3"/>
      <c r="R251" s="3"/>
      <c r="S251" s="3"/>
    </row>
    <row r="252" spans="1:19" ht="13.5">
      <c r="A252" s="1" t="str">
        <f t="shared" si="82"/>
        <v>Manual VI,(5)</v>
      </c>
      <c r="B252" s="1" t="s">
        <v>220</v>
      </c>
      <c r="C252" s="3">
        <f t="shared" si="84"/>
        <v>20.014560000000003</v>
      </c>
      <c r="D252" s="3">
        <f t="shared" si="84"/>
        <v>10.779132791327912</v>
      </c>
      <c r="E252" s="3">
        <f t="shared" si="84"/>
        <v>0.21573960000000003</v>
      </c>
      <c r="F252" s="18">
        <f t="shared" si="84"/>
        <v>0</v>
      </c>
      <c r="G252" s="18">
        <f t="shared" si="84"/>
        <v>1</v>
      </c>
      <c r="H252" s="18">
        <f t="shared" si="84"/>
        <v>0</v>
      </c>
      <c r="I252" s="18">
        <f t="shared" si="84"/>
        <v>0</v>
      </c>
      <c r="J252" s="18"/>
      <c r="M252" s="3"/>
      <c r="N252" s="3"/>
      <c r="O252" s="4"/>
      <c r="P252" s="4"/>
      <c r="Q252" s="3"/>
      <c r="R252" s="3"/>
      <c r="S252" s="3"/>
    </row>
    <row r="253" spans="1:19" ht="13.5">
      <c r="A253" s="1" t="str">
        <f t="shared" si="82"/>
        <v>Manual IV,(1)</v>
      </c>
      <c r="B253" s="1" t="s">
        <v>220</v>
      </c>
      <c r="C253" s="3">
        <f t="shared" si="84"/>
        <v>0.173353</v>
      </c>
      <c r="D253" s="3">
        <f t="shared" si="84"/>
        <v>15.880422721268163</v>
      </c>
      <c r="E253" s="3">
        <f t="shared" si="84"/>
        <v>0.00275291892</v>
      </c>
      <c r="F253" s="18">
        <f t="shared" si="84"/>
        <v>0</v>
      </c>
      <c r="G253" s="18">
        <f t="shared" si="84"/>
        <v>1</v>
      </c>
      <c r="H253" s="18">
        <f t="shared" si="84"/>
        <v>0</v>
      </c>
      <c r="I253" s="18">
        <f t="shared" si="84"/>
        <v>0</v>
      </c>
      <c r="J253" s="18"/>
      <c r="M253" s="3"/>
      <c r="N253" s="3"/>
      <c r="O253" s="4"/>
      <c r="P253" s="4"/>
      <c r="Q253" s="3"/>
      <c r="R253" s="3"/>
      <c r="S253" s="3"/>
    </row>
    <row r="254" spans="1:19" ht="13.5">
      <c r="A254" s="1" t="str">
        <f t="shared" si="82"/>
        <v>Manual V, (3)</v>
      </c>
      <c r="B254" s="1" t="s">
        <v>230</v>
      </c>
      <c r="C254" s="3">
        <f t="shared" si="84"/>
        <v>26.721266000000004</v>
      </c>
      <c r="D254" s="3">
        <f t="shared" si="84"/>
        <v>11.227810650887573</v>
      </c>
      <c r="E254" s="3">
        <f t="shared" si="84"/>
        <v>0.300021315</v>
      </c>
      <c r="F254" s="18">
        <f t="shared" si="84"/>
        <v>0</v>
      </c>
      <c r="G254" s="18">
        <f t="shared" si="84"/>
        <v>0</v>
      </c>
      <c r="H254" s="18">
        <f t="shared" si="84"/>
        <v>1</v>
      </c>
      <c r="I254" s="18">
        <f t="shared" si="84"/>
        <v>0</v>
      </c>
      <c r="J254" s="18"/>
      <c r="M254" s="3"/>
      <c r="N254" s="3"/>
      <c r="O254" s="4"/>
      <c r="P254" s="4"/>
      <c r="Q254" s="3"/>
      <c r="R254" s="3"/>
      <c r="S254" s="3"/>
    </row>
    <row r="255" spans="1:19" ht="13.5">
      <c r="A255" s="1" t="str">
        <f t="shared" si="82"/>
        <v>Manual V, (4)</v>
      </c>
      <c r="B255" s="1" t="s">
        <v>230</v>
      </c>
      <c r="C255" s="3">
        <f t="shared" si="84"/>
        <v>65.163527</v>
      </c>
      <c r="D255" s="3">
        <f t="shared" si="84"/>
        <v>10.547337278106506</v>
      </c>
      <c r="E255" s="3">
        <f t="shared" si="84"/>
        <v>0.6873016974999998</v>
      </c>
      <c r="F255" s="18">
        <f t="shared" si="84"/>
        <v>0</v>
      </c>
      <c r="G255" s="18">
        <f t="shared" si="84"/>
        <v>0</v>
      </c>
      <c r="H255" s="18">
        <f t="shared" si="84"/>
        <v>1</v>
      </c>
      <c r="I255" s="18">
        <f t="shared" si="84"/>
        <v>0</v>
      </c>
      <c r="J255" s="18"/>
      <c r="M255" s="3"/>
      <c r="N255" s="3"/>
      <c r="O255" s="4"/>
      <c r="P255" s="4"/>
      <c r="Q255" s="3"/>
      <c r="R255" s="3"/>
      <c r="S255" s="3"/>
    </row>
    <row r="256" spans="1:19" ht="13.5">
      <c r="A256" s="1" t="str">
        <f t="shared" si="82"/>
        <v>Manual VI,(5)</v>
      </c>
      <c r="B256" s="1" t="s">
        <v>229</v>
      </c>
      <c r="C256" s="3">
        <f t="shared" si="84"/>
        <v>10.751184</v>
      </c>
      <c r="D256" s="3">
        <f t="shared" si="84"/>
        <v>9.031165311653117</v>
      </c>
      <c r="E256" s="3">
        <f t="shared" si="84"/>
        <v>0.09709572000000001</v>
      </c>
      <c r="F256" s="18">
        <f t="shared" si="84"/>
        <v>0</v>
      </c>
      <c r="G256" s="18">
        <f t="shared" si="84"/>
        <v>0</v>
      </c>
      <c r="H256" s="18">
        <f t="shared" si="84"/>
        <v>0</v>
      </c>
      <c r="I256" s="18">
        <f t="shared" si="84"/>
        <v>1</v>
      </c>
      <c r="J256" s="18"/>
      <c r="M256" s="3"/>
      <c r="N256" s="3"/>
      <c r="O256" s="4"/>
      <c r="P256" s="4"/>
      <c r="Q256" s="3"/>
      <c r="R256" s="3"/>
      <c r="S256" s="3"/>
    </row>
    <row r="257" spans="1:19" ht="13.5">
      <c r="A257" s="1" t="str">
        <f t="shared" si="82"/>
        <v>Manual VI,(7)</v>
      </c>
      <c r="B257" s="1" t="s">
        <v>220</v>
      </c>
      <c r="C257" s="3">
        <f t="shared" si="84"/>
        <v>20.94444</v>
      </c>
      <c r="D257" s="3">
        <f t="shared" si="84"/>
        <v>8.448509485094851</v>
      </c>
      <c r="E257" s="3">
        <f t="shared" si="84"/>
        <v>0.1769493</v>
      </c>
      <c r="F257" s="18">
        <f t="shared" si="84"/>
        <v>0</v>
      </c>
      <c r="G257" s="18">
        <f t="shared" si="84"/>
        <v>1</v>
      </c>
      <c r="H257" s="18">
        <f t="shared" si="84"/>
        <v>0</v>
      </c>
      <c r="I257" s="18">
        <f t="shared" si="84"/>
        <v>0</v>
      </c>
      <c r="J257" s="18"/>
      <c r="M257" s="3"/>
      <c r="N257" s="3"/>
      <c r="O257" s="4"/>
      <c r="P257" s="4"/>
      <c r="Q257" s="3"/>
      <c r="R257" s="3"/>
      <c r="S257" s="3"/>
    </row>
    <row r="258" spans="1:19" ht="13.5">
      <c r="A258" s="1" t="str">
        <f t="shared" si="82"/>
        <v>Manual VI,(7)</v>
      </c>
      <c r="B258" s="1" t="s">
        <v>229</v>
      </c>
      <c r="C258" s="3">
        <f t="shared" si="84"/>
        <v>11.131992</v>
      </c>
      <c r="D258" s="3">
        <f t="shared" si="84"/>
        <v>8.448509485094851</v>
      </c>
      <c r="E258" s="3">
        <f t="shared" si="84"/>
        <v>0.09404874</v>
      </c>
      <c r="F258" s="18">
        <f t="shared" si="84"/>
        <v>0</v>
      </c>
      <c r="G258" s="18">
        <f t="shared" si="84"/>
        <v>0</v>
      </c>
      <c r="H258" s="18">
        <f t="shared" si="84"/>
        <v>0</v>
      </c>
      <c r="I258" s="18">
        <f t="shared" si="84"/>
        <v>1</v>
      </c>
      <c r="J258" s="18"/>
      <c r="M258" s="3"/>
      <c r="N258" s="3"/>
      <c r="O258" s="4"/>
      <c r="P258" s="4"/>
      <c r="Q258" s="3"/>
      <c r="R258" s="3"/>
      <c r="S258" s="3"/>
    </row>
    <row r="259" spans="1:19" ht="13.5">
      <c r="A259" s="1" t="str">
        <f t="shared" si="82"/>
        <v>Manual IV,(1)</v>
      </c>
      <c r="B259" s="1" t="s">
        <v>229</v>
      </c>
      <c r="C259" s="3">
        <f t="shared" si="84"/>
        <v>0.13626000000000002</v>
      </c>
      <c r="D259" s="3">
        <f t="shared" si="84"/>
        <v>11.910317040951123</v>
      </c>
      <c r="E259" s="3">
        <f t="shared" si="84"/>
        <v>0.0016228998000000002</v>
      </c>
      <c r="F259" s="18">
        <f t="shared" si="84"/>
        <v>0</v>
      </c>
      <c r="G259" s="18">
        <f t="shared" si="84"/>
        <v>0</v>
      </c>
      <c r="H259" s="18">
        <f t="shared" si="84"/>
        <v>0</v>
      </c>
      <c r="I259" s="18">
        <f t="shared" si="84"/>
        <v>1</v>
      </c>
      <c r="J259" s="18"/>
      <c r="M259" s="3"/>
      <c r="N259" s="3"/>
      <c r="O259" s="4"/>
      <c r="P259" s="4"/>
      <c r="Q259" s="3"/>
      <c r="R259" s="3"/>
      <c r="S259" s="3"/>
    </row>
    <row r="260" spans="1:19" ht="13.5">
      <c r="A260" s="1" t="str">
        <f t="shared" si="82"/>
        <v>Manual IV,(2)</v>
      </c>
      <c r="B260" s="1" t="s">
        <v>229</v>
      </c>
      <c r="C260" s="3">
        <f t="shared" si="84"/>
        <v>1.56699</v>
      </c>
      <c r="D260" s="3">
        <f t="shared" si="84"/>
        <v>11.91031704095112</v>
      </c>
      <c r="E260" s="3">
        <f t="shared" si="84"/>
        <v>0.0186633477</v>
      </c>
      <c r="F260" s="18">
        <f t="shared" si="84"/>
        <v>0</v>
      </c>
      <c r="G260" s="18">
        <f t="shared" si="84"/>
        <v>0</v>
      </c>
      <c r="H260" s="18">
        <f t="shared" si="84"/>
        <v>0</v>
      </c>
      <c r="I260" s="18">
        <f t="shared" si="84"/>
        <v>1</v>
      </c>
      <c r="J260" s="18"/>
      <c r="M260" s="3"/>
      <c r="N260" s="3"/>
      <c r="O260" s="4"/>
      <c r="P260" s="4"/>
      <c r="Q260" s="3"/>
      <c r="R260" s="3"/>
      <c r="S260" s="3"/>
    </row>
    <row r="261" spans="1:19" ht="13.5">
      <c r="A261" s="1" t="str">
        <f t="shared" si="82"/>
        <v>Manual V, (3)</v>
      </c>
      <c r="B261" s="1" t="s">
        <v>229</v>
      </c>
      <c r="C261" s="3">
        <f aca="true" t="shared" si="85" ref="C261:I268">C135</f>
        <v>10.741302000000001</v>
      </c>
      <c r="D261" s="3">
        <f t="shared" si="85"/>
        <v>9.186390532544378</v>
      </c>
      <c r="E261" s="3">
        <f t="shared" si="85"/>
        <v>0.098673795</v>
      </c>
      <c r="F261" s="18">
        <f t="shared" si="85"/>
        <v>0</v>
      </c>
      <c r="G261" s="18">
        <f t="shared" si="85"/>
        <v>0</v>
      </c>
      <c r="H261" s="18">
        <f t="shared" si="85"/>
        <v>0</v>
      </c>
      <c r="I261" s="18">
        <f t="shared" si="85"/>
        <v>1</v>
      </c>
      <c r="J261" s="18"/>
      <c r="M261" s="3"/>
      <c r="N261" s="3"/>
      <c r="O261" s="4"/>
      <c r="P261" s="4"/>
      <c r="Q261" s="3"/>
      <c r="R261" s="3"/>
      <c r="S261" s="3"/>
    </row>
    <row r="262" spans="1:19" ht="13.5">
      <c r="A262" s="1" t="str">
        <f t="shared" si="82"/>
        <v>Manual VI,(5)</v>
      </c>
      <c r="B262" s="1" t="s">
        <v>230</v>
      </c>
      <c r="C262" s="3">
        <f t="shared" si="85"/>
        <v>39.71916</v>
      </c>
      <c r="D262" s="3">
        <f t="shared" si="85"/>
        <v>7.865853658536585</v>
      </c>
      <c r="E262" s="3">
        <f t="shared" si="85"/>
        <v>0.3124251</v>
      </c>
      <c r="F262" s="18">
        <f t="shared" si="85"/>
        <v>0</v>
      </c>
      <c r="G262" s="18">
        <f t="shared" si="85"/>
        <v>0</v>
      </c>
      <c r="H262" s="18">
        <f t="shared" si="85"/>
        <v>1</v>
      </c>
      <c r="I262" s="18">
        <f t="shared" si="85"/>
        <v>0</v>
      </c>
      <c r="J262" s="18"/>
      <c r="M262" s="3"/>
      <c r="N262" s="3"/>
      <c r="O262" s="4"/>
      <c r="P262" s="4"/>
      <c r="Q262" s="3"/>
      <c r="R262" s="3"/>
      <c r="S262" s="3"/>
    </row>
    <row r="263" spans="1:19" ht="13.5">
      <c r="A263" s="1" t="str">
        <f t="shared" si="82"/>
        <v>Manual V, (4)</v>
      </c>
      <c r="B263" s="1" t="s">
        <v>229</v>
      </c>
      <c r="C263" s="3">
        <f t="shared" si="85"/>
        <v>34.867404</v>
      </c>
      <c r="D263" s="3">
        <f t="shared" si="85"/>
        <v>8.505917159763314</v>
      </c>
      <c r="E263" s="3">
        <f t="shared" si="85"/>
        <v>0.29657925</v>
      </c>
      <c r="F263" s="18">
        <f t="shared" si="85"/>
        <v>0</v>
      </c>
      <c r="G263" s="18">
        <f t="shared" si="85"/>
        <v>0</v>
      </c>
      <c r="H263" s="18">
        <f t="shared" si="85"/>
        <v>0</v>
      </c>
      <c r="I263" s="18">
        <f t="shared" si="85"/>
        <v>1</v>
      </c>
      <c r="J263" s="18"/>
      <c r="M263" s="3"/>
      <c r="N263" s="3"/>
      <c r="O263" s="4"/>
      <c r="P263" s="4"/>
      <c r="Q263" s="3"/>
      <c r="R263" s="3"/>
      <c r="S263" s="3"/>
    </row>
    <row r="264" spans="1:19" ht="13.5">
      <c r="A264" s="1" t="str">
        <f t="shared" si="82"/>
        <v>Manual VI,(7)</v>
      </c>
      <c r="B264" s="1" t="s">
        <v>230</v>
      </c>
      <c r="C264" s="3">
        <f t="shared" si="85"/>
        <v>9.865584000000002</v>
      </c>
      <c r="D264" s="3">
        <f t="shared" si="85"/>
        <v>7.2831978319783195</v>
      </c>
      <c r="E264" s="3">
        <f t="shared" si="85"/>
        <v>0.07185300000000001</v>
      </c>
      <c r="F264" s="18">
        <f t="shared" si="85"/>
        <v>0</v>
      </c>
      <c r="G264" s="18">
        <f t="shared" si="85"/>
        <v>0</v>
      </c>
      <c r="H264" s="18">
        <f t="shared" si="85"/>
        <v>1</v>
      </c>
      <c r="I264" s="18">
        <f t="shared" si="85"/>
        <v>0</v>
      </c>
      <c r="J264" s="18"/>
      <c r="M264" s="3"/>
      <c r="N264" s="3"/>
      <c r="O264" s="4"/>
      <c r="P264" s="4"/>
      <c r="Q264" s="3"/>
      <c r="R264" s="3"/>
      <c r="S264" s="3"/>
    </row>
    <row r="265" spans="1:19" ht="13.5">
      <c r="A265" s="1" t="str">
        <f t="shared" si="82"/>
        <v>Manual VI,(8)</v>
      </c>
      <c r="B265" s="1" t="s">
        <v>229</v>
      </c>
      <c r="C265" s="3">
        <f t="shared" si="85"/>
        <v>43.102152000000004</v>
      </c>
      <c r="D265" s="3">
        <f t="shared" si="85"/>
        <v>6.117886178861789</v>
      </c>
      <c r="E265" s="3">
        <f t="shared" si="85"/>
        <v>0.26369406</v>
      </c>
      <c r="F265" s="18">
        <f t="shared" si="85"/>
        <v>0</v>
      </c>
      <c r="G265" s="18">
        <f t="shared" si="85"/>
        <v>0</v>
      </c>
      <c r="H265" s="18">
        <f t="shared" si="85"/>
        <v>0</v>
      </c>
      <c r="I265" s="18">
        <f t="shared" si="85"/>
        <v>1</v>
      </c>
      <c r="J265" s="18"/>
      <c r="M265" s="3"/>
      <c r="N265" s="3"/>
      <c r="O265" s="4"/>
      <c r="P265" s="4"/>
      <c r="Q265" s="3"/>
      <c r="R265" s="3"/>
      <c r="S265" s="3"/>
    </row>
    <row r="266" spans="1:19" ht="13.5">
      <c r="A266" s="1" t="str">
        <f t="shared" si="82"/>
        <v>Manual VI,(6)</v>
      </c>
      <c r="B266" s="1" t="s">
        <v>220</v>
      </c>
      <c r="C266" s="3">
        <f t="shared" si="85"/>
        <v>56.235600000000005</v>
      </c>
      <c r="D266" s="3">
        <f t="shared" si="85"/>
        <v>5.535230352303523</v>
      </c>
      <c r="E266" s="3">
        <f t="shared" si="85"/>
        <v>0.31127699999999997</v>
      </c>
      <c r="F266" s="18">
        <f t="shared" si="85"/>
        <v>0</v>
      </c>
      <c r="G266" s="18">
        <f t="shared" si="85"/>
        <v>1</v>
      </c>
      <c r="H266" s="18">
        <f t="shared" si="85"/>
        <v>0</v>
      </c>
      <c r="I266" s="18">
        <f t="shared" si="85"/>
        <v>0</v>
      </c>
      <c r="J266" s="18"/>
      <c r="M266" s="3"/>
      <c r="N266" s="3"/>
      <c r="O266" s="4"/>
      <c r="P266" s="4"/>
      <c r="Q266" s="3"/>
      <c r="R266" s="3"/>
      <c r="S266" s="3"/>
    </row>
    <row r="267" spans="1:19" ht="13.5">
      <c r="A267" s="1" t="str">
        <f t="shared" si="82"/>
        <v>Manual VI,(6)</v>
      </c>
      <c r="B267" s="1" t="s">
        <v>230</v>
      </c>
      <c r="C267" s="3">
        <f t="shared" si="85"/>
        <v>161.48916</v>
      </c>
      <c r="D267" s="3">
        <f t="shared" si="85"/>
        <v>4.661246612466125</v>
      </c>
      <c r="E267" s="3">
        <f t="shared" si="85"/>
        <v>0.7527408</v>
      </c>
      <c r="F267" s="18">
        <f t="shared" si="85"/>
        <v>0</v>
      </c>
      <c r="G267" s="18">
        <f t="shared" si="85"/>
        <v>0</v>
      </c>
      <c r="H267" s="18">
        <f t="shared" si="85"/>
        <v>1</v>
      </c>
      <c r="I267" s="18">
        <f t="shared" si="85"/>
        <v>0</v>
      </c>
      <c r="J267" s="18"/>
      <c r="M267" s="3"/>
      <c r="N267" s="3"/>
      <c r="O267" s="4"/>
      <c r="P267" s="4"/>
      <c r="Q267" s="3"/>
      <c r="R267" s="3"/>
      <c r="S267" s="3"/>
    </row>
    <row r="268" spans="1:19" ht="13.5">
      <c r="A268" s="1" t="str">
        <f t="shared" si="82"/>
        <v>Manual VI,(6)</v>
      </c>
      <c r="B268" s="1" t="s">
        <v>229</v>
      </c>
      <c r="C268" s="3">
        <f t="shared" si="85"/>
        <v>15.985080000000002</v>
      </c>
      <c r="D268" s="3">
        <f t="shared" si="85"/>
        <v>4.661246612466124</v>
      </c>
      <c r="E268" s="3">
        <f t="shared" si="85"/>
        <v>0.0745104</v>
      </c>
      <c r="F268" s="18">
        <f t="shared" si="85"/>
        <v>0</v>
      </c>
      <c r="G268" s="18">
        <f t="shared" si="85"/>
        <v>0</v>
      </c>
      <c r="H268" s="18">
        <f t="shared" si="85"/>
        <v>0</v>
      </c>
      <c r="I268" s="18">
        <f t="shared" si="85"/>
        <v>1</v>
      </c>
      <c r="J268" s="18"/>
      <c r="M268" s="3"/>
      <c r="N268" s="3"/>
      <c r="O268" s="4"/>
      <c r="P268" s="4"/>
      <c r="Q268" s="3"/>
      <c r="R268" s="3"/>
      <c r="S268" s="3"/>
    </row>
    <row r="269" spans="2:5" ht="13.5">
      <c r="B269" s="1" t="s">
        <v>162</v>
      </c>
      <c r="C269" s="3">
        <f>SUM(C155:C268)</f>
        <v>13720.208389</v>
      </c>
      <c r="D269" s="3">
        <f>1000*E269/C269</f>
        <v>62.74153464214562</v>
      </c>
      <c r="E269" s="3">
        <f>SUM(E155:E268)</f>
        <v>860.8269299359005</v>
      </c>
    </row>
    <row r="270" spans="3:5" ht="13.5">
      <c r="C270" s="1">
        <v>13720</v>
      </c>
      <c r="D270" s="3">
        <f>1000*E270/C270</f>
        <v>59.338119533527696</v>
      </c>
      <c r="E270" s="1">
        <v>814.119</v>
      </c>
    </row>
    <row r="271" spans="1:5" ht="13.5">
      <c r="A271" s="1" t="s">
        <v>231</v>
      </c>
      <c r="C271" s="1">
        <v>30415.19</v>
      </c>
      <c r="D271" s="15">
        <v>28.302533370197583</v>
      </c>
      <c r="E271" s="1" t="s">
        <v>232</v>
      </c>
    </row>
    <row r="272" spans="3:7" ht="13.5">
      <c r="C272" s="1" t="s">
        <v>233</v>
      </c>
      <c r="G272" s="1" t="s">
        <v>234</v>
      </c>
    </row>
    <row r="273" spans="1:7" ht="13.5">
      <c r="A273" s="1" t="s">
        <v>235</v>
      </c>
      <c r="C273" s="2" t="s">
        <v>236</v>
      </c>
      <c r="D273" s="2" t="s">
        <v>237</v>
      </c>
      <c r="E273" s="2" t="s">
        <v>238</v>
      </c>
      <c r="G273" s="1" t="s">
        <v>239</v>
      </c>
    </row>
    <row r="274" spans="1:7" ht="13.5">
      <c r="A274" s="1" t="s">
        <v>240</v>
      </c>
      <c r="C274" s="3">
        <f>SUM(C160:C192)</f>
        <v>7785.549999999999</v>
      </c>
      <c r="D274" s="3">
        <f>1000*E274/C274</f>
        <v>32.71863452164588</v>
      </c>
      <c r="E274" s="3">
        <f>SUM(E160:E192)</f>
        <v>254.73256500000005</v>
      </c>
      <c r="G274" s="3">
        <f>1000*E274/SUM(C160:C167)</f>
        <v>64.20383434655054</v>
      </c>
    </row>
    <row r="275" spans="1:7" ht="13.5">
      <c r="A275" s="1" t="s">
        <v>173</v>
      </c>
      <c r="C275" s="3">
        <f>SUM(C198:C230)</f>
        <v>1122.0592379999998</v>
      </c>
      <c r="D275" s="3">
        <f>1000*E275/C275</f>
        <v>28.28932555386172</v>
      </c>
      <c r="E275" s="3">
        <f>SUM(E198:E230)</f>
        <v>31.742299074500004</v>
      </c>
      <c r="G275" s="3">
        <f>1000*E275/SUM(C198:C205)</f>
        <v>56.1200533436524</v>
      </c>
    </row>
    <row r="276" spans="1:7" ht="13.5">
      <c r="A276" s="1" t="s">
        <v>121</v>
      </c>
      <c r="C276" s="3">
        <f>SUM(C236:C268)</f>
        <v>2053.9491510000003</v>
      </c>
      <c r="D276" s="3">
        <f>1000*E276/C276</f>
        <v>18.58033624776916</v>
      </c>
      <c r="E276" s="3">
        <f>SUM(E236:E268)</f>
        <v>38.1630658614</v>
      </c>
      <c r="G276" s="3">
        <f>1000*E276/SUM(C236:C243)</f>
        <v>36.88789243911614</v>
      </c>
    </row>
    <row r="277" spans="1:7" ht="13.5">
      <c r="A277" s="2" t="s">
        <v>261</v>
      </c>
      <c r="C277" s="3">
        <f>SUM(C274:C276)</f>
        <v>10961.558389</v>
      </c>
      <c r="D277" s="3">
        <f>1000*E277/C277</f>
        <v>29.61603801350695</v>
      </c>
      <c r="E277" s="3">
        <f>SUM(E274:E276)</f>
        <v>324.63792993590005</v>
      </c>
      <c r="G277" s="3">
        <f>1000*E277/(SUM(C160:C167)+SUM(C198:C205)+SUM(C236:C243))</f>
        <v>58.30691625069157</v>
      </c>
    </row>
    <row r="279" ht="13.5">
      <c r="A279" s="1" t="s">
        <v>241</v>
      </c>
    </row>
    <row r="280" spans="1:3" ht="13.5">
      <c r="A280" s="1" t="s">
        <v>240</v>
      </c>
      <c r="C280" s="4">
        <f>SUM(C160:C167)/SUM(C160:C192)</f>
        <v>0.509605615531337</v>
      </c>
    </row>
    <row r="281" spans="1:3" ht="13.5">
      <c r="A281" s="1" t="s">
        <v>173</v>
      </c>
      <c r="C281" s="4">
        <f>SUM(C198:C205)/SUM(C198:C230)</f>
        <v>0.5040858635794838</v>
      </c>
    </row>
    <row r="282" spans="1:3" ht="13.5">
      <c r="A282" s="1" t="s">
        <v>121</v>
      </c>
      <c r="C282" s="4">
        <f>SUM(C236:C243)/SUM(C236:C268)</f>
        <v>0.5036974199172859</v>
      </c>
    </row>
    <row r="283" ht="13.5">
      <c r="A283" s="2" t="s">
        <v>261</v>
      </c>
    </row>
    <row r="285" ht="13.5">
      <c r="A285" s="1" t="s">
        <v>242</v>
      </c>
    </row>
    <row r="286" ht="13.5">
      <c r="A286" s="1" t="s">
        <v>243</v>
      </c>
    </row>
    <row r="287" ht="13.5">
      <c r="A287" s="1" t="s">
        <v>244</v>
      </c>
    </row>
  </sheetData>
  <printOptions/>
  <pageMargins left="0.75" right="0.75" top="1" bottom="1" header="0.5" footer="0.5"/>
  <pageSetup orientation="portrait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N8" sqref="N8"/>
    </sheetView>
  </sheetViews>
  <sheetFormatPr defaultColWidth="11.00390625" defaultRowHeight="12.75"/>
  <cols>
    <col min="1" max="1" width="8.75390625" style="31" customWidth="1"/>
    <col min="2" max="2" width="10.75390625" style="31" customWidth="1"/>
    <col min="3" max="3" width="14.375" style="31" customWidth="1"/>
    <col min="4" max="4" width="3.75390625" style="31" customWidth="1"/>
    <col min="5" max="5" width="8.75390625" style="31" customWidth="1"/>
    <col min="6" max="6" width="10.75390625" style="31" customWidth="1"/>
    <col min="7" max="7" width="11.875" style="31" customWidth="1"/>
    <col min="8" max="8" width="2.75390625" style="31" customWidth="1"/>
    <col min="9" max="9" width="8.75390625" style="31" customWidth="1"/>
    <col min="10" max="10" width="10.75390625" style="31" customWidth="1"/>
    <col min="11" max="11" width="12.125" style="31" customWidth="1"/>
    <col min="12" max="12" width="4.75390625" style="31" customWidth="1"/>
    <col min="13" max="16384" width="10.75390625" style="31" customWidth="1"/>
  </cols>
  <sheetData>
    <row r="1" ht="15">
      <c r="A1" s="31" t="s">
        <v>278</v>
      </c>
    </row>
    <row r="3" spans="1:11" ht="15.75">
      <c r="A3" s="52" t="s">
        <v>299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.75">
      <c r="A5" s="56"/>
      <c r="B5" s="56" t="s">
        <v>300</v>
      </c>
      <c r="C5" s="57" t="s">
        <v>301</v>
      </c>
      <c r="D5" s="56"/>
      <c r="E5" s="56"/>
      <c r="F5" s="56" t="s">
        <v>300</v>
      </c>
      <c r="G5" s="57" t="s">
        <v>301</v>
      </c>
      <c r="H5" s="56"/>
      <c r="I5" s="56"/>
      <c r="J5" s="56" t="s">
        <v>300</v>
      </c>
      <c r="K5" s="57" t="s">
        <v>301</v>
      </c>
    </row>
    <row r="6" spans="1:11" ht="15.75">
      <c r="A6" s="56" t="s">
        <v>300</v>
      </c>
      <c r="B6" s="56" t="s">
        <v>305</v>
      </c>
      <c r="C6" s="57" t="s">
        <v>306</v>
      </c>
      <c r="D6" s="56"/>
      <c r="E6" s="56"/>
      <c r="F6" s="56" t="s">
        <v>307</v>
      </c>
      <c r="G6" s="57" t="s">
        <v>309</v>
      </c>
      <c r="H6" s="56"/>
      <c r="I6" s="56"/>
      <c r="J6" s="56" t="s">
        <v>310</v>
      </c>
      <c r="K6" s="57" t="s">
        <v>311</v>
      </c>
    </row>
    <row r="7" spans="1:11" ht="16.5">
      <c r="A7" s="56" t="s">
        <v>303</v>
      </c>
      <c r="B7" s="58" t="s">
        <v>302</v>
      </c>
      <c r="C7" s="59"/>
      <c r="D7" s="60"/>
      <c r="E7" s="56" t="s">
        <v>303</v>
      </c>
      <c r="F7" s="58" t="s">
        <v>308</v>
      </c>
      <c r="G7" s="59"/>
      <c r="H7" s="56"/>
      <c r="I7" s="56" t="s">
        <v>303</v>
      </c>
      <c r="J7" s="58" t="s">
        <v>308</v>
      </c>
      <c r="K7" s="59"/>
    </row>
    <row r="8" spans="1:11" ht="16.5">
      <c r="A8" s="56" t="s">
        <v>301</v>
      </c>
      <c r="B8" s="61" t="s">
        <v>279</v>
      </c>
      <c r="C8" s="62"/>
      <c r="D8" s="60"/>
      <c r="E8" s="56" t="s">
        <v>301</v>
      </c>
      <c r="F8" s="61" t="s">
        <v>280</v>
      </c>
      <c r="G8" s="62"/>
      <c r="H8" s="56"/>
      <c r="I8" s="56" t="s">
        <v>301</v>
      </c>
      <c r="J8" s="61" t="s">
        <v>281</v>
      </c>
      <c r="K8" s="62"/>
    </row>
    <row r="9" spans="1:11" ht="15.75">
      <c r="A9" s="56" t="s">
        <v>304</v>
      </c>
      <c r="B9" s="63" t="s">
        <v>282</v>
      </c>
      <c r="C9" s="64"/>
      <c r="D9" s="60"/>
      <c r="E9" s="56" t="s">
        <v>304</v>
      </c>
      <c r="F9" s="63" t="s">
        <v>282</v>
      </c>
      <c r="G9" s="64"/>
      <c r="H9" s="56"/>
      <c r="I9" s="56" t="s">
        <v>304</v>
      </c>
      <c r="J9" s="65" t="s">
        <v>312</v>
      </c>
      <c r="K9" s="64"/>
    </row>
    <row r="10" spans="1:11" ht="15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.75">
      <c r="A11" s="56"/>
      <c r="B11" s="56" t="s">
        <v>300</v>
      </c>
      <c r="C11" s="57" t="s">
        <v>301</v>
      </c>
      <c r="D11" s="56"/>
      <c r="E11" s="56"/>
      <c r="F11" s="56" t="s">
        <v>300</v>
      </c>
      <c r="G11" s="57" t="s">
        <v>301</v>
      </c>
      <c r="H11" s="56"/>
      <c r="I11" s="56"/>
      <c r="J11" s="56" t="s">
        <v>300</v>
      </c>
      <c r="K11" s="57" t="s">
        <v>301</v>
      </c>
    </row>
    <row r="12" spans="1:11" ht="15.75">
      <c r="A12" s="56" t="s">
        <v>300</v>
      </c>
      <c r="B12" s="56" t="s">
        <v>305</v>
      </c>
      <c r="C12" s="57" t="s">
        <v>306</v>
      </c>
      <c r="D12" s="56"/>
      <c r="E12" s="56"/>
      <c r="F12" s="56" t="s">
        <v>307</v>
      </c>
      <c r="G12" s="57" t="s">
        <v>309</v>
      </c>
      <c r="H12" s="56"/>
      <c r="I12" s="56"/>
      <c r="J12" s="56" t="s">
        <v>310</v>
      </c>
      <c r="K12" s="57" t="s">
        <v>311</v>
      </c>
    </row>
    <row r="13" spans="1:11" ht="16.5">
      <c r="A13" s="56" t="s">
        <v>271</v>
      </c>
      <c r="B13" s="58" t="s">
        <v>302</v>
      </c>
      <c r="C13" s="59"/>
      <c r="D13" s="56"/>
      <c r="E13" s="56" t="s">
        <v>271</v>
      </c>
      <c r="F13" s="58" t="s">
        <v>308</v>
      </c>
      <c r="G13" s="59"/>
      <c r="H13" s="56"/>
      <c r="I13" s="56" t="s">
        <v>271</v>
      </c>
      <c r="J13" s="58" t="s">
        <v>308</v>
      </c>
      <c r="K13" s="59"/>
    </row>
    <row r="14" spans="1:11" ht="16.5">
      <c r="A14" s="56" t="s">
        <v>301</v>
      </c>
      <c r="B14" s="61" t="s">
        <v>279</v>
      </c>
      <c r="C14" s="62"/>
      <c r="D14" s="56"/>
      <c r="E14" s="56" t="s">
        <v>301</v>
      </c>
      <c r="F14" s="61" t="s">
        <v>280</v>
      </c>
      <c r="G14" s="62"/>
      <c r="H14" s="56"/>
      <c r="I14" s="56" t="s">
        <v>301</v>
      </c>
      <c r="J14" s="61" t="s">
        <v>281</v>
      </c>
      <c r="K14" s="62"/>
    </row>
    <row r="15" spans="1:11" ht="15.75">
      <c r="A15" s="56" t="s">
        <v>272</v>
      </c>
      <c r="B15" s="63" t="s">
        <v>283</v>
      </c>
      <c r="C15" s="64"/>
      <c r="D15" s="56"/>
      <c r="E15" s="56" t="s">
        <v>272</v>
      </c>
      <c r="F15" s="63" t="s">
        <v>283</v>
      </c>
      <c r="G15" s="64"/>
      <c r="H15" s="56"/>
      <c r="I15" s="56" t="s">
        <v>272</v>
      </c>
      <c r="J15" s="65" t="s">
        <v>273</v>
      </c>
      <c r="K15" s="64"/>
    </row>
    <row r="16" spans="1:11" ht="15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5.75">
      <c r="A17" s="56"/>
      <c r="B17" s="56" t="s">
        <v>300</v>
      </c>
      <c r="C17" s="57" t="s">
        <v>301</v>
      </c>
      <c r="D17" s="56"/>
      <c r="E17" s="56"/>
      <c r="F17" s="56" t="s">
        <v>300</v>
      </c>
      <c r="G17" s="57" t="s">
        <v>301</v>
      </c>
      <c r="H17" s="56"/>
      <c r="I17" s="56"/>
      <c r="J17" s="56" t="s">
        <v>300</v>
      </c>
      <c r="K17" s="57" t="s">
        <v>301</v>
      </c>
    </row>
    <row r="18" spans="1:11" ht="15.75">
      <c r="A18" s="56" t="s">
        <v>300</v>
      </c>
      <c r="B18" s="56" t="s">
        <v>305</v>
      </c>
      <c r="C18" s="57" t="s">
        <v>306</v>
      </c>
      <c r="D18" s="56"/>
      <c r="E18" s="56"/>
      <c r="F18" s="56" t="s">
        <v>307</v>
      </c>
      <c r="G18" s="57" t="s">
        <v>309</v>
      </c>
      <c r="H18" s="56"/>
      <c r="I18" s="56"/>
      <c r="J18" s="56" t="s">
        <v>310</v>
      </c>
      <c r="K18" s="57" t="s">
        <v>311</v>
      </c>
    </row>
    <row r="19" spans="1:11" ht="16.5">
      <c r="A19" s="56" t="s">
        <v>274</v>
      </c>
      <c r="B19" s="58" t="s">
        <v>302</v>
      </c>
      <c r="C19" s="59"/>
      <c r="D19" s="56"/>
      <c r="E19" s="56" t="s">
        <v>274</v>
      </c>
      <c r="F19" s="58" t="s">
        <v>308</v>
      </c>
      <c r="G19" s="59"/>
      <c r="H19" s="56"/>
      <c r="I19" s="56" t="s">
        <v>274</v>
      </c>
      <c r="J19" s="58" t="s">
        <v>308</v>
      </c>
      <c r="K19" s="59"/>
    </row>
    <row r="20" spans="1:11" ht="16.5">
      <c r="A20" s="56" t="s">
        <v>301</v>
      </c>
      <c r="B20" s="61" t="s">
        <v>279</v>
      </c>
      <c r="C20" s="62"/>
      <c r="D20" s="56"/>
      <c r="E20" s="56" t="s">
        <v>301</v>
      </c>
      <c r="F20" s="61" t="s">
        <v>280</v>
      </c>
      <c r="G20" s="62"/>
      <c r="H20" s="56"/>
      <c r="I20" s="56" t="s">
        <v>301</v>
      </c>
      <c r="J20" s="61" t="s">
        <v>281</v>
      </c>
      <c r="K20" s="62"/>
    </row>
    <row r="21" spans="1:11" ht="15.75">
      <c r="A21" s="56" t="s">
        <v>275</v>
      </c>
      <c r="B21" s="63" t="s">
        <v>284</v>
      </c>
      <c r="C21" s="64"/>
      <c r="D21" s="56"/>
      <c r="E21" s="56" t="s">
        <v>275</v>
      </c>
      <c r="F21" s="63" t="s">
        <v>284</v>
      </c>
      <c r="G21" s="64"/>
      <c r="H21" s="56"/>
      <c r="I21" s="56" t="s">
        <v>275</v>
      </c>
      <c r="J21" s="65" t="s">
        <v>285</v>
      </c>
      <c r="K21" s="64"/>
    </row>
    <row r="22" spans="1:11" ht="15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.75">
      <c r="A24" s="56" t="s">
        <v>300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6.5">
      <c r="A25" s="56" t="s">
        <v>276</v>
      </c>
      <c r="B25" s="58" t="s">
        <v>302</v>
      </c>
      <c r="C25" s="59"/>
      <c r="D25" s="56"/>
      <c r="E25" s="56" t="s">
        <v>276</v>
      </c>
      <c r="F25" s="58" t="s">
        <v>308</v>
      </c>
      <c r="G25" s="59"/>
      <c r="H25" s="56"/>
      <c r="I25" s="56" t="s">
        <v>276</v>
      </c>
      <c r="J25" s="58" t="s">
        <v>308</v>
      </c>
      <c r="K25" s="59"/>
    </row>
    <row r="26" spans="1:11" ht="16.5">
      <c r="A26" s="56" t="s">
        <v>301</v>
      </c>
      <c r="B26" s="61" t="s">
        <v>279</v>
      </c>
      <c r="C26" s="62"/>
      <c r="D26" s="56"/>
      <c r="E26" s="56" t="s">
        <v>301</v>
      </c>
      <c r="F26" s="61" t="s">
        <v>280</v>
      </c>
      <c r="G26" s="62"/>
      <c r="H26" s="56"/>
      <c r="I26" s="56" t="s">
        <v>301</v>
      </c>
      <c r="J26" s="61" t="s">
        <v>281</v>
      </c>
      <c r="K26" s="62"/>
    </row>
    <row r="27" spans="1:11" ht="15.75">
      <c r="A27" s="56" t="s">
        <v>277</v>
      </c>
      <c r="B27" s="63" t="s">
        <v>286</v>
      </c>
      <c r="C27" s="64"/>
      <c r="D27" s="56"/>
      <c r="E27" s="56" t="s">
        <v>277</v>
      </c>
      <c r="F27" s="63" t="s">
        <v>286</v>
      </c>
      <c r="G27" s="64"/>
      <c r="H27" s="56"/>
      <c r="I27" s="56" t="s">
        <v>277</v>
      </c>
      <c r="J27" s="65" t="s">
        <v>287</v>
      </c>
      <c r="K27" s="64"/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H. Lindert</cp:lastModifiedBy>
  <dcterms:created xsi:type="dcterms:W3CDTF">2007-08-06T17:35:55Z</dcterms:created>
  <cp:category/>
  <cp:version/>
  <cp:contentType/>
  <cp:contentStatus/>
</cp:coreProperties>
</file>