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showInkAnnotation="0" codeName="ThisWorkbook" autoCompressPictures="0"/>
  <bookViews>
    <workbookView xWindow="0" yWindow="0" windowWidth="20840" windowHeight="15800" tabRatio="500" firstSheet="5" activeTab="6"/>
  </bookViews>
  <sheets>
    <sheet name="Sources &amp; notes" sheetId="14" r:id="rId1"/>
    <sheet name="(1) Commercial time" sheetId="16" r:id="rId2"/>
    <sheet name="(2) Farm incomes" sheetId="12" r:id="rId3"/>
    <sheet name="(2.5) Farm income, Table A-2" sheetId="17" r:id="rId4"/>
    <sheet name="(3) Indentured LF earnings" sheetId="10" r:id="rId5"/>
    <sheet name="(4) Slave earnings divided" sheetId="7" r:id="rId6"/>
    <sheet name="(5) Own-labor income RESULTS" sheetId="15" r:id="rId7"/>
  </sheets>
  <externalReferences>
    <externalReference r:id="rId8"/>
  </externalReferenc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0" i="17" l="1"/>
  <c r="F20" i="17"/>
  <c r="G20" i="17"/>
  <c r="D20" i="17"/>
  <c r="E11" i="17"/>
  <c r="F11" i="17"/>
  <c r="G11" i="17"/>
  <c r="D11" i="17"/>
  <c r="Q71" i="12"/>
  <c r="R71" i="12"/>
  <c r="S71" i="12"/>
  <c r="P71" i="12"/>
  <c r="P69" i="12"/>
  <c r="Q70" i="12"/>
  <c r="R70" i="12"/>
  <c r="S70" i="12"/>
  <c r="P70" i="12"/>
  <c r="P68" i="12"/>
  <c r="Q69" i="12"/>
  <c r="R69" i="12"/>
  <c r="S69" i="12"/>
  <c r="Q68" i="12"/>
  <c r="R68" i="12"/>
  <c r="S68" i="12"/>
  <c r="S61" i="12"/>
  <c r="S60" i="12"/>
  <c r="R61" i="12"/>
  <c r="R60" i="12"/>
  <c r="Q61" i="12"/>
  <c r="Q60" i="12"/>
  <c r="P61" i="12"/>
  <c r="P60" i="12"/>
  <c r="S58" i="12"/>
  <c r="S57" i="12"/>
  <c r="R58" i="12"/>
  <c r="R57" i="12"/>
  <c r="Q58" i="12"/>
  <c r="Q57" i="12"/>
  <c r="P58" i="12"/>
  <c r="P57" i="12"/>
  <c r="Q55" i="12"/>
  <c r="R55" i="12"/>
  <c r="P55" i="12"/>
  <c r="S55" i="12"/>
  <c r="S53" i="12"/>
  <c r="S51" i="12"/>
  <c r="S52" i="12"/>
  <c r="S50" i="12"/>
  <c r="Q51" i="12"/>
  <c r="R51" i="12"/>
  <c r="Q52" i="12"/>
  <c r="R52" i="12"/>
  <c r="R50" i="12"/>
  <c r="Q50" i="12"/>
  <c r="P51" i="12"/>
  <c r="P52" i="12"/>
  <c r="P50" i="12"/>
  <c r="W29" i="15"/>
  <c r="AB29" i="15"/>
  <c r="W30" i="15"/>
  <c r="AB30" i="15"/>
  <c r="W31" i="15"/>
  <c r="AB31" i="15"/>
  <c r="W32" i="15"/>
  <c r="AB32" i="15"/>
  <c r="AB59" i="15"/>
  <c r="H29" i="15"/>
  <c r="X29" i="15"/>
  <c r="AC29" i="15"/>
  <c r="H30" i="15"/>
  <c r="X30" i="15"/>
  <c r="AC30" i="15"/>
  <c r="H31" i="15"/>
  <c r="X31" i="15"/>
  <c r="AC31" i="15"/>
  <c r="H32" i="15"/>
  <c r="X32" i="15"/>
  <c r="AC32" i="15"/>
  <c r="X33" i="15"/>
  <c r="AC33" i="15"/>
  <c r="AC59" i="15"/>
  <c r="I29" i="15"/>
  <c r="Y29" i="15"/>
  <c r="AD29" i="15"/>
  <c r="I30" i="15"/>
  <c r="Y30" i="15"/>
  <c r="AD30" i="15"/>
  <c r="I31" i="15"/>
  <c r="Y31" i="15"/>
  <c r="AD31" i="15"/>
  <c r="I32" i="15"/>
  <c r="Y32" i="15"/>
  <c r="AD32" i="15"/>
  <c r="AD59" i="15"/>
  <c r="AE59" i="15"/>
  <c r="W59" i="15"/>
  <c r="X59" i="15"/>
  <c r="Y59" i="15"/>
  <c r="Z59" i="15"/>
  <c r="I59" i="15"/>
  <c r="S59" i="15"/>
  <c r="H59" i="15"/>
  <c r="R59" i="15"/>
  <c r="G59" i="15"/>
  <c r="Q59" i="15"/>
  <c r="O29" i="15"/>
  <c r="O30" i="15"/>
  <c r="O31" i="15"/>
  <c r="O32" i="15"/>
  <c r="M33" i="15"/>
  <c r="O33" i="15"/>
  <c r="O59" i="15"/>
  <c r="N59" i="15"/>
  <c r="M59" i="15"/>
  <c r="L59" i="15"/>
  <c r="J29" i="15"/>
  <c r="J30" i="15"/>
  <c r="J31" i="15"/>
  <c r="J32" i="15"/>
  <c r="J33" i="15"/>
  <c r="J59" i="15"/>
  <c r="G12" i="15"/>
  <c r="AL12" i="15"/>
  <c r="G13" i="15"/>
  <c r="AL13" i="15"/>
  <c r="G14" i="15"/>
  <c r="AL14" i="15"/>
  <c r="G15" i="15"/>
  <c r="AL15" i="15"/>
  <c r="G16" i="15"/>
  <c r="AL16" i="15"/>
  <c r="G17" i="15"/>
  <c r="AL17" i="15"/>
  <c r="G18" i="15"/>
  <c r="AL18" i="15"/>
  <c r="G19" i="15"/>
  <c r="AL19" i="15"/>
  <c r="G20" i="15"/>
  <c r="AL20" i="15"/>
  <c r="AL11" i="15"/>
  <c r="AL25" i="15"/>
  <c r="AL26" i="15"/>
  <c r="AL27" i="15"/>
  <c r="AL28" i="15"/>
  <c r="AL29" i="15"/>
  <c r="AL30" i="15"/>
  <c r="AL31" i="15"/>
  <c r="AL32" i="15"/>
  <c r="AL34" i="15"/>
  <c r="AL36" i="15"/>
  <c r="AL37" i="15"/>
  <c r="AL24" i="15"/>
  <c r="AL45" i="15"/>
  <c r="H12" i="15"/>
  <c r="AM12" i="15"/>
  <c r="H13" i="15"/>
  <c r="AM13" i="15"/>
  <c r="H14" i="15"/>
  <c r="AM14" i="15"/>
  <c r="H15" i="15"/>
  <c r="AM15" i="15"/>
  <c r="H16" i="15"/>
  <c r="AM16" i="15"/>
  <c r="H17" i="15"/>
  <c r="AM17" i="15"/>
  <c r="H18" i="15"/>
  <c r="AM18" i="15"/>
  <c r="H19" i="15"/>
  <c r="AM19" i="15"/>
  <c r="H20" i="15"/>
  <c r="AM20" i="15"/>
  <c r="AM11" i="15"/>
  <c r="H25" i="15"/>
  <c r="AM25" i="15"/>
  <c r="H26" i="15"/>
  <c r="AM26" i="15"/>
  <c r="H27" i="15"/>
  <c r="AM27" i="15"/>
  <c r="H28" i="15"/>
  <c r="AM28" i="15"/>
  <c r="AM29" i="15"/>
  <c r="AM30" i="15"/>
  <c r="AM31" i="15"/>
  <c r="AM32" i="15"/>
  <c r="AM33" i="15"/>
  <c r="H34" i="15"/>
  <c r="AM34" i="15"/>
  <c r="H36" i="15"/>
  <c r="AM36" i="15"/>
  <c r="H37" i="15"/>
  <c r="AM37" i="15"/>
  <c r="AM24" i="15"/>
  <c r="AM45" i="15"/>
  <c r="I12" i="15"/>
  <c r="AN12" i="15"/>
  <c r="I13" i="15"/>
  <c r="AN13" i="15"/>
  <c r="I14" i="15"/>
  <c r="AN14" i="15"/>
  <c r="I15" i="15"/>
  <c r="AN15" i="15"/>
  <c r="I16" i="15"/>
  <c r="AN16" i="15"/>
  <c r="I17" i="15"/>
  <c r="AN17" i="15"/>
  <c r="I18" i="15"/>
  <c r="AN18" i="15"/>
  <c r="I19" i="15"/>
  <c r="AN19" i="15"/>
  <c r="I20" i="15"/>
  <c r="AN20" i="15"/>
  <c r="AN11" i="15"/>
  <c r="AN25" i="15"/>
  <c r="AN26" i="15"/>
  <c r="AN27" i="15"/>
  <c r="AN28" i="15"/>
  <c r="AN29" i="15"/>
  <c r="AN30" i="15"/>
  <c r="AN31" i="15"/>
  <c r="AN32" i="15"/>
  <c r="AN34" i="15"/>
  <c r="AN36" i="15"/>
  <c r="AN37" i="15"/>
  <c r="AN24" i="15"/>
  <c r="AN45" i="15"/>
  <c r="AO45" i="15"/>
  <c r="AB12" i="15"/>
  <c r="AB13" i="15"/>
  <c r="AB14" i="15"/>
  <c r="U15" i="15"/>
  <c r="AB15" i="15"/>
  <c r="U16" i="15"/>
  <c r="AB16" i="15"/>
  <c r="U17" i="15"/>
  <c r="AB17" i="15"/>
  <c r="U18" i="15"/>
  <c r="AB18" i="15"/>
  <c r="AB19" i="15"/>
  <c r="AB20" i="15"/>
  <c r="U21" i="15"/>
  <c r="AB21" i="15"/>
  <c r="AB22" i="15"/>
  <c r="AB11" i="15"/>
  <c r="BF11" i="15"/>
  <c r="W25" i="15"/>
  <c r="AB25" i="15"/>
  <c r="W26" i="15"/>
  <c r="AB26" i="15"/>
  <c r="W27" i="15"/>
  <c r="AB27" i="15"/>
  <c r="W28" i="15"/>
  <c r="U28" i="15"/>
  <c r="AB28" i="15"/>
  <c r="W34" i="15"/>
  <c r="U34" i="15"/>
  <c r="AB34" i="15"/>
  <c r="W35" i="15"/>
  <c r="U35" i="15"/>
  <c r="AB35" i="15"/>
  <c r="W36" i="15"/>
  <c r="AB36" i="15"/>
  <c r="W37" i="15"/>
  <c r="AB37" i="15"/>
  <c r="W38" i="15"/>
  <c r="U38" i="15"/>
  <c r="AB38" i="15"/>
  <c r="W41" i="15"/>
  <c r="AB41" i="15"/>
  <c r="AB24" i="15"/>
  <c r="BF24" i="15"/>
  <c r="BF45" i="15"/>
  <c r="AC12" i="15"/>
  <c r="AC13" i="15"/>
  <c r="AC14" i="15"/>
  <c r="AC15" i="15"/>
  <c r="AC16" i="15"/>
  <c r="AC17" i="15"/>
  <c r="AC18" i="15"/>
  <c r="AC19" i="15"/>
  <c r="AC20" i="15"/>
  <c r="AC21" i="15"/>
  <c r="AC22" i="15"/>
  <c r="AC11" i="15"/>
  <c r="BG11" i="15"/>
  <c r="X25" i="15"/>
  <c r="AC25" i="15"/>
  <c r="X26" i="15"/>
  <c r="AC26" i="15"/>
  <c r="X27" i="15"/>
  <c r="AC27" i="15"/>
  <c r="X28" i="15"/>
  <c r="AC28" i="15"/>
  <c r="X34" i="15"/>
  <c r="AC34" i="15"/>
  <c r="X35" i="15"/>
  <c r="AC35" i="15"/>
  <c r="X36" i="15"/>
  <c r="AC36" i="15"/>
  <c r="X37" i="15"/>
  <c r="AC37" i="15"/>
  <c r="X38" i="15"/>
  <c r="AC38" i="15"/>
  <c r="X41" i="15"/>
  <c r="AC41" i="15"/>
  <c r="AC24" i="15"/>
  <c r="BG24" i="15"/>
  <c r="BG45" i="15"/>
  <c r="AD12" i="15"/>
  <c r="AD13" i="15"/>
  <c r="AD14" i="15"/>
  <c r="AD15" i="15"/>
  <c r="AD16" i="15"/>
  <c r="AD17" i="15"/>
  <c r="AD18" i="15"/>
  <c r="AD19" i="15"/>
  <c r="AD20" i="15"/>
  <c r="AD21" i="15"/>
  <c r="AD22" i="15"/>
  <c r="AD11" i="15"/>
  <c r="BH11" i="15"/>
  <c r="Y25" i="15"/>
  <c r="AD25" i="15"/>
  <c r="Y26" i="15"/>
  <c r="AD26" i="15"/>
  <c r="Y27" i="15"/>
  <c r="AD27" i="15"/>
  <c r="Y28" i="15"/>
  <c r="AD28" i="15"/>
  <c r="Y34" i="15"/>
  <c r="AD34" i="15"/>
  <c r="Y35" i="15"/>
  <c r="AD35" i="15"/>
  <c r="Y36" i="15"/>
  <c r="AD36" i="15"/>
  <c r="Y37" i="15"/>
  <c r="AD37" i="15"/>
  <c r="Y39" i="15"/>
  <c r="AD39" i="15"/>
  <c r="Y40" i="15"/>
  <c r="AD40" i="15"/>
  <c r="Y41" i="15"/>
  <c r="AD41" i="15"/>
  <c r="AD24" i="15"/>
  <c r="BH24" i="15"/>
  <c r="BH45" i="15"/>
  <c r="BI45" i="15"/>
  <c r="BI58" i="15"/>
  <c r="BH58" i="15"/>
  <c r="BG58" i="15"/>
  <c r="BF58" i="15"/>
  <c r="AB58" i="15"/>
  <c r="AC58" i="15"/>
  <c r="AD58" i="15"/>
  <c r="AE58" i="15"/>
  <c r="W58" i="15"/>
  <c r="X58" i="15"/>
  <c r="Y58" i="15"/>
  <c r="Z58" i="15"/>
  <c r="I58" i="15"/>
  <c r="S58" i="15"/>
  <c r="H58" i="15"/>
  <c r="R58" i="15"/>
  <c r="G58" i="15"/>
  <c r="Q58" i="15"/>
  <c r="L58" i="15"/>
  <c r="M58" i="15"/>
  <c r="N58" i="15"/>
  <c r="O58" i="15"/>
  <c r="J58" i="15"/>
  <c r="AO44" i="15"/>
  <c r="BF41" i="15"/>
  <c r="BF44" i="15"/>
  <c r="BG22" i="15"/>
  <c r="BG41" i="15"/>
  <c r="BG44" i="15"/>
  <c r="BH39" i="15"/>
  <c r="BH40" i="15"/>
  <c r="BH41" i="15"/>
  <c r="BH44" i="15"/>
  <c r="BI44" i="15"/>
  <c r="BI57" i="15"/>
  <c r="AN44" i="15"/>
  <c r="BH57" i="15"/>
  <c r="AM44" i="15"/>
  <c r="BG57" i="15"/>
  <c r="AL44" i="15"/>
  <c r="BF57" i="15"/>
  <c r="BA12" i="15"/>
  <c r="BA13" i="15"/>
  <c r="BA14" i="15"/>
  <c r="BA15" i="15"/>
  <c r="BA16" i="15"/>
  <c r="BA17" i="15"/>
  <c r="BA18" i="15"/>
  <c r="BA19" i="15"/>
  <c r="BA20" i="15"/>
  <c r="BA21" i="15"/>
  <c r="BA11" i="15"/>
  <c r="BA25" i="15"/>
  <c r="BA26" i="15"/>
  <c r="BA27" i="15"/>
  <c r="BA28" i="15"/>
  <c r="BA29" i="15"/>
  <c r="BA30" i="15"/>
  <c r="BA31" i="15"/>
  <c r="BA32" i="15"/>
  <c r="BA34" i="15"/>
  <c r="BA35" i="15"/>
  <c r="BA36" i="15"/>
  <c r="BA37" i="15"/>
  <c r="BA38" i="15"/>
  <c r="BA41" i="15"/>
  <c r="BA24" i="15"/>
  <c r="BA45" i="15"/>
  <c r="BB12" i="15"/>
  <c r="BB13" i="15"/>
  <c r="BB14" i="15"/>
  <c r="BB15" i="15"/>
  <c r="BB16" i="15"/>
  <c r="BB17" i="15"/>
  <c r="BB18" i="15"/>
  <c r="BB19" i="15"/>
  <c r="BB20" i="15"/>
  <c r="BB21" i="15"/>
  <c r="BB22" i="15"/>
  <c r="BB11" i="15"/>
  <c r="BB25" i="15"/>
  <c r="BB26" i="15"/>
  <c r="BB27" i="15"/>
  <c r="BB28" i="15"/>
  <c r="BB29" i="15"/>
  <c r="BB30" i="15"/>
  <c r="BB31" i="15"/>
  <c r="BB32" i="15"/>
  <c r="BB33" i="15"/>
  <c r="BB34" i="15"/>
  <c r="BB35" i="15"/>
  <c r="BB36" i="15"/>
  <c r="BB37" i="15"/>
  <c r="BB38" i="15"/>
  <c r="BB41" i="15"/>
  <c r="BB24" i="15"/>
  <c r="BB45" i="15"/>
  <c r="BC12" i="15"/>
  <c r="BC13" i="15"/>
  <c r="BC14" i="15"/>
  <c r="BC15" i="15"/>
  <c r="BC16" i="15"/>
  <c r="BC17" i="15"/>
  <c r="BC18" i="15"/>
  <c r="BC19" i="15"/>
  <c r="BC20" i="15"/>
  <c r="BC11" i="15"/>
  <c r="BC25" i="15"/>
  <c r="BC26" i="15"/>
  <c r="BC27" i="15"/>
  <c r="BC28" i="15"/>
  <c r="BC29" i="15"/>
  <c r="BC30" i="15"/>
  <c r="BC31" i="15"/>
  <c r="BC32" i="15"/>
  <c r="BC34" i="15"/>
  <c r="BC35" i="15"/>
  <c r="BC36" i="15"/>
  <c r="BC37" i="15"/>
  <c r="BC39" i="15"/>
  <c r="BC40" i="15"/>
  <c r="BC41" i="15"/>
  <c r="BC24" i="15"/>
  <c r="BC45" i="15"/>
  <c r="BD45" i="15"/>
  <c r="BI50" i="15"/>
  <c r="BH50" i="15"/>
  <c r="BG50" i="15"/>
  <c r="BF50" i="15"/>
  <c r="AB45" i="15"/>
  <c r="AC45" i="15"/>
  <c r="AD45" i="15"/>
  <c r="AE45" i="15"/>
  <c r="W11" i="15"/>
  <c r="W24" i="15"/>
  <c r="W45" i="15"/>
  <c r="X11" i="15"/>
  <c r="X24" i="15"/>
  <c r="X45" i="15"/>
  <c r="Y11" i="15"/>
  <c r="Y24" i="15"/>
  <c r="Y45" i="15"/>
  <c r="Z45" i="15"/>
  <c r="AE50" i="15"/>
  <c r="AD50" i="15"/>
  <c r="AC50" i="15"/>
  <c r="AB50" i="15"/>
  <c r="BA44" i="15"/>
  <c r="BB44" i="15"/>
  <c r="BC44" i="15"/>
  <c r="BD44" i="15"/>
  <c r="BI49" i="15"/>
  <c r="BH49" i="15"/>
  <c r="BG49" i="15"/>
  <c r="BF49" i="15"/>
  <c r="AO49" i="15"/>
  <c r="AN49" i="15"/>
  <c r="AM49" i="15"/>
  <c r="AL49" i="15"/>
  <c r="AB44" i="15"/>
  <c r="AC44" i="15"/>
  <c r="AD44" i="15"/>
  <c r="AE44" i="15"/>
  <c r="W44" i="15"/>
  <c r="X44" i="15"/>
  <c r="Y44" i="15"/>
  <c r="Z44" i="15"/>
  <c r="AE49" i="15"/>
  <c r="AD49" i="15"/>
  <c r="AC49" i="15"/>
  <c r="AB49" i="15"/>
  <c r="H49" i="15"/>
  <c r="M47" i="15"/>
  <c r="M48" i="15"/>
  <c r="M49" i="15"/>
  <c r="AO48" i="15"/>
  <c r="AN48" i="15"/>
  <c r="AM48" i="15"/>
  <c r="AL48" i="15"/>
  <c r="Z48" i="15"/>
  <c r="Y48" i="15"/>
  <c r="X48" i="15"/>
  <c r="W48" i="15"/>
  <c r="BI46" i="15"/>
  <c r="BD46" i="15"/>
  <c r="L11" i="15"/>
  <c r="L25" i="15"/>
  <c r="L26" i="15"/>
  <c r="L27" i="15"/>
  <c r="L28" i="15"/>
  <c r="L34" i="15"/>
  <c r="L35" i="15"/>
  <c r="L36" i="15"/>
  <c r="L37" i="15"/>
  <c r="L38" i="15"/>
  <c r="L39" i="15"/>
  <c r="L40" i="15"/>
  <c r="L24" i="15"/>
  <c r="L45" i="15"/>
  <c r="M11" i="15"/>
  <c r="M25" i="15"/>
  <c r="M26" i="15"/>
  <c r="M27" i="15"/>
  <c r="M28" i="15"/>
  <c r="M34" i="15"/>
  <c r="M35" i="15"/>
  <c r="M36" i="15"/>
  <c r="M37" i="15"/>
  <c r="M38" i="15"/>
  <c r="M39" i="15"/>
  <c r="M40" i="15"/>
  <c r="M24" i="15"/>
  <c r="M45" i="15"/>
  <c r="N11" i="15"/>
  <c r="N25" i="15"/>
  <c r="N26" i="15"/>
  <c r="N27" i="15"/>
  <c r="N28" i="15"/>
  <c r="N34" i="15"/>
  <c r="N35" i="15"/>
  <c r="N36" i="15"/>
  <c r="N37" i="15"/>
  <c r="N38" i="15"/>
  <c r="N39" i="15"/>
  <c r="N40" i="15"/>
  <c r="N24" i="15"/>
  <c r="N45" i="15"/>
  <c r="O45" i="15"/>
  <c r="O46" i="15"/>
  <c r="N46" i="15"/>
  <c r="M46" i="15"/>
  <c r="L46" i="15"/>
  <c r="G21" i="15"/>
  <c r="G11" i="15"/>
  <c r="H21" i="15"/>
  <c r="H22" i="15"/>
  <c r="H11" i="15"/>
  <c r="I11" i="15"/>
  <c r="J11" i="15"/>
  <c r="G24" i="15"/>
  <c r="H35" i="15"/>
  <c r="H38" i="15"/>
  <c r="H41" i="15"/>
  <c r="H24" i="15"/>
  <c r="I41" i="15"/>
  <c r="I24" i="15"/>
  <c r="J24" i="15"/>
  <c r="J45" i="15"/>
  <c r="J46" i="15"/>
  <c r="I45" i="15"/>
  <c r="I46" i="15"/>
  <c r="H45" i="15"/>
  <c r="H46" i="15"/>
  <c r="G45" i="15"/>
  <c r="G46" i="15"/>
  <c r="BS45" i="15"/>
  <c r="BR45" i="15"/>
  <c r="BQ45" i="15"/>
  <c r="BP45" i="15"/>
  <c r="BN45" i="15"/>
  <c r="BM45" i="15"/>
  <c r="BL45" i="15"/>
  <c r="BK45" i="15"/>
  <c r="AY45" i="15"/>
  <c r="AX45" i="15"/>
  <c r="AW45" i="15"/>
  <c r="AV45" i="15"/>
  <c r="AT45" i="15"/>
  <c r="AS45" i="15"/>
  <c r="AR45" i="15"/>
  <c r="AQ45" i="15"/>
  <c r="AJ45" i="15"/>
  <c r="AI45" i="15"/>
  <c r="AH45" i="15"/>
  <c r="AG45" i="15"/>
  <c r="T45" i="15"/>
  <c r="S45" i="15"/>
  <c r="R45" i="15"/>
  <c r="Q45" i="15"/>
  <c r="BS44" i="15"/>
  <c r="BR44" i="15"/>
  <c r="BQ44" i="15"/>
  <c r="BP44" i="15"/>
  <c r="BN44" i="15"/>
  <c r="BM44" i="15"/>
  <c r="BL44" i="15"/>
  <c r="BK44" i="15"/>
  <c r="G44" i="15"/>
  <c r="H44" i="15"/>
  <c r="I44" i="15"/>
  <c r="J44" i="15"/>
  <c r="AY44" i="15"/>
  <c r="AX44" i="15"/>
  <c r="AW44" i="15"/>
  <c r="AV44" i="15"/>
  <c r="AT44" i="15"/>
  <c r="AS44" i="15"/>
  <c r="AR44" i="15"/>
  <c r="AQ44" i="15"/>
  <c r="AJ44" i="15"/>
  <c r="AI44" i="15"/>
  <c r="AH44" i="15"/>
  <c r="AG44" i="15"/>
  <c r="T44" i="15"/>
  <c r="S44" i="15"/>
  <c r="R44" i="15"/>
  <c r="Q44" i="15"/>
  <c r="L44" i="15"/>
  <c r="M44" i="15"/>
  <c r="N44" i="15"/>
  <c r="O44" i="15"/>
  <c r="AO43" i="15"/>
  <c r="AN43" i="15"/>
  <c r="AM43" i="15"/>
  <c r="AL43" i="15"/>
  <c r="J21" i="15"/>
  <c r="J22" i="15"/>
  <c r="J38" i="15"/>
  <c r="J39" i="15"/>
  <c r="J40" i="15"/>
  <c r="J41" i="15"/>
  <c r="J43" i="15"/>
  <c r="AJ43" i="15"/>
  <c r="I43" i="15"/>
  <c r="AI43" i="15"/>
  <c r="H43" i="15"/>
  <c r="AH43" i="15"/>
  <c r="G43" i="15"/>
  <c r="AG43" i="15"/>
  <c r="BI41" i="15"/>
  <c r="BD41" i="15"/>
  <c r="BS41" i="15"/>
  <c r="BR41" i="15"/>
  <c r="BQ41" i="15"/>
  <c r="BP41" i="15"/>
  <c r="BN41" i="15"/>
  <c r="BM41" i="15"/>
  <c r="AY41" i="15"/>
  <c r="AX41" i="15"/>
  <c r="AW41" i="15"/>
  <c r="AV41" i="15"/>
  <c r="AT41" i="15"/>
  <c r="AS41" i="15"/>
  <c r="AR41" i="15"/>
  <c r="AQ41" i="15"/>
  <c r="AE41" i="15"/>
  <c r="T41" i="15"/>
  <c r="S41" i="15"/>
  <c r="R41" i="15"/>
  <c r="Q41" i="15"/>
  <c r="O41" i="15"/>
  <c r="BI40" i="15"/>
  <c r="BD40" i="15"/>
  <c r="BS40" i="15"/>
  <c r="BR40" i="15"/>
  <c r="BN40" i="15"/>
  <c r="BM40" i="15"/>
  <c r="AY40" i="15"/>
  <c r="AX40" i="15"/>
  <c r="AT40" i="15"/>
  <c r="AS40" i="15"/>
  <c r="AE40" i="15"/>
  <c r="Z40" i="15"/>
  <c r="T40" i="15"/>
  <c r="S40" i="15"/>
  <c r="O40" i="15"/>
  <c r="BI39" i="15"/>
  <c r="BD39" i="15"/>
  <c r="BS39" i="15"/>
  <c r="BR39" i="15"/>
  <c r="BN39" i="15"/>
  <c r="BM39" i="15"/>
  <c r="AY39" i="15"/>
  <c r="AX39" i="15"/>
  <c r="AT39" i="15"/>
  <c r="AS39" i="15"/>
  <c r="AE39" i="15"/>
  <c r="Z39" i="15"/>
  <c r="T39" i="15"/>
  <c r="S39" i="15"/>
  <c r="O39" i="15"/>
  <c r="BF38" i="15"/>
  <c r="BG38" i="15"/>
  <c r="BI38" i="15"/>
  <c r="BD38" i="15"/>
  <c r="BS38" i="15"/>
  <c r="BQ38" i="15"/>
  <c r="BP38" i="15"/>
  <c r="BN38" i="15"/>
  <c r="BL38" i="15"/>
  <c r="BK38" i="15"/>
  <c r="AY38" i="15"/>
  <c r="AW38" i="15"/>
  <c r="AV38" i="15"/>
  <c r="AT38" i="15"/>
  <c r="AR38" i="15"/>
  <c r="AQ38" i="15"/>
  <c r="AE38" i="15"/>
  <c r="Z38" i="15"/>
  <c r="T38" i="15"/>
  <c r="R38" i="15"/>
  <c r="Q38" i="15"/>
  <c r="O38" i="15"/>
  <c r="BF37" i="15"/>
  <c r="BG37" i="15"/>
  <c r="BH37" i="15"/>
  <c r="BI37" i="15"/>
  <c r="BD37" i="15"/>
  <c r="BS37" i="15"/>
  <c r="BR37" i="15"/>
  <c r="BQ37" i="15"/>
  <c r="BP37" i="15"/>
  <c r="BN37" i="15"/>
  <c r="BM37" i="15"/>
  <c r="BL37" i="15"/>
  <c r="BK37" i="15"/>
  <c r="J37" i="15"/>
  <c r="AY37" i="15"/>
  <c r="AX37" i="15"/>
  <c r="AW37" i="15"/>
  <c r="AV37" i="15"/>
  <c r="AT37" i="15"/>
  <c r="AS37" i="15"/>
  <c r="AR37" i="15"/>
  <c r="AQ37" i="15"/>
  <c r="AO37" i="15"/>
  <c r="AE37" i="15"/>
  <c r="Z37" i="15"/>
  <c r="T37" i="15"/>
  <c r="S37" i="15"/>
  <c r="R37" i="15"/>
  <c r="Q37" i="15"/>
  <c r="O37" i="15"/>
  <c r="BF36" i="15"/>
  <c r="BG36" i="15"/>
  <c r="BH36" i="15"/>
  <c r="BI36" i="15"/>
  <c r="BD36" i="15"/>
  <c r="BS36" i="15"/>
  <c r="BR36" i="15"/>
  <c r="BQ36" i="15"/>
  <c r="BP36" i="15"/>
  <c r="BN36" i="15"/>
  <c r="BM36" i="15"/>
  <c r="BL36" i="15"/>
  <c r="BK36" i="15"/>
  <c r="J36" i="15"/>
  <c r="AY36" i="15"/>
  <c r="AX36" i="15"/>
  <c r="AW36" i="15"/>
  <c r="AV36" i="15"/>
  <c r="AT36" i="15"/>
  <c r="AS36" i="15"/>
  <c r="AR36" i="15"/>
  <c r="AQ36" i="15"/>
  <c r="AO36" i="15"/>
  <c r="AE36" i="15"/>
  <c r="Z36" i="15"/>
  <c r="T36" i="15"/>
  <c r="S36" i="15"/>
  <c r="R36" i="15"/>
  <c r="Q36" i="15"/>
  <c r="O36" i="15"/>
  <c r="BF35" i="15"/>
  <c r="BG35" i="15"/>
  <c r="BH35" i="15"/>
  <c r="BI35" i="15"/>
  <c r="BD35" i="15"/>
  <c r="BS35" i="15"/>
  <c r="BR35" i="15"/>
  <c r="BQ35" i="15"/>
  <c r="BP35" i="15"/>
  <c r="BN35" i="15"/>
  <c r="BM35" i="15"/>
  <c r="BL35" i="15"/>
  <c r="BK35" i="15"/>
  <c r="J35" i="15"/>
  <c r="AY35" i="15"/>
  <c r="AX35" i="15"/>
  <c r="AW35" i="15"/>
  <c r="AV35" i="15"/>
  <c r="AT35" i="15"/>
  <c r="AS35" i="15"/>
  <c r="AR35" i="15"/>
  <c r="AQ35" i="15"/>
  <c r="AE35" i="15"/>
  <c r="Z35" i="15"/>
  <c r="T35" i="15"/>
  <c r="S35" i="15"/>
  <c r="R35" i="15"/>
  <c r="Q35" i="15"/>
  <c r="O35" i="15"/>
  <c r="BF34" i="15"/>
  <c r="BG34" i="15"/>
  <c r="BH34" i="15"/>
  <c r="BI34" i="15"/>
  <c r="BD34" i="15"/>
  <c r="BS34" i="15"/>
  <c r="BR34" i="15"/>
  <c r="BQ34" i="15"/>
  <c r="BP34" i="15"/>
  <c r="BN34" i="15"/>
  <c r="BM34" i="15"/>
  <c r="BL34" i="15"/>
  <c r="BK34" i="15"/>
  <c r="J34" i="15"/>
  <c r="AY34" i="15"/>
  <c r="AX34" i="15"/>
  <c r="AW34" i="15"/>
  <c r="AV34" i="15"/>
  <c r="AT34" i="15"/>
  <c r="AS34" i="15"/>
  <c r="AR34" i="15"/>
  <c r="AQ34" i="15"/>
  <c r="AO34" i="15"/>
  <c r="AE34" i="15"/>
  <c r="Z34" i="15"/>
  <c r="T34" i="15"/>
  <c r="S34" i="15"/>
  <c r="R34" i="15"/>
  <c r="Q34" i="15"/>
  <c r="O34" i="15"/>
  <c r="BG33" i="15"/>
  <c r="BI33" i="15"/>
  <c r="BN33" i="15"/>
  <c r="BL33" i="15"/>
  <c r="BD33" i="15"/>
  <c r="AY33" i="15"/>
  <c r="AW33" i="15"/>
  <c r="AT33" i="15"/>
  <c r="AR33" i="15"/>
  <c r="AO33" i="15"/>
  <c r="Z33" i="15"/>
  <c r="AE33" i="15"/>
  <c r="U33" i="15"/>
  <c r="BF32" i="15"/>
  <c r="BG32" i="15"/>
  <c r="BH32" i="15"/>
  <c r="BI32" i="15"/>
  <c r="BN32" i="15"/>
  <c r="BM32" i="15"/>
  <c r="BL32" i="15"/>
  <c r="BK32" i="15"/>
  <c r="BD32" i="15"/>
  <c r="AY32" i="15"/>
  <c r="AX32" i="15"/>
  <c r="AW32" i="15"/>
  <c r="AV32" i="15"/>
  <c r="AT32" i="15"/>
  <c r="AS32" i="15"/>
  <c r="AR32" i="15"/>
  <c r="AQ32" i="15"/>
  <c r="AO32" i="15"/>
  <c r="Z32" i="15"/>
  <c r="AE32" i="15"/>
  <c r="U32" i="15"/>
  <c r="BF31" i="15"/>
  <c r="BG31" i="15"/>
  <c r="BH31" i="15"/>
  <c r="BI31" i="15"/>
  <c r="BN31" i="15"/>
  <c r="BM31" i="15"/>
  <c r="BL31" i="15"/>
  <c r="BK31" i="15"/>
  <c r="BD31" i="15"/>
  <c r="AY31" i="15"/>
  <c r="AX31" i="15"/>
  <c r="AW31" i="15"/>
  <c r="AV31" i="15"/>
  <c r="AT31" i="15"/>
  <c r="AS31" i="15"/>
  <c r="AR31" i="15"/>
  <c r="AQ31" i="15"/>
  <c r="AO31" i="15"/>
  <c r="Z31" i="15"/>
  <c r="AE31" i="15"/>
  <c r="U31" i="15"/>
  <c r="BF30" i="15"/>
  <c r="BG30" i="15"/>
  <c r="BH30" i="15"/>
  <c r="BI30" i="15"/>
  <c r="BN30" i="15"/>
  <c r="BM30" i="15"/>
  <c r="BL30" i="15"/>
  <c r="BK30" i="15"/>
  <c r="BD30" i="15"/>
  <c r="AY30" i="15"/>
  <c r="AX30" i="15"/>
  <c r="AW30" i="15"/>
  <c r="AV30" i="15"/>
  <c r="AT30" i="15"/>
  <c r="AS30" i="15"/>
  <c r="AR30" i="15"/>
  <c r="AQ30" i="15"/>
  <c r="AO30" i="15"/>
  <c r="Z30" i="15"/>
  <c r="AE30" i="15"/>
  <c r="U30" i="15"/>
  <c r="BF29" i="15"/>
  <c r="BG29" i="15"/>
  <c r="BH29" i="15"/>
  <c r="BI29" i="15"/>
  <c r="BD29" i="15"/>
  <c r="BS29" i="15"/>
  <c r="BR29" i="15"/>
  <c r="BQ29" i="15"/>
  <c r="BP29" i="15"/>
  <c r="BN29" i="15"/>
  <c r="BM29" i="15"/>
  <c r="BL29" i="15"/>
  <c r="BK29" i="15"/>
  <c r="AY29" i="15"/>
  <c r="AX29" i="15"/>
  <c r="AW29" i="15"/>
  <c r="AV29" i="15"/>
  <c r="AT29" i="15"/>
  <c r="AS29" i="15"/>
  <c r="AR29" i="15"/>
  <c r="AQ29" i="15"/>
  <c r="AO29" i="15"/>
  <c r="Z29" i="15"/>
  <c r="AE29" i="15"/>
  <c r="U29" i="15"/>
  <c r="BF28" i="15"/>
  <c r="BG28" i="15"/>
  <c r="BH28" i="15"/>
  <c r="BI28" i="15"/>
  <c r="BD28" i="15"/>
  <c r="BS28" i="15"/>
  <c r="BR28" i="15"/>
  <c r="BQ28" i="15"/>
  <c r="BP28" i="15"/>
  <c r="BN28" i="15"/>
  <c r="BM28" i="15"/>
  <c r="BL28" i="15"/>
  <c r="BK28" i="15"/>
  <c r="J28" i="15"/>
  <c r="AY28" i="15"/>
  <c r="AX28" i="15"/>
  <c r="AW28" i="15"/>
  <c r="AV28" i="15"/>
  <c r="AT28" i="15"/>
  <c r="AS28" i="15"/>
  <c r="AR28" i="15"/>
  <c r="AQ28" i="15"/>
  <c r="AO28" i="15"/>
  <c r="AE28" i="15"/>
  <c r="Z28" i="15"/>
  <c r="T28" i="15"/>
  <c r="S28" i="15"/>
  <c r="R28" i="15"/>
  <c r="Q28" i="15"/>
  <c r="O28" i="15"/>
  <c r="BF27" i="15"/>
  <c r="BG27" i="15"/>
  <c r="BH27" i="15"/>
  <c r="BI27" i="15"/>
  <c r="BD27" i="15"/>
  <c r="BS27" i="15"/>
  <c r="BR27" i="15"/>
  <c r="BQ27" i="15"/>
  <c r="BP27" i="15"/>
  <c r="BN27" i="15"/>
  <c r="BM27" i="15"/>
  <c r="BL27" i="15"/>
  <c r="BK27" i="15"/>
  <c r="J27" i="15"/>
  <c r="AY27" i="15"/>
  <c r="AX27" i="15"/>
  <c r="AW27" i="15"/>
  <c r="AV27" i="15"/>
  <c r="AT27" i="15"/>
  <c r="AS27" i="15"/>
  <c r="AR27" i="15"/>
  <c r="AQ27" i="15"/>
  <c r="AO27" i="15"/>
  <c r="AE27" i="15"/>
  <c r="Z27" i="15"/>
  <c r="T27" i="15"/>
  <c r="S27" i="15"/>
  <c r="R27" i="15"/>
  <c r="Q27" i="15"/>
  <c r="O27" i="15"/>
  <c r="BF26" i="15"/>
  <c r="BG26" i="15"/>
  <c r="BH26" i="15"/>
  <c r="BI26" i="15"/>
  <c r="BD26" i="15"/>
  <c r="BS26" i="15"/>
  <c r="BR26" i="15"/>
  <c r="BQ26" i="15"/>
  <c r="BP26" i="15"/>
  <c r="BN26" i="15"/>
  <c r="BM26" i="15"/>
  <c r="BL26" i="15"/>
  <c r="BK26" i="15"/>
  <c r="J26" i="15"/>
  <c r="AY26" i="15"/>
  <c r="AX26" i="15"/>
  <c r="AW26" i="15"/>
  <c r="AV26" i="15"/>
  <c r="AT26" i="15"/>
  <c r="AS26" i="15"/>
  <c r="AR26" i="15"/>
  <c r="AQ26" i="15"/>
  <c r="AO26" i="15"/>
  <c r="AE26" i="15"/>
  <c r="Z26" i="15"/>
  <c r="T26" i="15"/>
  <c r="S26" i="15"/>
  <c r="R26" i="15"/>
  <c r="Q26" i="15"/>
  <c r="O26" i="15"/>
  <c r="BF25" i="15"/>
  <c r="BG25" i="15"/>
  <c r="BH25" i="15"/>
  <c r="BI25" i="15"/>
  <c r="BD25" i="15"/>
  <c r="BS25" i="15"/>
  <c r="BR25" i="15"/>
  <c r="BQ25" i="15"/>
  <c r="BP25" i="15"/>
  <c r="BN25" i="15"/>
  <c r="BM25" i="15"/>
  <c r="BL25" i="15"/>
  <c r="BK25" i="15"/>
  <c r="J25" i="15"/>
  <c r="AY25" i="15"/>
  <c r="AX25" i="15"/>
  <c r="AW25" i="15"/>
  <c r="AV25" i="15"/>
  <c r="AT25" i="15"/>
  <c r="AS25" i="15"/>
  <c r="AR25" i="15"/>
  <c r="AQ25" i="15"/>
  <c r="AO25" i="15"/>
  <c r="AE25" i="15"/>
  <c r="Z25" i="15"/>
  <c r="T25" i="15"/>
  <c r="S25" i="15"/>
  <c r="R25" i="15"/>
  <c r="Q25" i="15"/>
  <c r="O25" i="15"/>
  <c r="BI24" i="15"/>
  <c r="BD24" i="15"/>
  <c r="BS24" i="15"/>
  <c r="BR24" i="15"/>
  <c r="BQ24" i="15"/>
  <c r="BP24" i="15"/>
  <c r="BN24" i="15"/>
  <c r="BM24" i="15"/>
  <c r="BL24" i="15"/>
  <c r="BK24" i="15"/>
  <c r="AY24" i="15"/>
  <c r="AX24" i="15"/>
  <c r="AW24" i="15"/>
  <c r="AV24" i="15"/>
  <c r="AT24" i="15"/>
  <c r="AS24" i="15"/>
  <c r="AR24" i="15"/>
  <c r="AQ24" i="15"/>
  <c r="AO24" i="15"/>
  <c r="AE24" i="15"/>
  <c r="Z24" i="15"/>
  <c r="T24" i="15"/>
  <c r="S24" i="15"/>
  <c r="R24" i="15"/>
  <c r="Q24" i="15"/>
  <c r="O24" i="15"/>
  <c r="AE22" i="15"/>
  <c r="BI22" i="15"/>
  <c r="BD22" i="15"/>
  <c r="BS22" i="15"/>
  <c r="BQ22" i="15"/>
  <c r="BN22" i="15"/>
  <c r="BM22" i="15"/>
  <c r="BL22" i="15"/>
  <c r="BK22" i="15"/>
  <c r="AY22" i="15"/>
  <c r="AW22" i="15"/>
  <c r="AT22" i="15"/>
  <c r="AR22" i="15"/>
  <c r="Z22" i="15"/>
  <c r="T22" i="15"/>
  <c r="R22" i="15"/>
  <c r="O22" i="15"/>
  <c r="AE21" i="15"/>
  <c r="BI21" i="15"/>
  <c r="BD21" i="15"/>
  <c r="BS21" i="15"/>
  <c r="BG21" i="15"/>
  <c r="BQ21" i="15"/>
  <c r="BF21" i="15"/>
  <c r="BP21" i="15"/>
  <c r="BN21" i="15"/>
  <c r="BM21" i="15"/>
  <c r="BL21" i="15"/>
  <c r="BK21" i="15"/>
  <c r="AY21" i="15"/>
  <c r="AW21" i="15"/>
  <c r="AV21" i="15"/>
  <c r="AT21" i="15"/>
  <c r="AR21" i="15"/>
  <c r="AQ21" i="15"/>
  <c r="Z21" i="15"/>
  <c r="T21" i="15"/>
  <c r="R21" i="15"/>
  <c r="Q21" i="15"/>
  <c r="O21" i="15"/>
  <c r="AE20" i="15"/>
  <c r="AO20" i="15"/>
  <c r="BI20" i="15"/>
  <c r="BD20" i="15"/>
  <c r="BS20" i="15"/>
  <c r="BH20" i="15"/>
  <c r="BR20" i="15"/>
  <c r="BG20" i="15"/>
  <c r="BQ20" i="15"/>
  <c r="BF20" i="15"/>
  <c r="BP20" i="15"/>
  <c r="BN20" i="15"/>
  <c r="BM20" i="15"/>
  <c r="BL20" i="15"/>
  <c r="BK20" i="15"/>
  <c r="J20" i="15"/>
  <c r="AY20" i="15"/>
  <c r="AX20" i="15"/>
  <c r="AW20" i="15"/>
  <c r="AV20" i="15"/>
  <c r="AT20" i="15"/>
  <c r="AS20" i="15"/>
  <c r="AR20" i="15"/>
  <c r="AQ20" i="15"/>
  <c r="Z20" i="15"/>
  <c r="T20" i="15"/>
  <c r="S20" i="15"/>
  <c r="R20" i="15"/>
  <c r="Q20" i="15"/>
  <c r="O20" i="15"/>
  <c r="AE19" i="15"/>
  <c r="AO19" i="15"/>
  <c r="BI19" i="15"/>
  <c r="BD19" i="15"/>
  <c r="BS19" i="15"/>
  <c r="BH19" i="15"/>
  <c r="BR19" i="15"/>
  <c r="BG19" i="15"/>
  <c r="BQ19" i="15"/>
  <c r="BF19" i="15"/>
  <c r="BP19" i="15"/>
  <c r="BN19" i="15"/>
  <c r="BM19" i="15"/>
  <c r="BL19" i="15"/>
  <c r="BK19" i="15"/>
  <c r="J19" i="15"/>
  <c r="AY19" i="15"/>
  <c r="AX19" i="15"/>
  <c r="AW19" i="15"/>
  <c r="AV19" i="15"/>
  <c r="AT19" i="15"/>
  <c r="AS19" i="15"/>
  <c r="AR19" i="15"/>
  <c r="AQ19" i="15"/>
  <c r="Z19" i="15"/>
  <c r="T19" i="15"/>
  <c r="S19" i="15"/>
  <c r="R19" i="15"/>
  <c r="Q19" i="15"/>
  <c r="O19" i="15"/>
  <c r="AE18" i="15"/>
  <c r="AO18" i="15"/>
  <c r="BI18" i="15"/>
  <c r="BD18" i="15"/>
  <c r="BS18" i="15"/>
  <c r="BH18" i="15"/>
  <c r="BR18" i="15"/>
  <c r="BG18" i="15"/>
  <c r="BQ18" i="15"/>
  <c r="BF18" i="15"/>
  <c r="BP18" i="15"/>
  <c r="BN18" i="15"/>
  <c r="BM18" i="15"/>
  <c r="BL18" i="15"/>
  <c r="BK18" i="15"/>
  <c r="J18" i="15"/>
  <c r="AY18" i="15"/>
  <c r="AX18" i="15"/>
  <c r="AW18" i="15"/>
  <c r="AV18" i="15"/>
  <c r="AT18" i="15"/>
  <c r="AS18" i="15"/>
  <c r="AR18" i="15"/>
  <c r="AQ18" i="15"/>
  <c r="Z18" i="15"/>
  <c r="T18" i="15"/>
  <c r="S18" i="15"/>
  <c r="R18" i="15"/>
  <c r="Q18" i="15"/>
  <c r="O18" i="15"/>
  <c r="AE17" i="15"/>
  <c r="AO17" i="15"/>
  <c r="BI17" i="15"/>
  <c r="BD17" i="15"/>
  <c r="BS17" i="15"/>
  <c r="BH17" i="15"/>
  <c r="BR17" i="15"/>
  <c r="BG17" i="15"/>
  <c r="BQ17" i="15"/>
  <c r="BF17" i="15"/>
  <c r="BP17" i="15"/>
  <c r="BN17" i="15"/>
  <c r="BM17" i="15"/>
  <c r="BL17" i="15"/>
  <c r="BK17" i="15"/>
  <c r="J17" i="15"/>
  <c r="AY17" i="15"/>
  <c r="AX17" i="15"/>
  <c r="AW17" i="15"/>
  <c r="AV17" i="15"/>
  <c r="AT17" i="15"/>
  <c r="AS17" i="15"/>
  <c r="AR17" i="15"/>
  <c r="AQ17" i="15"/>
  <c r="Z17" i="15"/>
  <c r="T17" i="15"/>
  <c r="S17" i="15"/>
  <c r="R17" i="15"/>
  <c r="Q17" i="15"/>
  <c r="O17" i="15"/>
  <c r="AE16" i="15"/>
  <c r="AO16" i="15"/>
  <c r="BI16" i="15"/>
  <c r="BD16" i="15"/>
  <c r="BS16" i="15"/>
  <c r="BH16" i="15"/>
  <c r="BR16" i="15"/>
  <c r="BG16" i="15"/>
  <c r="BQ16" i="15"/>
  <c r="BF16" i="15"/>
  <c r="BP16" i="15"/>
  <c r="BN16" i="15"/>
  <c r="BM16" i="15"/>
  <c r="BL16" i="15"/>
  <c r="BK16" i="15"/>
  <c r="J16" i="15"/>
  <c r="AY16" i="15"/>
  <c r="AX16" i="15"/>
  <c r="AW16" i="15"/>
  <c r="AV16" i="15"/>
  <c r="AT16" i="15"/>
  <c r="AS16" i="15"/>
  <c r="AR16" i="15"/>
  <c r="AQ16" i="15"/>
  <c r="Z16" i="15"/>
  <c r="T16" i="15"/>
  <c r="S16" i="15"/>
  <c r="R16" i="15"/>
  <c r="Q16" i="15"/>
  <c r="O16" i="15"/>
  <c r="AE15" i="15"/>
  <c r="AO15" i="15"/>
  <c r="BI15" i="15"/>
  <c r="BD15" i="15"/>
  <c r="BS15" i="15"/>
  <c r="BH15" i="15"/>
  <c r="BR15" i="15"/>
  <c r="BG15" i="15"/>
  <c r="BQ15" i="15"/>
  <c r="BF15" i="15"/>
  <c r="BP15" i="15"/>
  <c r="BN15" i="15"/>
  <c r="BM15" i="15"/>
  <c r="BL15" i="15"/>
  <c r="BK15" i="15"/>
  <c r="J15" i="15"/>
  <c r="AY15" i="15"/>
  <c r="AX15" i="15"/>
  <c r="AW15" i="15"/>
  <c r="AV15" i="15"/>
  <c r="AT15" i="15"/>
  <c r="AS15" i="15"/>
  <c r="AR15" i="15"/>
  <c r="AQ15" i="15"/>
  <c r="Z15" i="15"/>
  <c r="T15" i="15"/>
  <c r="S15" i="15"/>
  <c r="R15" i="15"/>
  <c r="Q15" i="15"/>
  <c r="O15" i="15"/>
  <c r="AE14" i="15"/>
  <c r="AO14" i="15"/>
  <c r="BI14" i="15"/>
  <c r="BD14" i="15"/>
  <c r="BS14" i="15"/>
  <c r="BH14" i="15"/>
  <c r="BR14" i="15"/>
  <c r="BG14" i="15"/>
  <c r="BQ14" i="15"/>
  <c r="BF14" i="15"/>
  <c r="BP14" i="15"/>
  <c r="BN14" i="15"/>
  <c r="BM14" i="15"/>
  <c r="BL14" i="15"/>
  <c r="BK14" i="15"/>
  <c r="J14" i="15"/>
  <c r="AY14" i="15"/>
  <c r="AX14" i="15"/>
  <c r="AW14" i="15"/>
  <c r="AV14" i="15"/>
  <c r="AT14" i="15"/>
  <c r="AS14" i="15"/>
  <c r="AR14" i="15"/>
  <c r="AQ14" i="15"/>
  <c r="Z14" i="15"/>
  <c r="T14" i="15"/>
  <c r="S14" i="15"/>
  <c r="R14" i="15"/>
  <c r="Q14" i="15"/>
  <c r="O14" i="15"/>
  <c r="AE13" i="15"/>
  <c r="AO13" i="15"/>
  <c r="BI13" i="15"/>
  <c r="BD13" i="15"/>
  <c r="BS13" i="15"/>
  <c r="BH13" i="15"/>
  <c r="BR13" i="15"/>
  <c r="BG13" i="15"/>
  <c r="BQ13" i="15"/>
  <c r="BF13" i="15"/>
  <c r="BP13" i="15"/>
  <c r="BN13" i="15"/>
  <c r="BM13" i="15"/>
  <c r="BL13" i="15"/>
  <c r="BK13" i="15"/>
  <c r="J13" i="15"/>
  <c r="AY13" i="15"/>
  <c r="AX13" i="15"/>
  <c r="AW13" i="15"/>
  <c r="AV13" i="15"/>
  <c r="AT13" i="15"/>
  <c r="AS13" i="15"/>
  <c r="AR13" i="15"/>
  <c r="AQ13" i="15"/>
  <c r="Z13" i="15"/>
  <c r="T13" i="15"/>
  <c r="S13" i="15"/>
  <c r="R13" i="15"/>
  <c r="Q13" i="15"/>
  <c r="O13" i="15"/>
  <c r="AE12" i="15"/>
  <c r="AO12" i="15"/>
  <c r="BI12" i="15"/>
  <c r="BD12" i="15"/>
  <c r="BS12" i="15"/>
  <c r="BH12" i="15"/>
  <c r="BR12" i="15"/>
  <c r="BG12" i="15"/>
  <c r="BQ12" i="15"/>
  <c r="BF12" i="15"/>
  <c r="BP12" i="15"/>
  <c r="BN12" i="15"/>
  <c r="BM12" i="15"/>
  <c r="BL12" i="15"/>
  <c r="BK12" i="15"/>
  <c r="J12" i="15"/>
  <c r="AY12" i="15"/>
  <c r="AX12" i="15"/>
  <c r="AW12" i="15"/>
  <c r="AV12" i="15"/>
  <c r="AT12" i="15"/>
  <c r="AS12" i="15"/>
  <c r="AR12" i="15"/>
  <c r="AQ12" i="15"/>
  <c r="Z12" i="15"/>
  <c r="T12" i="15"/>
  <c r="S12" i="15"/>
  <c r="R12" i="15"/>
  <c r="Q12" i="15"/>
  <c r="O12" i="15"/>
  <c r="AE11" i="15"/>
  <c r="AO11" i="15"/>
  <c r="BI11" i="15"/>
  <c r="BD11" i="15"/>
  <c r="BS11" i="15"/>
  <c r="BR11" i="15"/>
  <c r="BQ11" i="15"/>
  <c r="BP11" i="15"/>
  <c r="BN11" i="15"/>
  <c r="BM11" i="15"/>
  <c r="BL11" i="15"/>
  <c r="BK11" i="15"/>
  <c r="AY11" i="15"/>
  <c r="AX11" i="15"/>
  <c r="AW11" i="15"/>
  <c r="AV11" i="15"/>
  <c r="AT11" i="15"/>
  <c r="AS11" i="15"/>
  <c r="AR11" i="15"/>
  <c r="AQ11" i="15"/>
  <c r="Z11" i="15"/>
  <c r="T11" i="15"/>
  <c r="S11" i="15"/>
  <c r="R11" i="15"/>
  <c r="Q11" i="15"/>
  <c r="O11" i="15"/>
  <c r="H23" i="12"/>
  <c r="G23" i="12"/>
  <c r="D23" i="12"/>
  <c r="H22" i="12"/>
  <c r="G22" i="12"/>
  <c r="D22" i="12"/>
  <c r="H21" i="12"/>
  <c r="G21" i="12"/>
  <c r="D21" i="12"/>
  <c r="H18" i="12"/>
  <c r="G18" i="12"/>
  <c r="D18" i="12"/>
  <c r="G43" i="12"/>
  <c r="H41" i="12"/>
  <c r="G41" i="12"/>
  <c r="D41" i="12"/>
  <c r="I41" i="12"/>
  <c r="D40" i="12"/>
  <c r="G40" i="12"/>
  <c r="H40" i="12"/>
  <c r="I40" i="12"/>
  <c r="D39" i="12"/>
  <c r="G39" i="12"/>
  <c r="H39" i="12"/>
  <c r="I39" i="12"/>
  <c r="I30" i="12"/>
  <c r="I29" i="12"/>
  <c r="I22" i="12"/>
  <c r="I20" i="12"/>
  <c r="I21" i="12"/>
  <c r="I17" i="12"/>
  <c r="D19" i="12"/>
  <c r="E41" i="12"/>
  <c r="E43" i="12"/>
  <c r="F31" i="12"/>
  <c r="F41" i="12"/>
  <c r="F43" i="12"/>
  <c r="H19" i="12"/>
  <c r="D43" i="12"/>
  <c r="D52" i="12"/>
  <c r="H43" i="12"/>
  <c r="H52" i="12"/>
  <c r="I13" i="12"/>
  <c r="C100" i="12"/>
  <c r="C99" i="12"/>
  <c r="C98" i="12"/>
  <c r="C97" i="12"/>
  <c r="C95" i="12"/>
  <c r="C94" i="12"/>
  <c r="C93" i="12"/>
  <c r="C91" i="12"/>
  <c r="C90" i="12"/>
  <c r="S49" i="16"/>
  <c r="K50" i="16"/>
  <c r="L50" i="16"/>
  <c r="P50" i="16"/>
  <c r="Q50" i="16"/>
  <c r="R50" i="16"/>
  <c r="S50" i="16"/>
  <c r="N50" i="16"/>
  <c r="S51" i="16"/>
  <c r="U52" i="16"/>
  <c r="V52" i="16"/>
  <c r="S53" i="16"/>
  <c r="K54" i="16"/>
  <c r="P54" i="16"/>
  <c r="Q54" i="16"/>
  <c r="S54" i="16"/>
  <c r="N54" i="16"/>
  <c r="S55" i="16"/>
  <c r="S57" i="16"/>
  <c r="M58" i="16"/>
  <c r="P58" i="16"/>
  <c r="Q58" i="16"/>
  <c r="R58" i="16"/>
  <c r="S58" i="16"/>
  <c r="N58" i="16"/>
  <c r="S59" i="16"/>
  <c r="F62" i="16"/>
  <c r="G62" i="16"/>
  <c r="H62" i="16"/>
  <c r="I62" i="16"/>
  <c r="K62" i="16"/>
  <c r="L62" i="16"/>
  <c r="M62" i="16"/>
  <c r="D34" i="12"/>
  <c r="D35" i="12"/>
  <c r="D48" i="12"/>
  <c r="K7" i="12"/>
  <c r="G33" i="12"/>
  <c r="G34" i="12"/>
  <c r="G35" i="12"/>
  <c r="H34" i="12"/>
  <c r="H35" i="12"/>
  <c r="H48" i="12"/>
  <c r="M7" i="12"/>
  <c r="K16" i="12"/>
  <c r="M16" i="12"/>
  <c r="I35" i="12"/>
  <c r="K22" i="12"/>
  <c r="M22" i="12"/>
  <c r="K24" i="12"/>
  <c r="M24" i="12"/>
  <c r="I31" i="12"/>
  <c r="G32" i="12"/>
  <c r="I32" i="12"/>
  <c r="I33" i="12"/>
  <c r="E34" i="12"/>
  <c r="F34" i="12"/>
  <c r="I34" i="12"/>
  <c r="D47" i="12"/>
  <c r="G47" i="12"/>
  <c r="H47" i="12"/>
  <c r="I47" i="12"/>
  <c r="D51" i="12"/>
  <c r="G51" i="12"/>
  <c r="H51" i="12"/>
  <c r="I51" i="12"/>
  <c r="D55" i="12"/>
  <c r="H55" i="12"/>
  <c r="E9" i="10"/>
  <c r="F9" i="10"/>
  <c r="G9" i="10"/>
  <c r="H9" i="10"/>
  <c r="I9" i="10"/>
  <c r="J9" i="10"/>
  <c r="K9" i="10"/>
  <c r="L9" i="10"/>
  <c r="M9" i="10"/>
  <c r="N9" i="10"/>
  <c r="O9" i="10"/>
  <c r="P9" i="10"/>
  <c r="D9" i="10"/>
  <c r="C9" i="10"/>
  <c r="G11" i="7"/>
  <c r="H11" i="7"/>
  <c r="Q11" i="7"/>
  <c r="R11" i="7"/>
  <c r="S11" i="7"/>
  <c r="T11" i="7"/>
  <c r="U11" i="7"/>
  <c r="V11" i="7"/>
  <c r="W11" i="7"/>
  <c r="X11" i="7"/>
  <c r="Y11" i="7"/>
  <c r="P11" i="7"/>
  <c r="J11" i="7"/>
  <c r="Z11" i="7"/>
  <c r="AC11" i="7"/>
  <c r="AD11" i="7"/>
  <c r="AE11" i="7"/>
  <c r="AF11" i="7"/>
  <c r="AG11" i="7"/>
  <c r="AH11" i="7"/>
  <c r="AI11" i="7"/>
  <c r="AJ11" i="7"/>
  <c r="AK11" i="7"/>
  <c r="AB11" i="7"/>
  <c r="L11" i="7"/>
  <c r="D11" i="7"/>
  <c r="C11" i="7"/>
  <c r="K11" i="7"/>
  <c r="AA11" i="7"/>
  <c r="G12" i="7"/>
  <c r="H12" i="7"/>
  <c r="Q12" i="7"/>
  <c r="R12" i="7"/>
  <c r="S12" i="7"/>
  <c r="T12" i="7"/>
  <c r="U12" i="7"/>
  <c r="V12" i="7"/>
  <c r="W12" i="7"/>
  <c r="X12" i="7"/>
  <c r="Y12" i="7"/>
  <c r="P12" i="7"/>
  <c r="L12" i="7"/>
  <c r="D12" i="7"/>
  <c r="C12" i="7"/>
  <c r="J12" i="7"/>
  <c r="K12" i="7"/>
  <c r="O12" i="7"/>
  <c r="AC12" i="7"/>
  <c r="AD12" i="7"/>
  <c r="AG12" i="7"/>
  <c r="AJ12" i="7"/>
  <c r="B13" i="7"/>
  <c r="D13" i="7"/>
  <c r="C13" i="7"/>
  <c r="F13" i="7"/>
  <c r="H13" i="7"/>
  <c r="G13" i="7"/>
  <c r="J13" i="7"/>
  <c r="L13" i="7"/>
  <c r="K13" i="7"/>
  <c r="N13" i="7"/>
  <c r="P13" i="7"/>
  <c r="O13" i="7"/>
  <c r="Q13" i="7"/>
  <c r="S13" i="7"/>
  <c r="R13" i="7"/>
  <c r="T13" i="7"/>
  <c r="V13" i="7"/>
  <c r="U13" i="7"/>
  <c r="W13" i="7"/>
  <c r="Y13" i="7"/>
  <c r="X13" i="7"/>
  <c r="Z13" i="7"/>
  <c r="AB13" i="7"/>
  <c r="AA13" i="7"/>
  <c r="AC13" i="7"/>
  <c r="AE13" i="7"/>
  <c r="AD13" i="7"/>
  <c r="AF13" i="7"/>
  <c r="AH13" i="7"/>
  <c r="AG13" i="7"/>
  <c r="AI13" i="7"/>
  <c r="AK13" i="7"/>
  <c r="AJ13" i="7"/>
  <c r="G14" i="7"/>
  <c r="H14" i="7"/>
  <c r="D14" i="7"/>
  <c r="C14" i="7"/>
  <c r="R14" i="7"/>
  <c r="U14" i="7"/>
  <c r="X14" i="7"/>
  <c r="B16" i="7"/>
  <c r="D16" i="7"/>
  <c r="C16" i="7"/>
  <c r="F16" i="7"/>
  <c r="H16" i="7"/>
  <c r="G16" i="7"/>
  <c r="J16" i="7"/>
  <c r="L16" i="7"/>
  <c r="K16" i="7"/>
  <c r="N16" i="7"/>
  <c r="P16" i="7"/>
  <c r="O16" i="7"/>
  <c r="Q16" i="7"/>
  <c r="S16" i="7"/>
  <c r="R16" i="7"/>
  <c r="T16" i="7"/>
  <c r="V16" i="7"/>
  <c r="U16" i="7"/>
  <c r="W16" i="7"/>
  <c r="Y16" i="7"/>
  <c r="X16" i="7"/>
  <c r="Z16" i="7"/>
  <c r="AB16" i="7"/>
  <c r="AA16" i="7"/>
  <c r="AC16" i="7"/>
  <c r="AE16" i="7"/>
  <c r="AD16" i="7"/>
  <c r="AF16" i="7"/>
  <c r="AH16" i="7"/>
  <c r="AG16" i="7"/>
  <c r="AI16" i="7"/>
  <c r="AK16" i="7"/>
  <c r="AJ16" i="7"/>
  <c r="E30" i="7"/>
  <c r="I30" i="7"/>
  <c r="M30" i="7"/>
  <c r="E31" i="7"/>
  <c r="I31" i="7"/>
  <c r="M31" i="7"/>
  <c r="E32" i="7"/>
  <c r="B49" i="7"/>
  <c r="C49" i="7"/>
  <c r="E49" i="7"/>
  <c r="F49" i="7"/>
  <c r="I49" i="7"/>
  <c r="J49" i="7"/>
  <c r="B50" i="7"/>
  <c r="C50" i="7"/>
  <c r="E50" i="7"/>
  <c r="F50" i="7"/>
  <c r="I50" i="7"/>
  <c r="J50" i="7"/>
  <c r="B51" i="7"/>
  <c r="C51" i="7"/>
  <c r="E51" i="7"/>
  <c r="F51" i="7"/>
  <c r="I51" i="7"/>
  <c r="J51" i="7"/>
  <c r="I52" i="7"/>
  <c r="J52" i="7"/>
  <c r="E60" i="7"/>
  <c r="E62" i="7"/>
  <c r="E63" i="7"/>
  <c r="E64" i="7"/>
  <c r="E65" i="7"/>
  <c r="E66" i="7"/>
  <c r="E67" i="7"/>
  <c r="E68" i="7"/>
  <c r="E69" i="7"/>
  <c r="E70" i="7"/>
  <c r="E71" i="7"/>
  <c r="E72" i="7"/>
  <c r="E73" i="7"/>
  <c r="E74" i="7"/>
  <c r="E75" i="7"/>
  <c r="E76" i="7"/>
  <c r="E90" i="7"/>
  <c r="G90" i="7"/>
  <c r="H90" i="7"/>
  <c r="E91" i="7"/>
  <c r="G91" i="7"/>
  <c r="H91" i="7"/>
  <c r="E92" i="7"/>
  <c r="G92" i="7"/>
  <c r="H92" i="7"/>
  <c r="E93" i="7"/>
  <c r="G93" i="7"/>
  <c r="H93" i="7"/>
  <c r="G19" i="12"/>
  <c r="I19" i="12"/>
  <c r="G52" i="12"/>
  <c r="I52" i="12"/>
  <c r="I18" i="12"/>
  <c r="G48" i="12"/>
  <c r="L16" i="12"/>
  <c r="I48" i="12"/>
  <c r="N16" i="12"/>
  <c r="L22" i="12"/>
  <c r="I43" i="12"/>
  <c r="N22" i="12"/>
  <c r="L7" i="12"/>
  <c r="L24" i="12"/>
  <c r="I23" i="12"/>
  <c r="N7" i="12"/>
  <c r="N24" i="12"/>
  <c r="I42" i="12"/>
  <c r="G55" i="12"/>
  <c r="I55" i="12"/>
</calcChain>
</file>

<file path=xl/sharedStrings.xml><?xml version="1.0" encoding="utf-8"?>
<sst xmlns="http://schemas.openxmlformats.org/spreadsheetml/2006/main" count="1072" uniqueCount="710">
  <si>
    <r>
      <t xml:space="preserve">Component </t>
    </r>
    <r>
      <rPr>
        <b/>
        <u/>
        <sz val="12"/>
        <rFont val="Arial"/>
      </rPr>
      <t>(E.) Farm profits</t>
    </r>
    <r>
      <rPr>
        <sz val="12"/>
        <rFont val="Arial"/>
      </rPr>
      <t xml:space="preserve"> [See the guesstimates by J.T. Main (1965), below]</t>
    </r>
    <phoneticPr fontId="2" type="noConversion"/>
  </si>
  <si>
    <t>of return for all slaves should have been slightly above the 11.0% calculated for Maryland 1796-1804.</t>
    <phoneticPr fontId="2" type="noConversion"/>
  </si>
  <si>
    <t>Farm (for NE and MC = rural; For S = all)</t>
    <phoneticPr fontId="2" type="noConversion"/>
  </si>
  <si>
    <t>Group 1 = titled &amp; professionals</t>
  </si>
  <si>
    <t>England</t>
    <phoneticPr fontId="2" type="noConversion"/>
  </si>
  <si>
    <t>Colonies</t>
    <phoneticPr fontId="2" type="noConversion"/>
  </si>
  <si>
    <t>South</t>
    <phoneticPr fontId="2" type="noConversion"/>
  </si>
  <si>
    <t xml:space="preserve">while shopkeepers earned less than half of that sum".  His comment is not specific to any particular place within the colonies.  </t>
    <phoneticPr fontId="2" type="noConversion"/>
  </si>
  <si>
    <t>(Charleston 7 = 5 shopkeepers, 1 innkeeper, and only 1 modest-W merchant)</t>
    <phoneticPr fontId="2" type="noConversion"/>
  </si>
  <si>
    <t>Colonies</t>
    <phoneticPr fontId="2" type="noConversion"/>
  </si>
  <si>
    <t>How thin were Jones's probate sub-samples for these higher occupations?</t>
    <phoneticPr fontId="2" type="noConversion"/>
  </si>
  <si>
    <t>$ per farmer</t>
    <phoneticPr fontId="2" type="noConversion"/>
  </si>
  <si>
    <t>earnings of persons</t>
    <phoneticPr fontId="2" type="noConversion"/>
  </si>
  <si>
    <t>employed in farm</t>
    <phoneticPr fontId="2" type="noConversion"/>
  </si>
  <si>
    <t>sector (Variant B)</t>
    <phoneticPr fontId="2" type="noConversion"/>
  </si>
  <si>
    <t>non-human assets</t>
    <phoneticPr fontId="2" type="noConversion"/>
  </si>
  <si>
    <t>Repeat: persons in farm labor force</t>
    <phoneticPr fontId="2" type="noConversion"/>
  </si>
  <si>
    <t>Group 7, male household heads, with positive wealth by no stated occupation:</t>
    <phoneticPr fontId="2" type="noConversion"/>
  </si>
  <si>
    <r>
      <t xml:space="preserve">AHJ sample sizes for </t>
    </r>
    <r>
      <rPr>
        <u/>
        <sz val="12"/>
        <rFont val="Arial"/>
      </rPr>
      <t>artisans &amp; building trades</t>
    </r>
    <r>
      <rPr>
        <sz val="12"/>
        <rFont val="Arial"/>
      </rPr>
      <t xml:space="preserve"> =</t>
    </r>
    <phoneticPr fontId="2" type="noConversion"/>
  </si>
  <si>
    <t>Furthermore, this estimate of "income" probably mixes property returns, returns to effort, and the profit residual.</t>
    <phoneticPr fontId="2" type="noConversion"/>
  </si>
  <si>
    <t>n = 17</t>
    <phoneticPr fontId="2" type="noConversion"/>
  </si>
  <si>
    <t>n = 12</t>
    <phoneticPr fontId="2" type="noConversion"/>
  </si>
  <si>
    <t>n = 5</t>
    <phoneticPr fontId="2" type="noConversion"/>
  </si>
  <si>
    <t>n = 32</t>
    <phoneticPr fontId="2" type="noConversion"/>
  </si>
  <si>
    <t>Profits, excluding his farm-labor component.</t>
    <phoneticPr fontId="2" type="noConversion"/>
  </si>
  <si>
    <t xml:space="preserve">Alternatively, where Alice Hanson Jones's probate samples capture too few individuals in these sub-groups, we can assume a lower bound on the implicit labor income </t>
    <phoneticPr fontId="2" type="noConversion"/>
  </si>
  <si>
    <t>(1) The Property-ladder procedure</t>
    <phoneticPr fontId="2" type="noConversion"/>
  </si>
  <si>
    <t>(Group 6A) in the same places.  This is our way of trying to capture the likelihood that they are a mix of employed (and generally young) common laborers and those truly in poverty with near-zero labor earnings.</t>
    <phoneticPr fontId="2" type="noConversion"/>
  </si>
  <si>
    <r>
      <t>J.T. Main (</t>
    </r>
    <r>
      <rPr>
        <i/>
        <sz val="12"/>
        <rFont val="Arial"/>
      </rPr>
      <t>Social Structure</t>
    </r>
    <r>
      <rPr>
        <sz val="12"/>
        <rFont val="Arial"/>
      </rPr>
      <t>, 1965, pp. 87-88) noted the daunting range of incomes implied by the few clues about merchant and</t>
    </r>
    <phoneticPr fontId="2" type="noConversion"/>
  </si>
  <si>
    <t xml:space="preserve">What were the implicit wage earnings of merchants and shopkeepers, who never received a wage?  How productive, and how rewarded, was their work time?  </t>
    <phoneticPr fontId="2" type="noConversion"/>
  </si>
  <si>
    <t xml:space="preserve">Clearly, the shaky indirect estimates have some variation, and further historical data are needed.  </t>
    <phoneticPr fontId="2" type="noConversion"/>
  </si>
  <si>
    <t>Repeat: persons in farm HHs' labor force</t>
    <phoneticPr fontId="2" type="noConversion"/>
  </si>
  <si>
    <t>No. farm operators, from</t>
    <phoneticPr fontId="2" type="noConversion"/>
  </si>
  <si>
    <t>"Occs" &amp; "Amer Incomes" files</t>
    <phoneticPr fontId="2" type="noConversion"/>
  </si>
  <si>
    <t>SC Charleston 1770-1774</t>
    <phoneticPr fontId="2" type="noConversion"/>
  </si>
  <si>
    <t>Merchants and shopkeepers do not record any labor earnings of their own, though we imagine that their work involved more skill</t>
    <phoneticPr fontId="2" type="noConversion"/>
  </si>
  <si>
    <t>but the city's true share of the region's slaves must have been far smaller.  The slave-weighted regional rate</t>
    <phoneticPr fontId="2" type="noConversion"/>
  </si>
  <si>
    <t>shopkeeper incomes, and conjectured only that "Probably the average income of the established merchant was well over £500 sterling,</t>
    <phoneticPr fontId="2" type="noConversion"/>
  </si>
  <si>
    <t>LW estimation choice</t>
    <phoneticPr fontId="2" type="noConversion"/>
  </si>
  <si>
    <r>
      <t xml:space="preserve">AHJ sample sizes for </t>
    </r>
    <r>
      <rPr>
        <u/>
        <sz val="12"/>
        <rFont val="Arial"/>
      </rPr>
      <t>officials, titled, professions</t>
    </r>
    <r>
      <rPr>
        <sz val="12"/>
        <rFont val="Arial"/>
      </rPr>
      <t xml:space="preserve"> =</t>
    </r>
    <phoneticPr fontId="2" type="noConversion"/>
  </si>
  <si>
    <r>
      <t xml:space="preserve">AHJ sample sizes for </t>
    </r>
    <r>
      <rPr>
        <u/>
        <sz val="12"/>
        <rFont val="Arial"/>
      </rPr>
      <t>commercial class</t>
    </r>
    <r>
      <rPr>
        <sz val="12"/>
        <rFont val="Arial"/>
      </rPr>
      <t xml:space="preserve"> =</t>
    </r>
    <phoneticPr fontId="2" type="noConversion"/>
  </si>
  <si>
    <t>n = 10</t>
    <phoneticPr fontId="2" type="noConversion"/>
  </si>
  <si>
    <t>n = 13</t>
    <phoneticPr fontId="2" type="noConversion"/>
  </si>
  <si>
    <t>n = 28</t>
    <phoneticPr fontId="2" type="noConversion"/>
  </si>
  <si>
    <t>We apply the same assumption as for Group 7, assigning them the same earning power as male common laborers.  The wealth side-test suggests that</t>
    <phoneticPr fontId="2" type="noConversion"/>
  </si>
  <si>
    <t>Specifically, this idea assumes for each region and each urban-or-rural that (E2/E4) / (E1/E4) = (Prop 2 / Prop 4) / (Prop 1 / Prop 4).</t>
    <phoneticPr fontId="2" type="noConversion"/>
  </si>
  <si>
    <t>The "E's" = average own-labor earnings, in $</t>
    <phoneticPr fontId="2" type="noConversion"/>
  </si>
  <si>
    <t>TOTAL EARNINGS in dollar equivalents</t>
    <phoneticPr fontId="2" type="noConversion"/>
  </si>
  <si>
    <t>The "Props", in dollar equivalents</t>
    <phoneticPr fontId="2" type="noConversion"/>
  </si>
  <si>
    <t>(2) The commercials = artisans procedure</t>
    <phoneticPr fontId="2" type="noConversion"/>
  </si>
  <si>
    <t xml:space="preserve">(A.) Imputed own-labor </t>
    <phoneticPr fontId="2" type="noConversion"/>
  </si>
  <si>
    <t>Imputed</t>
    <phoneticPr fontId="2" type="noConversion"/>
  </si>
  <si>
    <t>here</t>
    <phoneticPr fontId="2" type="noConversion"/>
  </si>
  <si>
    <t>from slave ownership</t>
    <phoneticPr fontId="2" type="noConversion"/>
  </si>
  <si>
    <t>|</t>
    <phoneticPr fontId="2" type="noConversion"/>
  </si>
  <si>
    <t xml:space="preserve">  &gt;</t>
    <phoneticPr fontId="2" type="noConversion"/>
  </si>
  <si>
    <t xml:space="preserve">(c.) Farm-operator "profits" are hard to infer. Use the cash “profits” reported occasionally in J.T. Main's (1965) book. </t>
    <phoneticPr fontId="2" type="noConversion"/>
  </si>
  <si>
    <r>
      <t xml:space="preserve">Sales prices from Kulikoff, Allan, </t>
    </r>
    <r>
      <rPr>
        <i/>
        <sz val="12"/>
        <rFont val="Arial"/>
      </rPr>
      <t xml:space="preserve">Tobacco and Slaves </t>
    </r>
    <r>
      <rPr>
        <sz val="12"/>
        <rFont val="Arial"/>
      </rPr>
      <t>(1986, graphed on p. 133).  Professor Kulikoff has helpfully confirmed the value, taken from his doctoral dissertation.</t>
    </r>
    <phoneticPr fontId="2" type="noConversion"/>
  </si>
  <si>
    <t>Artisans and building trades</t>
    <phoneticPr fontId="2" type="noConversion"/>
  </si>
  <si>
    <t>Rural</t>
    <phoneticPr fontId="2" type="noConversion"/>
  </si>
  <si>
    <t>Aggregate incomes of farms ($1000s)</t>
    <phoneticPr fontId="2" type="noConversion"/>
  </si>
  <si>
    <t>"Aggregate property 1774 …" files. They are</t>
    <phoneticPr fontId="2" type="noConversion"/>
  </si>
  <si>
    <t>[The average incomes are already entered in the</t>
    <phoneticPr fontId="2" type="noConversion"/>
  </si>
  <si>
    <t>Solve for E2, the kind of earnings sought here, and the only kind for which Main and others could not provide estimates.  </t>
    <phoneticPr fontId="2" type="noConversion"/>
  </si>
  <si>
    <t>did they have lower wealth than the assessed males identified as common laborers.  In the Middle Colonies and the South, they tended to have greater</t>
    <phoneticPr fontId="2" type="noConversion"/>
  </si>
  <si>
    <t>(E.) Profit residual</t>
    <phoneticPr fontId="2" type="noConversion"/>
  </si>
  <si>
    <t>cities</t>
  </si>
  <si>
    <t>Average gross property incomes from the "Aggreg Property 1774" files</t>
    <phoneticPr fontId="2" type="noConversion"/>
  </si>
  <si>
    <t>E2 =</t>
    <phoneticPr fontId="2" type="noConversion"/>
  </si>
  <si>
    <t>Group 1</t>
  </si>
  <si>
    <t xml:space="preserve">where this group is represented only by school-teachers, a low-paid group.  </t>
    <phoneticPr fontId="2" type="noConversion"/>
  </si>
  <si>
    <t>MD eastern shore</t>
  </si>
  <si>
    <t>NC average farm</t>
  </si>
  <si>
    <t>Group 4 = artisans in manufacturing and construction (4B and 4B together).</t>
  </si>
  <si>
    <t xml:space="preserve">Let E = own-labor earnings, and </t>
  </si>
  <si>
    <t>See the worksheet "commercial time" for important assumptions used to estimate the implicit skilled-labor earnings of this group,</t>
    <phoneticPr fontId="2" type="noConversion"/>
  </si>
  <si>
    <t xml:space="preserve">which were never estimated by colonial sources and are hard to measure even for today's economy.  </t>
    <phoneticPr fontId="2" type="noConversion"/>
  </si>
  <si>
    <t>for commercial implicit wages</t>
    <phoneticPr fontId="2" type="noConversion"/>
  </si>
  <si>
    <t>New Eng</t>
    <phoneticPr fontId="2" type="noConversion"/>
  </si>
  <si>
    <t>Only for New England are lesser cities estimated separately from rural.  For New England, the property-related procedure</t>
    <phoneticPr fontId="2" type="noConversion"/>
  </si>
  <si>
    <t>Accept this property-related procedure for northern cities, but for Charleston's thin samples, just equate the commercial wage with the artisans' wage.</t>
    <phoneticPr fontId="2" type="noConversion"/>
  </si>
  <si>
    <t>could be called a return to their skill (and their risk-taking).  Yet we lack direct estimates of their profits before the twentieth century.</t>
    <phoneticPr fontId="2" type="noConversion"/>
  </si>
  <si>
    <r>
      <t>Slave earnings</t>
    </r>
    <r>
      <rPr>
        <sz val="12"/>
        <rFont val="Arial"/>
      </rPr>
      <t>:</t>
    </r>
    <phoneticPr fontId="2" type="noConversion"/>
  </si>
  <si>
    <r>
      <t xml:space="preserve">Group 9, household heads with zero assessed wealth: These, whatever their (unknown) gender, are </t>
    </r>
    <r>
      <rPr>
        <u/>
        <sz val="12"/>
        <rFont val="Arial"/>
      </rPr>
      <t>assumed to have half (50%) of the same own-labor incomes as unskilled free male laborers</t>
    </r>
    <r>
      <rPr>
        <sz val="12"/>
        <rFont val="Arial"/>
      </rPr>
      <t xml:space="preserve"> </t>
    </r>
    <phoneticPr fontId="2" type="noConversion"/>
  </si>
  <si>
    <t>in assigning labor earnings to assessed no-occupation males.</t>
    <phoneticPr fontId="2" type="noConversion"/>
  </si>
  <si>
    <t>(New England's 7 "rural" commercials = 3 shipmasters, 1 merchant-and-other-businesses, and only 3 of the shopkeeper sub-class = 1 shopkeeper, 1 inkeeper, and 1 baker)</t>
    <phoneticPr fontId="2" type="noConversion"/>
  </si>
  <si>
    <r>
      <t xml:space="preserve">Components </t>
    </r>
    <r>
      <rPr>
        <b/>
        <u/>
        <sz val="12"/>
        <rFont val="Arial"/>
      </rPr>
      <t xml:space="preserve">(B.), (C.), and (D.) = Gross Property incomes </t>
    </r>
    <r>
      <rPr>
        <sz val="12"/>
        <rFont val="Arial"/>
      </rPr>
      <t>from realty, other non-human capital, and slaves</t>
    </r>
    <phoneticPr fontId="2" type="noConversion"/>
  </si>
  <si>
    <t>four alternative conversions for 1789 and after. For the 1792 mentioned by Jones, the Officer values in $/£ are 4.6206, 4.4400, 4.5714, and 4.5554.  </t>
    <phoneticPr fontId="2" type="noConversion"/>
  </si>
  <si>
    <t>As aggregate dollars per year,</t>
    <phoneticPr fontId="2" type="noConversion"/>
  </si>
  <si>
    <t>w/NY added,</t>
    <phoneticPr fontId="2" type="noConversion"/>
  </si>
  <si>
    <t>Retained</t>
    <phoneticPr fontId="2" type="noConversion"/>
  </si>
  <si>
    <t>annual $</t>
    <phoneticPr fontId="2" type="noConversion"/>
  </si>
  <si>
    <t>Groups 2-3</t>
  </si>
  <si>
    <t>Merchant &amp; shopkeepers</t>
  </si>
  <si>
    <t>Group 4</t>
    <phoneticPr fontId="2" type="noConversion"/>
  </si>
  <si>
    <r>
      <t xml:space="preserve">Collar category below refers to clerks for merchants. </t>
    </r>
    <r>
      <rPr>
        <b/>
        <sz val="12"/>
        <rFont val="Arial"/>
      </rPr>
      <t>Finally, the small 690 female minority are allocated like the 10810 male majority.</t>
    </r>
    <r>
      <rPr>
        <sz val="12"/>
        <rFont val="Arial"/>
      </rPr>
      <t xml:space="preserve"> Sources: David Galenson, </t>
    </r>
    <phoneticPr fontId="2" type="noConversion"/>
  </si>
  <si>
    <t>Assume that the commercials' own-labor earning power is as far up the earnings ladder from artisans to title&amp; professionals as they are up the property income ladder.</t>
    <phoneticPr fontId="2" type="noConversion"/>
  </si>
  <si>
    <t xml:space="preserve">(Prop 1 - Prop 4) </t>
    <phoneticPr fontId="2" type="noConversion"/>
  </si>
  <si>
    <t xml:space="preserve">Step 3. </t>
    <phoneticPr fontId="2" type="noConversion"/>
  </si>
  <si>
    <t>E4+ (E1-E4)*(Prop 2 - Prop 4)</t>
    <phoneticPr fontId="2" type="noConversion"/>
  </si>
  <si>
    <t>cash income only</t>
  </si>
  <si>
    <t>have property incomes that are only half of those of the free men labeled as unskilled.  Perhaps optimistically, we assign them the same labor earnings</t>
    <phoneticPr fontId="2" type="noConversion"/>
  </si>
  <si>
    <t>The lack of an occupational label for many people listed by local records as having at least some wealth requires that we make an assumption about their</t>
    <phoneticPr fontId="2" type="noConversion"/>
  </si>
  <si>
    <t>This assumption assigns to Group 9's free household heads an average labor income near the part of earnings retained by slaves.</t>
    <phoneticPr fontId="2" type="noConversion"/>
  </si>
  <si>
    <t>Group 8, female household heads, but no stated occupations (other than widow or single woman):</t>
    <phoneticPr fontId="2" type="noConversion"/>
  </si>
  <si>
    <t>as menial free male laborers, on the belief that they have similar earning power but have accumulated less because they are younger.</t>
    <phoneticPr fontId="2" type="noConversion"/>
  </si>
  <si>
    <t>(1) "Commercial Time":</t>
    <phoneticPr fontId="2" type="noConversion"/>
  </si>
  <si>
    <t>Big</t>
  </si>
  <si>
    <t>It turns out that Group 7's no-occupation males with some likely wealth (i.e. listed as assessible but tax-exempted because of the low level of their wealth)</t>
    <phoneticPr fontId="2" type="noConversion"/>
  </si>
  <si>
    <t xml:space="preserve">derived in the "Aggregate property 1774 ..." Excel files.  </t>
    <phoneticPr fontId="2" type="noConversion"/>
  </si>
  <si>
    <t xml:space="preserve">Here is a 1774-specific way of estimating the implicit labor-skill earning power of the commercial (merchant-shopkeeper) class, to be added to their property earnings. </t>
    <phoneticPr fontId="2" type="noConversion"/>
  </si>
  <si>
    <t>Consider our top three groups among the free:</t>
    <phoneticPr fontId="2" type="noConversion"/>
  </si>
  <si>
    <t>(4) Slave earnings divided 1774</t>
    <phoneticPr fontId="2" type="noConversion"/>
  </si>
  <si>
    <t>Retained Earnings for slave labor force c1774 = free labor earnings for same occupation * share retained by slave</t>
    <phoneticPr fontId="2" type="noConversion"/>
  </si>
  <si>
    <t xml:space="preserve">children under 12, the disabled, and those 50 and older. Let us therefore include a 47.7% with zero return. </t>
    <phoneticPr fontId="2" type="noConversion"/>
  </si>
  <si>
    <t>New England total c1774</t>
  </si>
  <si>
    <r>
      <t xml:space="preserve">Probate values from MRW [Mancall, Peter C., Joshua L. Rosenbloom and Thomas Weiss. 2001. “Slave Prices and the South Carolina Economy, 1722-1809.” </t>
    </r>
    <r>
      <rPr>
        <i/>
        <sz val="12"/>
        <rFont val="Arial"/>
      </rPr>
      <t>Journal of Economic History</t>
    </r>
    <r>
      <rPr>
        <sz val="12"/>
        <rFont val="Arial"/>
      </rPr>
      <t xml:space="preserve"> 61:3 (September), Table 3.]</t>
    </r>
    <phoneticPr fontId="2" type="noConversion"/>
  </si>
  <si>
    <t>to be worth £151 annually.  [Despite possible currency differences between the two figures,] "…. The rate of return was</t>
  </si>
  <si>
    <t>than for common laborers or for most craftsmen in the manufacturing or building trades. In principle, one could examine their profits</t>
    <phoneticPr fontId="2" type="noConversion"/>
  </si>
  <si>
    <t>and try to infer how those were divided between competitive returns to land and non-human capital, leaving a residual that</t>
    <phoneticPr fontId="2" type="noConversion"/>
  </si>
  <si>
    <t>THE RESULTING ESTIMATIONS, DIVIDING UP SLAVE EARNINGS:</t>
    <phoneticPr fontId="2" type="noConversion"/>
  </si>
  <si>
    <t>Colonies</t>
    <phoneticPr fontId="2" type="noConversion"/>
  </si>
  <si>
    <t>South</t>
    <phoneticPr fontId="2" type="noConversion"/>
  </si>
  <si>
    <t>average $</t>
    <phoneticPr fontId="2" type="noConversion"/>
  </si>
  <si>
    <t>all slaves</t>
    <phoneticPr fontId="2" type="noConversion"/>
  </si>
  <si>
    <t>valuation,</t>
    <phoneticPr fontId="2" type="noConversion"/>
  </si>
  <si>
    <t>(£ sterling UK)</t>
    <phoneticPr fontId="2" type="noConversion"/>
  </si>
  <si>
    <r>
      <t>Annual earnings rates</t>
    </r>
    <r>
      <rPr>
        <sz val="12"/>
        <rFont val="Arial"/>
      </rPr>
      <t xml:space="preserve"> by occupation/region are described in the "Wage data survey 1774" file. The wage data supply by colony is very thin, and thus the table reports only averages across colonies for each of the three regions.</t>
    </r>
    <phoneticPr fontId="2" type="noConversion"/>
  </si>
  <si>
    <r>
      <t>Exchange rates for converting colony-specific £sd into the dollars shown here</t>
    </r>
    <r>
      <rPr>
        <sz val="12"/>
        <rFont val="Arial"/>
      </rPr>
      <t>:</t>
    </r>
    <phoneticPr fontId="2" type="noConversion"/>
  </si>
  <si>
    <t>South</t>
    <phoneticPr fontId="2" type="noConversion"/>
  </si>
  <si>
    <t>Retained</t>
    <phoneticPr fontId="2" type="noConversion"/>
  </si>
  <si>
    <t>Rural</t>
    <phoneticPr fontId="2" type="noConversion"/>
  </si>
  <si>
    <t>Thus we turn to a pair of procedures, which in combination produce plausible estimates of this hidden labor, by region and by urban-rural setting.</t>
    <phoneticPr fontId="2" type="noConversion"/>
  </si>
  <si>
    <t>n = 5</t>
    <phoneticPr fontId="2" type="noConversion"/>
  </si>
  <si>
    <t>(C.) Property income,</t>
    <phoneticPr fontId="2" type="noConversion"/>
  </si>
  <si>
    <t>(D.) Income extracted</t>
    <phoneticPr fontId="2" type="noConversion"/>
  </si>
  <si>
    <t>South</t>
    <phoneticPr fontId="2" type="noConversion"/>
  </si>
  <si>
    <t>weighted here by numbers of farm operators, not sample size,</t>
    <phoneticPr fontId="2" type="noConversion"/>
  </si>
  <si>
    <t>13 colonies</t>
    <phoneticPr fontId="2" type="noConversion"/>
  </si>
  <si>
    <t>New Jersey</t>
  </si>
  <si>
    <t>New</t>
    <phoneticPr fontId="2" type="noConversion"/>
  </si>
  <si>
    <t>Middle</t>
    <phoneticPr fontId="2" type="noConversion"/>
  </si>
  <si>
    <r>
      <t>Labor force</t>
    </r>
    <r>
      <rPr>
        <sz val="12"/>
        <rFont val="Arial"/>
      </rPr>
      <t xml:space="preserve">: Lindert-Williamson estimates, in the "1774 occupations by region" Excel file, January 2011. Based on the colonial censuses in </t>
    </r>
    <r>
      <rPr>
        <i/>
        <sz val="12"/>
        <rFont val="Arial"/>
      </rPr>
      <t>Historical Statistics, Millennial Edition</t>
    </r>
    <r>
      <rPr>
        <sz val="12"/>
        <rFont val="Arial"/>
      </rPr>
      <t xml:space="preserve"> (2006), interpolating from the US censuses of 1790 and 1800, and on Thomas Weiss's estimates of labor force participation rates.</t>
    </r>
    <phoneticPr fontId="2" type="noConversion"/>
  </si>
  <si>
    <t>General price tendencies, combined with the implied annual returns from above, imply:</t>
    <phoneticPr fontId="2" type="noConversion"/>
  </si>
  <si>
    <t>Is it total farm income, most of which is not "profit" but something else, such as a return to family labor or payment for inputs?]</t>
  </si>
  <si>
    <t>As noted in the files generating property incomes, in 1798 in Queen Annes County Maryland</t>
    <phoneticPr fontId="2" type="noConversion"/>
  </si>
  <si>
    <t xml:space="preserve">These prices can be combined with the annual returns for employed slaves (above) to imply rates of annual return, and these rates can give </t>
    <phoneticPr fontId="2" type="noConversion"/>
  </si>
  <si>
    <t>employed</t>
    <phoneticPr fontId="2" type="noConversion"/>
  </si>
  <si>
    <t>Officials, titled, professions</t>
  </si>
  <si>
    <t>What one unit of each colony's currency was worth in 1774 --</t>
  </si>
  <si>
    <t>Placing Merchants and Shopkeepers on the Ladder of Own-Labor Earnings</t>
    <phoneticPr fontId="2" type="noConversion"/>
  </si>
  <si>
    <t>Group 2 = commercials (merchants/shopkeepers), our focus here.  In our occupation tables, it consists of Group 2 (big city) or Group 3 (elsewhere).\</t>
    <phoneticPr fontId="2" type="noConversion"/>
  </si>
  <si>
    <t>Colony</t>
  </si>
  <si>
    <t xml:space="preserve">send warning signals by being implausibly high or low.  First, however, we must adjust for the demography of slave employment.  </t>
    <phoneticPr fontId="2" type="noConversion"/>
  </si>
  <si>
    <t xml:space="preserve">Total  </t>
  </si>
  <si>
    <t>total</t>
  </si>
  <si>
    <t>MA 3 Boston-area counties c1774</t>
  </si>
  <si>
    <t>CT New Haven c1774</t>
  </si>
  <si>
    <t>SC Charleston c1774</t>
  </si>
  <si>
    <t>Thirteen colonies c1774</t>
  </si>
  <si>
    <t>By comparison, the relationship of Fogel-Engerman slave hire rates to slave prices in Queen Annes County</t>
    <phoneticPr fontId="2" type="noConversion"/>
  </si>
  <si>
    <t>4 Mid Cols</t>
    <phoneticPr fontId="2" type="noConversion"/>
  </si>
  <si>
    <t>PA</t>
  </si>
  <si>
    <t>for 1796-1804 imply a rate of annual return of 11.0 percent for apparently healthy adult slaves, assuming half</t>
    <phoneticPr fontId="2" type="noConversion"/>
  </si>
  <si>
    <t>Shares (%) of their total income implied by these estimates</t>
    <phoneticPr fontId="2" type="noConversion"/>
  </si>
  <si>
    <t>&lt;</t>
    <phoneticPr fontId="2" type="noConversion"/>
  </si>
  <si>
    <t>South outside NC</t>
  </si>
  <si>
    <t>per earner</t>
  </si>
  <si>
    <t>England</t>
    <phoneticPr fontId="2" type="noConversion"/>
  </si>
  <si>
    <t>Our underlying occupational-share estimates from primary sources are detailed in the set of regional files entitled "Aggregate property 1774 [name of region]",</t>
    <phoneticPr fontId="2" type="noConversion"/>
  </si>
  <si>
    <t>Annual earnings</t>
  </si>
  <si>
    <t xml:space="preserve">a small cash surplus, and that the return on the value of the property, according to the usual estimate of its worth, </t>
  </si>
  <si>
    <t>(A.)+(E.) = Own-labor part</t>
    <phoneticPr fontId="2" type="noConversion"/>
  </si>
  <si>
    <t>Mass</t>
  </si>
  <si>
    <t>gives an estimate close to the commercial = artisan procedure.  Use the property-based procedure despite the thinness of the sub-sample.</t>
    <phoneticPr fontId="2" type="noConversion"/>
  </si>
  <si>
    <t xml:space="preserve">wealth than the common-labor free males. The possibility that we are too pessimistic about female earning power is hopefully offset by the likely over-optimism </t>
    <phoneticPr fontId="2" type="noConversion"/>
  </si>
  <si>
    <t>force</t>
    <phoneticPr fontId="2" type="noConversion"/>
  </si>
  <si>
    <t>annual $</t>
    <phoneticPr fontId="2" type="noConversion"/>
  </si>
  <si>
    <r>
      <t xml:space="preserve">We rely mainly on John J. McCusker, </t>
    </r>
    <r>
      <rPr>
        <i/>
        <sz val="12"/>
        <rFont val="Arial"/>
      </rPr>
      <t>How Much is That in Real Money? …</t>
    </r>
    <r>
      <rPr>
        <sz val="12"/>
        <rFont val="Arial"/>
      </rPr>
      <t xml:space="preserve"> (Worcester MA: American Antiquarian Society, 2001), especially Appendix B,</t>
    </r>
    <phoneticPr fontId="2" type="noConversion"/>
  </si>
  <si>
    <t>n = 29</t>
    <phoneticPr fontId="2" type="noConversion"/>
  </si>
  <si>
    <t>n = 19</t>
    <phoneticPr fontId="2" type="noConversion"/>
  </si>
  <si>
    <t>11.0% rate from Maryland slave hires 1796-1804, based on Fogel-Engerman and census data, allows us to</t>
    <phoneticPr fontId="2" type="noConversion"/>
  </si>
  <si>
    <t>(2) Farm incomes</t>
    <phoneticPr fontId="2" type="noConversion"/>
  </si>
  <si>
    <t>rural</t>
    <phoneticPr fontId="2" type="noConversion"/>
  </si>
  <si>
    <t xml:space="preserve">For the South, colonial censuses counted slaves at the all-colony level but not separately for cities (e.g. Charleston).  In these tables, all slave numbers appear as rural.  </t>
    <phoneticPr fontId="2" type="noConversion"/>
  </si>
  <si>
    <t>are applied to urban and rural alike, since J.T. Main's underlying estimates of incomes per farm do not permit much spatial separation within each region.</t>
    <phoneticPr fontId="2" type="noConversion"/>
  </si>
  <si>
    <t>4 Mid Cols</t>
    <phoneticPr fontId="2" type="noConversion"/>
  </si>
  <si>
    <t xml:space="preserve"> 47.7% of all slaves in Queen Anne's County MD 1798 were in the not-so-employable classes --</t>
    <phoneticPr fontId="2" type="noConversion"/>
  </si>
  <si>
    <t>Regional total</t>
    <phoneticPr fontId="2" type="noConversion"/>
  </si>
  <si>
    <t>as %'s of the</t>
  </si>
  <si>
    <t>in Spanish</t>
  </si>
  <si>
    <t>Group 1, officials, titled, and professionals.  This group, with its wide range of incomes, was only modestly represented in both the wage and the wealth data.  Using the samplings</t>
    <phoneticPr fontId="2" type="noConversion"/>
  </si>
  <si>
    <t xml:space="preserve">labor earning power.  Good clues are given by the wealth and property returns (see the files "Aggreg property income 1774").   </t>
    <phoneticPr fontId="2" type="noConversion"/>
  </si>
  <si>
    <t>other productive</t>
    <phoneticPr fontId="2" type="noConversion"/>
  </si>
  <si>
    <r>
      <t>Occupation Notes</t>
    </r>
    <r>
      <rPr>
        <sz val="12"/>
        <rFont val="Arial"/>
      </rPr>
      <t>:</t>
    </r>
    <phoneticPr fontId="2" type="noConversion"/>
  </si>
  <si>
    <t>The implied shares</t>
    <phoneticPr fontId="2" type="noConversion"/>
  </si>
  <si>
    <t>South</t>
    <phoneticPr fontId="2" type="noConversion"/>
  </si>
  <si>
    <t xml:space="preserve">Step 2. </t>
    <phoneticPr fontId="2" type="noConversion"/>
  </si>
  <si>
    <t>North</t>
    <phoneticPr fontId="2" type="noConversion"/>
  </si>
  <si>
    <t>Annual $</t>
    <phoneticPr fontId="2" type="noConversion"/>
  </si>
  <si>
    <t>Region</t>
    <phoneticPr fontId="2" type="noConversion"/>
  </si>
  <si>
    <t>As percentage rates</t>
    <phoneticPr fontId="2" type="noConversion"/>
  </si>
  <si>
    <t>from the data as if they were random draws yields plausible-looking averages in most cases.  The main exception is for the rural parts of New England and New York,</t>
    <phoneticPr fontId="2" type="noConversion"/>
  </si>
  <si>
    <t>Prop = property income, painstakingly estimated from AHJ data.</t>
  </si>
  <si>
    <t>Yet 47.7% of all slaves in Queen Anne's County MD 1798 were in the not-so-employable classes -- children under 12, the disabled, and those 50 and older.</t>
  </si>
  <si>
    <t>Thirteen</t>
    <phoneticPr fontId="2" type="noConversion"/>
  </si>
  <si>
    <t>Queen Anne's County, Maryland, 1796-1804</t>
  </si>
  <si>
    <t>From Fogel and Engerman ICPSR file 07422</t>
  </si>
  <si>
    <t>NJ Burlington County c1774</t>
  </si>
  <si>
    <t>Middle colonies total c1774</t>
  </si>
  <si>
    <t>NY 10 counties c1774</t>
  </si>
  <si>
    <t>These estimates combine Weiss labor force estimates, LW occupation distributions, and free-labor occupation wage data.</t>
    <phoneticPr fontId="2" type="noConversion"/>
  </si>
  <si>
    <t>For England, the weighted share of farming, fishing, and forestry in all occupations, 1560-1599 = 0.59 (Table 11).</t>
    <phoneticPr fontId="2" type="noConversion"/>
  </si>
  <si>
    <t>South</t>
  </si>
  <si>
    <t>Date</t>
  </si>
  <si>
    <t>Maryland (hard)</t>
  </si>
  <si>
    <t>NC</t>
  </si>
  <si>
    <t>SC</t>
  </si>
  <si>
    <t>Total</t>
  </si>
  <si>
    <t>Artisans</t>
  </si>
  <si>
    <t>"The one generalization [that] seems to be valid for all sections is that the great majority of farms produced only</t>
  </si>
  <si>
    <t>VA eight counties c1774</t>
  </si>
  <si>
    <t>NC two counties c1774</t>
  </si>
  <si>
    <t>Construction</t>
  </si>
  <si>
    <t>Unskilled</t>
  </si>
  <si>
    <t>White Collar</t>
  </si>
  <si>
    <t>New England</t>
  </si>
  <si>
    <t>(later US)</t>
  </si>
  <si>
    <t xml:space="preserve">to a considerable degree, and represents therefore a true income much higher than the cash earnings.  </t>
  </si>
  <si>
    <t xml:space="preserve">Pennsylvania (63%: Galenson 1981, Table 6.6, p. 93). We use Galenson's Chesapeake figures to distribute our 11,500 indentured in the labor force. The White </t>
  </si>
  <si>
    <t>this does not understate their relative position in the labor market.  For one thing, females received lower wage rates.  For another, only in New England</t>
    <phoneticPr fontId="2" type="noConversion"/>
  </si>
  <si>
    <t>employed</t>
    <phoneticPr fontId="2" type="noConversion"/>
  </si>
  <si>
    <t xml:space="preserve">The question cannot be ignored for want of direct data, since it is highly unlikely that all their income was just a competitive return to their non-human assets.  </t>
    <phoneticPr fontId="2" type="noConversion"/>
  </si>
  <si>
    <t>Sample n</t>
  </si>
  <si>
    <t>|</t>
    <phoneticPr fontId="2" type="noConversion"/>
  </si>
  <si>
    <t>NY</t>
    <phoneticPr fontId="2" type="noConversion"/>
  </si>
  <si>
    <t xml:space="preserve">See other notes in this file and in the "Total incomes 1774" file for discussions of the separation of farm operators' free labor earnings, property earnings, and residual profits.  </t>
    <phoneticPr fontId="2" type="noConversion"/>
  </si>
  <si>
    <t>Aggregating over farm operators ($1000s)</t>
    <phoneticPr fontId="2" type="noConversion"/>
  </si>
  <si>
    <r>
      <t>See also Lawrence Officer's Series Ee612-Ee620 in Carter </t>
    </r>
    <r>
      <rPr>
        <i/>
        <sz val="12"/>
        <rFont val="Arial"/>
      </rPr>
      <t>et al., Historical Statistics of the United States (2006)</t>
    </r>
    <r>
      <rPr>
        <sz val="12"/>
        <rFont val="Arial"/>
      </rPr>
      <t>, volume 5, which gives</t>
    </r>
    <phoneticPr fontId="2" type="noConversion"/>
  </si>
  <si>
    <t>The remaining worksheets in this Excel file =</t>
    <phoneticPr fontId="2" type="noConversion"/>
  </si>
  <si>
    <t>Lindert-</t>
    <phoneticPr fontId="2" type="noConversion"/>
  </si>
  <si>
    <t>Williamson</t>
    <phoneticPr fontId="2" type="noConversion"/>
  </si>
  <si>
    <t>[NB: Slave dependents are excluded here]</t>
    <phoneticPr fontId="2" type="noConversion"/>
  </si>
  <si>
    <t>Alice Hanson Jones's $4.15 could be reconciled with the others if a weighted average of all colonial currencies were worth 4.125/4.444 (or 0.93468) of Pennsylvania currency.</t>
  </si>
  <si>
    <t xml:space="preserve">Step 1. </t>
    <phoneticPr fontId="2" type="noConversion"/>
  </si>
  <si>
    <t>Each of these implies an average devaluation of the 1774 colonial currency when combined with Alice's US$4.15 per local (inter-) colonial pounds.  </t>
    <phoneticPr fontId="2" type="noConversion"/>
  </si>
  <si>
    <t>LABOR FORCE</t>
    <phoneticPr fontId="2" type="noConversion"/>
  </si>
  <si>
    <t xml:space="preserve">Non-Farm </t>
  </si>
  <si>
    <t xml:space="preserve">Labor Force </t>
  </si>
  <si>
    <t>North</t>
  </si>
  <si>
    <t>Small town</t>
  </si>
  <si>
    <t>Big city</t>
  </si>
  <si>
    <t>Farm</t>
  </si>
  <si>
    <t>Urban: Small Town Non-Farm</t>
  </si>
  <si>
    <t>in ounces</t>
  </si>
  <si>
    <t>value of a £</t>
  </si>
  <si>
    <t>value of a £ of</t>
  </si>
  <si>
    <t>All 13 cols</t>
    <phoneticPr fontId="2" type="noConversion"/>
  </si>
  <si>
    <t>Let us therefore include a 47.7% population share with zero return, and with the remainder of the slave population split evenly between adult males and adult females of hirable ages 12-50.</t>
    <phoneticPr fontId="2" type="noConversion"/>
  </si>
  <si>
    <r>
      <t>Occupation mix</t>
    </r>
    <r>
      <rPr>
        <sz val="12"/>
        <rFont val="Arial"/>
      </rPr>
      <t xml:space="preserve">: Galenson (1981) and Grubb (1985: pp. 250, 253, 272) tell us that by the American Revolution, white indentured servants in the PA and MD area </t>
    </r>
    <phoneticPr fontId="2" type="noConversion"/>
  </si>
  <si>
    <t xml:space="preserve">The annual returns above refer to employed slaves, whereas the valuations shown here may refer to slaves of all ages and physical conditions.  </t>
    <phoneticPr fontId="2" type="noConversion"/>
  </si>
  <si>
    <t>reports earnings retention rates of 82.4% for British indentured 1771-3 and 77.9% for Germans for the same years, for an average of 80.2%. We assume that this</t>
    <phoneticPr fontId="2" type="noConversion"/>
  </si>
  <si>
    <t>Clark, Gregory. 2010. "The Wealth of Pre-industrial England". University of California - Davis</t>
    <phoneticPr fontId="2" type="noConversion"/>
  </si>
  <si>
    <t>Annual rates of return (%)</t>
    <phoneticPr fontId="2" type="noConversion"/>
  </si>
  <si>
    <t>employed</t>
    <phoneticPr fontId="2" type="noConversion"/>
  </si>
  <si>
    <t>slaves</t>
    <phoneticPr fontId="2" type="noConversion"/>
  </si>
  <si>
    <t>PA Philadelphia County (mostly), c1774</t>
  </si>
  <si>
    <t>DE Kent County c1774</t>
  </si>
  <si>
    <t>MD Prince Georges County c1774</t>
  </si>
  <si>
    <t>MD Queen Anne &amp; Anne Arundel c1774</t>
  </si>
  <si>
    <t>Sussex or Kent, DE</t>
  </si>
  <si>
    <t>Pennsylvania currency</t>
  </si>
  <si>
    <t>Place and date</t>
    <phoneticPr fontId="2" type="noConversion"/>
  </si>
  <si>
    <t>in Spanish dollars</t>
    <phoneticPr fontId="2" type="noConversion"/>
  </si>
  <si>
    <t>Notes and sources</t>
    <phoneticPr fontId="2" type="noConversion"/>
  </si>
  <si>
    <t>Assumed work days</t>
    <phoneticPr fontId="2" type="noConversion"/>
  </si>
  <si>
    <r>
      <t xml:space="preserve">Auction of Redemptioner Servants, Philadelphia, 1771-1804: An Economic Analysis," </t>
    </r>
    <r>
      <rPr>
        <i/>
        <sz val="12"/>
        <rFont val="Arial"/>
      </rPr>
      <t>Journal of Economic History</t>
    </r>
    <r>
      <rPr>
        <sz val="12"/>
        <rFont val="Arial"/>
      </rPr>
      <t xml:space="preserve"> 48, 3 (September 1988), Table 1, pp. 588-9 </t>
    </r>
    <phoneticPr fontId="2" type="noConversion"/>
  </si>
  <si>
    <t xml:space="preserve">The figure also does not include the rise in farm land values." </t>
  </si>
  <si>
    <t xml:space="preserve">and farm laborer 31%, construction 15%, artisan 40%, and services 14% (Galenson 1981: Tables 4.5 and 4.6, pp. 57-58). The skilled share was a little lower for </t>
  </si>
  <si>
    <t>Artisans</t>
    <phoneticPr fontId="2" type="noConversion"/>
  </si>
  <si>
    <t>Labor</t>
    <phoneticPr fontId="2" type="noConversion"/>
  </si>
  <si>
    <t>Middle Colonies</t>
  </si>
  <si>
    <t>Artisan</t>
  </si>
  <si>
    <t>Big Cities</t>
  </si>
  <si>
    <t>Lesser Towns</t>
  </si>
  <si>
    <t>Urban: Big City Non-Farm</t>
  </si>
  <si>
    <t>$/year return</t>
    <phoneticPr fontId="2" type="noConversion"/>
  </si>
  <si>
    <t xml:space="preserve">because the occupational distributions had to be applied to the Alice Hanson Jones estimates of wealth, to derive property incomes by occupational class.  </t>
    <phoneticPr fontId="2" type="noConversion"/>
  </si>
  <si>
    <t>South (MD)</t>
  </si>
  <si>
    <t>New Eng</t>
    <phoneticPr fontId="2" type="noConversion"/>
  </si>
  <si>
    <t>Small city</t>
    <phoneticPr fontId="2" type="noConversion"/>
  </si>
  <si>
    <t>small city</t>
    <phoneticPr fontId="2" type="noConversion"/>
  </si>
  <si>
    <r>
      <t xml:space="preserve">Probate values from Alice Hanson Jones, </t>
    </r>
    <r>
      <rPr>
        <i/>
        <sz val="12"/>
        <rFont val="Arial"/>
      </rPr>
      <t>Wealth of a Nation to Be</t>
    </r>
    <r>
      <rPr>
        <sz val="12"/>
        <rFont val="Arial"/>
      </rPr>
      <t xml:space="preserve"> p. 114 and its footnote c.</t>
    </r>
    <phoneticPr fontId="2" type="noConversion"/>
  </si>
  <si>
    <t>rural</t>
    <phoneticPr fontId="2" type="noConversion"/>
  </si>
  <si>
    <t>For Southern big city Charleston 1774</t>
    <phoneticPr fontId="2" type="noConversion"/>
  </si>
  <si>
    <t>Sales price from MRW, p. 619.</t>
    <phoneticPr fontId="2" type="noConversion"/>
  </si>
  <si>
    <t>New York</t>
  </si>
  <si>
    <t xml:space="preserve">If light weights were given to Massachusetts and Virginia, and heavy weights to NY and the Carolinas, the 0.93468 ratio implied by Jones might work.  </t>
  </si>
  <si>
    <t>to derive the averages for 4 Middle Colonies and for the 13 Colonies.]</t>
    <phoneticPr fontId="2" type="noConversion"/>
  </si>
  <si>
    <t xml:space="preserve">   ---&gt;  </t>
    <phoneticPr fontId="2" type="noConversion"/>
  </si>
  <si>
    <t>given the number of slaves employed</t>
    <phoneticPr fontId="2" type="noConversion"/>
  </si>
  <si>
    <t xml:space="preserve">Charleston accounts for a large share (68.6%) of Alice Hanson Jones's probated Southern slaves, </t>
    <phoneticPr fontId="2" type="noConversion"/>
  </si>
  <si>
    <t>Virginia</t>
  </si>
  <si>
    <t xml:space="preserve">South </t>
  </si>
  <si>
    <t>dollars</t>
  </si>
  <si>
    <t xml:space="preserve">were relatively skilled and urban. Indeed, those in the Chesapeake from London 1773-1775 were 69% non-farm, implying an occupational distribution: farmer </t>
  </si>
  <si>
    <t xml:space="preserve">Sources and Notes: </t>
  </si>
  <si>
    <t>All apparently adult males</t>
  </si>
  <si>
    <t>South</t>
    <phoneticPr fontId="2" type="noConversion"/>
  </si>
  <si>
    <t>North</t>
    <phoneticPr fontId="2" type="noConversion"/>
  </si>
  <si>
    <t xml:space="preserve">are used as weights for rural non-farm and lesser cities; the same is true of artisans and white collar; the other categories are taken directly from lesser cities. </t>
    <phoneticPr fontId="2" type="noConversion"/>
  </si>
  <si>
    <t>(in % per annum)</t>
  </si>
  <si>
    <t>Implied gross annual rates of return on hiring out slaves,</t>
    <phoneticPr fontId="2" type="noConversion"/>
  </si>
  <si>
    <t>of merchants and shopkeepers.  It seems unlikely that on the average merchants and shopleepers had a lower price of their time than did</t>
    <phoneticPr fontId="2" type="noConversion"/>
  </si>
  <si>
    <t>There are no slave rental estimates, so one turns to the less direct evidence offered by slave prices, asking whether the implied rates of annual return look reasonable.</t>
    <phoneticPr fontId="2" type="noConversion"/>
  </si>
  <si>
    <t>per farm family</t>
    <phoneticPr fontId="2" type="noConversion"/>
  </si>
  <si>
    <t>Aggregate profits of farms ($1000s)</t>
    <phoneticPr fontId="2" type="noConversion"/>
  </si>
  <si>
    <t>Total 13 colonies</t>
  </si>
  <si>
    <t>average retention rate applied for all indentured LF occupational groups.</t>
  </si>
  <si>
    <t>of silver</t>
  </si>
  <si>
    <t>In £ sterling</t>
    <phoneticPr fontId="2" type="noConversion"/>
  </si>
  <si>
    <t xml:space="preserve">Net Retained Earnings: The evidence here is limited, but using poor free worker budget studies from Philadelphia to estimate consumption, Farley Grubb ("The </t>
  </si>
  <si>
    <t>Providing such estimates is particularly important for the Middle Colonies, where slightly over half of the colonies' merchants and shopkeepers lived and worked.</t>
    <phoneticPr fontId="2" type="noConversion"/>
  </si>
  <si>
    <t>For Southern rural, c1774 =</t>
    <phoneticPr fontId="2" type="noConversion"/>
  </si>
  <si>
    <t>[From file "1774 Occs by region 10jan'11"]</t>
    <phoneticPr fontId="2" type="noConversion"/>
  </si>
  <si>
    <t>For Northern big city c1774</t>
    <phoneticPr fontId="2" type="noConversion"/>
  </si>
  <si>
    <t>Total Indentured LF (Group 18)</t>
  </si>
  <si>
    <r>
      <t xml:space="preserve">and on the series he displayed in </t>
    </r>
    <r>
      <rPr>
        <i/>
        <sz val="12"/>
        <rFont val="Arial"/>
      </rPr>
      <t>HSUS Millennial</t>
    </r>
    <r>
      <rPr>
        <sz val="12"/>
        <rFont val="Arial"/>
      </rPr>
      <t xml:space="preserve"> (2006):</t>
    </r>
    <phoneticPr fontId="2" type="noConversion"/>
  </si>
  <si>
    <t>artisans in manufacturing sectors (Group 4A) or building craftsmen (Group 4B).  The wage rates for these artisans and craftsmen can</t>
    <phoneticPr fontId="2" type="noConversion"/>
  </si>
  <si>
    <t xml:space="preserve">serves only as a very rough confirmation to the probate-based calculations of incomes from owning slaves.  </t>
    <phoneticPr fontId="2" type="noConversion"/>
  </si>
  <si>
    <t>rural</t>
    <phoneticPr fontId="2" type="noConversion"/>
  </si>
  <si>
    <t>Thus for slaves, it includes only what they retained, and not what the part of their earnings (or marginal product) that was expropriated by the owner or renter.</t>
    <phoneticPr fontId="2" type="noConversion"/>
  </si>
  <si>
    <t>SC Charleston slave imports, 1769</t>
    <phoneticPr fontId="2" type="noConversion"/>
  </si>
  <si>
    <t>place</t>
    <phoneticPr fontId="2" type="noConversion"/>
  </si>
  <si>
    <t>Type of</t>
    <phoneticPr fontId="2" type="noConversion"/>
  </si>
  <si>
    <t>mostly rural</t>
    <phoneticPr fontId="2" type="noConversion"/>
  </si>
  <si>
    <t>Pennsylvania</t>
  </si>
  <si>
    <r>
      <t xml:space="preserve">Probate values from Alice Hanson Jones, </t>
    </r>
    <r>
      <rPr>
        <i/>
        <sz val="12"/>
        <rFont val="Arial"/>
      </rPr>
      <t>Wealth of a Nation to Be</t>
    </r>
    <r>
      <rPr>
        <sz val="12"/>
        <rFont val="Arial"/>
      </rPr>
      <t xml:space="preserve"> p. 114.</t>
    </r>
    <phoneticPr fontId="2" type="noConversion"/>
  </si>
  <si>
    <t>the assumed slave retention rate (see " Slave earnings retention 1774 &amp; 1800" file). The retention rates (%) are:</t>
    <phoneticPr fontId="2" type="noConversion"/>
  </si>
  <si>
    <t>of them to be males and half of them females.  [See display on the right here -&gt;]</t>
    <phoneticPr fontId="2" type="noConversion"/>
  </si>
  <si>
    <t>Ditto, for</t>
    <phoneticPr fontId="2" type="noConversion"/>
  </si>
  <si>
    <t>All apparently healthy adult females</t>
  </si>
  <si>
    <t>Delaware is included in the Middle Colonies, to be consistent with the Alice Hanson Jones regionalization of wealth.</t>
    <phoneticPr fontId="2" type="noConversion"/>
  </si>
  <si>
    <t>Occupational distributions based on adjusted AHJ and other documents elaborated in the "1774 Occupations by region, a" Excel file, Worksheet entitled "(4) Summary LF totals".</t>
    <phoneticPr fontId="2" type="noConversion"/>
  </si>
  <si>
    <t>Group 5, farm operators:  The average labor plus profit incomes are calculated in the worksheet "(2) Farm incomes".  These region-wide averages</t>
    <phoneticPr fontId="2" type="noConversion"/>
  </si>
  <si>
    <t>This worksheet spells out the assumptions with which we have converted some meager data into estimates of the implicit wages of merchants and shopkeepers.</t>
    <phoneticPr fontId="2" type="noConversion"/>
  </si>
  <si>
    <t>Non-Farm (here = non-rural)</t>
    <phoneticPr fontId="2" type="noConversion"/>
  </si>
  <si>
    <t>Table 2: Broadberry-Campbell assumptions work days per family (Clark's Table 2)</t>
    <phoneticPr fontId="2" type="noConversion"/>
  </si>
  <si>
    <t xml:space="preserve">times the assumed slave retention rate (see "Slave earnings retention 1774 &amp; 1800" Excel file, October 2010). </t>
    <phoneticPr fontId="2" type="noConversion"/>
  </si>
  <si>
    <t>slaves</t>
    <phoneticPr fontId="2" type="noConversion"/>
  </si>
  <si>
    <t>all</t>
    <phoneticPr fontId="2" type="noConversion"/>
  </si>
  <si>
    <t>(d) For the returns to ownership of farm assets, use the Lindert-Williamson calculations of income from productive farm assets,</t>
    <phoneticPr fontId="2" type="noConversion"/>
  </si>
  <si>
    <t>Sources and notes to the "Own-labor incomes 1774" file</t>
    <phoneticPr fontId="2" type="noConversion"/>
  </si>
  <si>
    <t>For the present, we find no contradiction to our using the 11.0% rate of return based on the Jones</t>
    <phoneticPr fontId="2" type="noConversion"/>
  </si>
  <si>
    <t>3 Mid Cols</t>
    <phoneticPr fontId="2" type="noConversion"/>
  </si>
  <si>
    <t>sterling (UK)</t>
  </si>
  <si>
    <r>
      <t xml:space="preserve">Source: Broadberry, Campbell </t>
    </r>
    <r>
      <rPr>
        <i/>
        <sz val="12"/>
        <rFont val="Arial"/>
      </rPr>
      <t>et al.</t>
    </r>
    <r>
      <rPr>
        <sz val="12"/>
        <rFont val="Arial"/>
      </rPr>
      <t xml:space="preserve"> (2009), Table 24.</t>
    </r>
    <phoneticPr fontId="2" type="noConversion"/>
  </si>
  <si>
    <t xml:space="preserve">Wage rates for non-farm rural occupations are especially sparse, and thus that for lesser cities and towns are used: for male common labor, the numbers of observations </t>
    <phoneticPr fontId="2" type="noConversion"/>
  </si>
  <si>
    <t>Slave annual earnings, retained versus expropriated: Earnings retained are derived as free labor force average location/occupation earnings (see "Total LF earnings 1774" worksheet)</t>
    <phoneticPr fontId="2" type="noConversion"/>
  </si>
  <si>
    <t>Using the first procedure when possible, and the second when the first seems unreliable, yields the bracketed estimates of the commercial sector's implicit wages:</t>
    <phoneticPr fontId="2" type="noConversion"/>
  </si>
  <si>
    <t>For the South the property-related procedure has a better sample base.</t>
    <phoneticPr fontId="2" type="noConversion"/>
  </si>
  <si>
    <t>This file is a building block in estimating total incomes, from property as well as from own-labor sources, in the "Total incomes 1774" file.</t>
    <phoneticPr fontId="2" type="noConversion"/>
  </si>
  <si>
    <t>the annual dollar values presented in Step 1 at the top of this worksheet.</t>
    <phoneticPr fontId="2" type="noConversion"/>
  </si>
  <si>
    <t>n = 7</t>
    <phoneticPr fontId="2" type="noConversion"/>
  </si>
  <si>
    <t>n = 8</t>
    <phoneticPr fontId="2" type="noConversion"/>
  </si>
  <si>
    <t>(a) Posit that farm income = implicit value of family labor + profits + returns to ownership of slaves and non-human farm assets</t>
    <phoneticPr fontId="2" type="noConversion"/>
  </si>
  <si>
    <t>Towns</t>
    <phoneticPr fontId="2" type="noConversion"/>
  </si>
  <si>
    <t xml:space="preserve">Even in today's economy one must accept the challenge of measuring the labor and earnings of the self-employed.  </t>
    <phoneticPr fontId="2" type="noConversion"/>
  </si>
  <si>
    <t xml:space="preserve">The small numbers in other trades are ignored. The location-specific distribution of slaves between the three is assumed the same as for free labor. </t>
    <phoneticPr fontId="2" type="noConversion"/>
  </si>
  <si>
    <t>Slave prices ($/£ exchange rate = 4.44)</t>
    <phoneticPr fontId="2" type="noConversion"/>
  </si>
  <si>
    <t>Mid Atlantic</t>
  </si>
  <si>
    <t>Rural</t>
    <phoneticPr fontId="2" type="noConversion"/>
  </si>
  <si>
    <t>big city</t>
    <phoneticPr fontId="2" type="noConversion"/>
  </si>
  <si>
    <t>big city</t>
    <phoneticPr fontId="2" type="noConversion"/>
  </si>
  <si>
    <t xml:space="preserve">People would not dedicate much of their adult time to an activity that gave zero wage if they could just invest their non-human wealth passively.  </t>
    <phoneticPr fontId="2" type="noConversion"/>
  </si>
  <si>
    <t>n = 13</t>
    <phoneticPr fontId="2" type="noConversion"/>
  </si>
  <si>
    <t>big cities</t>
    <phoneticPr fontId="2" type="noConversion"/>
  </si>
  <si>
    <t>of slaves</t>
    <phoneticPr fontId="2" type="noConversion"/>
  </si>
  <si>
    <t>the 52.3%</t>
    <phoneticPr fontId="2" type="noConversion"/>
  </si>
  <si>
    <t>n = 25</t>
    <phoneticPr fontId="2" type="noConversion"/>
  </si>
  <si>
    <t>n = 6</t>
    <phoneticPr fontId="2" type="noConversion"/>
  </si>
  <si>
    <t>Groups 2 and 3 = merchants and shopkeepers, which the  in big cities (Group 2) and elsewhere (Group 3).</t>
    <phoneticPr fontId="2" type="noConversion"/>
  </si>
  <si>
    <t>n = 24</t>
    <phoneticPr fontId="2" type="noConversion"/>
  </si>
  <si>
    <t>Approximate</t>
    <phoneticPr fontId="2" type="noConversion"/>
  </si>
  <si>
    <t xml:space="preserve">For other, more narrowly focused, assumptions about earnings, see the accompanying worksheets. </t>
    <phoneticPr fontId="2" type="noConversion"/>
  </si>
  <si>
    <t>circa-1774 slave-weighted average of the Southern rates, 7.1% for Charleston and 15.8% for the rural South.</t>
    <phoneticPr fontId="2" type="noConversion"/>
  </si>
  <si>
    <t>All apparently healthy adult males</t>
  </si>
  <si>
    <t>All apparently adult females</t>
  </si>
  <si>
    <t xml:space="preserve">We cannot compute this slave-weighted average, for want of a census-based slave count for Charleston.  </t>
    <phoneticPr fontId="2" type="noConversion"/>
  </si>
  <si>
    <t>(E.) / all = farm residual share</t>
    <phoneticPr fontId="2" type="noConversion"/>
  </si>
  <si>
    <t>The shares captured by their employers was reflected, we assume, in the income figures for those employers given by J.T. Main and others.</t>
    <phoneticPr fontId="2" type="noConversion"/>
  </si>
  <si>
    <t>For Northern rural, c1774</t>
    <phoneticPr fontId="2" type="noConversion"/>
  </si>
  <si>
    <t>per slave</t>
    <phoneticPr fontId="2" type="noConversion"/>
  </si>
  <si>
    <t>Overall rate of return =  ((25.4+16.8)/2)/(1-0.47737) = 11.0 percent.</t>
  </si>
  <si>
    <t>(4) Slave earnings divided 1774 (i.e. divided between earnings retained by slaves and earnings expropriated by owners)</t>
    <phoneticPr fontId="2" type="noConversion"/>
  </si>
  <si>
    <t>If this cannot be sustained, then the average colonial pound might have been worth more than the $4.14 Jones implies.  Perhaps closer to the $4.44</t>
    <phoneticPr fontId="2" type="noConversion"/>
  </si>
  <si>
    <t>implied by other authors for 1774? Provisionally, we set £1 sterling = $4.44 in 1774.</t>
    <phoneticPr fontId="2" type="noConversion"/>
  </si>
  <si>
    <t>(b) To impute family labor income, use the "not-found" (adult) farm wage or the adjusted found wage for the same region.</t>
    <phoneticPr fontId="2" type="noConversion"/>
  </si>
  <si>
    <t>As dollars per year, per slave employed</t>
    <phoneticPr fontId="2" type="noConversion"/>
  </si>
  <si>
    <t>(3) Indentured labor force retained earnings c1774</t>
    <phoneticPr fontId="2" type="noConversion"/>
  </si>
  <si>
    <t xml:space="preserve">Slave annual earnings: Derived as free labor force average location/occupation earnings (see "Total LF earnings 1774" worksheet) times </t>
    <phoneticPr fontId="2" type="noConversion"/>
  </si>
  <si>
    <t>A rate-of-return comparison:</t>
    <phoneticPr fontId="2" type="noConversion"/>
  </si>
  <si>
    <t>lesser cities</t>
    <phoneticPr fontId="2" type="noConversion"/>
  </si>
  <si>
    <t>For further details on the slave labor force and earnings, see the Slave Occ Dist 1774 &amp; 1800 file.</t>
    <phoneticPr fontId="2" type="noConversion"/>
  </si>
  <si>
    <t>sample, as calculated in the separate Excel files "Aggregate property 1774 …"</t>
    <phoneticPr fontId="2" type="noConversion"/>
  </si>
  <si>
    <t>Rural and</t>
    <phoneticPr fontId="2" type="noConversion"/>
  </si>
  <si>
    <t>Towns</t>
    <phoneticPr fontId="2" type="noConversion"/>
  </si>
  <si>
    <t>towns</t>
    <phoneticPr fontId="2" type="noConversion"/>
  </si>
  <si>
    <t>combined</t>
    <phoneticPr fontId="2" type="noConversion"/>
  </si>
  <si>
    <t>"Own labor incomes" here means annual (not necessarily full-time) earnings from human sources, as received by the laborer.</t>
    <phoneticPr fontId="2" type="noConversion"/>
  </si>
  <si>
    <t xml:space="preserve">For rural New England and the Middle Colonies, the commercial class is given the artisan wage. </t>
    <phoneticPr fontId="2" type="noConversion"/>
  </si>
  <si>
    <t xml:space="preserve">For the purposes of workshet (5) and later files, the town and country sectors had to be combined to overcome thinness in the historical data. </t>
    <phoneticPr fontId="2" type="noConversion"/>
  </si>
  <si>
    <t>The farm wage rate used as part of the farm operator's family members differs from the all-sector average wage rate in Groups 6 and 7.</t>
    <phoneticPr fontId="2" type="noConversion"/>
  </si>
  <si>
    <t>The retention rates (%) used above are:</t>
    <phoneticPr fontId="2" type="noConversion"/>
  </si>
  <si>
    <t>therefore serve as a low estimate of the value of a merchant's or shopkeeper's time, if we lack any better data for valuing that time.</t>
    <phoneticPr fontId="2" type="noConversion"/>
  </si>
  <si>
    <t xml:space="preserve">(females = domestics, maids, cooks, laundresses, etc.; males = house servants, grooms, porters, coach and carriage drivers, teamsters, gardeners, etc.). </t>
    <phoneticPr fontId="2" type="noConversion"/>
  </si>
  <si>
    <t>(c.) South:  For convenience, the later calculations of slave retained incomes (in Worksheet (5) here and in "American incomes 1774")</t>
    <phoneticPr fontId="2" type="noConversion"/>
  </si>
  <si>
    <t xml:space="preserve">will aggregate the South's slave labor force into the rural farm sector.  </t>
    <phoneticPr fontId="2" type="noConversion"/>
  </si>
  <si>
    <t xml:space="preserve">The crucial test here would be a comparison of the 11% rate for Queen Annes County MD in 1796-1804 with a </t>
    <phoneticPr fontId="2" type="noConversion"/>
  </si>
  <si>
    <t>(1) In the worksheet "Own-labor incomes 1774", we infer that slaves retained something like</t>
    <phoneticPr fontId="2" type="noConversion"/>
  </si>
  <si>
    <t>income per farm ($/yr @ 4.44)</t>
    <phoneticPr fontId="2" type="noConversion"/>
  </si>
  <si>
    <t>See the "Wage data survey 1774" file, "1774 farm" worksheet.</t>
    <phoneticPr fontId="2" type="noConversion"/>
  </si>
  <si>
    <t>Retained $</t>
    <phoneticPr fontId="2" type="noConversion"/>
  </si>
  <si>
    <t>per earner-yr</t>
    <phoneticPr fontId="2" type="noConversion"/>
  </si>
  <si>
    <t>[See "South" note.]</t>
    <phoneticPr fontId="2" type="noConversion"/>
  </si>
  <si>
    <t xml:space="preserve">(b.) Non-farm occupation distribution: Rural or urban slaves doing non-farm work are assumed to have been either artisans, construction workers, or unskilled </t>
    <phoneticPr fontId="2" type="noConversion"/>
  </si>
  <si>
    <t>See the Word file "Slave occupational distrib 1800" for details.</t>
    <phoneticPr fontId="2" type="noConversion"/>
  </si>
  <si>
    <t>For the categorization of occupations into occupational groupings, see the"Aggreg property 1774" files and especially the file "Occupation codes (Lindert-Williamson" at http://gpih.ucdavis.edu,</t>
    <phoneticPr fontId="2" type="noConversion"/>
  </si>
  <si>
    <t>(To see their use, click on the cells for "Retained annual $ per earner" above.)</t>
    <phoneticPr fontId="2" type="noConversion"/>
  </si>
  <si>
    <t>All 3</t>
    <phoneticPr fontId="2" type="noConversion"/>
  </si>
  <si>
    <t>Location-specific occupational shares for slaves =</t>
    <phoneticPr fontId="2" type="noConversion"/>
  </si>
  <si>
    <r>
      <t>General notes</t>
    </r>
    <r>
      <rPr>
        <sz val="12"/>
        <rFont val="Arial"/>
      </rPr>
      <t>:</t>
    </r>
    <phoneticPr fontId="2" type="noConversion"/>
  </si>
  <si>
    <t>Yet the fact that the crucial rate here, the Southern rural rate of 15.8%, does not depart radically from the</t>
    <phoneticPr fontId="2" type="noConversion"/>
  </si>
  <si>
    <t>The implied slaveholder income from expropriating part of slave earnings</t>
  </si>
  <si>
    <t>Reconciling the Southern slaveholder income per slave with previous estimates of slave prices in the 1770s</t>
  </si>
  <si>
    <t>(2) We attribute the remainder of earnings per employed slave to the slaveholders in the Excel files on "Aggregate property 1774 …",</t>
  </si>
  <si>
    <t>where the property income values are derived from the Jones probate side. That is, the slaveholder's residual calculated here</t>
  </si>
  <si>
    <t>Jones (1977).</t>
  </si>
  <si>
    <t>from</t>
  </si>
  <si>
    <t>Estimated</t>
  </si>
  <si>
    <t>estimates</t>
  </si>
  <si>
    <t>Guesstimated</t>
  </si>
  <si>
    <t>J.T. Main</t>
  </si>
  <si>
    <r>
      <t>A procedure for calculating free farm households' incomes 1774</t>
    </r>
    <r>
      <rPr>
        <sz val="12"/>
        <rFont val="Arial"/>
      </rPr>
      <t>:</t>
    </r>
  </si>
  <si>
    <t>(B.) Property</t>
  </si>
  <si>
    <t>income from land</t>
  </si>
  <si>
    <t>NB: The Middle-Colony estimates use four separate colonies' estimates from Main, not his three-colony summary £24 per farmer [his p. 108].</t>
  </si>
  <si>
    <t>(1) Main's overview (p. 105):</t>
  </si>
  <si>
    <r>
      <t xml:space="preserve">was low - probably seldom over 4 percent.  This is, of course, all found: </t>
    </r>
    <r>
      <rPr>
        <b/>
        <sz val="16"/>
        <color indexed="8"/>
        <rFont val="Times New Roman"/>
      </rPr>
      <t>after the family had been supported,</t>
    </r>
    <r>
      <rPr>
        <sz val="14"/>
        <color indexed="8"/>
        <rFont val="Times New Roman"/>
      </rPr>
      <t xml:space="preserve"> </t>
    </r>
  </si>
  <si>
    <t>[The context suggests that these "earnings" are profits net of all costs, but that is not stated explicitly.]</t>
  </si>
  <si>
    <t>Yet (pp. 104-105) "farmers were found at every economic level from poor to rich".</t>
  </si>
  <si>
    <t>(2) Income and rate of annual return to individual farms</t>
  </si>
  <si>
    <r>
      <t>[p. 105] NH 1761</t>
    </r>
    <r>
      <rPr>
        <b/>
        <sz val="14"/>
        <color indexed="8"/>
        <rFont val="Times New Roman"/>
      </rPr>
      <t xml:space="preserve"> </t>
    </r>
    <r>
      <rPr>
        <sz val="14"/>
        <color indexed="8"/>
        <rFont val="Times New Roman"/>
      </rPr>
      <t xml:space="preserve">(2a) "A farm of above average size in Hampton, New Hampshire, near the coast, was valued at 3,592 in 1761, and estimated </t>
    </r>
  </si>
  <si>
    <r>
      <t>3 percent and the</t>
    </r>
    <r>
      <rPr>
        <b/>
        <sz val="14"/>
        <color indexed="8"/>
        <rFont val="Times New Roman"/>
      </rPr>
      <t xml:space="preserve"> income perhaps £22 sterling</t>
    </r>
    <r>
      <rPr>
        <sz val="14"/>
        <color indexed="8"/>
        <rFont val="Times New Roman"/>
      </rPr>
      <t>." [So is "income" a net cash profit?]</t>
    </r>
  </si>
  <si>
    <r>
      <t>NH 1754</t>
    </r>
    <r>
      <rPr>
        <sz val="14"/>
        <color indexed="8"/>
        <rFont val="Times New Roman"/>
      </rPr>
      <t xml:space="preserve"> (2b) Another farm in the same area of NH, "assessed for £6,389 in 1754, was worth £100 per year - only 1 1/2 percent, </t>
    </r>
  </si>
  <si>
    <r>
      <t xml:space="preserve">the sterling </t>
    </r>
    <r>
      <rPr>
        <b/>
        <sz val="14"/>
        <color indexed="8"/>
        <rFont val="Times New Roman"/>
      </rPr>
      <t>profit being about £14</t>
    </r>
    <r>
      <rPr>
        <sz val="14"/>
        <color indexed="8"/>
        <rFont val="Times New Roman"/>
      </rPr>
      <t>." [The 1.5 percent number seems to be 100/6389, but what does the 100 refer to?</t>
    </r>
  </si>
  <si>
    <r>
      <t>RI 1785</t>
    </r>
    <r>
      <rPr>
        <sz val="14"/>
        <color indexed="8"/>
        <rFont val="Times New Roman"/>
      </rPr>
      <t xml:space="preserve"> (2c) "A Rhode Island </t>
    </r>
    <r>
      <rPr>
        <b/>
        <sz val="14"/>
        <color indexed="8"/>
        <rFont val="Times New Roman"/>
      </rPr>
      <t>tenant's farm</t>
    </r>
    <r>
      <rPr>
        <sz val="14"/>
        <color indexed="8"/>
        <rFont val="Times New Roman"/>
      </rPr>
      <t>, supposedly a good one, yielded £103 per year, netting £31.14.5 [</t>
    </r>
    <r>
      <rPr>
        <b/>
        <sz val="14"/>
        <color indexed="8"/>
        <rFont val="Times New Roman"/>
      </rPr>
      <t>£31.72 = $140.84</t>
    </r>
    <r>
      <rPr>
        <sz val="14"/>
        <color indexed="8"/>
        <rFont val="Times New Roman"/>
      </rPr>
      <t xml:space="preserve">] </t>
    </r>
  </si>
  <si>
    <t>after rent and laborers' wages were paid."</t>
  </si>
  <si>
    <r>
      <t xml:space="preserve">[p. 106] </t>
    </r>
    <r>
      <rPr>
        <b/>
        <sz val="14"/>
        <color indexed="8"/>
        <rFont val="Times New Roman"/>
      </rPr>
      <t>Middle Colonies</t>
    </r>
    <r>
      <rPr>
        <sz val="14"/>
        <color indexed="8"/>
        <rFont val="Times New Roman"/>
      </rPr>
      <t xml:space="preserve">: "Probably farms of the middle colonies were somewhat more profitable [than those in New England], </t>
    </r>
  </si>
  <si>
    <t>thought it is hard to generalize."</t>
  </si>
  <si>
    <r>
      <t xml:space="preserve">(3) Average </t>
    </r>
    <r>
      <rPr>
        <b/>
        <u/>
        <sz val="14"/>
        <color indexed="8"/>
        <rFont val="Times New Roman"/>
      </rPr>
      <t>Incomes</t>
    </r>
    <r>
      <rPr>
        <b/>
        <sz val="14"/>
        <color indexed="8"/>
        <rFont val="Times New Roman"/>
      </rPr>
      <t xml:space="preserve"> of farmers, including tenants</t>
    </r>
  </si>
  <si>
    <t>"The property accumulated by farmers confirms the conclusion that their incom, while moderate, afforded a chance to save, and that their economic status improved as one went south." [p. 109]</t>
  </si>
  <si>
    <t>($)</t>
  </si>
  <si>
    <t>[Therefore excluding all value of product and services consumed on the farm ? And is it income gross or net of all costs? Not clear.]</t>
  </si>
  <si>
    <t xml:space="preserve">NY </t>
  </si>
  <si>
    <t>9 to 11</t>
  </si>
  <si>
    <t>40 to 48.8</t>
  </si>
  <si>
    <t xml:space="preserve">"yearly cash income" [p. 106] </t>
  </si>
  <si>
    <t>NJ</t>
  </si>
  <si>
    <t>"income" [pp. 106-107]</t>
  </si>
  <si>
    <t>"income" [p. 107]</t>
  </si>
  <si>
    <t>but this is strictly cash, without adding "the supplies produced by the land which the family used; most of the food, firewood, furniture, and the house itself." [p. 107]</t>
  </si>
  <si>
    <t>[p. 107] "Farther south, the incomes were much higher" (than in NE and middle colonies)</t>
  </si>
  <si>
    <t>"return"</t>
  </si>
  <si>
    <t xml:space="preserve">[p. 108] "the true profit was probably £25 sterlig, plus the income from other products of the farm such as lumber and naval stores." </t>
  </si>
  <si>
    <t>[p. 108] a "more accurate" average than the £25 figure.</t>
  </si>
  <si>
    <t>"cash income"</t>
  </si>
  <si>
    <t>[p. 108]: Probably the cash income in local money averaged about £16 in New England, half again as much in the middle colonies, and £50 or thereabouts in the South outside of North Carolina".</t>
  </si>
  <si>
    <t>South, overseers</t>
  </si>
  <si>
    <t>15 to 60</t>
  </si>
  <si>
    <t>60 to 266</t>
  </si>
  <si>
    <t>[p. 109]: "Oveerseers in the South were paid anywhere from £15 to £60, which probably equaled or surpassed the incoe which they might expect as farmers."</t>
  </si>
  <si>
    <t>South, great  planters</t>
  </si>
  <si>
    <t>[pp. 111-112]: "The great Southern planters did especially well…. In general it appears that the income of a large southern planter varied from £100 [$444]</t>
  </si>
  <si>
    <t>to some hundreds of pounds sterling, not including provisions and the like supplied by the land, and exclusive of interest payments."</t>
  </si>
  <si>
    <t>J.T. MAIN (1965, pp. 104-114) ON FARM INCOMES</t>
  </si>
  <si>
    <t>RELATED WORK-YEAR ESTIMATES FOR ENGLAND (and Wales?):</t>
  </si>
  <si>
    <t>Yearly Income</t>
  </si>
  <si>
    <t>(£)</t>
  </si>
  <si>
    <t>Aggreg own-lab incomes of farms ($1000s)</t>
  </si>
  <si>
    <t>(2) Farm incomes 1774, full-time estimates</t>
  </si>
  <si>
    <t>Components of farm operators' income</t>
  </si>
  <si>
    <t>[Farm operators her include those in urban areas, which had a different wealth-ladder means of determining own-labor income.]</t>
  </si>
  <si>
    <t>No. of persons in rural farm labor force</t>
  </si>
  <si>
    <t>No. of persons in urban farm labor force</t>
  </si>
  <si>
    <r>
      <t xml:space="preserve">Component </t>
    </r>
    <r>
      <rPr>
        <b/>
        <u/>
        <sz val="12"/>
        <rFont val="Arial"/>
      </rPr>
      <t xml:space="preserve">(A.) Imputed labor earnings </t>
    </r>
    <r>
      <rPr>
        <sz val="12"/>
        <rFont val="Arial"/>
      </rPr>
      <t>of farm operator household [See the "Wage data survey 1774" Excel file.]</t>
    </r>
  </si>
  <si>
    <t>No. of farm operators, urban + rural</t>
  </si>
  <si>
    <t>Annual $ labor income / rural farm</t>
  </si>
  <si>
    <t>No. of farm operators, urban</t>
  </si>
  <si>
    <t>No. of farm operators, rural</t>
  </si>
  <si>
    <t>income per farm (£/yr)</t>
  </si>
  <si>
    <t>Repeat: total  no. of farm operators</t>
  </si>
  <si>
    <t>Revised, 28 April 2014</t>
  </si>
  <si>
    <t>Annual $ labor earnings / urban farm</t>
  </si>
  <si>
    <t>Aggregate farm free-labor earnings ($1000s)</t>
  </si>
  <si>
    <t>Rural farm free-labor earnings ($1000s)</t>
  </si>
  <si>
    <t>Urban farm free-labor earnings ($1000s)</t>
  </si>
  <si>
    <t>[For part-time estimates, adjusted at the level of "own-labor earnings", see worksheet (3) of "Amer incs 1774 fewer days".]</t>
  </si>
  <si>
    <t>"FULL TIME" versus "PART TIME" assumptions</t>
    <phoneticPr fontId="18" type="noConversion"/>
  </si>
  <si>
    <t>Key "part-time" parameter is in Column U --&gt;</t>
  </si>
  <si>
    <t>Cells shaded in blue are used in the six numerical examples featured in Appendix A of the book.</t>
  </si>
  <si>
    <t>Again, cells shaded in blue are used in the six numerical examples featured in Appendix A of the book.</t>
  </si>
  <si>
    <t>All</t>
  </si>
  <si>
    <t>[See notes below.]</t>
    <phoneticPr fontId="18" type="noConversion"/>
  </si>
  <si>
    <t>Assuming (as we do) that farm families</t>
  </si>
  <si>
    <t>[For £ sterling, divide by $4.44/£.]</t>
    <phoneticPr fontId="18" type="noConversion"/>
  </si>
  <si>
    <t>(Fr worksheet (2), expanded for rural MCol's)</t>
    <phoneticPr fontId="18" type="noConversion"/>
  </si>
  <si>
    <t>{Including farm profits.]</t>
  </si>
  <si>
    <t>regions'</t>
  </si>
  <si>
    <t>From the "American Incomes 1774" file</t>
    <phoneticPr fontId="18" type="noConversion"/>
  </si>
  <si>
    <t>are among those working 0.89-time (280 days)</t>
    <phoneticPr fontId="18" type="noConversion"/>
  </si>
  <si>
    <t>Work</t>
    <phoneticPr fontId="18" type="noConversion"/>
  </si>
  <si>
    <t>NUMBERS OF HOUSEHOLDS</t>
    <phoneticPr fontId="18" type="noConversion"/>
  </si>
  <si>
    <t>No. of LABOR PARTICIPANTS, reconstituted</t>
    <phoneticPr fontId="18" type="noConversion"/>
  </si>
  <si>
    <r>
      <t>FULL-TIME</t>
    </r>
    <r>
      <rPr>
        <sz val="12"/>
        <rFont val="Arial"/>
      </rPr>
      <t xml:space="preserve"> own-labor earnings per HH, in $</t>
    </r>
  </si>
  <si>
    <t xml:space="preserve">ratio, </t>
  </si>
  <si>
    <r>
      <t xml:space="preserve">FULL-TIME </t>
    </r>
    <r>
      <rPr>
        <sz val="12"/>
        <rFont val="Arial"/>
      </rPr>
      <t>OWN LABOR EARNINGS</t>
    </r>
  </si>
  <si>
    <r>
      <t>PART-TIME</t>
    </r>
    <r>
      <rPr>
        <sz val="12"/>
        <rFont val="Arial"/>
      </rPr>
      <t xml:space="preserve"> OWN LABOR EARNINGS</t>
    </r>
  </si>
  <si>
    <t>AVE. GROSS NIPA PROPERTY INCOME PER H'HOLD</t>
  </si>
  <si>
    <t>VALUE OF PROPERTY INCOME</t>
    <phoneticPr fontId="18" type="noConversion"/>
  </si>
  <si>
    <t>Full-time labor + property income per household</t>
    <phoneticPr fontId="18" type="noConversion"/>
  </si>
  <si>
    <t>Part-time labor + property income per household</t>
    <phoneticPr fontId="18" type="noConversion"/>
  </si>
  <si>
    <t>FULL-TIME TOTAL INCOME in 1774 ($)</t>
    <phoneticPr fontId="18" type="noConversion"/>
  </si>
  <si>
    <t>PART-TIME TOTAL INCOME in 1774 ($)</t>
    <phoneticPr fontId="18" type="noConversion"/>
  </si>
  <si>
    <t>PART-TIME TOTAL INCOME in 1774 (£, at 4.44)</t>
  </si>
  <si>
    <t>Ratios, part-time to full-time TOTAL income</t>
  </si>
  <si>
    <t>row</t>
    <phoneticPr fontId="18" type="noConversion"/>
  </si>
  <si>
    <t>Urban or</t>
    <phoneticPr fontId="18" type="noConversion"/>
  </si>
  <si>
    <t>Occupation</t>
    <phoneticPr fontId="18" type="noConversion"/>
  </si>
  <si>
    <t>New</t>
    <phoneticPr fontId="18" type="noConversion"/>
  </si>
  <si>
    <t>Middle</t>
    <phoneticPr fontId="18" type="noConversion"/>
  </si>
  <si>
    <t>Thirteen</t>
    <phoneticPr fontId="18" type="noConversion"/>
  </si>
  <si>
    <t>Part-time /</t>
    <phoneticPr fontId="18" type="noConversion"/>
  </si>
  <si>
    <t>Thirteen</t>
    <phoneticPr fontId="18" type="noConversion"/>
  </si>
  <si>
    <t>no.</t>
    <phoneticPr fontId="18" type="noConversion"/>
  </si>
  <si>
    <t>rural</t>
    <phoneticPr fontId="18" type="noConversion"/>
  </si>
  <si>
    <t>Groups</t>
    <phoneticPr fontId="18" type="noConversion"/>
  </si>
  <si>
    <t>Group definition</t>
    <phoneticPr fontId="18" type="noConversion"/>
  </si>
  <si>
    <t>England</t>
    <phoneticPr fontId="18" type="noConversion"/>
  </si>
  <si>
    <t>Colonies</t>
    <phoneticPr fontId="18" type="noConversion"/>
  </si>
  <si>
    <t>South</t>
    <phoneticPr fontId="18" type="noConversion"/>
  </si>
  <si>
    <t>full-time =</t>
    <phoneticPr fontId="18" type="noConversion"/>
  </si>
  <si>
    <t>Big</t>
    <phoneticPr fontId="18" type="noConversion"/>
  </si>
  <si>
    <t>All</t>
    <phoneticPr fontId="18" type="noConversion"/>
  </si>
  <si>
    <t>All occupational groups, urban</t>
    <phoneticPr fontId="18" type="noConversion"/>
  </si>
  <si>
    <t>cities</t>
    <phoneticPr fontId="18" type="noConversion"/>
  </si>
  <si>
    <t>Group 1</t>
    <phoneticPr fontId="18" type="noConversion"/>
  </si>
  <si>
    <t>Groups 2-3</t>
    <phoneticPr fontId="18" type="noConversion"/>
  </si>
  <si>
    <t>Merchant &amp; shopkeepers</t>
    <phoneticPr fontId="18" type="noConversion"/>
  </si>
  <si>
    <t>(Boston,</t>
    <phoneticPr fontId="18" type="noConversion"/>
  </si>
  <si>
    <t>Group 4A</t>
    <phoneticPr fontId="18" type="noConversion"/>
  </si>
  <si>
    <t>Artisans (manufacturing trades)</t>
    <phoneticPr fontId="18" type="noConversion"/>
  </si>
  <si>
    <t>New York,</t>
    <phoneticPr fontId="18" type="noConversion"/>
  </si>
  <si>
    <t>Group 4B</t>
    <phoneticPr fontId="18" type="noConversion"/>
  </si>
  <si>
    <t>Philadelphia,</t>
    <phoneticPr fontId="18" type="noConversion"/>
  </si>
  <si>
    <t>Group 5</t>
    <phoneticPr fontId="18" type="noConversion"/>
  </si>
  <si>
    <t>Farm operators or farm LF</t>
    <phoneticPr fontId="18" type="noConversion"/>
  </si>
  <si>
    <t>Charleston)</t>
    <phoneticPr fontId="18" type="noConversion"/>
  </si>
  <si>
    <t>Group 6A</t>
    <phoneticPr fontId="18" type="noConversion"/>
  </si>
  <si>
    <t>Unskilled male workers</t>
    <phoneticPr fontId="18" type="noConversion"/>
  </si>
  <si>
    <t>Group 6B</t>
    <phoneticPr fontId="18" type="noConversion"/>
  </si>
  <si>
    <t>Unskilled female workers</t>
    <phoneticPr fontId="18" type="noConversion"/>
  </si>
  <si>
    <t>Group 7</t>
    <phoneticPr fontId="18" type="noConversion"/>
  </si>
  <si>
    <t>Male HHs w/wealth, no occ stated</t>
    <phoneticPr fontId="18" type="noConversion"/>
  </si>
  <si>
    <t>Group 8</t>
    <phoneticPr fontId="18" type="noConversion"/>
  </si>
  <si>
    <t>Female HHs w/wealth, no occ stated</t>
    <phoneticPr fontId="18" type="noConversion"/>
  </si>
  <si>
    <t>Group 9</t>
    <phoneticPr fontId="18" type="noConversion"/>
  </si>
  <si>
    <t>Zero-wealth free HHs</t>
    <phoneticPr fontId="18" type="noConversion"/>
  </si>
  <si>
    <t>Group 19</t>
    <phoneticPr fontId="18" type="noConversion"/>
  </si>
  <si>
    <t>Slaves ages 10 up, retained earnings</t>
    <phoneticPr fontId="18" type="noConversion"/>
  </si>
  <si>
    <t>(blank)</t>
    <phoneticPr fontId="18" type="noConversion"/>
  </si>
  <si>
    <t xml:space="preserve">Rural </t>
    <phoneticPr fontId="18" type="noConversion"/>
  </si>
  <si>
    <t>All occupational groups, town-rural</t>
    <phoneticPr fontId="18" type="noConversion"/>
  </si>
  <si>
    <t>and towns</t>
    <phoneticPr fontId="18" type="noConversion"/>
  </si>
  <si>
    <t>Group 5A</t>
    <phoneticPr fontId="18" type="noConversion"/>
  </si>
  <si>
    <t>Farm operators - top 2% in property**</t>
    <phoneticPr fontId="18" type="noConversion"/>
  </si>
  <si>
    <t>Group 5B</t>
    <phoneticPr fontId="18" type="noConversion"/>
  </si>
  <si>
    <t>Farm operators - next 18%**</t>
    <phoneticPr fontId="18" type="noConversion"/>
  </si>
  <si>
    <t>Group 5C</t>
    <phoneticPr fontId="18" type="noConversion"/>
  </si>
  <si>
    <t>Farm operators - 40th-79th%**</t>
    <phoneticPr fontId="18" type="noConversion"/>
  </si>
  <si>
    <t>Group 5D</t>
    <phoneticPr fontId="18" type="noConversion"/>
  </si>
  <si>
    <t>Farm operators - 0-39th%**</t>
    <phoneticPr fontId="18" type="noConversion"/>
  </si>
  <si>
    <t>Group 5E</t>
    <phoneticPr fontId="18" type="noConversion"/>
  </si>
  <si>
    <t>Farm operators - all, New York</t>
    <phoneticPr fontId="18" type="noConversion"/>
  </si>
  <si>
    <t>Group 18A</t>
    <phoneticPr fontId="18" type="noConversion"/>
  </si>
  <si>
    <t>MD white male servants</t>
    <phoneticPr fontId="18" type="noConversion"/>
  </si>
  <si>
    <t xml:space="preserve">Rural </t>
  </si>
  <si>
    <t>Group 18B</t>
    <phoneticPr fontId="18" type="noConversion"/>
  </si>
  <si>
    <t>MD white female servants</t>
    <phoneticPr fontId="18" type="noConversion"/>
  </si>
  <si>
    <t>and towns</t>
  </si>
  <si>
    <t>Free HHs with property</t>
    <phoneticPr fontId="18" type="noConversion"/>
  </si>
  <si>
    <t>All free households</t>
    <phoneticPr fontId="18" type="noConversion"/>
  </si>
  <si>
    <t>Free</t>
    <phoneticPr fontId="18" type="noConversion"/>
  </si>
  <si>
    <t>All households</t>
    <phoneticPr fontId="18" type="noConversion"/>
  </si>
  <si>
    <t>Total</t>
    <phoneticPr fontId="18" type="noConversion"/>
  </si>
  <si>
    <t>Difference from Worksheet (2)</t>
    <phoneticPr fontId="18" type="noConversion"/>
  </si>
  <si>
    <t>(Matches Panel (L.) on Worksheet (2).)</t>
    <phoneticPr fontId="18" type="noConversion"/>
  </si>
  <si>
    <t xml:space="preserve">3-col non-city farm op HHs = </t>
    <phoneticPr fontId="18" type="noConversion"/>
  </si>
  <si>
    <t xml:space="preserve">3-col non-city farm LF = </t>
    <phoneticPr fontId="18" type="noConversion"/>
  </si>
  <si>
    <t>Total-income ratios, part / full time:</t>
  </si>
  <si>
    <t>Implied property income shares (%) of total income</t>
    <phoneticPr fontId="18" type="noConversion"/>
  </si>
  <si>
    <t xml:space="preserve">NY non-city farm op HHs = </t>
    <phoneticPr fontId="18" type="noConversion"/>
  </si>
  <si>
    <t xml:space="preserve">NY non-city farm LF = </t>
    <phoneticPr fontId="18" type="noConversion"/>
  </si>
  <si>
    <t>If farm operator families worked 0.89 of full-time:</t>
    <phoneticPr fontId="18" type="noConversion"/>
  </si>
  <si>
    <r>
      <t>Notes</t>
    </r>
    <r>
      <rPr>
        <sz val="12"/>
        <rFont val="Arial"/>
      </rPr>
      <t>:</t>
    </r>
  </si>
  <si>
    <t xml:space="preserve">4-col non-city farm op HHs = </t>
    <phoneticPr fontId="18" type="noConversion"/>
  </si>
  <si>
    <t xml:space="preserve">4-col non-city farm LF = </t>
    <phoneticPr fontId="18" type="noConversion"/>
  </si>
  <si>
    <t>Note, based on J.T. Main (1965, pp. 105-108), these own-labor</t>
  </si>
  <si>
    <t>Free</t>
    <phoneticPr fontId="18" type="noConversion"/>
  </si>
  <si>
    <t>earnings include the following profits of free farm operators</t>
  </si>
  <si>
    <t>Special assumptions about average property income:</t>
    <phoneticPr fontId="18" type="noConversion"/>
  </si>
  <si>
    <t>NB: Full-time</t>
  </si>
  <si>
    <t>* See "Sources &amp; notes" worksheet for the colony-specific exchange rates.</t>
    <phoneticPr fontId="18" type="noConversion"/>
  </si>
  <si>
    <t>S per farmer</t>
  </si>
  <si>
    <t>(1) For the skilled labor Group 4 in manufacturing and construction, we assume that property</t>
    <phoneticPr fontId="18" type="noConversion"/>
  </si>
  <si>
    <t>** For the Middle Colonies these rows refer only to New Jersey, Pennsylvania, and Delaware, and exclude New York.</t>
    <phoneticPr fontId="18" type="noConversion"/>
  </si>
  <si>
    <t xml:space="preserve"> income per household, like own-labor earnings, was the same for manufacturing as for construction.</t>
    <phoneticPr fontId="18" type="noConversion"/>
  </si>
  <si>
    <t>If farm operator families worked full time:</t>
    <phoneticPr fontId="18" type="noConversion"/>
  </si>
  <si>
    <t xml:space="preserve">The reason is that tor the Middle Colonies, farm operators could be divided into property-income ranks only for 3 colonies </t>
    <phoneticPr fontId="18" type="noConversion"/>
  </si>
  <si>
    <t>Alice Hanson Jones's probate sample was not large enough for us to estimate 4A and 4B separately.</t>
    <phoneticPr fontId="18" type="noConversion"/>
  </si>
  <si>
    <t>Free</t>
  </si>
  <si>
    <t>(NJ, PA, DE), due to limitations on Jones's New York sample.</t>
    <phoneticPr fontId="18" type="noConversion"/>
  </si>
  <si>
    <t xml:space="preserve">(2) For Group 6B, female unskilled labor, not separately sampled by Jones, we assumed that their </t>
    <phoneticPr fontId="18" type="noConversion"/>
  </si>
  <si>
    <t xml:space="preserve">For the South, colonial censuses counted slaves at the all-colony level but not separately for cities (e.g. Charleston). </t>
    <phoneticPr fontId="18" type="noConversion"/>
  </si>
  <si>
    <t>average gross property income was that of their male counterpart households (Group 6A) times the</t>
    <phoneticPr fontId="18" type="noConversion"/>
  </si>
  <si>
    <t xml:space="preserve">In this table all slave numbers appear as rural.  </t>
    <phoneticPr fontId="18" type="noConversion"/>
  </si>
  <si>
    <t>ratio of their own-labor earnings.  This means lower property income per female head of</t>
    <phoneticPr fontId="18" type="noConversion"/>
  </si>
  <si>
    <t>Property % shares or total income, using part-time total income</t>
  </si>
  <si>
    <t>Summing all farm operators' households</t>
  </si>
  <si>
    <t>Summing LF over all farm operators' households</t>
  </si>
  <si>
    <t>Summing over all farm operators' households</t>
  </si>
  <si>
    <t>household than for male, except in Charleston, where Variant B implies greater</t>
    <phoneticPr fontId="18" type="noConversion"/>
  </si>
  <si>
    <t>All farm operators</t>
  </si>
  <si>
    <t xml:space="preserve">labor force per household than for male.  </t>
    <phoneticPr fontId="18" type="noConversion"/>
  </si>
  <si>
    <t>Rural farms only</t>
  </si>
  <si>
    <t>rural farms only</t>
  </si>
  <si>
    <t>Main sheet: (5) Incomes of free and slave households, by occupation of HH for 1774</t>
  </si>
  <si>
    <t>revised, up</t>
  </si>
  <si>
    <t>through</t>
  </si>
  <si>
    <t>(5) Main sheet: Own-labor income results</t>
  </si>
  <si>
    <t>(1) Commercial time: Placing merchants and shopkeepers on the ladder of own-labor earnings [Not revised after 2011]</t>
  </si>
  <si>
    <t>(3) Indentured LF earnings [Not revised after 2011]</t>
  </si>
  <si>
    <t>OUR BASELINE INTERPRETATION OF MAIN'S SOURCE MATERIALS</t>
  </si>
  <si>
    <t>AN ALTERNATIVE INTERPRETATION OF MAIN'S SOURCE MATERIALS</t>
  </si>
  <si>
    <t>From these totals, remove the imputed labor earnings of the farm operator himself,</t>
  </si>
  <si>
    <t xml:space="preserve">on the interpretion that their "income" and "profit" figures were meant to cover the operator's </t>
  </si>
  <si>
    <t>labor earnings as well as his management and risk-taking.</t>
  </si>
  <si>
    <t>Total  no. of farm operators</t>
  </si>
  <si>
    <t>labor earnings per farm operator (urban or rural)</t>
  </si>
  <si>
    <t>SUBTRACT these labor earnings of the farmers ($1000s)</t>
  </si>
  <si>
    <t>(A.) thru (E.) Total farm income</t>
  </si>
  <si>
    <t>Implied percentage changes in total farm income</t>
  </si>
  <si>
    <t>Implied percentage changes in own-labor part</t>
  </si>
  <si>
    <t>(full-time assumption)</t>
  </si>
  <si>
    <r>
      <rPr>
        <b/>
        <i/>
        <u/>
        <sz val="12"/>
        <rFont val="Arial"/>
      </rPr>
      <t xml:space="preserve">Alternative </t>
    </r>
    <r>
      <rPr>
        <b/>
        <u/>
        <sz val="12"/>
        <rFont val="Arial"/>
      </rPr>
      <t>(A.) thru (E.) Total farm income ($k)</t>
    </r>
  </si>
  <si>
    <r>
      <rPr>
        <b/>
        <i/>
        <u/>
        <sz val="12"/>
        <rFont val="Arial"/>
      </rPr>
      <t>Alternative</t>
    </r>
    <r>
      <rPr>
        <b/>
        <u/>
        <sz val="12"/>
        <rFont val="Arial"/>
      </rPr>
      <t xml:space="preserve"> (A.) and (E.) = Own-labor part ($k)</t>
    </r>
  </si>
  <si>
    <t>Baseline estimate of full-time own-labor earnings ($k)</t>
  </si>
  <si>
    <t>Baseline estimate of part-time own-labor earnings ($k)</t>
  </si>
  <si>
    <t>Baseline estimate of full-time total income ($1000s)</t>
  </si>
  <si>
    <t>Baseline estimate of part-time total income ($1000s)</t>
  </si>
  <si>
    <t>(part-time assumption = 0.89 for labor)</t>
  </si>
  <si>
    <t xml:space="preserve">Table A-2.  </t>
  </si>
  <si>
    <r>
      <t xml:space="preserve">Their Occupational and Geographic Distribution in the Late Eighteenth-Century Mid-Atlantic Economy", </t>
    </r>
    <r>
      <rPr>
        <i/>
        <sz val="12"/>
        <rFont val="Arial"/>
      </rPr>
      <t>Social Science History</t>
    </r>
    <r>
      <rPr>
        <sz val="12"/>
        <rFont val="Arial"/>
      </rPr>
      <t xml:space="preserve"> 9, 3 (Summer 1985): 249-75.</t>
    </r>
  </si>
  <si>
    <r>
      <t>Sources</t>
    </r>
    <r>
      <rPr>
        <i/>
        <sz val="12"/>
        <rFont val="Arial"/>
      </rPr>
      <t>:</t>
    </r>
    <r>
      <rPr>
        <sz val="12"/>
        <rFont val="Arial"/>
      </rPr>
      <t xml:space="preserve"> Galenson, David, </t>
    </r>
    <r>
      <rPr>
        <i/>
        <sz val="12"/>
        <rFont val="Arial"/>
      </rPr>
      <t>White Servitude in Colonial America: An Economic Analysis</t>
    </r>
    <r>
      <rPr>
        <sz val="12"/>
        <rFont val="Arial"/>
      </rPr>
      <t xml:space="preserve"> (Cambridge: Cambridge University Press, 1981); Farley Grubb, "Immigrant Servant Labor:</t>
    </r>
  </si>
  <si>
    <t>(Dollar values in 1000s)</t>
  </si>
  <si>
    <t>Aggregate farm free-labor earnings</t>
  </si>
  <si>
    <t>England</t>
  </si>
  <si>
    <t>Middle</t>
  </si>
  <si>
    <t>New</t>
  </si>
  <si>
    <t>Thirteen</t>
  </si>
  <si>
    <t>colonies</t>
  </si>
  <si>
    <t xml:space="preserve">Free Farm Incomes in 1774: </t>
  </si>
  <si>
    <t>Baseline Results and an Alternative</t>
  </si>
  <si>
    <t>Gross property income</t>
  </si>
  <si>
    <t>conforming to Alice Hanson Jones's practice.</t>
  </si>
  <si>
    <r>
      <rPr>
        <u/>
        <sz val="12"/>
        <rFont val="Cambria"/>
        <scheme val="major"/>
      </rPr>
      <t>Notes</t>
    </r>
    <r>
      <rPr>
        <sz val="12"/>
        <rFont val="Cambria"/>
        <scheme val="major"/>
      </rPr>
      <t>:</t>
    </r>
  </si>
  <si>
    <t>Gross property income is derived from real estate, reproducible non-human capital,</t>
  </si>
  <si>
    <t>and slave holding.  See gpih, property income files.</t>
  </si>
  <si>
    <t>(A.) Farm Incomes, baseline</t>
  </si>
  <si>
    <t>Farm profits</t>
  </si>
  <si>
    <t>The table excludes slave household heads and slave retrined earnings.</t>
  </si>
  <si>
    <t>(B.) Denominators</t>
  </si>
  <si>
    <t>Gross national income (full time)</t>
  </si>
  <si>
    <t>Gross national income (part time)</t>
  </si>
  <si>
    <t>Free farm households</t>
  </si>
  <si>
    <t>Free farm labor force</t>
  </si>
  <si>
    <t>Total farm income, baseline</t>
  </si>
  <si>
    <r>
      <rPr>
        <i/>
        <sz val="12"/>
        <rFont val="Cambria"/>
        <scheme val="major"/>
      </rPr>
      <t>Minus</t>
    </r>
    <r>
      <rPr>
        <sz val="12"/>
        <rFont val="Cambria"/>
        <scheme val="major"/>
      </rPr>
      <t xml:space="preserve"> farmer's imputed labor earnings</t>
    </r>
  </si>
  <si>
    <t>Percent change in gross national income</t>
  </si>
  <si>
    <t xml:space="preserve"> implied by the alternative</t>
  </si>
  <si>
    <t>Implied % change in full-time own-labor earnings</t>
  </si>
  <si>
    <t>Implied % change in part-time own-labor earnings</t>
  </si>
  <si>
    <t>Implied % change in full-time total income</t>
  </si>
  <si>
    <t>Implied % change in part-time total income</t>
  </si>
  <si>
    <t>Full-time</t>
  </si>
  <si>
    <t>Part-time</t>
  </si>
  <si>
    <t xml:space="preserve">The middle colonies here include New York, New Jersey, Pennsylvania, and Delaware, </t>
  </si>
  <si>
    <t>See gpih, "Own-labor incomes 1774h", Workshop (2).</t>
  </si>
  <si>
    <t>(a.) Slave labor force, all occupations: See the Excel file "Occupations 1774 by region"at gpih.ucdavis.edu.</t>
  </si>
  <si>
    <t>proceed provisionally with the above annual rates of slave holders' expropriation of part of slaves' earnings.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</si>
</sst>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
    <numFmt numFmtId="166" formatCode="0,000"/>
    <numFmt numFmtId="167" formatCode="#,##0.0"/>
  </numFmts>
  <fonts count="45" x14ac:knownFonts="1">
    <font>
      <sz val="10"/>
      <name val="Arial"/>
    </font>
    <font>
      <sz val="10"/>
      <name val="Arial"/>
    </font>
    <font>
      <sz val="8"/>
      <name val="Verdana"/>
    </font>
    <font>
      <b/>
      <sz val="12"/>
      <name val="Arial"/>
    </font>
    <font>
      <sz val="12"/>
      <name val="Arial"/>
    </font>
    <font>
      <b/>
      <sz val="12"/>
      <color indexed="8"/>
      <name val="Arial"/>
      <family val="2"/>
    </font>
    <font>
      <sz val="12"/>
      <color indexed="8"/>
      <name val="Arial"/>
    </font>
    <font>
      <i/>
      <sz val="12"/>
      <name val="Arial"/>
    </font>
    <font>
      <b/>
      <sz val="14"/>
      <color indexed="10"/>
      <name val="Arial"/>
    </font>
    <font>
      <b/>
      <sz val="12"/>
      <color indexed="8"/>
      <name val="Calibri"/>
      <family val="2"/>
    </font>
    <font>
      <b/>
      <u/>
      <sz val="12"/>
      <name val="Arial"/>
    </font>
    <font>
      <b/>
      <sz val="12"/>
      <color indexed="10"/>
      <name val="Arial"/>
    </font>
    <font>
      <u/>
      <sz val="12"/>
      <name val="Arial"/>
    </font>
    <font>
      <sz val="14"/>
      <color indexed="10"/>
      <name val="Arial"/>
    </font>
    <font>
      <b/>
      <u/>
      <sz val="12"/>
      <color indexed="8"/>
      <name val="Arial"/>
    </font>
    <font>
      <u/>
      <sz val="12"/>
      <color indexed="8"/>
      <name val="Arial"/>
    </font>
    <font>
      <b/>
      <sz val="14"/>
      <name val="Arial"/>
      <family val="2"/>
    </font>
    <font>
      <sz val="12"/>
      <color indexed="10"/>
      <name val="Arial"/>
    </font>
    <font>
      <b/>
      <sz val="16"/>
      <color indexed="10"/>
      <name val="Arial"/>
    </font>
    <font>
      <u/>
      <sz val="10"/>
      <color theme="10"/>
      <name val="Arial"/>
    </font>
    <font>
      <u/>
      <sz val="10"/>
      <color theme="11"/>
      <name val="Arial"/>
    </font>
    <font>
      <sz val="14"/>
      <color indexed="8"/>
      <name val="Times New Roman"/>
    </font>
    <font>
      <b/>
      <sz val="14"/>
      <color indexed="8"/>
      <name val="Times New Roman"/>
    </font>
    <font>
      <b/>
      <sz val="16"/>
      <color indexed="8"/>
      <name val="Times New Roman"/>
    </font>
    <font>
      <b/>
      <sz val="14"/>
      <color indexed="10"/>
      <name val="Times New Roman"/>
    </font>
    <font>
      <b/>
      <u/>
      <sz val="14"/>
      <color indexed="8"/>
      <name val="Times New Roman"/>
    </font>
    <font>
      <sz val="14"/>
      <color rgb="FFFF0000"/>
      <name val="Times New Roman"/>
    </font>
    <font>
      <sz val="12"/>
      <color theme="1"/>
      <name val="Arial"/>
    </font>
    <font>
      <i/>
      <sz val="12"/>
      <color theme="1"/>
      <name val="Arial"/>
    </font>
    <font>
      <sz val="11"/>
      <color indexed="10"/>
      <name val="Arial"/>
    </font>
    <font>
      <sz val="11"/>
      <name val="Arial"/>
    </font>
    <font>
      <sz val="10"/>
      <color indexed="8"/>
      <name val="Arial"/>
    </font>
    <font>
      <b/>
      <sz val="10"/>
      <name val="Arial"/>
    </font>
    <font>
      <sz val="10"/>
      <color indexed="10"/>
      <name val="Arial"/>
    </font>
    <font>
      <sz val="10"/>
      <color theme="1"/>
      <name val="Arial"/>
    </font>
    <font>
      <sz val="12"/>
      <color rgb="FFDD0806"/>
      <name val="Arial"/>
    </font>
    <font>
      <sz val="12"/>
      <color rgb="FFFF0000"/>
      <name val="Arial"/>
    </font>
    <font>
      <b/>
      <sz val="14"/>
      <color rgb="FFFF0000"/>
      <name val="Arial"/>
    </font>
    <font>
      <b/>
      <i/>
      <u/>
      <sz val="12"/>
      <name val="Arial"/>
    </font>
    <font>
      <sz val="12"/>
      <name val="Cambria"/>
      <scheme val="major"/>
    </font>
    <font>
      <b/>
      <sz val="14"/>
      <name val="Cambria"/>
      <scheme val="major"/>
    </font>
    <font>
      <sz val="8"/>
      <name val="Arial"/>
    </font>
    <font>
      <sz val="14"/>
      <name val="Cambria"/>
      <scheme val="major"/>
    </font>
    <font>
      <u/>
      <sz val="12"/>
      <name val="Cambria"/>
      <scheme val="major"/>
    </font>
    <font>
      <i/>
      <sz val="12"/>
      <name val="Cambria"/>
      <scheme val="major"/>
    </font>
  </fonts>
  <fills count="1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rgb="FFFF9B92"/>
        <bgColor indexed="64"/>
      </patternFill>
    </fill>
    <fill>
      <patternFill patternType="solid">
        <fgColor rgb="FF3366FF"/>
        <bgColor indexed="64"/>
      </patternFill>
    </fill>
    <fill>
      <patternFill patternType="solid">
        <fgColor rgb="FFFFFF00"/>
        <bgColor indexed="64"/>
      </patternFill>
    </fill>
    <fill>
      <patternFill patternType="solid">
        <fgColor theme="3" tint="0.59999389629810485"/>
        <bgColor indexed="64"/>
      </patternFill>
    </fill>
    <fill>
      <patternFill patternType="solid">
        <fgColor indexed="11"/>
        <bgColor indexed="64"/>
      </patternFill>
    </fill>
    <fill>
      <patternFill patternType="solid">
        <fgColor theme="3" tint="0.79998168889431442"/>
        <bgColor indexed="64"/>
      </patternFill>
    </fill>
    <fill>
      <patternFill patternType="solid">
        <fgColor rgb="FFCC99FF"/>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right/>
      <top style="thin">
        <color auto="1"/>
      </top>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bottom/>
      <diagonal/>
    </border>
  </borders>
  <cellStyleXfs count="15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34">
    <xf numFmtId="0" fontId="0" fillId="0" borderId="0" xfId="0"/>
    <xf numFmtId="0" fontId="4" fillId="0" borderId="0" xfId="0" applyFont="1"/>
    <xf numFmtId="1" fontId="4" fillId="0" borderId="0" xfId="0" applyNumberFormat="1" applyFont="1"/>
    <xf numFmtId="2" fontId="4" fillId="0" borderId="0" xfId="0" applyNumberFormat="1" applyFont="1"/>
    <xf numFmtId="1" fontId="4" fillId="0" borderId="0" xfId="0" applyNumberFormat="1" applyFont="1" applyAlignment="1"/>
    <xf numFmtId="0" fontId="3" fillId="0" borderId="0" xfId="0" applyFont="1"/>
    <xf numFmtId="1" fontId="3" fillId="0" borderId="0" xfId="0" applyNumberFormat="1" applyFont="1" applyAlignment="1"/>
    <xf numFmtId="0" fontId="5" fillId="0" borderId="0" xfId="0" applyFont="1" applyAlignment="1"/>
    <xf numFmtId="0" fontId="9" fillId="0" borderId="0" xfId="0" applyFont="1" applyAlignment="1">
      <alignment horizontal="center" wrapText="1"/>
    </xf>
    <xf numFmtId="0" fontId="3" fillId="0" borderId="0" xfId="0" applyFont="1" applyAlignment="1">
      <alignment horizontal="right"/>
    </xf>
    <xf numFmtId="0" fontId="10" fillId="0" borderId="0" xfId="0" applyFont="1"/>
    <xf numFmtId="0" fontId="4" fillId="0" borderId="1" xfId="0" applyFont="1" applyBorder="1"/>
    <xf numFmtId="0" fontId="11" fillId="0" borderId="0" xfId="0" applyFont="1"/>
    <xf numFmtId="0" fontId="12" fillId="0" borderId="0" xfId="0" applyFont="1"/>
    <xf numFmtId="0" fontId="4" fillId="0" borderId="0" xfId="0" applyFont="1" applyAlignment="1"/>
    <xf numFmtId="0" fontId="4" fillId="0" borderId="0" xfId="0" applyFont="1" applyFill="1" applyBorder="1" applyAlignment="1"/>
    <xf numFmtId="0" fontId="4" fillId="0" borderId="0" xfId="0" applyFont="1" applyAlignment="1">
      <alignment horizontal="right"/>
    </xf>
    <xf numFmtId="0" fontId="12" fillId="0" borderId="0" xfId="0" applyFont="1" applyAlignment="1">
      <alignment horizontal="right"/>
    </xf>
    <xf numFmtId="0" fontId="4" fillId="0" borderId="2" xfId="0" applyFont="1" applyBorder="1"/>
    <xf numFmtId="0" fontId="13" fillId="0" borderId="0" xfId="0" applyFont="1"/>
    <xf numFmtId="0" fontId="4" fillId="0" borderId="0" xfId="0" applyFont="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1" fontId="4" fillId="0" borderId="6" xfId="0" applyNumberFormat="1" applyFont="1" applyBorder="1"/>
    <xf numFmtId="1" fontId="4" fillId="0" borderId="7" xfId="0" applyNumberFormat="1" applyFont="1" applyBorder="1"/>
    <xf numFmtId="1" fontId="4" fillId="0" borderId="0" xfId="0" applyNumberFormat="1" applyFont="1" applyAlignment="1">
      <alignment horizontal="right"/>
    </xf>
    <xf numFmtId="1" fontId="0" fillId="0" borderId="0" xfId="0" applyNumberFormat="1"/>
    <xf numFmtId="1" fontId="4" fillId="0" borderId="0" xfId="0" applyNumberFormat="1" applyFont="1" applyFill="1"/>
    <xf numFmtId="0" fontId="4" fillId="0" borderId="0" xfId="0" applyFont="1" applyAlignment="1">
      <alignment horizontal="left" vertical="center" indent="4"/>
    </xf>
    <xf numFmtId="0" fontId="4" fillId="0" borderId="0" xfId="0" applyFont="1" applyAlignment="1">
      <alignment horizontal="center" vertical="center"/>
    </xf>
    <xf numFmtId="0" fontId="3" fillId="0" borderId="0" xfId="0" applyFont="1" applyAlignment="1"/>
    <xf numFmtId="2" fontId="4" fillId="0" borderId="6" xfId="0" applyNumberFormat="1" applyFont="1" applyBorder="1"/>
    <xf numFmtId="2" fontId="4" fillId="0" borderId="7" xfId="0" applyNumberFormat="1" applyFont="1" applyBorder="1"/>
    <xf numFmtId="2" fontId="4" fillId="0" borderId="0" xfId="0" applyNumberFormat="1" applyFont="1" applyAlignment="1">
      <alignment horizontal="right"/>
    </xf>
    <xf numFmtId="2" fontId="0" fillId="0" borderId="0" xfId="0" applyNumberFormat="1"/>
    <xf numFmtId="1" fontId="4" fillId="0" borderId="8" xfId="0" applyNumberFormat="1" applyFont="1" applyBorder="1"/>
    <xf numFmtId="1" fontId="5" fillId="0" borderId="0" xfId="0" applyNumberFormat="1" applyFont="1" applyAlignment="1"/>
    <xf numFmtId="2" fontId="5" fillId="0" borderId="0" xfId="0" applyNumberFormat="1" applyFont="1" applyAlignment="1"/>
    <xf numFmtId="2" fontId="4" fillId="0" borderId="0" xfId="0" applyNumberFormat="1" applyFont="1" applyAlignment="1"/>
    <xf numFmtId="2" fontId="6" fillId="0" borderId="0" xfId="0" applyNumberFormat="1" applyFont="1" applyAlignment="1"/>
    <xf numFmtId="3" fontId="4" fillId="0" borderId="0" xfId="0" applyNumberFormat="1" applyFont="1" applyAlignment="1"/>
    <xf numFmtId="0" fontId="4" fillId="0" borderId="0" xfId="0" applyFont="1" applyAlignment="1">
      <alignment horizontal="right" vertical="center"/>
    </xf>
    <xf numFmtId="0" fontId="12" fillId="0" borderId="0" xfId="0" applyFont="1" applyAlignment="1">
      <alignment horizontal="center"/>
    </xf>
    <xf numFmtId="0" fontId="5" fillId="0" borderId="0" xfId="0" applyFont="1" applyAlignment="1">
      <alignment horizontal="center"/>
    </xf>
    <xf numFmtId="0" fontId="6" fillId="0" borderId="0" xfId="0" applyFont="1" applyAlignment="1">
      <alignment horizontal="left"/>
    </xf>
    <xf numFmtId="0" fontId="6" fillId="0" borderId="0" xfId="0" applyFont="1" applyAlignment="1"/>
    <xf numFmtId="0" fontId="4" fillId="0" borderId="0" xfId="0" applyNumberFormat="1" applyFont="1" applyAlignment="1"/>
    <xf numFmtId="0" fontId="8" fillId="0" borderId="0" xfId="0" applyFont="1"/>
    <xf numFmtId="0" fontId="6" fillId="0" borderId="0" xfId="0" applyFont="1" applyAlignment="1">
      <alignment horizontal="right"/>
    </xf>
    <xf numFmtId="0" fontId="10" fillId="0" borderId="0" xfId="0" applyNumberFormat="1" applyFont="1" applyAlignment="1"/>
    <xf numFmtId="1" fontId="12" fillId="0" borderId="0" xfId="0" applyNumberFormat="1" applyFont="1" applyAlignment="1">
      <alignment horizontal="center"/>
    </xf>
    <xf numFmtId="0" fontId="5" fillId="0" borderId="0" xfId="0" applyFont="1" applyAlignment="1">
      <alignment horizontal="right"/>
    </xf>
    <xf numFmtId="0" fontId="5" fillId="0" borderId="9" xfId="0" applyFont="1" applyBorder="1" applyAlignment="1">
      <alignment horizontal="center"/>
    </xf>
    <xf numFmtId="0" fontId="4" fillId="0" borderId="10" xfId="0" applyFont="1" applyBorder="1" applyAlignment="1"/>
    <xf numFmtId="0" fontId="4" fillId="0" borderId="9" xfId="0" applyFont="1" applyBorder="1" applyAlignment="1"/>
    <xf numFmtId="0" fontId="4" fillId="0" borderId="11" xfId="0" applyFont="1" applyBorder="1" applyAlignment="1"/>
    <xf numFmtId="0" fontId="6" fillId="0" borderId="0" xfId="0" applyFont="1" applyAlignment="1">
      <alignment horizontal="center"/>
    </xf>
    <xf numFmtId="0" fontId="15" fillId="0" borderId="0" xfId="0" applyFont="1" applyAlignment="1">
      <alignment horizontal="right"/>
    </xf>
    <xf numFmtId="0" fontId="15" fillId="0" borderId="0" xfId="0" applyFont="1" applyAlignment="1">
      <alignment horizontal="left"/>
    </xf>
    <xf numFmtId="2" fontId="4" fillId="0" borderId="0" xfId="0" applyNumberFormat="1" applyFont="1" applyAlignment="1">
      <alignment horizontal="center"/>
    </xf>
    <xf numFmtId="0" fontId="12" fillId="0" borderId="0" xfId="0" applyFont="1" applyAlignment="1"/>
    <xf numFmtId="0" fontId="7" fillId="0" borderId="0" xfId="0" applyFont="1" applyAlignment="1"/>
    <xf numFmtId="164" fontId="4" fillId="0" borderId="0" xfId="0" applyNumberFormat="1" applyFont="1" applyAlignment="1"/>
    <xf numFmtId="10" fontId="4" fillId="0" borderId="0" xfId="0" applyNumberFormat="1" applyFont="1" applyAlignment="1">
      <alignment horizontal="right"/>
    </xf>
    <xf numFmtId="0" fontId="4" fillId="0" borderId="0" xfId="0" applyFont="1" applyAlignment="1">
      <alignment horizontal="left"/>
    </xf>
    <xf numFmtId="0" fontId="14" fillId="0" borderId="0" xfId="0" applyFont="1" applyAlignment="1"/>
    <xf numFmtId="0" fontId="4" fillId="2" borderId="10" xfId="0" applyFont="1" applyFill="1" applyBorder="1" applyAlignment="1">
      <alignment horizontal="left"/>
    </xf>
    <xf numFmtId="0" fontId="4" fillId="2" borderId="9" xfId="0" applyFont="1" applyFill="1" applyBorder="1" applyAlignment="1">
      <alignment horizontal="left"/>
    </xf>
    <xf numFmtId="0" fontId="4" fillId="2" borderId="11" xfId="0" applyFont="1" applyFill="1" applyBorder="1" applyAlignment="1">
      <alignment horizontal="left"/>
    </xf>
    <xf numFmtId="0" fontId="4" fillId="5" borderId="10" xfId="0" applyFont="1" applyFill="1" applyBorder="1" applyAlignment="1">
      <alignment horizontal="left"/>
    </xf>
    <xf numFmtId="0" fontId="4" fillId="5" borderId="9" xfId="0" applyFont="1" applyFill="1" applyBorder="1" applyAlignment="1">
      <alignment horizontal="left"/>
    </xf>
    <xf numFmtId="0" fontId="4" fillId="5" borderId="11" xfId="0" applyFont="1" applyFill="1" applyBorder="1" applyAlignment="1">
      <alignment horizontal="left"/>
    </xf>
    <xf numFmtId="0" fontId="4" fillId="3" borderId="10" xfId="0" applyFont="1" applyFill="1" applyBorder="1" applyAlignment="1">
      <alignment horizontal="left"/>
    </xf>
    <xf numFmtId="0" fontId="4" fillId="3" borderId="9" xfId="0" applyFont="1" applyFill="1" applyBorder="1" applyAlignment="1">
      <alignment horizontal="left"/>
    </xf>
    <xf numFmtId="0" fontId="4" fillId="3" borderId="11" xfId="0" applyFont="1" applyFill="1" applyBorder="1" applyAlignment="1">
      <alignment horizontal="left"/>
    </xf>
    <xf numFmtId="0" fontId="4" fillId="0" borderId="2" xfId="0" applyFont="1" applyBorder="1" applyAlignment="1">
      <alignment horizontal="right"/>
    </xf>
    <xf numFmtId="0" fontId="4" fillId="0" borderId="10" xfId="0" applyFont="1" applyBorder="1" applyAlignment="1">
      <alignment horizontal="left"/>
    </xf>
    <xf numFmtId="1" fontId="4" fillId="0" borderId="0" xfId="0" applyNumberFormat="1" applyFont="1" applyFill="1" applyBorder="1" applyAlignment="1"/>
    <xf numFmtId="2" fontId="4" fillId="0" borderId="0" xfId="0" applyNumberFormat="1" applyFont="1" applyFill="1" applyBorder="1" applyAlignment="1"/>
    <xf numFmtId="164" fontId="4" fillId="0" borderId="0" xfId="0" applyNumberFormat="1" applyFont="1" applyFill="1" applyBorder="1" applyAlignment="1"/>
    <xf numFmtId="0" fontId="16" fillId="0" borderId="0" xfId="0" applyFont="1"/>
    <xf numFmtId="0" fontId="4" fillId="6" borderId="12" xfId="0" applyFont="1" applyFill="1" applyBorder="1"/>
    <xf numFmtId="0" fontId="4" fillId="6" borderId="13" xfId="0" applyFont="1" applyFill="1" applyBorder="1"/>
    <xf numFmtId="0" fontId="4" fillId="3" borderId="12" xfId="0" applyFont="1" applyFill="1" applyBorder="1"/>
    <xf numFmtId="0" fontId="4" fillId="3" borderId="13" xfId="0" applyFont="1" applyFill="1" applyBorder="1"/>
    <xf numFmtId="0" fontId="4" fillId="2" borderId="14" xfId="0" applyFont="1" applyFill="1" applyBorder="1"/>
    <xf numFmtId="0" fontId="4" fillId="2" borderId="15" xfId="0" applyFont="1" applyFill="1" applyBorder="1"/>
    <xf numFmtId="0" fontId="4" fillId="2" borderId="12" xfId="0" applyFont="1" applyFill="1" applyBorder="1"/>
    <xf numFmtId="0" fontId="4" fillId="2" borderId="13" xfId="0" applyFont="1" applyFill="1" applyBorder="1"/>
    <xf numFmtId="0" fontId="4" fillId="7" borderId="14" xfId="0" applyFont="1" applyFill="1" applyBorder="1"/>
    <xf numFmtId="0" fontId="4" fillId="7" borderId="15" xfId="0" applyFont="1" applyFill="1" applyBorder="1"/>
    <xf numFmtId="0" fontId="4" fillId="7" borderId="12" xfId="0" applyFont="1" applyFill="1" applyBorder="1"/>
    <xf numFmtId="0" fontId="4" fillId="7" borderId="13" xfId="0" applyFont="1" applyFill="1" applyBorder="1"/>
    <xf numFmtId="0" fontId="4" fillId="5" borderId="12" xfId="0" applyFont="1" applyFill="1" applyBorder="1"/>
    <xf numFmtId="0" fontId="4" fillId="5" borderId="13" xfId="0" applyFont="1" applyFill="1" applyBorder="1"/>
    <xf numFmtId="0" fontId="4" fillId="6" borderId="16" xfId="0" applyFont="1" applyFill="1" applyBorder="1"/>
    <xf numFmtId="0" fontId="4" fillId="6" borderId="17" xfId="0" applyFont="1" applyFill="1" applyBorder="1"/>
    <xf numFmtId="0" fontId="4" fillId="5" borderId="18" xfId="0" applyFont="1" applyFill="1" applyBorder="1"/>
    <xf numFmtId="0" fontId="4" fillId="7" borderId="19" xfId="0" applyFont="1" applyFill="1" applyBorder="1"/>
    <xf numFmtId="0" fontId="4" fillId="7" borderId="18" xfId="0" applyFont="1" applyFill="1" applyBorder="1"/>
    <xf numFmtId="0" fontId="4" fillId="0" borderId="20" xfId="0" applyFont="1" applyBorder="1" applyAlignment="1">
      <alignment horizontal="center"/>
    </xf>
    <xf numFmtId="0" fontId="4" fillId="0" borderId="21" xfId="0" applyFont="1" applyBorder="1" applyAlignment="1">
      <alignment horizontal="center"/>
    </xf>
    <xf numFmtId="0" fontId="4" fillId="6" borderId="22" xfId="0" applyFont="1" applyFill="1" applyBorder="1"/>
    <xf numFmtId="0" fontId="4" fillId="6" borderId="23" xfId="0" applyFont="1" applyFill="1" applyBorder="1"/>
    <xf numFmtId="0" fontId="4" fillId="0" borderId="24" xfId="0" applyFont="1" applyBorder="1" applyAlignment="1">
      <alignment horizontal="right"/>
    </xf>
    <xf numFmtId="0" fontId="5" fillId="5" borderId="10" xfId="0" applyFont="1" applyFill="1" applyBorder="1" applyAlignment="1">
      <alignment horizontal="left"/>
    </xf>
    <xf numFmtId="0" fontId="4" fillId="5" borderId="9" xfId="0" applyFont="1" applyFill="1" applyBorder="1" applyAlignment="1">
      <alignment horizontal="center"/>
    </xf>
    <xf numFmtId="0" fontId="4" fillId="5" borderId="9" xfId="0" applyFont="1" applyFill="1" applyBorder="1" applyAlignment="1"/>
    <xf numFmtId="0" fontId="4" fillId="5" borderId="11" xfId="0" applyFont="1" applyFill="1" applyBorder="1" applyAlignment="1"/>
    <xf numFmtId="0" fontId="5" fillId="2" borderId="10" xfId="0" applyFont="1" applyFill="1" applyBorder="1" applyAlignment="1">
      <alignment horizontal="left"/>
    </xf>
    <xf numFmtId="0" fontId="5" fillId="2" borderId="9" xfId="0" applyFont="1" applyFill="1" applyBorder="1" applyAlignment="1">
      <alignment horizontal="center"/>
    </xf>
    <xf numFmtId="0" fontId="4" fillId="2" borderId="9" xfId="0" applyFont="1" applyFill="1" applyBorder="1" applyAlignment="1">
      <alignment horizontal="center"/>
    </xf>
    <xf numFmtId="0" fontId="4" fillId="2" borderId="11" xfId="0" applyFont="1" applyFill="1" applyBorder="1" applyAlignment="1">
      <alignment horizontal="center"/>
    </xf>
    <xf numFmtId="0" fontId="5" fillId="3" borderId="10" xfId="0" applyFont="1" applyFill="1" applyBorder="1" applyAlignment="1">
      <alignment horizontal="left"/>
    </xf>
    <xf numFmtId="0" fontId="5" fillId="3" borderId="9" xfId="0" applyFont="1" applyFill="1" applyBorder="1" applyAlignment="1">
      <alignment horizontal="center"/>
    </xf>
    <xf numFmtId="0" fontId="5" fillId="3" borderId="11" xfId="0" applyFont="1" applyFill="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15" fontId="4" fillId="0" borderId="0" xfId="0" applyNumberFormat="1" applyFont="1"/>
    <xf numFmtId="164" fontId="4" fillId="0" borderId="0" xfId="0" applyNumberFormat="1" applyFont="1"/>
    <xf numFmtId="1" fontId="4" fillId="7" borderId="0" xfId="0" applyNumberFormat="1" applyFont="1" applyFill="1"/>
    <xf numFmtId="2" fontId="4" fillId="7" borderId="0" xfId="0" applyNumberFormat="1" applyFont="1" applyFill="1"/>
    <xf numFmtId="0" fontId="4" fillId="7" borderId="0" xfId="0" applyFont="1" applyFill="1"/>
    <xf numFmtId="164" fontId="4" fillId="7" borderId="0" xfId="0" applyNumberFormat="1" applyFont="1" applyFill="1"/>
    <xf numFmtId="0" fontId="4" fillId="6" borderId="0" xfId="0" applyFont="1" applyFill="1"/>
    <xf numFmtId="164" fontId="4" fillId="6" borderId="0" xfId="0" applyNumberFormat="1" applyFont="1" applyFill="1"/>
    <xf numFmtId="0" fontId="17" fillId="0" borderId="0" xfId="0" applyFont="1"/>
    <xf numFmtId="0" fontId="8" fillId="0" borderId="0" xfId="0" applyFont="1" applyFill="1"/>
    <xf numFmtId="2" fontId="4" fillId="0" borderId="8" xfId="0" applyNumberFormat="1" applyFont="1" applyBorder="1" applyAlignment="1"/>
    <xf numFmtId="0" fontId="4" fillId="2" borderId="3" xfId="0" applyFont="1" applyFill="1" applyBorder="1"/>
    <xf numFmtId="0" fontId="4" fillId="2" borderId="4" xfId="0" applyFont="1" applyFill="1" applyBorder="1"/>
    <xf numFmtId="0" fontId="4" fillId="2" borderId="5" xfId="0" applyFont="1" applyFill="1" applyBorder="1"/>
    <xf numFmtId="0" fontId="4" fillId="5" borderId="3" xfId="0" applyFont="1" applyFill="1" applyBorder="1"/>
    <xf numFmtId="0" fontId="4" fillId="5" borderId="4" xfId="0" applyFont="1" applyFill="1" applyBorder="1"/>
    <xf numFmtId="0" fontId="4" fillId="5" borderId="5" xfId="0" applyFont="1" applyFill="1" applyBorder="1"/>
    <xf numFmtId="0" fontId="4" fillId="3" borderId="3" xfId="0" applyFont="1" applyFill="1" applyBorder="1"/>
    <xf numFmtId="0" fontId="4" fillId="3" borderId="4" xfId="0" applyFont="1" applyFill="1" applyBorder="1"/>
    <xf numFmtId="0" fontId="4" fillId="3" borderId="5" xfId="0" applyFont="1" applyFill="1" applyBorder="1"/>
    <xf numFmtId="2" fontId="4" fillId="0" borderId="8" xfId="0" applyNumberFormat="1" applyFont="1" applyBorder="1"/>
    <xf numFmtId="2" fontId="4" fillId="3" borderId="0" xfId="0" applyNumberFormat="1" applyFont="1" applyFill="1"/>
    <xf numFmtId="2" fontId="6" fillId="6" borderId="0" xfId="0" applyNumberFormat="1" applyFont="1" applyFill="1"/>
    <xf numFmtId="2" fontId="4" fillId="6" borderId="0" xfId="0" applyNumberFormat="1" applyFont="1" applyFill="1"/>
    <xf numFmtId="2" fontId="4" fillId="0" borderId="0" xfId="0" applyNumberFormat="1" applyFont="1" applyFill="1"/>
    <xf numFmtId="2" fontId="4" fillId="0" borderId="0" xfId="0" applyNumberFormat="1" applyFont="1" applyAlignment="1">
      <alignment horizontal="left"/>
    </xf>
    <xf numFmtId="2" fontId="4" fillId="6" borderId="0" xfId="0" applyNumberFormat="1" applyFont="1" applyFill="1" applyAlignment="1">
      <alignment horizontal="right"/>
    </xf>
    <xf numFmtId="2" fontId="12" fillId="0" borderId="0" xfId="0" applyNumberFormat="1" applyFont="1" applyAlignment="1">
      <alignment horizontal="right"/>
    </xf>
    <xf numFmtId="2" fontId="4" fillId="0" borderId="0" xfId="0" applyNumberFormat="1" applyFont="1" applyBorder="1"/>
    <xf numFmtId="0" fontId="4" fillId="0" borderId="0" xfId="0" applyFont="1" applyFill="1"/>
    <xf numFmtId="2" fontId="3" fillId="0" borderId="10" xfId="0" applyNumberFormat="1" applyFont="1" applyBorder="1"/>
    <xf numFmtId="2" fontId="3" fillId="0" borderId="11" xfId="0" applyNumberFormat="1" applyFont="1" applyBorder="1"/>
    <xf numFmtId="2" fontId="3" fillId="0" borderId="9" xfId="0" applyNumberFormat="1" applyFont="1" applyBorder="1"/>
    <xf numFmtId="2" fontId="4" fillId="3" borderId="0" xfId="0" applyNumberFormat="1" applyFont="1" applyFill="1" applyAlignment="1"/>
    <xf numFmtId="0" fontId="18" fillId="0" borderId="0" xfId="0" applyFont="1" applyAlignment="1"/>
    <xf numFmtId="0" fontId="18" fillId="0" borderId="0" xfId="0" applyFont="1"/>
    <xf numFmtId="166" fontId="4" fillId="0" borderId="0" xfId="0" applyNumberFormat="1" applyFont="1"/>
    <xf numFmtId="0" fontId="4" fillId="0" borderId="3" xfId="0" applyFont="1" applyBorder="1"/>
    <xf numFmtId="0" fontId="4" fillId="0" borderId="4" xfId="0" applyFont="1" applyBorder="1"/>
    <xf numFmtId="0" fontId="4" fillId="0" borderId="5" xfId="0" applyFont="1" applyBorder="1"/>
    <xf numFmtId="0" fontId="17" fillId="0" borderId="0" xfId="0" applyFont="1" applyAlignment="1">
      <alignment horizontal="right"/>
    </xf>
    <xf numFmtId="1" fontId="17" fillId="0" borderId="0" xfId="0" applyNumberFormat="1" applyFont="1"/>
    <xf numFmtId="0" fontId="4" fillId="3" borderId="0" xfId="0" applyFont="1" applyFill="1" applyAlignment="1">
      <alignment horizontal="center"/>
    </xf>
    <xf numFmtId="0" fontId="4" fillId="3" borderId="0" xfId="0" applyFont="1" applyFill="1" applyAlignment="1">
      <alignment horizontal="center" vertical="center"/>
    </xf>
    <xf numFmtId="0" fontId="4" fillId="5" borderId="0" xfId="0" applyFont="1" applyFill="1" applyAlignment="1">
      <alignment horizontal="center" vertical="center"/>
    </xf>
    <xf numFmtId="0" fontId="4" fillId="2" borderId="0" xfId="0" applyFont="1" applyFill="1" applyAlignment="1">
      <alignment horizontal="center" vertical="center"/>
    </xf>
    <xf numFmtId="165" fontId="4" fillId="0" borderId="0" xfId="0" applyNumberFormat="1" applyFont="1" applyAlignment="1"/>
    <xf numFmtId="0" fontId="4" fillId="0" borderId="0" xfId="0" applyFont="1" applyFill="1" applyAlignment="1">
      <alignment horizontal="right"/>
    </xf>
    <xf numFmtId="3" fontId="12" fillId="0" borderId="0" xfId="0" applyNumberFormat="1" applyFont="1" applyAlignment="1">
      <alignment horizontal="right"/>
    </xf>
    <xf numFmtId="3" fontId="4" fillId="0" borderId="0" xfId="0" applyNumberFormat="1" applyFont="1" applyAlignment="1">
      <alignment horizontal="right"/>
    </xf>
    <xf numFmtId="43" fontId="4" fillId="0" borderId="0" xfId="1" applyFont="1" applyAlignment="1"/>
    <xf numFmtId="3" fontId="17" fillId="0" borderId="0" xfId="0" applyNumberFormat="1" applyFont="1"/>
    <xf numFmtId="3" fontId="4" fillId="0" borderId="0" xfId="0" applyNumberFormat="1" applyFont="1"/>
    <xf numFmtId="3" fontId="4" fillId="0" borderId="2" xfId="0" applyNumberFormat="1" applyFont="1" applyBorder="1" applyAlignment="1">
      <alignment horizontal="right"/>
    </xf>
    <xf numFmtId="0" fontId="4" fillId="0" borderId="24" xfId="0" applyFont="1" applyFill="1" applyBorder="1" applyAlignment="1">
      <alignment horizontal="right"/>
    </xf>
    <xf numFmtId="0" fontId="21" fillId="0" borderId="0" xfId="0" applyFont="1"/>
    <xf numFmtId="0" fontId="22" fillId="0" borderId="0" xfId="0" applyFont="1"/>
    <xf numFmtId="0" fontId="24" fillId="0" borderId="0" xfId="0" applyFont="1"/>
    <xf numFmtId="0" fontId="21" fillId="0" borderId="0" xfId="0" applyFont="1" applyFill="1"/>
    <xf numFmtId="0" fontId="24" fillId="0" borderId="0" xfId="0" applyFont="1" applyFill="1"/>
    <xf numFmtId="0" fontId="22" fillId="0" borderId="0" xfId="0" applyFont="1" applyFill="1"/>
    <xf numFmtId="0" fontId="21" fillId="0" borderId="0" xfId="0" applyFont="1" applyFill="1" applyAlignment="1">
      <alignment wrapText="1"/>
    </xf>
    <xf numFmtId="0" fontId="21" fillId="0" borderId="0" xfId="0" applyFont="1" applyAlignment="1">
      <alignment wrapText="1"/>
    </xf>
    <xf numFmtId="0" fontId="21" fillId="4" borderId="0" xfId="0" applyFont="1" applyFill="1" applyAlignment="1"/>
    <xf numFmtId="0" fontId="21" fillId="0" borderId="1" xfId="0" applyFont="1" applyBorder="1" applyAlignment="1"/>
    <xf numFmtId="0" fontId="21" fillId="0" borderId="0" xfId="0" applyFont="1" applyAlignment="1"/>
    <xf numFmtId="0" fontId="21" fillId="0" borderId="0" xfId="0" applyFont="1" applyFill="1" applyAlignment="1"/>
    <xf numFmtId="0" fontId="26" fillId="0" borderId="0" xfId="0" applyFont="1" applyAlignment="1"/>
    <xf numFmtId="0" fontId="21" fillId="4" borderId="0" xfId="0" applyFont="1" applyFill="1"/>
    <xf numFmtId="0" fontId="21" fillId="0" borderId="1" xfId="0" applyFont="1" applyBorder="1"/>
    <xf numFmtId="0" fontId="21" fillId="4" borderId="0" xfId="0" applyFont="1" applyFill="1" applyAlignment="1">
      <alignment horizontal="left"/>
    </xf>
    <xf numFmtId="16" fontId="21" fillId="0" borderId="0" xfId="0" applyNumberFormat="1" applyFont="1" applyFill="1" applyAlignment="1">
      <alignment horizontal="right"/>
    </xf>
    <xf numFmtId="0" fontId="21" fillId="0" borderId="0" xfId="0" quotePrefix="1" applyFont="1"/>
    <xf numFmtId="1" fontId="21" fillId="0" borderId="0" xfId="0" applyNumberFormat="1" applyFont="1" applyFill="1" applyAlignment="1">
      <alignment horizontal="right"/>
    </xf>
    <xf numFmtId="2" fontId="21" fillId="0" borderId="0" xfId="0" applyNumberFormat="1" applyFont="1"/>
    <xf numFmtId="0" fontId="21" fillId="9" borderId="0" xfId="0" applyFont="1" applyFill="1"/>
    <xf numFmtId="0" fontId="21" fillId="0" borderId="0" xfId="0" applyFont="1" applyAlignment="1">
      <alignment horizontal="right"/>
    </xf>
    <xf numFmtId="0" fontId="21" fillId="0" borderId="1" xfId="0" applyFont="1" applyBorder="1" applyAlignment="1">
      <alignment horizontal="right"/>
    </xf>
    <xf numFmtId="0" fontId="21" fillId="0" borderId="0" xfId="0" applyFont="1" applyBorder="1"/>
    <xf numFmtId="0" fontId="21" fillId="0" borderId="0" xfId="0" applyFont="1" applyBorder="1" applyAlignment="1">
      <alignment horizontal="right"/>
    </xf>
    <xf numFmtId="2" fontId="21" fillId="0" borderId="0" xfId="0" applyNumberFormat="1" applyFont="1" applyAlignment="1">
      <alignment horizontal="right"/>
    </xf>
    <xf numFmtId="0" fontId="21" fillId="0" borderId="0" xfId="0" applyFont="1" applyFill="1" applyAlignment="1">
      <alignment horizontal="right" wrapText="1"/>
    </xf>
    <xf numFmtId="0" fontId="21" fillId="0" borderId="0" xfId="0" applyFont="1" applyFill="1" applyAlignment="1">
      <alignment horizontal="left"/>
    </xf>
    <xf numFmtId="0" fontId="21" fillId="0" borderId="0" xfId="0" applyFont="1" applyFill="1" applyAlignment="1">
      <alignment horizontal="right"/>
    </xf>
    <xf numFmtId="0" fontId="10" fillId="10" borderId="0" xfId="0" applyFont="1" applyFill="1"/>
    <xf numFmtId="0" fontId="4" fillId="10" borderId="0" xfId="0" applyFont="1" applyFill="1"/>
    <xf numFmtId="0" fontId="4" fillId="10" borderId="0" xfId="0" applyFont="1" applyFill="1" applyAlignment="1">
      <alignment horizontal="right"/>
    </xf>
    <xf numFmtId="3" fontId="4" fillId="0" borderId="0" xfId="0" applyNumberFormat="1" applyFont="1" applyBorder="1" applyAlignment="1">
      <alignment horizontal="right"/>
    </xf>
    <xf numFmtId="4" fontId="4" fillId="0" borderId="0" xfId="0" applyNumberFormat="1" applyFont="1" applyAlignment="1">
      <alignment horizontal="right"/>
    </xf>
    <xf numFmtId="4" fontId="4" fillId="0" borderId="0" xfId="0" applyNumberFormat="1" applyFont="1" applyBorder="1" applyAlignment="1">
      <alignment horizontal="right"/>
    </xf>
    <xf numFmtId="3" fontId="27" fillId="0" borderId="0" xfId="0" applyNumberFormat="1" applyFont="1"/>
    <xf numFmtId="3" fontId="27" fillId="0" borderId="0" xfId="0" applyNumberFormat="1" applyFont="1" applyAlignment="1">
      <alignment horizontal="right"/>
    </xf>
    <xf numFmtId="0" fontId="27" fillId="0" borderId="0" xfId="0" applyFont="1"/>
    <xf numFmtId="0" fontId="28" fillId="0" borderId="0" xfId="0" applyFont="1"/>
    <xf numFmtId="1" fontId="27" fillId="0" borderId="0" xfId="0" applyNumberFormat="1" applyFont="1"/>
    <xf numFmtId="2" fontId="27" fillId="0" borderId="0" xfId="0" applyNumberFormat="1" applyFont="1"/>
    <xf numFmtId="2" fontId="27" fillId="0" borderId="0" xfId="0" applyNumberFormat="1" applyFont="1" applyAlignment="1">
      <alignment horizontal="right"/>
    </xf>
    <xf numFmtId="3" fontId="27" fillId="0" borderId="0" xfId="0" applyNumberFormat="1" applyFont="1" applyFill="1"/>
    <xf numFmtId="3" fontId="4" fillId="12" borderId="0" xfId="0" applyNumberFormat="1" applyFont="1" applyFill="1"/>
    <xf numFmtId="0" fontId="17" fillId="0" borderId="0" xfId="0" applyFont="1" applyFill="1"/>
    <xf numFmtId="0" fontId="27" fillId="0" borderId="0" xfId="0" applyFont="1" applyFill="1"/>
    <xf numFmtId="0" fontId="0" fillId="0" borderId="0" xfId="0" applyBorder="1"/>
    <xf numFmtId="0" fontId="4" fillId="0" borderId="0" xfId="0" applyFont="1" applyBorder="1"/>
    <xf numFmtId="1" fontId="29" fillId="0" borderId="0" xfId="0" applyNumberFormat="1" applyFont="1"/>
    <xf numFmtId="1" fontId="30" fillId="0" borderId="0" xfId="0" applyNumberFormat="1" applyFont="1"/>
    <xf numFmtId="0" fontId="30" fillId="0" borderId="0" xfId="0" applyFont="1" applyFill="1"/>
    <xf numFmtId="3" fontId="30" fillId="0" borderId="0" xfId="0" applyNumberFormat="1" applyFont="1" applyFill="1"/>
    <xf numFmtId="17" fontId="31" fillId="0" borderId="0" xfId="0" applyNumberFormat="1" applyFont="1" applyBorder="1"/>
    <xf numFmtId="0" fontId="17" fillId="0" borderId="0" xfId="0" applyFont="1" applyBorder="1"/>
    <xf numFmtId="0" fontId="0" fillId="0" borderId="0" xfId="0" applyFill="1"/>
    <xf numFmtId="0" fontId="31" fillId="0" borderId="0" xfId="0" applyFont="1" applyBorder="1"/>
    <xf numFmtId="17" fontId="0" fillId="0" borderId="0" xfId="0" applyNumberFormat="1" applyBorder="1"/>
    <xf numFmtId="0" fontId="3" fillId="4" borderId="0" xfId="0" applyFont="1" applyFill="1" applyBorder="1"/>
    <xf numFmtId="0" fontId="0" fillId="4" borderId="0" xfId="0" applyFill="1"/>
    <xf numFmtId="0" fontId="4" fillId="4" borderId="0" xfId="0" applyFont="1" applyFill="1"/>
    <xf numFmtId="1" fontId="0" fillId="4" borderId="0" xfId="0" applyNumberFormat="1" applyFill="1"/>
    <xf numFmtId="0" fontId="3" fillId="12" borderId="0" xfId="0" applyFont="1" applyFill="1"/>
    <xf numFmtId="0" fontId="32" fillId="12" borderId="0" xfId="0" applyFont="1" applyFill="1"/>
    <xf numFmtId="1" fontId="32" fillId="12" borderId="0" xfId="0" applyNumberFormat="1" applyFont="1" applyFill="1"/>
    <xf numFmtId="0" fontId="0" fillId="12" borderId="0" xfId="0" applyFill="1"/>
    <xf numFmtId="1" fontId="33" fillId="0" borderId="0" xfId="0" applyNumberFormat="1" applyFont="1" applyBorder="1"/>
    <xf numFmtId="2" fontId="4" fillId="11" borderId="0" xfId="0" applyNumberFormat="1" applyFont="1" applyFill="1" applyAlignment="1">
      <alignment horizontal="center"/>
    </xf>
    <xf numFmtId="0" fontId="4" fillId="0" borderId="8" xfId="0" applyFont="1" applyBorder="1"/>
    <xf numFmtId="0" fontId="4" fillId="0" borderId="6" xfId="0" applyFont="1" applyBorder="1"/>
    <xf numFmtId="0" fontId="4" fillId="0" borderId="7" xfId="0" applyFont="1" applyFill="1" applyBorder="1"/>
    <xf numFmtId="2" fontId="3" fillId="13" borderId="8" xfId="0" applyNumberFormat="1" applyFont="1" applyFill="1" applyBorder="1" applyAlignment="1"/>
    <xf numFmtId="1" fontId="3" fillId="13" borderId="8" xfId="0" applyNumberFormat="1" applyFont="1" applyFill="1" applyBorder="1"/>
    <xf numFmtId="1" fontId="4" fillId="13" borderId="6" xfId="0" applyNumberFormat="1" applyFont="1" applyFill="1" applyBorder="1"/>
    <xf numFmtId="1" fontId="4" fillId="13" borderId="7" xfId="0" applyNumberFormat="1" applyFont="1" applyFill="1" applyBorder="1"/>
    <xf numFmtId="0" fontId="3" fillId="3" borderId="8" xfId="0" applyFont="1" applyFill="1" applyBorder="1"/>
    <xf numFmtId="0" fontId="4" fillId="3" borderId="6" xfId="0" applyFont="1" applyFill="1" applyBorder="1"/>
    <xf numFmtId="0" fontId="4" fillId="3" borderId="7" xfId="0" applyFont="1" applyFill="1" applyBorder="1"/>
    <xf numFmtId="3" fontId="4" fillId="0" borderId="8" xfId="0" applyNumberFormat="1" applyFont="1" applyBorder="1"/>
    <xf numFmtId="3" fontId="4" fillId="0" borderId="6" xfId="0" applyNumberFormat="1" applyFont="1" applyBorder="1"/>
    <xf numFmtId="3" fontId="4" fillId="0" borderId="7" xfId="0" applyNumberFormat="1" applyFont="1" applyBorder="1"/>
    <xf numFmtId="2" fontId="4" fillId="13" borderId="8" xfId="0" applyNumberFormat="1" applyFont="1" applyFill="1" applyBorder="1"/>
    <xf numFmtId="2" fontId="4" fillId="13" borderId="6" xfId="0" applyNumberFormat="1" applyFont="1" applyFill="1" applyBorder="1"/>
    <xf numFmtId="2" fontId="4" fillId="13" borderId="7" xfId="0" applyNumberFormat="1" applyFont="1" applyFill="1" applyBorder="1"/>
    <xf numFmtId="0" fontId="4" fillId="3" borderId="8" xfId="0" applyFont="1" applyFill="1" applyBorder="1"/>
    <xf numFmtId="1" fontId="4" fillId="13" borderId="8" xfId="0" applyNumberFormat="1" applyFont="1" applyFill="1" applyBorder="1"/>
    <xf numFmtId="0" fontId="0" fillId="3" borderId="6" xfId="0" applyFill="1" applyBorder="1"/>
    <xf numFmtId="0" fontId="0" fillId="3" borderId="7" xfId="0" applyFill="1" applyBorder="1"/>
    <xf numFmtId="0" fontId="3" fillId="14" borderId="8" xfId="0" applyFont="1" applyFill="1" applyBorder="1"/>
    <xf numFmtId="0" fontId="32" fillId="14" borderId="6" xfId="0" applyFont="1" applyFill="1" applyBorder="1"/>
    <xf numFmtId="0" fontId="32" fillId="14" borderId="7" xfId="0" applyFont="1" applyFill="1" applyBorder="1"/>
    <xf numFmtId="3" fontId="4" fillId="0" borderId="0" xfId="0" applyNumberFormat="1" applyFont="1" applyFill="1"/>
    <xf numFmtId="4" fontId="4" fillId="0" borderId="0" xfId="0" applyNumberFormat="1" applyFont="1"/>
    <xf numFmtId="2" fontId="27" fillId="0" borderId="0" xfId="0" applyNumberFormat="1" applyFont="1" applyFill="1"/>
    <xf numFmtId="1" fontId="4" fillId="12" borderId="0" xfId="0" applyNumberFormat="1" applyFont="1" applyFill="1"/>
    <xf numFmtId="2" fontId="4" fillId="12" borderId="0" xfId="0" applyNumberFormat="1" applyFont="1" applyFill="1"/>
    <xf numFmtId="166" fontId="4" fillId="12" borderId="0" xfId="0" applyNumberFormat="1" applyFont="1" applyFill="1"/>
    <xf numFmtId="1" fontId="27" fillId="12" borderId="0" xfId="0" applyNumberFormat="1" applyFont="1" applyFill="1"/>
    <xf numFmtId="3" fontId="4" fillId="0" borderId="0" xfId="0" applyNumberFormat="1" applyFont="1" applyAlignment="1">
      <alignment horizontal="center"/>
    </xf>
    <xf numFmtId="166" fontId="0" fillId="0" borderId="0" xfId="0" applyNumberFormat="1"/>
    <xf numFmtId="0" fontId="4" fillId="11" borderId="0" xfId="0" applyFont="1" applyFill="1" applyBorder="1" applyAlignment="1"/>
    <xf numFmtId="1" fontId="4" fillId="11" borderId="0" xfId="0" applyNumberFormat="1" applyFont="1" applyFill="1"/>
    <xf numFmtId="1" fontId="33" fillId="11" borderId="0" xfId="0" applyNumberFormat="1" applyFont="1" applyFill="1" applyBorder="1"/>
    <xf numFmtId="2" fontId="27" fillId="0" borderId="0" xfId="0" applyNumberFormat="1" applyFont="1" applyFill="1" applyBorder="1"/>
    <xf numFmtId="2" fontId="27" fillId="0" borderId="0" xfId="0" applyNumberFormat="1" applyFont="1" applyBorder="1"/>
    <xf numFmtId="2" fontId="27" fillId="12" borderId="0" xfId="0" applyNumberFormat="1" applyFont="1" applyFill="1" applyBorder="1"/>
    <xf numFmtId="2" fontId="27" fillId="12" borderId="0" xfId="0" applyNumberFormat="1" applyFont="1" applyFill="1"/>
    <xf numFmtId="2" fontId="34" fillId="0" borderId="0" xfId="0" applyNumberFormat="1" applyFont="1"/>
    <xf numFmtId="1" fontId="27" fillId="0" borderId="0" xfId="0" applyNumberFormat="1" applyFont="1" applyFill="1"/>
    <xf numFmtId="1" fontId="34" fillId="0" borderId="0" xfId="0" applyNumberFormat="1" applyFont="1" applyBorder="1"/>
    <xf numFmtId="3" fontId="27" fillId="12" borderId="0" xfId="0" applyNumberFormat="1" applyFont="1" applyFill="1"/>
    <xf numFmtId="0" fontId="4" fillId="0" borderId="0" xfId="0" applyFont="1" applyBorder="1" applyAlignment="1">
      <alignment horizontal="center"/>
    </xf>
    <xf numFmtId="166" fontId="4" fillId="8" borderId="2" xfId="0" applyNumberFormat="1" applyFont="1" applyFill="1" applyBorder="1"/>
    <xf numFmtId="3" fontId="4" fillId="8" borderId="2" xfId="0" applyNumberFormat="1" applyFont="1" applyFill="1" applyBorder="1"/>
    <xf numFmtId="166" fontId="6" fillId="8" borderId="2" xfId="0" applyNumberFormat="1" applyFont="1" applyFill="1" applyBorder="1"/>
    <xf numFmtId="166" fontId="33" fillId="0" borderId="0" xfId="0" applyNumberFormat="1" applyFont="1"/>
    <xf numFmtId="1" fontId="0" fillId="0" borderId="0" xfId="0" applyNumberFormat="1" applyAlignment="1">
      <alignment horizontal="right"/>
    </xf>
    <xf numFmtId="1" fontId="17" fillId="0" borderId="0" xfId="0" applyNumberFormat="1" applyFont="1" applyAlignment="1">
      <alignment horizontal="right"/>
    </xf>
    <xf numFmtId="166" fontId="17" fillId="0" borderId="0" xfId="0" applyNumberFormat="1" applyFont="1"/>
    <xf numFmtId="3" fontId="10" fillId="0" borderId="0" xfId="0" applyNumberFormat="1" applyFont="1"/>
    <xf numFmtId="0" fontId="0" fillId="0" borderId="0" xfId="0" applyAlignment="1">
      <alignment horizontal="right"/>
    </xf>
    <xf numFmtId="2" fontId="17" fillId="0" borderId="0" xfId="0" applyNumberFormat="1" applyFont="1"/>
    <xf numFmtId="0" fontId="17" fillId="0" borderId="0" xfId="0" applyFont="1" applyFill="1" applyAlignment="1">
      <alignment horizontal="left"/>
    </xf>
    <xf numFmtId="167" fontId="4" fillId="0" borderId="0" xfId="0" applyNumberFormat="1" applyFont="1"/>
    <xf numFmtId="1" fontId="17" fillId="0" borderId="0" xfId="0" applyNumberFormat="1" applyFont="1" applyBorder="1"/>
    <xf numFmtId="165" fontId="4" fillId="0" borderId="0" xfId="0" applyNumberFormat="1" applyFont="1"/>
    <xf numFmtId="165" fontId="4" fillId="15" borderId="0" xfId="0" applyNumberFormat="1" applyFont="1" applyFill="1"/>
    <xf numFmtId="165" fontId="4" fillId="8" borderId="0" xfId="0" applyNumberFormat="1" applyFont="1" applyFill="1"/>
    <xf numFmtId="1" fontId="27" fillId="0" borderId="0" xfId="0" applyNumberFormat="1" applyFont="1" applyBorder="1" applyAlignment="1">
      <alignment horizontal="right"/>
    </xf>
    <xf numFmtId="165" fontId="4" fillId="0" borderId="0" xfId="0" applyNumberFormat="1" applyFont="1" applyFill="1"/>
    <xf numFmtId="165" fontId="4" fillId="0" borderId="0" xfId="0" applyNumberFormat="1" applyFont="1" applyAlignment="1">
      <alignment horizontal="right"/>
    </xf>
    <xf numFmtId="1" fontId="35" fillId="0" borderId="0" xfId="0" applyNumberFormat="1" applyFont="1"/>
    <xf numFmtId="0" fontId="36" fillId="0" borderId="0" xfId="0" applyFont="1" applyAlignment="1">
      <alignment horizontal="right"/>
    </xf>
    <xf numFmtId="2" fontId="36" fillId="0" borderId="0" xfId="0" applyNumberFormat="1" applyFont="1"/>
    <xf numFmtId="3" fontId="17" fillId="12" borderId="0" xfId="0" applyNumberFormat="1" applyFont="1" applyFill="1"/>
    <xf numFmtId="3" fontId="29" fillId="12" borderId="0" xfId="0" applyNumberFormat="1" applyFont="1" applyFill="1"/>
    <xf numFmtId="3" fontId="29" fillId="0" borderId="0" xfId="0" applyNumberFormat="1" applyFont="1" applyFill="1"/>
    <xf numFmtId="0" fontId="36" fillId="0" borderId="0" xfId="0" applyFont="1"/>
    <xf numFmtId="3" fontId="29" fillId="0" borderId="0" xfId="0" applyNumberFormat="1" applyFont="1"/>
    <xf numFmtId="15" fontId="0" fillId="0" borderId="0" xfId="0" applyNumberFormat="1" applyBorder="1"/>
    <xf numFmtId="0" fontId="37" fillId="0" borderId="0" xfId="0" applyFont="1"/>
    <xf numFmtId="3" fontId="4" fillId="0" borderId="1" xfId="0" applyNumberFormat="1" applyFont="1" applyBorder="1" applyAlignment="1">
      <alignment horizontal="right"/>
    </xf>
    <xf numFmtId="3" fontId="21" fillId="0" borderId="0" xfId="0" applyNumberFormat="1" applyFont="1"/>
    <xf numFmtId="167" fontId="21" fillId="0" borderId="0" xfId="0" applyNumberFormat="1" applyFont="1"/>
    <xf numFmtId="0" fontId="39" fillId="0" borderId="0" xfId="0" applyFont="1"/>
    <xf numFmtId="0" fontId="40" fillId="0" borderId="0" xfId="0" applyFont="1" applyAlignment="1">
      <alignment horizontal="right"/>
    </xf>
    <xf numFmtId="0" fontId="40" fillId="0" borderId="0" xfId="0" applyFont="1"/>
    <xf numFmtId="3" fontId="39" fillId="0" borderId="0" xfId="0" applyNumberFormat="1" applyFont="1"/>
    <xf numFmtId="3" fontId="39" fillId="0" borderId="0" xfId="0" applyNumberFormat="1" applyFont="1" applyAlignment="1">
      <alignment horizontal="right"/>
    </xf>
    <xf numFmtId="0" fontId="42" fillId="0" borderId="0" xfId="0" applyFont="1"/>
    <xf numFmtId="3" fontId="43" fillId="0" borderId="0" xfId="0" applyNumberFormat="1" applyFont="1" applyAlignment="1">
      <alignment horizontal="right"/>
    </xf>
    <xf numFmtId="167" fontId="39" fillId="0" borderId="0" xfId="0" applyNumberFormat="1" applyFont="1"/>
    <xf numFmtId="3" fontId="5" fillId="0" borderId="0" xfId="0" applyNumberFormat="1" applyFont="1" applyAlignment="1"/>
    <xf numFmtId="3" fontId="3" fillId="0" borderId="0" xfId="0" applyNumberFormat="1" applyFont="1" applyAlignment="1"/>
    <xf numFmtId="0" fontId="9"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15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externalLink" Target="externalLinks/externalLink1.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mer%20incs%201774%20fewer%20days%2027apr'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Homes for non-HH earners"/>
      <sheetName val="(2) farm incomes 1774"/>
      <sheetName val="(3) household income summary"/>
    </sheetNames>
    <sheetDataSet>
      <sheetData sheetId="0">
        <row r="16">
          <cell r="G16">
            <v>73.068323586118268</v>
          </cell>
          <cell r="H16">
            <v>418.37451309653005</v>
          </cell>
          <cell r="I16">
            <v>882.38165577173538</v>
          </cell>
        </row>
        <row r="17">
          <cell r="G17">
            <v>405.1970671593831</v>
          </cell>
          <cell r="H17">
            <v>2386.8172746096379</v>
          </cell>
          <cell r="I17">
            <v>930.99772496026071</v>
          </cell>
        </row>
        <row r="18">
          <cell r="G18">
            <v>273</v>
          </cell>
          <cell r="H18">
            <v>1514</v>
          </cell>
          <cell r="I18">
            <v>299</v>
          </cell>
        </row>
        <row r="19">
          <cell r="G19">
            <v>197.82570688946015</v>
          </cell>
          <cell r="H19">
            <v>685.91208771434367</v>
          </cell>
          <cell r="I19">
            <v>216.02648296594066</v>
          </cell>
        </row>
        <row r="20">
          <cell r="G20">
            <v>8.0144387200686378</v>
          </cell>
          <cell r="H20">
            <v>254.68015419186904</v>
          </cell>
          <cell r="I20">
            <v>384.67464745420693</v>
          </cell>
        </row>
        <row r="21">
          <cell r="G21">
            <v>164</v>
          </cell>
          <cell r="H21">
            <v>860</v>
          </cell>
          <cell r="I21">
            <v>138</v>
          </cell>
        </row>
        <row r="22">
          <cell r="G22">
            <v>40.591306041131133</v>
          </cell>
          <cell r="H22">
            <v>235.94180362566135</v>
          </cell>
          <cell r="I22">
            <v>88.064721726642944</v>
          </cell>
        </row>
        <row r="23">
          <cell r="G23">
            <v>104.9526829691517</v>
          </cell>
          <cell r="H23">
            <v>1139.8754213249404</v>
          </cell>
          <cell r="I23">
            <v>563.64255215446599</v>
          </cell>
        </row>
        <row r="24">
          <cell r="G24">
            <v>69.082778663239068</v>
          </cell>
          <cell r="H24">
            <v>230.56324860782343</v>
          </cell>
          <cell r="I24">
            <v>193.24887502438833</v>
          </cell>
        </row>
        <row r="25">
          <cell r="G25">
            <v>700.99480761994664</v>
          </cell>
          <cell r="H25">
            <v>672.59682139033032</v>
          </cell>
        </row>
        <row r="26">
          <cell r="H26">
            <v>986.63250000000005</v>
          </cell>
        </row>
        <row r="30">
          <cell r="H30">
            <v>1352.9526393621529</v>
          </cell>
          <cell r="BN30">
            <v>947.87137507989212</v>
          </cell>
          <cell r="BO30">
            <v>1878.4235524619555</v>
          </cell>
          <cell r="BP30">
            <v>9827.6858739868894</v>
          </cell>
          <cell r="CC30">
            <v>643283.6855640912</v>
          </cell>
          <cell r="CD30">
            <v>1952464.8695809008</v>
          </cell>
          <cell r="CE30">
            <v>12083693.253008431</v>
          </cell>
        </row>
        <row r="31">
          <cell r="H31">
            <v>6350.08945843726</v>
          </cell>
          <cell r="BN31">
            <v>4525.4113761936505</v>
          </cell>
          <cell r="BO31">
            <v>8816.3896147853629</v>
          </cell>
          <cell r="BP31">
            <v>4513.6963882372447</v>
          </cell>
          <cell r="CC31">
            <v>1002385.0021863024</v>
          </cell>
          <cell r="CD31">
            <v>1602184.5599175701</v>
          </cell>
          <cell r="CE31">
            <v>1314014.4520449112</v>
          </cell>
        </row>
        <row r="32">
          <cell r="H32">
            <v>17516</v>
          </cell>
          <cell r="BN32">
            <v>11532.292173655907</v>
          </cell>
          <cell r="BO32">
            <v>24319.008653869379</v>
          </cell>
          <cell r="BP32">
            <v>6940.9564340750603</v>
          </cell>
          <cell r="CC32">
            <v>2198358.8238981441</v>
          </cell>
          <cell r="CD32">
            <v>3616473.1380305099</v>
          </cell>
          <cell r="CE32">
            <v>1362004.4444304202</v>
          </cell>
        </row>
        <row r="33">
          <cell r="H33">
            <v>10381.402867192013</v>
          </cell>
          <cell r="BN33">
            <v>6435.074252197548</v>
          </cell>
          <cell r="BO33">
            <v>14413.417798957922</v>
          </cell>
          <cell r="BP33">
            <v>4254.1032524834773</v>
          </cell>
          <cell r="CC33">
            <v>1413848.9086762578</v>
          </cell>
          <cell r="CD33">
            <v>2830041.4117763424</v>
          </cell>
          <cell r="CE33">
            <v>1018127.7043768847</v>
          </cell>
        </row>
        <row r="35">
          <cell r="H35">
            <v>7141</v>
          </cell>
          <cell r="BN35">
            <v>4523.4726659082571</v>
          </cell>
          <cell r="BO35">
            <v>9914.4805205116027</v>
          </cell>
          <cell r="BP35">
            <v>3308.4409481366288</v>
          </cell>
          <cell r="CC35">
            <v>788163.99504404515</v>
          </cell>
          <cell r="CD35">
            <v>1329717.313634841</v>
          </cell>
          <cell r="CE35">
            <v>479480.77268866473</v>
          </cell>
        </row>
        <row r="36">
          <cell r="H36">
            <v>415.55032600872619</v>
          </cell>
          <cell r="BN36">
            <v>201.631472433412</v>
          </cell>
          <cell r="BO36">
            <v>415.55032600872619</v>
          </cell>
          <cell r="BP36">
            <v>159.4840128206024</v>
          </cell>
          <cell r="CC36">
            <v>9789.2079866421518</v>
          </cell>
          <cell r="CD36">
            <v>20174.968327723658</v>
          </cell>
          <cell r="CE36">
            <v>7742.9488224402457</v>
          </cell>
        </row>
        <row r="37">
          <cell r="H37">
            <v>32433.40982316939</v>
          </cell>
          <cell r="BN37">
            <v>20644.363654471883</v>
          </cell>
          <cell r="BO37">
            <v>32433.40982316939</v>
          </cell>
          <cell r="BP37">
            <v>6921.9195493771931</v>
          </cell>
          <cell r="CC37">
            <v>2298616.8866050737</v>
          </cell>
          <cell r="CD37">
            <v>3387120.844219646</v>
          </cell>
          <cell r="CE37">
            <v>739537.88465545932</v>
          </cell>
        </row>
        <row r="38">
          <cell r="H38">
            <v>2003.1246358252829</v>
          </cell>
          <cell r="BN38">
            <v>755.51977508935306</v>
          </cell>
          <cell r="BO38">
            <v>2003.1246358252829</v>
          </cell>
          <cell r="BP38">
            <v>7721.8719526795594</v>
          </cell>
          <cell r="CC38">
            <v>85240.14731412234</v>
          </cell>
          <cell r="CD38">
            <v>208592.60824285733</v>
          </cell>
          <cell r="CE38">
            <v>825004.79942428414</v>
          </cell>
        </row>
        <row r="39">
          <cell r="H39">
            <v>6948.3876391959402</v>
          </cell>
          <cell r="BN39">
            <v>32911.338985626855</v>
          </cell>
          <cell r="BO39">
            <v>6948.3876391959402</v>
          </cell>
          <cell r="BP39">
            <v>0</v>
          </cell>
          <cell r="CC39">
            <v>1830693.2310754939</v>
          </cell>
          <cell r="CD39">
            <v>361385.64111458085</v>
          </cell>
        </row>
        <row r="40">
          <cell r="BP40">
            <v>10810</v>
          </cell>
          <cell r="CE40">
            <v>1657060.8830040002</v>
          </cell>
        </row>
        <row r="41">
          <cell r="BP41">
            <v>690</v>
          </cell>
          <cell r="CE41">
            <v>105769.84359600002</v>
          </cell>
        </row>
        <row r="42">
          <cell r="H42">
            <v>6316.5595146260684</v>
          </cell>
          <cell r="I42">
            <v>88938.200800044797</v>
          </cell>
          <cell r="CC42">
            <v>131735.03662102873</v>
          </cell>
          <cell r="CD42">
            <v>780811.43399990397</v>
          </cell>
          <cell r="CE42">
            <v>10414917.42283039</v>
          </cell>
        </row>
        <row r="46">
          <cell r="G46">
            <v>129769.72189046962</v>
          </cell>
          <cell r="H46">
            <v>132277.22652599908</v>
          </cell>
          <cell r="I46">
            <v>240221.58228874116</v>
          </cell>
          <cell r="J46">
            <v>502268.53070520982</v>
          </cell>
          <cell r="BN46">
            <v>188229.89984441997</v>
          </cell>
          <cell r="BO46">
            <v>175654.9618189644</v>
          </cell>
          <cell r="BP46">
            <v>436136.40357833437</v>
          </cell>
          <cell r="BQ46">
            <v>800021.26524171873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election activeCell="B6" sqref="B6"/>
    </sheetView>
  </sheetViews>
  <sheetFormatPr baseColWidth="10" defaultRowHeight="15" x14ac:dyDescent="0"/>
  <cols>
    <col min="1" max="16384" width="10.83203125" style="1"/>
  </cols>
  <sheetData>
    <row r="1" spans="1:3" ht="17">
      <c r="A1" s="1" t="s">
        <v>240</v>
      </c>
      <c r="C1" s="19" t="s">
        <v>352</v>
      </c>
    </row>
    <row r="2" spans="1:3">
      <c r="A2" s="1" t="s">
        <v>241</v>
      </c>
      <c r="C2" s="1" t="s">
        <v>239</v>
      </c>
    </row>
    <row r="3" spans="1:3">
      <c r="A3" s="123">
        <v>40561</v>
      </c>
      <c r="C3" s="1" t="s">
        <v>650</v>
      </c>
    </row>
    <row r="4" spans="1:3">
      <c r="A4" s="1" t="s">
        <v>647</v>
      </c>
      <c r="C4" s="1" t="s">
        <v>182</v>
      </c>
    </row>
    <row r="5" spans="1:3">
      <c r="A5" s="1" t="s">
        <v>648</v>
      </c>
      <c r="C5" s="1" t="s">
        <v>651</v>
      </c>
    </row>
    <row r="6" spans="1:3">
      <c r="A6" s="123">
        <v>41759</v>
      </c>
      <c r="C6" s="1" t="s">
        <v>394</v>
      </c>
    </row>
    <row r="7" spans="1:3">
      <c r="C7" s="1" t="s">
        <v>649</v>
      </c>
    </row>
    <row r="9" spans="1:3">
      <c r="A9" s="13" t="s">
        <v>431</v>
      </c>
    </row>
    <row r="10" spans="1:3">
      <c r="A10" s="1" t="s">
        <v>409</v>
      </c>
    </row>
    <row r="11" spans="1:3">
      <c r="B11" s="1" t="s">
        <v>331</v>
      </c>
    </row>
    <row r="12" spans="1:3">
      <c r="B12" s="1" t="s">
        <v>361</v>
      </c>
    </row>
    <row r="13" spans="1:3">
      <c r="B13" s="1" t="s">
        <v>236</v>
      </c>
    </row>
    <row r="14" spans="1:3">
      <c r="A14" s="1" t="s">
        <v>342</v>
      </c>
    </row>
    <row r="16" spans="1:3">
      <c r="A16" s="13" t="s">
        <v>142</v>
      </c>
    </row>
    <row r="18" spans="1:2">
      <c r="A18" s="13" t="s">
        <v>194</v>
      </c>
    </row>
    <row r="19" spans="1:2">
      <c r="A19" s="1" t="s">
        <v>427</v>
      </c>
    </row>
    <row r="20" spans="1:2">
      <c r="A20" s="1" t="s">
        <v>343</v>
      </c>
    </row>
    <row r="21" spans="1:2">
      <c r="A21" s="1" t="s">
        <v>169</v>
      </c>
    </row>
    <row r="22" spans="1:2">
      <c r="A22" s="1" t="s">
        <v>287</v>
      </c>
    </row>
    <row r="24" spans="1:2">
      <c r="A24" s="13" t="s">
        <v>127</v>
      </c>
    </row>
    <row r="25" spans="1:2">
      <c r="B25" s="1" t="s">
        <v>357</v>
      </c>
    </row>
    <row r="26" spans="1:2">
      <c r="B26" s="1" t="s">
        <v>310</v>
      </c>
    </row>
    <row r="27" spans="1:2">
      <c r="A27" s="1" t="s">
        <v>191</v>
      </c>
    </row>
    <row r="28" spans="1:2">
      <c r="B28" s="1" t="s">
        <v>202</v>
      </c>
    </row>
    <row r="29" spans="1:2">
      <c r="B29" s="1" t="s">
        <v>70</v>
      </c>
    </row>
    <row r="30" spans="1:2">
      <c r="A30" s="1" t="s">
        <v>381</v>
      </c>
    </row>
    <row r="31" spans="1:2">
      <c r="B31" s="1" t="s">
        <v>75</v>
      </c>
    </row>
    <row r="32" spans="1:2">
      <c r="B32" s="1" t="s">
        <v>76</v>
      </c>
    </row>
    <row r="33" spans="1:2">
      <c r="A33" s="1" t="s">
        <v>344</v>
      </c>
    </row>
    <row r="34" spans="1:2">
      <c r="B34" s="1" t="s">
        <v>185</v>
      </c>
    </row>
    <row r="35" spans="1:2">
      <c r="B35" s="1" t="s">
        <v>412</v>
      </c>
    </row>
    <row r="36" spans="1:2">
      <c r="B36" s="1" t="s">
        <v>421</v>
      </c>
    </row>
    <row r="37" spans="1:2">
      <c r="A37" s="1" t="s">
        <v>17</v>
      </c>
    </row>
    <row r="38" spans="1:2">
      <c r="B38" s="1" t="s">
        <v>102</v>
      </c>
    </row>
    <row r="39" spans="1:2">
      <c r="B39" s="1" t="s">
        <v>192</v>
      </c>
    </row>
    <row r="40" spans="1:2">
      <c r="B40" s="1" t="s">
        <v>108</v>
      </c>
    </row>
    <row r="41" spans="1:2">
      <c r="B41" s="1" t="s">
        <v>101</v>
      </c>
    </row>
    <row r="42" spans="1:2">
      <c r="B42" s="1" t="s">
        <v>105</v>
      </c>
    </row>
    <row r="43" spans="1:2">
      <c r="A43" s="1" t="s">
        <v>104</v>
      </c>
    </row>
    <row r="44" spans="1:2">
      <c r="B44" s="1" t="s">
        <v>44</v>
      </c>
    </row>
    <row r="45" spans="1:2">
      <c r="B45" s="1" t="s">
        <v>230</v>
      </c>
    </row>
    <row r="46" spans="1:2">
      <c r="B46" s="1" t="s">
        <v>64</v>
      </c>
    </row>
    <row r="47" spans="1:2">
      <c r="B47" s="1" t="s">
        <v>175</v>
      </c>
    </row>
    <row r="48" spans="1:2">
      <c r="B48" s="1" t="s">
        <v>84</v>
      </c>
    </row>
    <row r="49" spans="1:4">
      <c r="A49" s="1" t="s">
        <v>83</v>
      </c>
    </row>
    <row r="50" spans="1:4">
      <c r="B50" s="1" t="s">
        <v>27</v>
      </c>
    </row>
    <row r="51" spans="1:4">
      <c r="B51" s="1" t="s">
        <v>103</v>
      </c>
    </row>
    <row r="52" spans="1:4">
      <c r="A52" s="1" t="s">
        <v>384</v>
      </c>
    </row>
    <row r="54" spans="1:4">
      <c r="A54" s="13" t="s">
        <v>82</v>
      </c>
    </row>
    <row r="55" spans="1:4">
      <c r="A55" s="1" t="s">
        <v>184</v>
      </c>
    </row>
    <row r="56" spans="1:4">
      <c r="B56" s="1" t="s">
        <v>403</v>
      </c>
    </row>
    <row r="57" spans="1:4">
      <c r="B57" s="50" t="s">
        <v>400</v>
      </c>
      <c r="C57" s="4"/>
      <c r="D57" s="14"/>
    </row>
    <row r="58" spans="1:4">
      <c r="B58" s="50" t="s">
        <v>338</v>
      </c>
      <c r="C58" s="4"/>
      <c r="D58" s="14"/>
    </row>
    <row r="59" spans="1:4">
      <c r="A59" s="14"/>
      <c r="C59" s="46" t="s">
        <v>249</v>
      </c>
      <c r="D59" s="46" t="s">
        <v>213</v>
      </c>
    </row>
    <row r="60" spans="1:4">
      <c r="B60" s="45" t="s">
        <v>252</v>
      </c>
      <c r="C60" s="166">
        <v>40.1</v>
      </c>
      <c r="D60" s="165">
        <v>41.4</v>
      </c>
    </row>
    <row r="61" spans="1:4">
      <c r="B61" s="45" t="s">
        <v>250</v>
      </c>
      <c r="C61" s="167">
        <v>47.1</v>
      </c>
      <c r="D61" s="167">
        <v>47.5</v>
      </c>
    </row>
    <row r="62" spans="1:4">
      <c r="B62" s="45" t="s">
        <v>251</v>
      </c>
      <c r="C62" s="168">
        <v>52.3</v>
      </c>
      <c r="D62" s="168">
        <v>52.7</v>
      </c>
    </row>
    <row r="64" spans="1:4">
      <c r="A64" s="13" t="s">
        <v>128</v>
      </c>
    </row>
    <row r="65" spans="1:10">
      <c r="A65" s="1" t="s">
        <v>178</v>
      </c>
    </row>
    <row r="66" spans="1:10">
      <c r="B66" s="1" t="s">
        <v>327</v>
      </c>
    </row>
    <row r="68" spans="1:10">
      <c r="D68" s="1" t="s">
        <v>149</v>
      </c>
    </row>
    <row r="69" spans="1:10">
      <c r="F69" s="1" t="s">
        <v>189</v>
      </c>
      <c r="H69" s="1" t="s">
        <v>189</v>
      </c>
      <c r="J69" s="16" t="s">
        <v>190</v>
      </c>
    </row>
    <row r="70" spans="1:10">
      <c r="D70" s="16" t="s">
        <v>254</v>
      </c>
      <c r="F70" s="1" t="s">
        <v>255</v>
      </c>
      <c r="H70" s="1" t="s">
        <v>256</v>
      </c>
      <c r="J70" s="16" t="s">
        <v>227</v>
      </c>
    </row>
    <row r="71" spans="1:10">
      <c r="C71" s="17" t="s">
        <v>152</v>
      </c>
      <c r="D71" s="17" t="s">
        <v>319</v>
      </c>
      <c r="E71" s="13"/>
      <c r="F71" s="13" t="s">
        <v>355</v>
      </c>
      <c r="G71" s="13"/>
      <c r="H71" s="13" t="s">
        <v>271</v>
      </c>
      <c r="I71" s="13"/>
      <c r="J71" s="17" t="s">
        <v>304</v>
      </c>
    </row>
    <row r="72" spans="1:10">
      <c r="C72" s="16" t="s">
        <v>173</v>
      </c>
      <c r="D72" s="3">
        <v>83.183852482928984</v>
      </c>
      <c r="E72" s="3"/>
      <c r="F72" s="3">
        <v>74.682598954443606</v>
      </c>
      <c r="G72" s="3"/>
      <c r="H72" s="3">
        <v>126.75130694548169</v>
      </c>
      <c r="J72" s="3">
        <v>3.3800771023151599</v>
      </c>
    </row>
    <row r="73" spans="1:10">
      <c r="C73" s="16" t="s">
        <v>296</v>
      </c>
      <c r="D73" s="3">
        <v>61.714970342775892</v>
      </c>
      <c r="E73" s="3"/>
      <c r="F73" s="3">
        <v>55.407801418439718</v>
      </c>
      <c r="G73" s="3"/>
      <c r="H73" s="3">
        <v>94.038120567375913</v>
      </c>
      <c r="J73" s="3">
        <v>2.5077145611702134</v>
      </c>
    </row>
    <row r="74" spans="1:10">
      <c r="C74" s="16" t="s">
        <v>139</v>
      </c>
      <c r="D74" s="3">
        <v>65.7127896605557</v>
      </c>
      <c r="E74" s="3"/>
      <c r="F74" s="3">
        <v>58.997050147492622</v>
      </c>
      <c r="G74" s="3"/>
      <c r="H74" s="3">
        <v>100.12979351032448</v>
      </c>
      <c r="J74" s="3">
        <v>2.6701612035398226</v>
      </c>
    </row>
    <row r="75" spans="1:10">
      <c r="C75" s="16" t="s">
        <v>336</v>
      </c>
      <c r="D75" s="3">
        <v>65.627609282725615</v>
      </c>
      <c r="E75" s="3"/>
      <c r="F75" s="3">
        <v>58.920575064812631</v>
      </c>
      <c r="G75" s="3"/>
      <c r="H75" s="3">
        <v>100</v>
      </c>
      <c r="J75" s="3">
        <v>2.6667000000000001</v>
      </c>
    </row>
    <row r="76" spans="1:10">
      <c r="C76" s="16" t="s">
        <v>215</v>
      </c>
      <c r="D76" s="3">
        <v>66.636660768556339</v>
      </c>
      <c r="E76" s="3"/>
      <c r="F76" s="3">
        <v>59.826503140891411</v>
      </c>
      <c r="G76" s="3"/>
      <c r="H76" s="3">
        <v>101.53754113072091</v>
      </c>
      <c r="J76" s="3">
        <v>2.7077016093329349</v>
      </c>
    </row>
    <row r="77" spans="1:10">
      <c r="C77" s="16" t="s">
        <v>302</v>
      </c>
      <c r="D77" s="3">
        <v>84.973434905890983</v>
      </c>
      <c r="E77" s="3"/>
      <c r="F77" s="3">
        <v>76.289288983826665</v>
      </c>
      <c r="G77" s="3"/>
      <c r="H77" s="3">
        <v>129.47818126335062</v>
      </c>
      <c r="J77" s="3">
        <v>3.4527946597497707</v>
      </c>
    </row>
    <row r="78" spans="1:10">
      <c r="C78" s="16" t="s">
        <v>216</v>
      </c>
      <c r="D78" s="3">
        <v>63.647530556938236</v>
      </c>
      <c r="E78" s="3"/>
      <c r="F78" s="3">
        <v>57.142857142857146</v>
      </c>
      <c r="G78" s="3"/>
      <c r="H78" s="3">
        <v>96.982857142857142</v>
      </c>
      <c r="J78" s="3">
        <v>2.5862418514285714</v>
      </c>
    </row>
    <row r="79" spans="1:10">
      <c r="C79" s="16" t="s">
        <v>217</v>
      </c>
      <c r="D79" s="3">
        <v>15.334009536969894</v>
      </c>
      <c r="E79" s="3"/>
      <c r="F79" s="3">
        <v>13.766898868360913</v>
      </c>
      <c r="G79" s="3"/>
      <c r="H79" s="3">
        <v>23.365180759382145</v>
      </c>
      <c r="J79" s="3">
        <v>0.62307927531044371</v>
      </c>
    </row>
    <row r="80" spans="1:10" ht="16" thickBot="1"/>
    <row r="81" spans="1:10" ht="16" thickBot="1">
      <c r="C81" s="16" t="s">
        <v>126</v>
      </c>
      <c r="D81" s="3">
        <v>111.38317847464192</v>
      </c>
      <c r="J81" s="18">
        <v>4.4400000000000004</v>
      </c>
    </row>
    <row r="83" spans="1:10">
      <c r="A83" s="1" t="s">
        <v>243</v>
      </c>
    </row>
    <row r="84" spans="1:10">
      <c r="B84" s="1" t="s">
        <v>297</v>
      </c>
    </row>
    <row r="85" spans="1:10">
      <c r="B85" s="1" t="s">
        <v>395</v>
      </c>
    </row>
    <row r="86" spans="1:10">
      <c r="B86" s="1" t="s">
        <v>396</v>
      </c>
    </row>
    <row r="88" spans="1:10">
      <c r="A88" s="1" t="s">
        <v>238</v>
      </c>
    </row>
    <row r="89" spans="1:10">
      <c r="B89" s="1" t="s">
        <v>87</v>
      </c>
    </row>
    <row r="90" spans="1:10">
      <c r="B90" s="1" t="s">
        <v>245</v>
      </c>
    </row>
  </sheetData>
  <phoneticPr fontId="2" type="noConversion"/>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workbookViewId="0"/>
  </sheetViews>
  <sheetFormatPr baseColWidth="10" defaultRowHeight="15" x14ac:dyDescent="0"/>
  <cols>
    <col min="1" max="5" width="10.83203125" style="1"/>
    <col min="6" max="9" width="10.83203125" style="2"/>
    <col min="10" max="10" width="4.1640625" style="1" customWidth="1"/>
    <col min="11" max="14" width="10.83203125" style="3"/>
    <col min="15" max="15" width="4.1640625" style="1" customWidth="1"/>
    <col min="16" max="19" width="10.83203125" style="2"/>
    <col min="20" max="20" width="6.83203125" style="1" customWidth="1"/>
    <col min="21" max="22" width="10.83203125" style="3"/>
    <col min="23" max="23" width="8.1640625" style="3" customWidth="1"/>
    <col min="24" max="24" width="10.83203125" style="3"/>
    <col min="25" max="25" width="3.83203125" style="3" customWidth="1"/>
    <col min="26" max="16384" width="10.83203125" style="1"/>
  </cols>
  <sheetData>
    <row r="1" spans="1:26" ht="17">
      <c r="B1" s="51" t="s">
        <v>106</v>
      </c>
    </row>
    <row r="2" spans="1:26" ht="17">
      <c r="B2" s="51" t="s">
        <v>150</v>
      </c>
    </row>
    <row r="4" spans="1:26">
      <c r="A4" s="1" t="s">
        <v>29</v>
      </c>
    </row>
    <row r="5" spans="1:26">
      <c r="B5" s="1" t="s">
        <v>232</v>
      </c>
    </row>
    <row r="6" spans="1:26">
      <c r="B6" s="1" t="s">
        <v>374</v>
      </c>
    </row>
    <row r="7" spans="1:26">
      <c r="B7" s="1" t="s">
        <v>367</v>
      </c>
    </row>
    <row r="8" spans="1:26">
      <c r="B8" s="1" t="s">
        <v>345</v>
      </c>
    </row>
    <row r="9" spans="1:26">
      <c r="B9" s="1" t="s">
        <v>322</v>
      </c>
    </row>
    <row r="10" spans="1:26">
      <c r="A10" s="1" t="s">
        <v>35</v>
      </c>
    </row>
    <row r="11" spans="1:26">
      <c r="B11" s="1" t="s">
        <v>118</v>
      </c>
      <c r="F11" s="1"/>
      <c r="J11" s="2"/>
      <c r="K11" s="1"/>
      <c r="O11" s="3"/>
      <c r="P11" s="1"/>
      <c r="T11" s="2"/>
      <c r="U11" s="1"/>
      <c r="Z11" s="3"/>
    </row>
    <row r="12" spans="1:26">
      <c r="B12" s="1" t="s">
        <v>119</v>
      </c>
      <c r="F12" s="1"/>
      <c r="J12" s="2"/>
      <c r="K12" s="1"/>
      <c r="O12" s="3"/>
      <c r="P12" s="1"/>
      <c r="T12" s="2"/>
      <c r="U12" s="1"/>
      <c r="Z12" s="3"/>
    </row>
    <row r="13" spans="1:26">
      <c r="B13" s="1" t="s">
        <v>81</v>
      </c>
      <c r="F13" s="1"/>
      <c r="J13" s="2"/>
      <c r="K13" s="1"/>
      <c r="O13" s="3"/>
      <c r="P13" s="1"/>
      <c r="T13" s="2"/>
      <c r="U13" s="1"/>
      <c r="Z13" s="3"/>
    </row>
    <row r="14" spans="1:26">
      <c r="B14" s="1" t="s">
        <v>28</v>
      </c>
      <c r="F14" s="1"/>
      <c r="J14" s="2"/>
      <c r="K14" s="1"/>
      <c r="O14" s="3"/>
      <c r="P14" s="1"/>
      <c r="T14" s="2"/>
      <c r="U14" s="1"/>
      <c r="Z14" s="3"/>
    </row>
    <row r="15" spans="1:26">
      <c r="B15" s="1" t="s">
        <v>37</v>
      </c>
      <c r="F15" s="1"/>
      <c r="J15" s="2"/>
      <c r="K15" s="1"/>
      <c r="O15" s="3"/>
      <c r="P15" s="1"/>
      <c r="T15" s="2"/>
      <c r="U15" s="1"/>
      <c r="Z15" s="3"/>
    </row>
    <row r="16" spans="1:26">
      <c r="B16" s="1" t="s">
        <v>7</v>
      </c>
      <c r="F16" s="1"/>
      <c r="J16" s="2"/>
      <c r="K16" s="1"/>
      <c r="O16" s="3"/>
      <c r="P16" s="1"/>
      <c r="T16" s="2"/>
      <c r="U16" s="1"/>
      <c r="Z16" s="3"/>
    </row>
    <row r="17" spans="1:26">
      <c r="B17" s="1" t="s">
        <v>19</v>
      </c>
      <c r="F17" s="1"/>
      <c r="J17" s="2"/>
      <c r="K17" s="1"/>
      <c r="O17" s="3"/>
      <c r="P17" s="1"/>
      <c r="T17" s="2"/>
      <c r="U17" s="1"/>
      <c r="Z17" s="3"/>
    </row>
    <row r="18" spans="1:26">
      <c r="A18" s="1" t="s">
        <v>132</v>
      </c>
    </row>
    <row r="20" spans="1:26">
      <c r="A20" s="10" t="s">
        <v>26</v>
      </c>
    </row>
    <row r="21" spans="1:26">
      <c r="A21" s="1" t="s">
        <v>110</v>
      </c>
    </row>
    <row r="22" spans="1:26">
      <c r="A22" s="1" t="s">
        <v>111</v>
      </c>
    </row>
    <row r="23" spans="1:26">
      <c r="B23" s="1" t="s">
        <v>3</v>
      </c>
    </row>
    <row r="24" spans="1:26">
      <c r="B24" s="1" t="s">
        <v>151</v>
      </c>
    </row>
    <row r="25" spans="1:26">
      <c r="B25" s="1" t="s">
        <v>73</v>
      </c>
    </row>
    <row r="27" spans="1:26">
      <c r="A27" s="1" t="s">
        <v>74</v>
      </c>
    </row>
    <row r="28" spans="1:26">
      <c r="B28" s="1" t="s">
        <v>203</v>
      </c>
    </row>
    <row r="30" spans="1:26">
      <c r="A30" s="1" t="s">
        <v>96</v>
      </c>
    </row>
    <row r="31" spans="1:26">
      <c r="A31" s="1" t="s">
        <v>45</v>
      </c>
    </row>
    <row r="32" spans="1:26">
      <c r="A32" s="1" t="s">
        <v>63</v>
      </c>
    </row>
    <row r="33" spans="1:26">
      <c r="A33" s="16" t="s">
        <v>68</v>
      </c>
      <c r="B33" s="13" t="s">
        <v>99</v>
      </c>
      <c r="D33" s="13"/>
    </row>
    <row r="34" spans="1:26">
      <c r="C34" s="1" t="s">
        <v>97</v>
      </c>
    </row>
    <row r="36" spans="1:26">
      <c r="A36" s="10" t="s">
        <v>49</v>
      </c>
    </row>
    <row r="37" spans="1:26">
      <c r="A37" s="1" t="s">
        <v>25</v>
      </c>
    </row>
    <row r="38" spans="1:26">
      <c r="B38" s="1" t="s">
        <v>313</v>
      </c>
    </row>
    <row r="39" spans="1:26">
      <c r="B39" s="1" t="s">
        <v>328</v>
      </c>
    </row>
    <row r="40" spans="1:26">
      <c r="B40" s="1" t="s">
        <v>414</v>
      </c>
    </row>
    <row r="42" spans="1:26">
      <c r="A42" s="1" t="s">
        <v>359</v>
      </c>
    </row>
    <row r="44" spans="1:26" ht="16" thickBot="1">
      <c r="U44" s="3" t="s">
        <v>67</v>
      </c>
    </row>
    <row r="45" spans="1:26" ht="16" thickBot="1">
      <c r="F45" s="39" t="s">
        <v>246</v>
      </c>
      <c r="G45" s="27"/>
      <c r="H45" s="27"/>
      <c r="I45" s="28"/>
      <c r="K45" s="133" t="s">
        <v>46</v>
      </c>
      <c r="L45" s="35"/>
      <c r="M45" s="35"/>
      <c r="N45" s="36"/>
      <c r="P45" s="39" t="s">
        <v>47</v>
      </c>
      <c r="Q45" s="27"/>
      <c r="R45" s="27"/>
      <c r="S45" s="28"/>
      <c r="U45" s="143" t="s">
        <v>48</v>
      </c>
      <c r="V45" s="35"/>
      <c r="W45" s="35"/>
      <c r="X45" s="36"/>
      <c r="Y45" s="151"/>
    </row>
    <row r="46" spans="1:26">
      <c r="F46" s="29" t="s">
        <v>140</v>
      </c>
      <c r="G46" s="29" t="s">
        <v>141</v>
      </c>
      <c r="H46" s="29"/>
      <c r="I46" s="29" t="s">
        <v>205</v>
      </c>
      <c r="K46" s="37" t="s">
        <v>140</v>
      </c>
      <c r="L46" s="37" t="s">
        <v>141</v>
      </c>
      <c r="M46" s="37"/>
      <c r="N46" s="37" t="s">
        <v>205</v>
      </c>
      <c r="P46" s="29" t="s">
        <v>140</v>
      </c>
      <c r="Q46" s="29" t="s">
        <v>141</v>
      </c>
      <c r="R46" s="29"/>
      <c r="S46" s="29" t="s">
        <v>205</v>
      </c>
      <c r="U46" s="37" t="s">
        <v>140</v>
      </c>
      <c r="V46" s="37" t="s">
        <v>141</v>
      </c>
      <c r="W46" s="37"/>
      <c r="X46" s="37" t="s">
        <v>205</v>
      </c>
      <c r="Y46" s="37"/>
      <c r="Z46" s="1" t="s">
        <v>38</v>
      </c>
    </row>
    <row r="47" spans="1:26">
      <c r="F47" s="29" t="s">
        <v>168</v>
      </c>
      <c r="G47" s="29" t="s">
        <v>121</v>
      </c>
      <c r="H47" s="29" t="s">
        <v>122</v>
      </c>
      <c r="I47" s="29" t="s">
        <v>121</v>
      </c>
      <c r="K47" s="37" t="s">
        <v>168</v>
      </c>
      <c r="L47" s="37" t="s">
        <v>121</v>
      </c>
      <c r="M47" s="37" t="s">
        <v>122</v>
      </c>
      <c r="N47" s="37" t="s">
        <v>121</v>
      </c>
      <c r="P47" s="29" t="s">
        <v>168</v>
      </c>
      <c r="Q47" s="29" t="s">
        <v>121</v>
      </c>
      <c r="R47" s="29" t="s">
        <v>122</v>
      </c>
      <c r="S47" s="29" t="s">
        <v>121</v>
      </c>
      <c r="U47" s="150" t="s">
        <v>4</v>
      </c>
      <c r="V47" s="150" t="s">
        <v>5</v>
      </c>
      <c r="W47" s="150" t="s">
        <v>6</v>
      </c>
      <c r="X47" s="150" t="s">
        <v>5</v>
      </c>
      <c r="Y47" s="150"/>
      <c r="Z47" s="13" t="s">
        <v>77</v>
      </c>
    </row>
    <row r="49" spans="1:26">
      <c r="A49" s="134" t="s">
        <v>107</v>
      </c>
      <c r="B49" s="1" t="s">
        <v>69</v>
      </c>
      <c r="C49" s="1" t="s">
        <v>148</v>
      </c>
      <c r="F49" s="2">
        <v>73.068323586118268</v>
      </c>
      <c r="G49" s="2">
        <v>418.37451309653005</v>
      </c>
      <c r="H49" s="2">
        <v>882.38165577173538</v>
      </c>
      <c r="I49" s="2">
        <v>1373.8244924543837</v>
      </c>
      <c r="K49" s="3">
        <v>2116.8633333333332</v>
      </c>
      <c r="L49" s="3">
        <v>1966.2857142857142</v>
      </c>
      <c r="M49" s="3">
        <v>3080.25</v>
      </c>
      <c r="N49" s="3">
        <v>2689.7726739022469</v>
      </c>
      <c r="P49" s="2">
        <v>154675.65502758892</v>
      </c>
      <c r="Q49" s="2">
        <v>822643.82832294854</v>
      </c>
      <c r="R49" s="2">
        <v>2717956.0951908878</v>
      </c>
      <c r="S49" s="2">
        <f>SUM(P49:R49)</f>
        <v>3695275.5785414251</v>
      </c>
      <c r="U49" s="3">
        <v>315.83649442829267</v>
      </c>
      <c r="V49" s="3">
        <v>310.2396773121431</v>
      </c>
      <c r="W49" s="3">
        <v>2523.9979975472734</v>
      </c>
    </row>
    <row r="50" spans="1:26">
      <c r="A50" s="135" t="s">
        <v>66</v>
      </c>
      <c r="B50" s="1" t="s">
        <v>92</v>
      </c>
      <c r="C50" s="1" t="s">
        <v>93</v>
      </c>
      <c r="F50" s="2">
        <v>667.41576279998208</v>
      </c>
      <c r="G50" s="2">
        <v>3080.2713886087968</v>
      </c>
      <c r="H50" s="2">
        <v>1178.1666052207909</v>
      </c>
      <c r="I50" s="2">
        <v>4925.8537566295699</v>
      </c>
      <c r="J50" s="152"/>
      <c r="K50" s="153">
        <f>K51+((K49-K51)*(U50-U51)/(U49-U51))</f>
        <v>229.96091895105462</v>
      </c>
      <c r="L50" s="155">
        <f>L51+((L49-L51)*(V50-V51)/(V49-V51))</f>
        <v>914.50019809548371</v>
      </c>
      <c r="M50" s="154">
        <v>325.24250368319986</v>
      </c>
      <c r="N50" s="3">
        <f>S50/I50</f>
        <v>680.81156269224527</v>
      </c>
      <c r="P50" s="2">
        <f>F50*K50</f>
        <v>153479.54213590297</v>
      </c>
      <c r="Q50" s="2">
        <f>G50*L50</f>
        <v>2816908.7950705951</v>
      </c>
      <c r="R50" s="2">
        <f>H50*M50</f>
        <v>383189.85643794615</v>
      </c>
      <c r="S50" s="2">
        <f>SUM(P50:R50)</f>
        <v>3353578.1936444445</v>
      </c>
      <c r="U50" s="144">
        <v>51.415931963589024</v>
      </c>
      <c r="V50" s="144">
        <v>206.52926226447693</v>
      </c>
      <c r="W50" s="146">
        <v>77.529597062715425</v>
      </c>
      <c r="Z50" s="1" t="s">
        <v>80</v>
      </c>
    </row>
    <row r="51" spans="1:26">
      <c r="A51" s="136"/>
      <c r="B51" s="1" t="s">
        <v>94</v>
      </c>
      <c r="C51" s="1" t="s">
        <v>58</v>
      </c>
      <c r="F51" s="2">
        <v>775.8023188137779</v>
      </c>
      <c r="G51" s="2">
        <v>2820.9063430519577</v>
      </c>
      <c r="H51" s="2">
        <v>651.75992031633189</v>
      </c>
      <c r="I51" s="2">
        <v>4248.0553403504364</v>
      </c>
      <c r="K51" s="3">
        <v>202.73675159235674</v>
      </c>
      <c r="L51" s="3">
        <v>241.84432174927696</v>
      </c>
      <c r="M51" s="3">
        <v>325.24250368319986</v>
      </c>
      <c r="N51" s="3">
        <v>247.52122260372042</v>
      </c>
      <c r="P51" s="2">
        <v>157283.64199412323</v>
      </c>
      <c r="Q51" s="2">
        <v>682220.18125363393</v>
      </c>
      <c r="R51" s="2">
        <v>211980.02828404662</v>
      </c>
      <c r="S51" s="2">
        <f>SUM(P51:R51)</f>
        <v>1051483.8515318038</v>
      </c>
      <c r="U51" s="3">
        <v>47.600880591164575</v>
      </c>
      <c r="V51" s="3">
        <v>140.20260245953304</v>
      </c>
      <c r="W51" s="3">
        <v>233.50642595360472</v>
      </c>
    </row>
    <row r="52" spans="1:26">
      <c r="U52" s="3">
        <f>(U50/U51)/(U49/U51)</f>
        <v>0.16279287818419749</v>
      </c>
      <c r="V52" s="3">
        <f>(V50/V51)/(V49/V51)</f>
        <v>0.66570873220926075</v>
      </c>
    </row>
    <row r="53" spans="1:26">
      <c r="A53" s="137" t="s">
        <v>406</v>
      </c>
      <c r="B53" s="1" t="s">
        <v>69</v>
      </c>
      <c r="C53" s="1" t="s">
        <v>148</v>
      </c>
      <c r="F53" s="2">
        <v>117.91392216585365</v>
      </c>
      <c r="G53" s="2">
        <v>29.834942367723077</v>
      </c>
      <c r="I53" s="2">
        <v>147.74886453357672</v>
      </c>
      <c r="K53" s="3">
        <v>1091.9150827423168</v>
      </c>
      <c r="L53" s="3">
        <v>1381.1571428571426</v>
      </c>
      <c r="N53" s="3">
        <v>1204.5617328051565</v>
      </c>
      <c r="P53" s="2">
        <v>121177.34024424347</v>
      </c>
      <c r="Q53" s="2">
        <v>56795.288038316037</v>
      </c>
      <c r="S53" s="2">
        <f>SUM(P53:R53)</f>
        <v>177972.62828255951</v>
      </c>
      <c r="U53" s="3">
        <v>178.28690125643075</v>
      </c>
      <c r="V53" s="3">
        <v>110.54445259309325</v>
      </c>
    </row>
    <row r="54" spans="1:26">
      <c r="A54" s="138"/>
      <c r="B54" s="1" t="s">
        <v>92</v>
      </c>
      <c r="C54" s="1" t="s">
        <v>93</v>
      </c>
      <c r="F54" s="2">
        <v>1154.5334611142407</v>
      </c>
      <c r="G54" s="2">
        <v>783.66680684217613</v>
      </c>
      <c r="I54" s="2">
        <v>1938.2002679564166</v>
      </c>
      <c r="K54" s="153">
        <f>K55+((K53-K55)*(U54-U55)/(U53-U55))</f>
        <v>352.29504917330212</v>
      </c>
      <c r="L54" s="154">
        <v>182.46282726568552</v>
      </c>
      <c r="N54" s="3">
        <f>S54/I54</f>
        <v>283.62728700155196</v>
      </c>
      <c r="P54" s="2">
        <f>F54*K54</f>
        <v>406736.42245546414</v>
      </c>
      <c r="Q54" s="2">
        <f>G54*L54</f>
        <v>142990.06121069533</v>
      </c>
      <c r="S54" s="2">
        <f>SUM(P54:R54)</f>
        <v>549726.48366615945</v>
      </c>
      <c r="U54" s="144">
        <v>89.692964982699763</v>
      </c>
      <c r="V54" s="147"/>
      <c r="Z54" s="1" t="s">
        <v>79</v>
      </c>
    </row>
    <row r="55" spans="1:26">
      <c r="A55" s="139"/>
      <c r="B55" s="1" t="s">
        <v>94</v>
      </c>
      <c r="C55" s="1" t="s">
        <v>58</v>
      </c>
      <c r="F55" s="2">
        <v>2157.7516722846053</v>
      </c>
      <c r="G55" s="2">
        <v>1708.9985489076748</v>
      </c>
      <c r="I55" s="2">
        <v>3867.1457648591004</v>
      </c>
      <c r="K55" s="3">
        <v>191.76522900763359</v>
      </c>
      <c r="L55" s="3">
        <v>182.46282726568552</v>
      </c>
      <c r="N55" s="3">
        <v>187.63462634317008</v>
      </c>
      <c r="P55" s="2">
        <v>413781.74357726169</v>
      </c>
      <c r="Q55" s="2">
        <v>311828.70702664828</v>
      </c>
      <c r="S55" s="2">
        <f>SUM(P55:R55)</f>
        <v>725610.45060391002</v>
      </c>
      <c r="U55" s="3">
        <v>70.464215067472281</v>
      </c>
      <c r="V55" s="3">
        <v>45.655571381006993</v>
      </c>
      <c r="Z55" s="1" t="s">
        <v>174</v>
      </c>
    </row>
    <row r="57" spans="1:26">
      <c r="A57" s="140" t="s">
        <v>59</v>
      </c>
      <c r="B57" s="1" t="s">
        <v>69</v>
      </c>
      <c r="C57" s="1" t="s">
        <v>148</v>
      </c>
      <c r="F57" s="2">
        <v>418.31189989123919</v>
      </c>
      <c r="G57" s="2">
        <v>1323.1176969944299</v>
      </c>
      <c r="H57" s="2">
        <v>6823.2121432489412</v>
      </c>
      <c r="I57" s="2">
        <v>8564.6417401346098</v>
      </c>
      <c r="K57" s="3">
        <v>119.1</v>
      </c>
      <c r="L57" s="3">
        <v>119.1</v>
      </c>
      <c r="M57" s="3">
        <v>2063.2041025641029</v>
      </c>
      <c r="N57" s="3">
        <v>1667.9137300821862</v>
      </c>
      <c r="P57" s="2">
        <v>49820.947277046587</v>
      </c>
      <c r="Q57" s="2">
        <v>157583.3177120366</v>
      </c>
      <c r="R57" s="2">
        <v>14077679.28661642</v>
      </c>
      <c r="S57" s="2">
        <f>SUM(P57:R57)</f>
        <v>14285083.551605504</v>
      </c>
      <c r="U57" s="3">
        <v>11.010172472666678</v>
      </c>
      <c r="V57" s="3">
        <v>214.87650604492509</v>
      </c>
      <c r="W57" s="3">
        <v>823.66126575625253</v>
      </c>
    </row>
    <row r="58" spans="1:26">
      <c r="A58" s="141"/>
      <c r="B58" s="1" t="s">
        <v>92</v>
      </c>
      <c r="C58" s="1" t="s">
        <v>93</v>
      </c>
      <c r="F58" s="2">
        <v>3062.3009381742895</v>
      </c>
      <c r="G58" s="2">
        <v>7369.6877711889138</v>
      </c>
      <c r="H58" s="2">
        <v>3965.7747181733102</v>
      </c>
      <c r="I58" s="2">
        <v>14397.763427536514</v>
      </c>
      <c r="K58" s="153">
        <v>202.17551728032527</v>
      </c>
      <c r="L58" s="155">
        <v>191.19105792375166</v>
      </c>
      <c r="M58" s="154">
        <f>M59+((M57-M59)*(W58-W59)/(W57-W59))</f>
        <v>325.40297097411241</v>
      </c>
      <c r="N58" s="3">
        <f>S58/I58</f>
        <v>230.49521337080316</v>
      </c>
      <c r="P58" s="2">
        <f>F58*K58</f>
        <v>619122.2762434124</v>
      </c>
      <c r="Q58" s="2">
        <f>G58*L58</f>
        <v>1409018.4015413439</v>
      </c>
      <c r="R58" s="2">
        <f>H58*M58</f>
        <v>1290474.8755076185</v>
      </c>
      <c r="S58" s="2">
        <f>SUM(P58:R58)</f>
        <v>3318615.5532923751</v>
      </c>
      <c r="U58" s="145">
        <v>149.97140896662401</v>
      </c>
      <c r="V58" s="146">
        <v>215.60234494248704</v>
      </c>
      <c r="W58" s="144">
        <v>88.589994427229385</v>
      </c>
      <c r="Z58" s="1" t="s">
        <v>410</v>
      </c>
    </row>
    <row r="59" spans="1:26">
      <c r="A59" s="142"/>
      <c r="B59" s="1" t="s">
        <v>94</v>
      </c>
      <c r="C59" s="1" t="s">
        <v>58</v>
      </c>
      <c r="F59" s="2">
        <v>14583.76588275412</v>
      </c>
      <c r="G59" s="2">
        <v>34095.489726769301</v>
      </c>
      <c r="H59" s="2">
        <v>9836.081307793429</v>
      </c>
      <c r="I59" s="2">
        <v>58516.180394962183</v>
      </c>
      <c r="K59" s="3">
        <v>202.17551728032527</v>
      </c>
      <c r="L59" s="3">
        <v>191.19105792375166</v>
      </c>
      <c r="M59" s="3">
        <v>228.75901718823866</v>
      </c>
      <c r="N59" s="3">
        <v>200.24077744646516</v>
      </c>
      <c r="P59" s="2">
        <v>2948480.4112409735</v>
      </c>
      <c r="Q59" s="2">
        <v>6518752.7512894291</v>
      </c>
      <c r="R59" s="2">
        <v>2250092.29295443</v>
      </c>
      <c r="S59" s="2">
        <f>SUM(P59:R59)</f>
        <v>11717325.455484834</v>
      </c>
      <c r="U59" s="3">
        <v>41.972328574485715</v>
      </c>
      <c r="V59" s="3">
        <v>68.778240593479026</v>
      </c>
      <c r="W59" s="3">
        <v>47.710636781370447</v>
      </c>
      <c r="Z59" s="1" t="s">
        <v>360</v>
      </c>
    </row>
    <row r="61" spans="1:26" ht="16" thickBot="1">
      <c r="A61" s="160" t="s">
        <v>405</v>
      </c>
      <c r="T61" s="10" t="s">
        <v>10</v>
      </c>
    </row>
    <row r="62" spans="1:26" ht="16" thickBot="1">
      <c r="A62" s="161" t="s">
        <v>407</v>
      </c>
      <c r="B62" s="1" t="s">
        <v>92</v>
      </c>
      <c r="C62" s="1" t="s">
        <v>93</v>
      </c>
      <c r="F62" s="2">
        <f>F54+F58</f>
        <v>4216.8343992885302</v>
      </c>
      <c r="G62" s="2">
        <f>G54+G58</f>
        <v>8153.3545780310897</v>
      </c>
      <c r="H62" s="2">
        <f>H54+H58</f>
        <v>3965.7747181733102</v>
      </c>
      <c r="I62" s="2">
        <f>I54+I58</f>
        <v>16335.96369549293</v>
      </c>
      <c r="K62" s="143">
        <f>((F54*K54)+(F58*K58))/F62</f>
        <v>243.27697072286281</v>
      </c>
      <c r="L62" s="35">
        <f>((G54*L54)+(G58*L58))/G62</f>
        <v>190.35213639964442</v>
      </c>
      <c r="M62" s="36">
        <f>((H54*M54)+(H58*M58))/H62</f>
        <v>325.40297097411241</v>
      </c>
      <c r="T62" s="3" t="s">
        <v>39</v>
      </c>
    </row>
    <row r="63" spans="1:26">
      <c r="A63" s="162" t="s">
        <v>408</v>
      </c>
      <c r="U63" s="150" t="s">
        <v>289</v>
      </c>
      <c r="V63" s="150" t="s">
        <v>9</v>
      </c>
      <c r="W63" s="150" t="s">
        <v>129</v>
      </c>
    </row>
    <row r="64" spans="1:26">
      <c r="B64" s="1" t="s">
        <v>411</v>
      </c>
      <c r="T64" s="16" t="s">
        <v>376</v>
      </c>
      <c r="U64" s="37" t="s">
        <v>363</v>
      </c>
      <c r="V64" s="37" t="s">
        <v>380</v>
      </c>
      <c r="W64" s="149" t="s">
        <v>363</v>
      </c>
    </row>
    <row r="65" spans="20:26">
      <c r="T65" s="16" t="s">
        <v>366</v>
      </c>
      <c r="U65" s="149" t="s">
        <v>133</v>
      </c>
      <c r="V65" s="37"/>
      <c r="W65" s="37"/>
    </row>
    <row r="66" spans="20:26">
      <c r="T66" s="16" t="s">
        <v>183</v>
      </c>
      <c r="U66" s="37" t="s">
        <v>23</v>
      </c>
      <c r="V66" s="37" t="s">
        <v>380</v>
      </c>
      <c r="W66" s="37" t="s">
        <v>20</v>
      </c>
    </row>
    <row r="67" spans="20:26">
      <c r="U67" s="37"/>
      <c r="V67" s="37"/>
      <c r="W67" s="37"/>
    </row>
    <row r="68" spans="20:26">
      <c r="T68" s="148" t="s">
        <v>40</v>
      </c>
      <c r="V68" s="37"/>
      <c r="W68" s="37"/>
    </row>
    <row r="69" spans="20:26">
      <c r="T69" s="16" t="s">
        <v>376</v>
      </c>
      <c r="U69" s="37" t="s">
        <v>379</v>
      </c>
      <c r="V69" s="37" t="s">
        <v>382</v>
      </c>
      <c r="W69" s="149" t="s">
        <v>363</v>
      </c>
      <c r="Z69" s="3" t="s">
        <v>8</v>
      </c>
    </row>
    <row r="70" spans="20:26">
      <c r="T70" s="16" t="s">
        <v>402</v>
      </c>
      <c r="U70" s="37" t="s">
        <v>364</v>
      </c>
      <c r="V70" s="37"/>
      <c r="W70" s="37"/>
    </row>
    <row r="71" spans="20:26">
      <c r="T71" s="16" t="s">
        <v>183</v>
      </c>
      <c r="U71" s="149" t="s">
        <v>363</v>
      </c>
      <c r="V71" s="37" t="s">
        <v>375</v>
      </c>
      <c r="W71" s="37" t="s">
        <v>380</v>
      </c>
      <c r="Z71" s="1" t="s">
        <v>85</v>
      </c>
    </row>
    <row r="72" spans="20:26">
      <c r="U72" s="37"/>
      <c r="V72" s="37"/>
      <c r="W72" s="37"/>
    </row>
    <row r="73" spans="20:26">
      <c r="T73" s="148" t="s">
        <v>18</v>
      </c>
      <c r="V73" s="37"/>
      <c r="W73" s="37"/>
    </row>
    <row r="74" spans="20:26">
      <c r="T74" s="16" t="s">
        <v>376</v>
      </c>
      <c r="U74" s="37" t="s">
        <v>180</v>
      </c>
      <c r="V74" s="37" t="s">
        <v>42</v>
      </c>
      <c r="W74" s="149" t="s">
        <v>22</v>
      </c>
    </row>
    <row r="75" spans="20:26">
      <c r="T75" s="16" t="s">
        <v>402</v>
      </c>
      <c r="U75" s="37" t="s">
        <v>41</v>
      </c>
      <c r="V75" s="37"/>
      <c r="W75" s="37"/>
    </row>
    <row r="76" spans="20:26">
      <c r="T76" s="16" t="s">
        <v>183</v>
      </c>
      <c r="U76" s="37" t="s">
        <v>179</v>
      </c>
      <c r="V76" s="37" t="s">
        <v>43</v>
      </c>
      <c r="W76" s="37" t="s">
        <v>21</v>
      </c>
    </row>
  </sheetData>
  <phoneticPr fontId="2" type="noConversion"/>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topLeftCell="I47" workbookViewId="0">
      <selection activeCell="Q71" sqref="Q71"/>
    </sheetView>
  </sheetViews>
  <sheetFormatPr baseColWidth="10" defaultRowHeight="15" x14ac:dyDescent="0"/>
  <cols>
    <col min="1" max="1" width="19.83203125" style="1" customWidth="1"/>
    <col min="2" max="2" width="11" style="1" customWidth="1"/>
    <col min="3" max="3" width="12.1640625" style="1" customWidth="1"/>
    <col min="4" max="4" width="9.83203125" style="1" customWidth="1"/>
    <col min="5" max="5" width="12.1640625" style="1" customWidth="1"/>
    <col min="6" max="9" width="10.83203125" style="1"/>
    <col min="10" max="10" width="12.1640625" style="1" customWidth="1"/>
    <col min="11" max="11" width="9.5" style="1" customWidth="1"/>
    <col min="12" max="12" width="10.83203125" style="1"/>
    <col min="13" max="13" width="8.5" style="1" customWidth="1"/>
    <col min="14" max="14" width="10.83203125" style="1"/>
    <col min="15" max="15" width="7.33203125" style="1" customWidth="1"/>
    <col min="16" max="17" width="11.1640625" style="1" bestFit="1" customWidth="1"/>
    <col min="18" max="18" width="11.5" style="1" customWidth="1"/>
    <col min="19" max="19" width="13.83203125" style="1" customWidth="1"/>
    <col min="20" max="16384" width="10.83203125" style="1"/>
  </cols>
  <sheetData>
    <row r="1" spans="1:19" ht="17">
      <c r="A1" s="132" t="s">
        <v>490</v>
      </c>
      <c r="K1" s="84" t="s">
        <v>491</v>
      </c>
    </row>
    <row r="2" spans="1:19" ht="17">
      <c r="A2" s="223" t="s">
        <v>507</v>
      </c>
      <c r="K2" s="84"/>
    </row>
    <row r="3" spans="1:19">
      <c r="A3" s="1" t="s">
        <v>492</v>
      </c>
      <c r="K3" s="1" t="s">
        <v>164</v>
      </c>
    </row>
    <row r="5" spans="1:19" ht="16" thickBot="1">
      <c r="A5" s="10" t="s">
        <v>443</v>
      </c>
      <c r="K5" s="17" t="s">
        <v>78</v>
      </c>
      <c r="L5" s="17" t="s">
        <v>161</v>
      </c>
      <c r="M5" s="17" t="s">
        <v>196</v>
      </c>
      <c r="N5" s="17" t="s">
        <v>257</v>
      </c>
      <c r="O5" s="13"/>
    </row>
    <row r="6" spans="1:19">
      <c r="A6" s="1" t="s">
        <v>365</v>
      </c>
      <c r="K6" s="129"/>
      <c r="L6" s="129"/>
      <c r="M6" s="129"/>
      <c r="N6" s="129"/>
      <c r="O6" s="124"/>
      <c r="P6" s="99" t="s">
        <v>50</v>
      </c>
      <c r="Q6" s="100"/>
    </row>
    <row r="7" spans="1:19">
      <c r="A7" s="1" t="s">
        <v>397</v>
      </c>
      <c r="K7" s="130">
        <f>100*D23/D$48</f>
        <v>65.425421024317444</v>
      </c>
      <c r="L7" s="130">
        <f>100*G23/G$48</f>
        <v>42.091499122068981</v>
      </c>
      <c r="M7" s="130">
        <f>100*H23/H$48</f>
        <v>31.651863840302081</v>
      </c>
      <c r="N7" s="130">
        <f>100*I23/I$48</f>
        <v>40.953910723720305</v>
      </c>
      <c r="P7" s="85" t="s">
        <v>12</v>
      </c>
      <c r="Q7" s="86"/>
      <c r="R7" s="1" t="s">
        <v>51</v>
      </c>
    </row>
    <row r="8" spans="1:19">
      <c r="A8" s="1" t="s">
        <v>56</v>
      </c>
      <c r="K8" s="129"/>
      <c r="L8" s="129"/>
      <c r="M8" s="129"/>
      <c r="N8" s="129"/>
      <c r="P8" s="85" t="s">
        <v>13</v>
      </c>
      <c r="Q8" s="86"/>
      <c r="R8" s="1" t="s">
        <v>52</v>
      </c>
    </row>
    <row r="9" spans="1:19">
      <c r="A9" s="1" t="s">
        <v>351</v>
      </c>
      <c r="K9" s="129"/>
      <c r="L9" s="129"/>
      <c r="M9" s="129"/>
      <c r="N9" s="129"/>
      <c r="P9" s="106" t="s">
        <v>14</v>
      </c>
      <c r="Q9" s="107"/>
    </row>
    <row r="10" spans="1:19">
      <c r="B10" s="1" t="s">
        <v>109</v>
      </c>
      <c r="O10" s="104" t="s">
        <v>54</v>
      </c>
      <c r="P10" s="87" t="s">
        <v>444</v>
      </c>
      <c r="Q10" s="88"/>
      <c r="R10" s="104" t="s">
        <v>54</v>
      </c>
    </row>
    <row r="11" spans="1:19">
      <c r="O11" s="20" t="s">
        <v>54</v>
      </c>
      <c r="P11" s="87" t="s">
        <v>445</v>
      </c>
      <c r="Q11" s="88"/>
      <c r="R11" s="20" t="s">
        <v>54</v>
      </c>
    </row>
    <row r="12" spans="1:19">
      <c r="D12" s="131" t="s">
        <v>502</v>
      </c>
      <c r="O12" s="20" t="s">
        <v>54</v>
      </c>
      <c r="P12" s="87"/>
      <c r="Q12" s="88"/>
      <c r="R12" s="20" t="s">
        <v>54</v>
      </c>
    </row>
    <row r="13" spans="1:19">
      <c r="C13" s="163" t="s">
        <v>32</v>
      </c>
      <c r="D13" s="174">
        <v>56627.580004860851</v>
      </c>
      <c r="E13" s="174"/>
      <c r="F13" s="174"/>
      <c r="G13" s="174">
        <v>32288.035954781852</v>
      </c>
      <c r="H13" s="174">
        <v>101642.1824922732</v>
      </c>
      <c r="I13" s="174">
        <f>D13+G13+H13</f>
        <v>190557.79845191591</v>
      </c>
      <c r="O13" s="20" t="s">
        <v>54</v>
      </c>
      <c r="P13" s="89"/>
      <c r="Q13" s="90"/>
      <c r="R13" s="20" t="s">
        <v>54</v>
      </c>
      <c r="S13" s="1" t="s">
        <v>439</v>
      </c>
    </row>
    <row r="14" spans="1:19">
      <c r="C14" s="163" t="s">
        <v>33</v>
      </c>
      <c r="D14" s="175"/>
      <c r="E14" s="175"/>
      <c r="F14" s="175"/>
      <c r="G14" s="175"/>
      <c r="H14" s="175"/>
      <c r="I14" s="175"/>
      <c r="O14" s="20" t="s">
        <v>54</v>
      </c>
      <c r="P14" s="91" t="s">
        <v>134</v>
      </c>
      <c r="Q14" s="92"/>
      <c r="R14" s="20" t="s">
        <v>54</v>
      </c>
      <c r="S14" s="1" t="s">
        <v>438</v>
      </c>
    </row>
    <row r="15" spans="1:19" ht="16" thickBot="1">
      <c r="A15" s="1" t="s">
        <v>495</v>
      </c>
      <c r="D15" s="175"/>
      <c r="E15" s="175"/>
      <c r="F15" s="175"/>
      <c r="G15" s="175"/>
      <c r="H15" s="175"/>
      <c r="I15" s="175"/>
      <c r="O15" s="20" t="s">
        <v>234</v>
      </c>
      <c r="P15" s="91" t="s">
        <v>193</v>
      </c>
      <c r="Q15" s="92"/>
      <c r="R15" s="20" t="s">
        <v>234</v>
      </c>
    </row>
    <row r="16" spans="1:19" ht="16" thickBot="1">
      <c r="D16" s="171" t="s">
        <v>289</v>
      </c>
      <c r="E16" s="171"/>
      <c r="F16" s="171"/>
      <c r="G16" s="171" t="s">
        <v>186</v>
      </c>
      <c r="H16" s="171" t="s">
        <v>129</v>
      </c>
      <c r="I16" s="176" t="s">
        <v>138</v>
      </c>
      <c r="K16" s="124">
        <f>100*D35/D$48</f>
        <v>18.292142552344579</v>
      </c>
      <c r="L16" s="124">
        <f>100*G35/G$48</f>
        <v>38.235139862418407</v>
      </c>
      <c r="M16" s="124">
        <f>100*H35/H$48</f>
        <v>37.877440180556107</v>
      </c>
      <c r="N16" s="124">
        <f>100*I35/I$48</f>
        <v>33.337027170924202</v>
      </c>
      <c r="O16" s="20" t="s">
        <v>165</v>
      </c>
      <c r="P16" s="91" t="s">
        <v>15</v>
      </c>
      <c r="Q16" s="92"/>
      <c r="R16" s="20" t="s">
        <v>55</v>
      </c>
      <c r="S16" s="1" t="s">
        <v>437</v>
      </c>
    </row>
    <row r="17" spans="1:18">
      <c r="A17" s="1" t="s">
        <v>494</v>
      </c>
      <c r="D17" s="172">
        <v>18.025714003403166</v>
      </c>
      <c r="G17" s="172">
        <v>373.68641911311346</v>
      </c>
      <c r="H17" s="172">
        <v>755.6602795222235</v>
      </c>
      <c r="I17" s="172">
        <f>D17+G17+H17</f>
        <v>1147.3724126387401</v>
      </c>
      <c r="O17" s="20" t="s">
        <v>54</v>
      </c>
      <c r="P17" s="97"/>
      <c r="Q17" s="98"/>
      <c r="R17" s="20" t="s">
        <v>54</v>
      </c>
    </row>
    <row r="18" spans="1:18">
      <c r="A18" s="1" t="s">
        <v>503</v>
      </c>
      <c r="D18" s="211">
        <f>355.09-D42</f>
        <v>284.04999999999995</v>
      </c>
      <c r="E18" s="172"/>
      <c r="F18" s="172"/>
      <c r="G18" s="211">
        <f>366.64-G42</f>
        <v>281.0621829457678</v>
      </c>
      <c r="H18" s="211">
        <f>822.03-H42</f>
        <v>622.03</v>
      </c>
      <c r="I18" s="212">
        <f>((D17*D18)+(G17*G18)+(H17*H18))/I17</f>
        <v>505.670767429958</v>
      </c>
      <c r="O18" s="20" t="s">
        <v>54</v>
      </c>
      <c r="P18" s="97" t="s">
        <v>135</v>
      </c>
      <c r="Q18" s="98"/>
      <c r="R18" s="20" t="s">
        <v>54</v>
      </c>
    </row>
    <row r="19" spans="1:18" ht="16" thickBot="1">
      <c r="A19" s="1" t="s">
        <v>506</v>
      </c>
      <c r="D19" s="172">
        <f>D17*D18/1000</f>
        <v>5.1202040626666685</v>
      </c>
      <c r="E19" s="172"/>
      <c r="F19" s="172"/>
      <c r="G19" s="172">
        <f>G17*G18/1000</f>
        <v>105.02912069311876</v>
      </c>
      <c r="H19" s="172">
        <f>H17*H18/1000</f>
        <v>470.04336367120868</v>
      </c>
      <c r="I19" s="172">
        <f>D19+G19+H19</f>
        <v>580.1926884269941</v>
      </c>
      <c r="O19" s="105" t="s">
        <v>54</v>
      </c>
      <c r="P19" s="97" t="s">
        <v>53</v>
      </c>
      <c r="Q19" s="101"/>
      <c r="R19" s="105" t="s">
        <v>54</v>
      </c>
    </row>
    <row r="20" spans="1:18">
      <c r="A20" s="1" t="s">
        <v>493</v>
      </c>
      <c r="D20" s="214">
        <v>100084.82109966324</v>
      </c>
      <c r="E20" s="213"/>
      <c r="F20" s="213"/>
      <c r="G20" s="214">
        <v>44474.734919777606</v>
      </c>
      <c r="H20" s="214">
        <v>145844.35579454317</v>
      </c>
      <c r="I20" s="172">
        <f>D20+H20+G20</f>
        <v>290403.91181398404</v>
      </c>
      <c r="K20" s="125"/>
      <c r="L20" s="125"/>
      <c r="M20" s="125"/>
      <c r="N20" s="126"/>
      <c r="O20" s="3"/>
      <c r="P20" s="93"/>
      <c r="Q20" s="94"/>
      <c r="R20" s="1" t="s">
        <v>441</v>
      </c>
    </row>
    <row r="21" spans="1:18">
      <c r="A21" s="1" t="s">
        <v>497</v>
      </c>
      <c r="D21" s="218">
        <f>356.44-D42</f>
        <v>285.39999999999998</v>
      </c>
      <c r="E21" s="216"/>
      <c r="F21" s="215"/>
      <c r="G21" s="218">
        <f>266.85-G42</f>
        <v>181.27218294576784</v>
      </c>
      <c r="H21" s="218">
        <f>403.9-H42</f>
        <v>203.89999999999998</v>
      </c>
      <c r="I21" s="3">
        <f>1000*I22/I20</f>
        <v>146.73489048068203</v>
      </c>
      <c r="K21" s="127"/>
      <c r="L21" s="127"/>
      <c r="M21" s="127"/>
      <c r="N21" s="127"/>
      <c r="P21" s="95" t="s">
        <v>65</v>
      </c>
      <c r="Q21" s="96"/>
      <c r="R21" s="1" t="s">
        <v>438</v>
      </c>
    </row>
    <row r="22" spans="1:18">
      <c r="A22" s="1" t="s">
        <v>505</v>
      </c>
      <c r="D22" s="213">
        <f>D30*D21/1000</f>
        <v>16159.224012576578</v>
      </c>
      <c r="E22" s="216"/>
      <c r="F22" s="215"/>
      <c r="G22" s="213">
        <f>G30*G21/1000</f>
        <v>5806.7563330514204</v>
      </c>
      <c r="H22" s="213">
        <f>H30*H21/1000</f>
        <v>20646.405849558592</v>
      </c>
      <c r="I22" s="172">
        <f>D22+G22+H22</f>
        <v>42612.386195186591</v>
      </c>
      <c r="K22" s="128">
        <f>100*D43/D$48</f>
        <v>16.282436423337977</v>
      </c>
      <c r="L22" s="128">
        <f>100*G43/G$48</f>
        <v>19.673361015512612</v>
      </c>
      <c r="M22" s="128">
        <f>100*H43/H$48</f>
        <v>30.470695979141812</v>
      </c>
      <c r="N22" s="128">
        <f>100*I43/I$48</f>
        <v>25.709062105355489</v>
      </c>
      <c r="P22" s="95"/>
      <c r="Q22" s="96"/>
      <c r="R22" s="1" t="s">
        <v>442</v>
      </c>
    </row>
    <row r="23" spans="1:18" ht="16" thickBot="1">
      <c r="A23" s="68" t="s">
        <v>504</v>
      </c>
      <c r="D23" s="175">
        <f>D19+D22</f>
        <v>16164.344216639245</v>
      </c>
      <c r="E23" s="175"/>
      <c r="F23" s="175"/>
      <c r="G23" s="175">
        <f>G19+G22</f>
        <v>5911.7854537445392</v>
      </c>
      <c r="H23" s="175">
        <f>H19+H22</f>
        <v>21116.4492132298</v>
      </c>
      <c r="I23" s="172">
        <f>D23+H23+G23</f>
        <v>43192.578883613583</v>
      </c>
      <c r="K23" s="127"/>
      <c r="L23" s="127"/>
      <c r="M23" s="127"/>
      <c r="N23" s="127"/>
      <c r="P23" s="102"/>
      <c r="Q23" s="103"/>
      <c r="R23" s="1" t="s">
        <v>440</v>
      </c>
    </row>
    <row r="24" spans="1:18">
      <c r="K24" s="124">
        <f>K7+K16+K22</f>
        <v>100</v>
      </c>
      <c r="L24" s="124">
        <f>L7+L16+L22</f>
        <v>100</v>
      </c>
      <c r="M24" s="124">
        <f>M7+M16+M22</f>
        <v>100</v>
      </c>
      <c r="N24" s="124">
        <f>N7+N16+N22</f>
        <v>100</v>
      </c>
    </row>
    <row r="26" spans="1:18">
      <c r="A26" s="1" t="s">
        <v>86</v>
      </c>
      <c r="L26" s="2"/>
    </row>
    <row r="27" spans="1:18" ht="16" thickBot="1">
      <c r="G27" s="1" t="s">
        <v>89</v>
      </c>
    </row>
    <row r="28" spans="1:18" ht="16" thickBot="1">
      <c r="D28" s="17" t="s">
        <v>289</v>
      </c>
      <c r="E28" s="17" t="s">
        <v>235</v>
      </c>
      <c r="F28" s="17" t="s">
        <v>354</v>
      </c>
      <c r="G28" s="17" t="s">
        <v>161</v>
      </c>
      <c r="H28" s="17" t="s">
        <v>136</v>
      </c>
      <c r="I28" s="79" t="s">
        <v>138</v>
      </c>
    </row>
    <row r="29" spans="1:18">
      <c r="C29" s="16" t="s">
        <v>498</v>
      </c>
      <c r="D29" s="29">
        <v>8.0144387200686378</v>
      </c>
      <c r="E29" s="17"/>
      <c r="F29" s="17"/>
      <c r="G29" s="29">
        <v>254.68015419186904</v>
      </c>
      <c r="H29" s="29">
        <v>384.67464745420693</v>
      </c>
      <c r="I29" s="210">
        <f>D29+G29+H29</f>
        <v>647.3692403661446</v>
      </c>
    </row>
    <row r="30" spans="1:18">
      <c r="C30" s="16" t="s">
        <v>499</v>
      </c>
      <c r="D30" s="172">
        <v>56619.56556614078</v>
      </c>
      <c r="E30" s="171"/>
      <c r="F30" s="171"/>
      <c r="G30" s="172">
        <v>32033.355800589983</v>
      </c>
      <c r="H30" s="172">
        <v>101257.507844819</v>
      </c>
      <c r="I30" s="210">
        <f>D30+G30+H30</f>
        <v>189910.42921154975</v>
      </c>
    </row>
    <row r="31" spans="1:18">
      <c r="C31" s="16" t="s">
        <v>496</v>
      </c>
      <c r="D31" s="213">
        <v>56627.580004860851</v>
      </c>
      <c r="E31" s="213">
        <v>10725.923050589983</v>
      </c>
      <c r="F31" s="213">
        <f>G31-E31</f>
        <v>21562.112904191868</v>
      </c>
      <c r="G31" s="213">
        <v>32288.035954781852</v>
      </c>
      <c r="H31" s="213">
        <v>101642.1824922732</v>
      </c>
      <c r="I31" s="214">
        <f>D31+G31+H31</f>
        <v>190557.79845191591</v>
      </c>
      <c r="J31" s="108" t="s">
        <v>299</v>
      </c>
      <c r="K31" s="1" t="s">
        <v>324</v>
      </c>
    </row>
    <row r="32" spans="1:18" s="152" customFormat="1">
      <c r="A32" s="1"/>
      <c r="B32" s="1"/>
      <c r="C32" s="16" t="s">
        <v>233</v>
      </c>
      <c r="D32" s="215">
        <v>177</v>
      </c>
      <c r="E32" s="216">
        <v>70</v>
      </c>
      <c r="F32" s="215">
        <v>96</v>
      </c>
      <c r="G32" s="215">
        <f>E32+F32</f>
        <v>166</v>
      </c>
      <c r="H32" s="217">
        <v>193</v>
      </c>
      <c r="I32" s="215">
        <f>SUM(D32:H32)</f>
        <v>702</v>
      </c>
      <c r="J32" s="108" t="s">
        <v>299</v>
      </c>
      <c r="K32" s="1" t="s">
        <v>62</v>
      </c>
    </row>
    <row r="33" spans="1:11" s="152" customFormat="1">
      <c r="A33" s="1"/>
      <c r="B33" s="1"/>
      <c r="C33" s="37" t="s">
        <v>500</v>
      </c>
      <c r="D33" s="218">
        <v>17.974845608364657</v>
      </c>
      <c r="E33" s="218">
        <v>14</v>
      </c>
      <c r="F33" s="218">
        <v>49.129314070820207</v>
      </c>
      <c r="G33" s="218">
        <f>((E33*E31)+(F33*F31))/G31</f>
        <v>37.45953272917059</v>
      </c>
      <c r="H33" s="218">
        <v>55.994487303213965</v>
      </c>
      <c r="I33" s="218">
        <f>((D33*D31)+(E33*E31)+(F33*F31)+(H33*H31))/I31</f>
        <v>41.555731167854553</v>
      </c>
      <c r="J33" s="108" t="s">
        <v>299</v>
      </c>
      <c r="K33" s="1" t="s">
        <v>61</v>
      </c>
    </row>
    <row r="34" spans="1:11">
      <c r="A34" s="131"/>
      <c r="C34" s="37" t="s">
        <v>420</v>
      </c>
      <c r="D34" s="218">
        <f t="shared" ref="D34:I34" si="0">D33*4.44</f>
        <v>79.80831450113908</v>
      </c>
      <c r="E34" s="218">
        <f t="shared" si="0"/>
        <v>62.160000000000004</v>
      </c>
      <c r="F34" s="218">
        <f t="shared" si="0"/>
        <v>218.13415447444174</v>
      </c>
      <c r="G34" s="218">
        <f t="shared" si="0"/>
        <v>166.32032531751744</v>
      </c>
      <c r="H34" s="218">
        <f t="shared" si="0"/>
        <v>248.61552362627003</v>
      </c>
      <c r="I34" s="219">
        <f t="shared" si="0"/>
        <v>184.50744638527422</v>
      </c>
      <c r="J34" s="108" t="s">
        <v>299</v>
      </c>
      <c r="K34" s="1" t="s">
        <v>137</v>
      </c>
    </row>
    <row r="35" spans="1:11">
      <c r="A35" s="152"/>
      <c r="B35" s="152"/>
      <c r="C35" s="170" t="s">
        <v>237</v>
      </c>
      <c r="D35" s="220">
        <f>D34*D31/1000</f>
        <v>4519.3517144663492</v>
      </c>
      <c r="E35" s="220"/>
      <c r="F35" s="220"/>
      <c r="G35" s="220">
        <f>G34*G31/1000</f>
        <v>5370.156643863018</v>
      </c>
      <c r="H35" s="220">
        <f>H34*H31/1000</f>
        <v>25269.824422833397</v>
      </c>
      <c r="I35" s="220">
        <f>D35+G35+H35</f>
        <v>35159.332781162768</v>
      </c>
      <c r="J35" s="177" t="s">
        <v>299</v>
      </c>
      <c r="K35" s="152" t="s">
        <v>298</v>
      </c>
    </row>
    <row r="37" spans="1:11" ht="16" thickBot="1">
      <c r="A37" s="1" t="s">
        <v>0</v>
      </c>
    </row>
    <row r="38" spans="1:11" ht="16" thickBot="1">
      <c r="D38" s="17" t="s">
        <v>289</v>
      </c>
      <c r="E38" s="17" t="s">
        <v>235</v>
      </c>
      <c r="F38" s="17" t="s">
        <v>354</v>
      </c>
      <c r="G38" s="17" t="s">
        <v>186</v>
      </c>
      <c r="H38" s="17" t="s">
        <v>136</v>
      </c>
      <c r="I38" s="79" t="s">
        <v>138</v>
      </c>
    </row>
    <row r="39" spans="1:11">
      <c r="C39" s="16" t="s">
        <v>498</v>
      </c>
      <c r="D39" s="172">
        <f>D29</f>
        <v>8.0144387200686378</v>
      </c>
      <c r="E39" s="171"/>
      <c r="F39" s="171"/>
      <c r="G39" s="172">
        <f>G29</f>
        <v>254.68015419186904</v>
      </c>
      <c r="H39" s="172">
        <f>H29</f>
        <v>384.67464745420693</v>
      </c>
      <c r="I39" s="210">
        <f>D39+G39+H39</f>
        <v>647.3692403661446</v>
      </c>
    </row>
    <row r="40" spans="1:11">
      <c r="C40" s="16" t="s">
        <v>499</v>
      </c>
      <c r="D40" s="172">
        <f>D30</f>
        <v>56619.56556614078</v>
      </c>
      <c r="E40" s="171"/>
      <c r="F40" s="171"/>
      <c r="G40" s="172">
        <f>G30</f>
        <v>32033.355800589983</v>
      </c>
      <c r="H40" s="172">
        <f>H30</f>
        <v>101257.507844819</v>
      </c>
      <c r="I40" s="210">
        <f>D40+G40+H40</f>
        <v>189910.42921154975</v>
      </c>
    </row>
    <row r="41" spans="1:11">
      <c r="C41" s="16" t="s">
        <v>501</v>
      </c>
      <c r="D41" s="213">
        <f>D40+D39</f>
        <v>56627.580004860851</v>
      </c>
      <c r="E41" s="213">
        <f t="shared" ref="E41:F41" si="1">E31</f>
        <v>10725.923050589983</v>
      </c>
      <c r="F41" s="213">
        <f t="shared" si="1"/>
        <v>21562.112904191868</v>
      </c>
      <c r="G41" s="213">
        <f>G40+G39</f>
        <v>32288.035954781852</v>
      </c>
      <c r="H41" s="213">
        <f>H40+H39</f>
        <v>101642.1824922732</v>
      </c>
      <c r="I41" s="214">
        <f>D41+G41+H41</f>
        <v>190557.79845191591</v>
      </c>
    </row>
    <row r="42" spans="1:11">
      <c r="C42" s="16" t="s">
        <v>11</v>
      </c>
      <c r="D42" s="218">
        <v>71.040000000000006</v>
      </c>
      <c r="E42" s="215">
        <v>44.44</v>
      </c>
      <c r="F42" s="218">
        <v>106.65600000000001</v>
      </c>
      <c r="G42" s="218">
        <v>85.577817054232185</v>
      </c>
      <c r="H42" s="218">
        <v>200</v>
      </c>
      <c r="I42" s="218">
        <f>1000*I43/I41</f>
        <v>142.2896340966104</v>
      </c>
      <c r="J42" s="1" t="s">
        <v>446</v>
      </c>
    </row>
    <row r="43" spans="1:11">
      <c r="A43" s="152"/>
      <c r="B43" s="152"/>
      <c r="C43" s="170" t="s">
        <v>316</v>
      </c>
      <c r="D43" s="213">
        <f>D42*D41/1000</f>
        <v>4022.8232835453155</v>
      </c>
      <c r="E43" s="213">
        <f>E42*E41/1000</f>
        <v>476.66002036821885</v>
      </c>
      <c r="F43" s="213">
        <f>F42*F41/1000</f>
        <v>2299.7287139094883</v>
      </c>
      <c r="G43" s="213">
        <f>G41*G42/1000</f>
        <v>2763.1396339787925</v>
      </c>
      <c r="H43" s="213">
        <f>H42*H41/1000</f>
        <v>20328.436498454641</v>
      </c>
      <c r="I43" s="213">
        <f>D43+G43+H43</f>
        <v>27114.399415978747</v>
      </c>
      <c r="J43" s="1" t="s">
        <v>24</v>
      </c>
    </row>
    <row r="44" spans="1:11">
      <c r="C44" s="16"/>
      <c r="D44" s="175"/>
      <c r="E44" s="175"/>
      <c r="F44" s="175"/>
      <c r="G44" s="175"/>
      <c r="H44" s="175"/>
      <c r="I44" s="175"/>
    </row>
    <row r="45" spans="1:11" ht="18" thickBot="1">
      <c r="A45" s="317" t="s">
        <v>652</v>
      </c>
      <c r="D45" s="175"/>
      <c r="E45" s="175"/>
      <c r="F45" s="175"/>
      <c r="G45" s="175"/>
      <c r="H45" s="175"/>
      <c r="I45" s="175"/>
      <c r="K45" s="317" t="s">
        <v>653</v>
      </c>
    </row>
    <row r="46" spans="1:11" ht="16" thickBot="1">
      <c r="A46" s="10" t="s">
        <v>660</v>
      </c>
      <c r="D46" s="171" t="s">
        <v>289</v>
      </c>
      <c r="E46" s="175"/>
      <c r="F46" s="175"/>
      <c r="G46" s="171" t="s">
        <v>186</v>
      </c>
      <c r="H46" s="171" t="s">
        <v>136</v>
      </c>
      <c r="I46" s="176" t="s">
        <v>138</v>
      </c>
      <c r="K46" s="1" t="s">
        <v>654</v>
      </c>
    </row>
    <row r="47" spans="1:11">
      <c r="A47" s="1" t="s">
        <v>16</v>
      </c>
      <c r="C47" s="16"/>
      <c r="D47" s="172">
        <f>D20</f>
        <v>100084.82109966324</v>
      </c>
      <c r="E47" s="175"/>
      <c r="F47" s="175"/>
      <c r="G47" s="172">
        <f>G20</f>
        <v>44474.734919777606</v>
      </c>
      <c r="H47" s="172">
        <f>H20</f>
        <v>145844.35579454317</v>
      </c>
      <c r="I47" s="172">
        <f>I20</f>
        <v>290403.91181398404</v>
      </c>
      <c r="K47" s="1" t="s">
        <v>655</v>
      </c>
    </row>
    <row r="48" spans="1:11">
      <c r="A48" s="10"/>
      <c r="C48" s="16" t="s">
        <v>60</v>
      </c>
      <c r="D48" s="175">
        <f>D23+D35+D43</f>
        <v>24706.519214650911</v>
      </c>
      <c r="E48" s="175"/>
      <c r="F48" s="175"/>
      <c r="G48" s="175">
        <f>G23+G35+G43</f>
        <v>14045.08173158635</v>
      </c>
      <c r="H48" s="175">
        <f>H23+H35+H43</f>
        <v>66714.710134517838</v>
      </c>
      <c r="I48" s="213">
        <f>D48+G48+H48</f>
        <v>105466.3110807551</v>
      </c>
      <c r="K48" s="1" t="s">
        <v>656</v>
      </c>
    </row>
    <row r="49" spans="1:20" ht="16" thickBot="1">
      <c r="A49" s="10"/>
      <c r="D49" s="175"/>
      <c r="E49" s="175"/>
      <c r="F49" s="175"/>
      <c r="G49" s="175"/>
      <c r="H49" s="175"/>
      <c r="I49" s="175"/>
      <c r="P49" s="171" t="s">
        <v>289</v>
      </c>
      <c r="Q49" s="171" t="s">
        <v>161</v>
      </c>
      <c r="R49" s="171" t="s">
        <v>129</v>
      </c>
      <c r="S49" s="318" t="s">
        <v>138</v>
      </c>
    </row>
    <row r="50" spans="1:20" ht="16" thickBot="1">
      <c r="A50" s="10" t="s">
        <v>172</v>
      </c>
      <c r="D50" s="171" t="s">
        <v>289</v>
      </c>
      <c r="E50" s="175"/>
      <c r="F50" s="175"/>
      <c r="G50" s="171" t="s">
        <v>186</v>
      </c>
      <c r="H50" s="171" t="s">
        <v>136</v>
      </c>
      <c r="I50" s="176" t="s">
        <v>138</v>
      </c>
      <c r="O50" s="16" t="s">
        <v>498</v>
      </c>
      <c r="P50" s="175">
        <f>D39</f>
        <v>8.0144387200686378</v>
      </c>
      <c r="Q50" s="175">
        <f>G39</f>
        <v>254.68015419186904</v>
      </c>
      <c r="R50" s="175">
        <f>H39</f>
        <v>384.67464745420693</v>
      </c>
      <c r="S50" s="175">
        <f>SUM(P50:R50)</f>
        <v>647.3692403661446</v>
      </c>
    </row>
    <row r="51" spans="1:20">
      <c r="A51" s="1" t="s">
        <v>31</v>
      </c>
      <c r="C51" s="16"/>
      <c r="D51" s="175">
        <f>D47</f>
        <v>100084.82109966324</v>
      </c>
      <c r="E51" s="174"/>
      <c r="F51" s="175"/>
      <c r="G51" s="175">
        <f>G47</f>
        <v>44474.734919777606</v>
      </c>
      <c r="H51" s="175">
        <f>H47</f>
        <v>145844.35579454317</v>
      </c>
      <c r="I51" s="175">
        <f>I47</f>
        <v>290403.91181398404</v>
      </c>
      <c r="O51" s="16" t="s">
        <v>499</v>
      </c>
      <c r="P51" s="175">
        <f t="shared" ref="P51:P52" si="2">D40</f>
        <v>56619.56556614078</v>
      </c>
      <c r="Q51" s="175">
        <f t="shared" ref="Q51:R51" si="3">G40</f>
        <v>32033.355800589983</v>
      </c>
      <c r="R51" s="175">
        <f t="shared" si="3"/>
        <v>101257.507844819</v>
      </c>
      <c r="S51" s="175">
        <f t="shared" ref="S51:S52" si="4">SUM(P51:R51)</f>
        <v>189910.42921154975</v>
      </c>
    </row>
    <row r="52" spans="1:20">
      <c r="A52" s="10"/>
      <c r="C52" s="16" t="s">
        <v>489</v>
      </c>
      <c r="D52" s="221">
        <f>D23+D43</f>
        <v>20187.167500184562</v>
      </c>
      <c r="E52" s="221"/>
      <c r="F52" s="221"/>
      <c r="G52" s="221">
        <f>G23+G43</f>
        <v>8674.9250877233317</v>
      </c>
      <c r="H52" s="221">
        <f>H23+H43</f>
        <v>41444.885711684445</v>
      </c>
      <c r="I52" s="221">
        <f>D52+G52+H52</f>
        <v>70306.978299592331</v>
      </c>
      <c r="O52" s="16" t="s">
        <v>657</v>
      </c>
      <c r="P52" s="175">
        <f t="shared" si="2"/>
        <v>56627.580004860851</v>
      </c>
      <c r="Q52" s="175">
        <f t="shared" ref="Q52:R52" si="5">G41</f>
        <v>32288.035954781852</v>
      </c>
      <c r="R52" s="175">
        <f t="shared" si="5"/>
        <v>101642.1824922732</v>
      </c>
      <c r="S52" s="175">
        <f t="shared" si="4"/>
        <v>190557.79845191591</v>
      </c>
    </row>
    <row r="53" spans="1:20">
      <c r="A53" s="10"/>
      <c r="C53" s="163"/>
      <c r="D53" s="163"/>
      <c r="E53" s="163"/>
      <c r="F53" s="163"/>
      <c r="G53" s="163"/>
      <c r="H53" s="163"/>
      <c r="I53" s="163"/>
      <c r="O53" s="16" t="s">
        <v>658</v>
      </c>
      <c r="P53" s="1">
        <v>137.07</v>
      </c>
      <c r="Q53" s="1">
        <v>119.88000000000001</v>
      </c>
      <c r="R53" s="3">
        <v>110</v>
      </c>
      <c r="S53" s="3">
        <f>1000*S55/S52</f>
        <v>119.71838676249257</v>
      </c>
      <c r="T53" s="1" t="s">
        <v>663</v>
      </c>
    </row>
    <row r="54" spans="1:20">
      <c r="A54" s="10" t="s">
        <v>195</v>
      </c>
      <c r="C54" s="16"/>
      <c r="D54" s="2"/>
      <c r="E54" s="2"/>
      <c r="H54" s="2"/>
      <c r="I54" s="2"/>
    </row>
    <row r="55" spans="1:20">
      <c r="A55" s="10"/>
      <c r="C55" s="16" t="s">
        <v>389</v>
      </c>
      <c r="D55" s="124">
        <f>100*D43/D48</f>
        <v>16.282436423337977</v>
      </c>
      <c r="E55" s="2"/>
      <c r="G55" s="124">
        <f>100*G43/G48</f>
        <v>19.673361015512612</v>
      </c>
      <c r="H55" s="124">
        <f>100*H43/H48</f>
        <v>30.470695979141812</v>
      </c>
      <c r="I55" s="124">
        <f>100*I43/I48</f>
        <v>25.709062105355489</v>
      </c>
      <c r="O55" s="16" t="s">
        <v>659</v>
      </c>
      <c r="P55" s="175">
        <f>P52*P53/1000</f>
        <v>7761.942391266276</v>
      </c>
      <c r="Q55" s="175">
        <f t="shared" ref="Q55:R55" si="6">Q52*Q53/1000</f>
        <v>3870.6897502592487</v>
      </c>
      <c r="R55" s="175">
        <f t="shared" si="6"/>
        <v>11180.640074150051</v>
      </c>
      <c r="S55" s="175">
        <f t="shared" ref="S55:S58" si="7">SUM(P55:R55)</f>
        <v>22813.272215675577</v>
      </c>
      <c r="T55" s="1" t="s">
        <v>663</v>
      </c>
    </row>
    <row r="56" spans="1:20">
      <c r="A56" s="10"/>
      <c r="C56" s="16"/>
      <c r="D56" s="2"/>
      <c r="E56" s="2"/>
      <c r="H56" s="2"/>
      <c r="I56" s="2"/>
    </row>
    <row r="57" spans="1:20">
      <c r="A57" s="10"/>
      <c r="C57" s="16"/>
      <c r="D57" s="2"/>
      <c r="E57" s="2"/>
      <c r="H57" s="2"/>
      <c r="I57" s="2"/>
      <c r="K57" s="10" t="s">
        <v>664</v>
      </c>
      <c r="P57" s="175">
        <f>D48-P55</f>
        <v>16944.576823384636</v>
      </c>
      <c r="Q57" s="175">
        <f>G48-Q55</f>
        <v>10174.3919813271</v>
      </c>
      <c r="R57" s="175">
        <f>H48-R55</f>
        <v>55534.070060367783</v>
      </c>
      <c r="S57" s="175">
        <f t="shared" si="7"/>
        <v>82653.038865079521</v>
      </c>
      <c r="T57" s="1" t="s">
        <v>663</v>
      </c>
    </row>
    <row r="58" spans="1:20">
      <c r="A58" s="207"/>
      <c r="B58" s="208"/>
      <c r="C58" s="209"/>
      <c r="D58" s="209"/>
      <c r="E58" s="209"/>
      <c r="F58" s="209"/>
      <c r="G58" s="209"/>
      <c r="H58" s="209"/>
      <c r="I58" s="209"/>
      <c r="K58" s="10" t="s">
        <v>665</v>
      </c>
      <c r="P58" s="175">
        <f>D52-P55</f>
        <v>12425.225108918286</v>
      </c>
      <c r="Q58" s="175">
        <f>G52-Q55</f>
        <v>4804.2353374640825</v>
      </c>
      <c r="R58" s="175">
        <f>H52-R55</f>
        <v>30264.245637534394</v>
      </c>
      <c r="S58" s="175">
        <f t="shared" si="7"/>
        <v>47493.706083916768</v>
      </c>
      <c r="T58" s="1" t="s">
        <v>663</v>
      </c>
    </row>
    <row r="59" spans="1:20" ht="16">
      <c r="A59" s="179" t="s">
        <v>485</v>
      </c>
      <c r="C59" s="178"/>
      <c r="D59" s="178"/>
      <c r="E59" s="178"/>
      <c r="F59" s="178"/>
      <c r="G59" s="178"/>
      <c r="H59" s="178"/>
      <c r="I59" s="178"/>
    </row>
    <row r="60" spans="1:20" ht="16">
      <c r="A60" s="179"/>
      <c r="B60" s="178"/>
      <c r="C60" s="178"/>
      <c r="D60" s="178"/>
      <c r="E60" s="178"/>
      <c r="F60" s="178"/>
      <c r="G60" s="178"/>
      <c r="H60" s="178"/>
      <c r="I60" s="178"/>
      <c r="K60" s="1" t="s">
        <v>661</v>
      </c>
      <c r="P60" s="124">
        <f>100*(P57-D48)/D48</f>
        <v>-31.416576021212496</v>
      </c>
      <c r="Q60" s="124">
        <f>100*(Q57-G48)/G48</f>
        <v>-27.55904041166492</v>
      </c>
      <c r="R60" s="124">
        <f>100*(R57-H48)/H48</f>
        <v>-16.758882788527998</v>
      </c>
      <c r="S60" s="124">
        <f>100*(S57-I48)/I48</f>
        <v>-21.630862008824366</v>
      </c>
    </row>
    <row r="61" spans="1:20" ht="16">
      <c r="A61" s="179" t="s">
        <v>447</v>
      </c>
      <c r="B61" s="178"/>
      <c r="C61" s="178"/>
      <c r="D61" s="178"/>
      <c r="E61" s="178"/>
      <c r="F61" s="178"/>
      <c r="G61" s="178"/>
      <c r="H61" s="178"/>
      <c r="I61" s="178"/>
      <c r="K61" s="1" t="s">
        <v>662</v>
      </c>
      <c r="P61" s="124">
        <f>100*(P58-D52)/D52</f>
        <v>-38.449883527222489</v>
      </c>
      <c r="Q61" s="124">
        <f>100*(Q58-G52)/G52</f>
        <v>-44.619287326607711</v>
      </c>
      <c r="R61" s="124">
        <f>100*(R58-H52)/H52</f>
        <v>-26.977128497661468</v>
      </c>
      <c r="S61" s="124">
        <f>100*(S58-I52)/I52</f>
        <v>-32.448090882904353</v>
      </c>
    </row>
    <row r="62" spans="1:20" ht="16">
      <c r="A62" s="178" t="s">
        <v>220</v>
      </c>
      <c r="B62" s="178"/>
      <c r="C62" s="178"/>
      <c r="D62" s="178"/>
      <c r="E62" s="178"/>
      <c r="F62" s="178"/>
      <c r="G62" s="178"/>
      <c r="H62" s="178"/>
      <c r="I62" s="178"/>
      <c r="P62" s="175"/>
      <c r="Q62" s="175"/>
      <c r="R62" s="175"/>
      <c r="S62" s="175"/>
    </row>
    <row r="63" spans="1:20" ht="16">
      <c r="A63" s="178" t="s">
        <v>171</v>
      </c>
      <c r="B63" s="178"/>
      <c r="C63" s="178"/>
      <c r="D63" s="178"/>
      <c r="E63" s="178"/>
      <c r="F63" s="178"/>
      <c r="G63" s="178"/>
      <c r="H63" s="178"/>
      <c r="I63" s="178"/>
      <c r="K63" s="1" t="s">
        <v>666</v>
      </c>
      <c r="P63" s="175">
        <v>31219.231656848191</v>
      </c>
      <c r="Q63" s="175">
        <v>29909.783738345504</v>
      </c>
      <c r="R63" s="175">
        <v>74983.211955967097</v>
      </c>
      <c r="S63" s="175">
        <v>136112.22735116081</v>
      </c>
      <c r="T63" s="1" t="s">
        <v>663</v>
      </c>
    </row>
    <row r="64" spans="1:20" ht="18">
      <c r="A64" s="178" t="s">
        <v>448</v>
      </c>
      <c r="B64" s="178"/>
      <c r="C64" s="178"/>
      <c r="D64" s="178"/>
      <c r="E64" s="178"/>
      <c r="F64" s="178"/>
      <c r="G64" s="178"/>
      <c r="H64" s="178"/>
      <c r="I64" s="178"/>
      <c r="K64" s="1" t="s">
        <v>667</v>
      </c>
      <c r="P64" s="175">
        <v>28197.801726775728</v>
      </c>
      <c r="Q64" s="175">
        <v>28280.957095900703</v>
      </c>
      <c r="R64" s="175">
        <v>70265.114141025944</v>
      </c>
      <c r="S64" s="175">
        <v>126743.87296370238</v>
      </c>
      <c r="T64" s="1" t="s">
        <v>670</v>
      </c>
    </row>
    <row r="65" spans="1:20" ht="16">
      <c r="A65" s="178" t="s">
        <v>228</v>
      </c>
      <c r="B65" s="178"/>
      <c r="C65" s="178"/>
      <c r="D65" s="178"/>
      <c r="E65" s="178"/>
      <c r="F65" s="178"/>
      <c r="G65" s="178"/>
      <c r="H65" s="178"/>
      <c r="I65" s="178"/>
      <c r="J65" s="178"/>
      <c r="K65" s="1" t="s">
        <v>668</v>
      </c>
      <c r="P65" s="175">
        <v>36059.458491147212</v>
      </c>
      <c r="Q65" s="175">
        <v>38281.435302889739</v>
      </c>
      <c r="R65" s="175">
        <v>98813.543045095706</v>
      </c>
      <c r="S65" s="175">
        <v>173154.43683913266</v>
      </c>
      <c r="T65" s="1" t="s">
        <v>663</v>
      </c>
    </row>
    <row r="66" spans="1:20" ht="16">
      <c r="A66" s="179" t="s">
        <v>277</v>
      </c>
      <c r="B66" s="178"/>
      <c r="C66" s="178"/>
      <c r="D66" s="178"/>
      <c r="E66" s="178"/>
      <c r="F66" s="178"/>
      <c r="G66" s="178"/>
      <c r="H66" s="178"/>
      <c r="I66" s="178"/>
      <c r="J66" s="178"/>
      <c r="K66" s="1" t="s">
        <v>669</v>
      </c>
      <c r="P66" s="175">
        <v>33038.028561074745</v>
      </c>
      <c r="Q66" s="175">
        <v>36652.608660444945</v>
      </c>
      <c r="R66" s="175">
        <v>94095.445230154539</v>
      </c>
      <c r="S66" s="175">
        <v>163786.08245167421</v>
      </c>
      <c r="T66" s="1" t="s">
        <v>670</v>
      </c>
    </row>
    <row r="67" spans="1:20" ht="16">
      <c r="A67" s="178" t="s">
        <v>449</v>
      </c>
      <c r="B67" s="178"/>
      <c r="C67" s="178"/>
      <c r="D67" s="178"/>
      <c r="E67" s="178"/>
      <c r="F67" s="178"/>
      <c r="G67" s="178"/>
      <c r="H67" s="178"/>
      <c r="I67" s="178"/>
      <c r="J67" s="178"/>
      <c r="K67" s="178"/>
      <c r="L67" s="178"/>
      <c r="M67" s="178"/>
      <c r="N67" s="178"/>
      <c r="O67" s="178"/>
      <c r="P67" s="178"/>
      <c r="Q67" s="178"/>
      <c r="R67" s="178"/>
      <c r="S67" s="178"/>
      <c r="T67" s="178"/>
    </row>
    <row r="68" spans="1:20" ht="16">
      <c r="A68" s="178"/>
      <c r="B68" s="178"/>
      <c r="C68" s="178"/>
      <c r="D68" s="178"/>
      <c r="E68" s="178"/>
      <c r="F68" s="178"/>
      <c r="G68" s="178"/>
      <c r="H68" s="178"/>
      <c r="I68" s="178"/>
      <c r="J68" s="178"/>
      <c r="K68" s="1" t="s">
        <v>700</v>
      </c>
      <c r="L68" s="178"/>
      <c r="M68" s="178"/>
      <c r="N68" s="178"/>
      <c r="O68" s="178"/>
      <c r="P68" s="320">
        <f>100*(((P63-P55)/P63)-1)</f>
        <v>-24.862695137993985</v>
      </c>
      <c r="Q68" s="320">
        <f t="shared" ref="Q68:S68" si="8">100*(((Q63-Q55)/Q63)-1)</f>
        <v>-12.941216105474119</v>
      </c>
      <c r="R68" s="320">
        <f t="shared" si="8"/>
        <v>-14.910857754020645</v>
      </c>
      <c r="S68" s="320">
        <f t="shared" si="8"/>
        <v>-16.760633970685678</v>
      </c>
    </row>
    <row r="69" spans="1:20" ht="16">
      <c r="A69" s="178" t="s">
        <v>450</v>
      </c>
      <c r="B69" s="178"/>
      <c r="C69" s="178"/>
      <c r="D69" s="178"/>
      <c r="E69" s="178"/>
      <c r="F69" s="178"/>
      <c r="G69" s="178"/>
      <c r="H69" s="178"/>
      <c r="I69" s="178"/>
      <c r="J69" s="178"/>
      <c r="K69" s="1" t="s">
        <v>701</v>
      </c>
      <c r="L69" s="178"/>
      <c r="M69" s="178"/>
      <c r="N69" s="178"/>
      <c r="O69" s="178"/>
      <c r="P69" s="320">
        <f>100*(((P64-(0.89*P55))/P64)-1)</f>
        <v>-24.498820139114784</v>
      </c>
      <c r="Q69" s="320">
        <f t="shared" ref="Q69:S69" si="9">100*(((Q64-(0.89*Q55))/Q64)-1)</f>
        <v>-12.181037105813042</v>
      </c>
      <c r="R69" s="320">
        <f t="shared" si="9"/>
        <v>-14.1617498066278</v>
      </c>
      <c r="S69" s="320">
        <f t="shared" si="9"/>
        <v>-16.019561180496655</v>
      </c>
    </row>
    <row r="70" spans="1:20" ht="16">
      <c r="A70" s="178"/>
      <c r="B70" s="178"/>
      <c r="C70" s="178"/>
      <c r="D70" s="178"/>
      <c r="E70" s="178"/>
      <c r="F70" s="178"/>
      <c r="G70" s="178"/>
      <c r="H70" s="178"/>
      <c r="I70" s="178"/>
      <c r="J70" s="178"/>
      <c r="K70" s="1" t="s">
        <v>702</v>
      </c>
      <c r="L70" s="178"/>
      <c r="M70" s="178"/>
      <c r="N70" s="178"/>
      <c r="O70" s="178"/>
      <c r="P70" s="320">
        <f>100*(((P65-P55)/P65)-1)</f>
        <v>-21.52539920468266</v>
      </c>
      <c r="Q70" s="320">
        <f t="shared" ref="Q70:S70" si="10">100*(((Q65-Q55)/Q65)-1)</f>
        <v>-10.111140608061431</v>
      </c>
      <c r="R70" s="320">
        <f t="shared" si="10"/>
        <v>-11.314886329951278</v>
      </c>
      <c r="S70" s="320">
        <f t="shared" si="10"/>
        <v>-13.175101159475355</v>
      </c>
    </row>
    <row r="71" spans="1:20" ht="16">
      <c r="A71" s="179" t="s">
        <v>451</v>
      </c>
      <c r="B71" s="178"/>
      <c r="C71" s="178"/>
      <c r="D71" s="178"/>
      <c r="E71" s="178"/>
      <c r="F71" s="178"/>
      <c r="G71" s="178"/>
      <c r="H71" s="178"/>
      <c r="I71" s="178"/>
      <c r="J71" s="178"/>
      <c r="K71" s="1" t="s">
        <v>703</v>
      </c>
      <c r="L71" s="178"/>
      <c r="M71" s="178"/>
      <c r="N71" s="178"/>
      <c r="O71" s="178"/>
      <c r="P71" s="320">
        <f>100*(((P66-(0.89*P55))/P66)-1)</f>
        <v>-20.909627568898316</v>
      </c>
      <c r="Q71" s="320">
        <f t="shared" ref="Q71:S71" si="11">100*(((Q66-(0.89*Q55))/Q66)-1)</f>
        <v>-9.398823176939219</v>
      </c>
      <c r="R71" s="320">
        <f t="shared" si="11"/>
        <v>-10.575187397917373</v>
      </c>
      <c r="S71" s="320">
        <f t="shared" si="11"/>
        <v>-12.396543081089927</v>
      </c>
    </row>
    <row r="72" spans="1:20" ht="16">
      <c r="A72" s="180" t="s">
        <v>452</v>
      </c>
      <c r="B72" s="178"/>
      <c r="C72" s="178"/>
      <c r="D72" s="178"/>
      <c r="E72" s="178"/>
      <c r="F72" s="178"/>
      <c r="G72" s="178"/>
      <c r="H72" s="178"/>
      <c r="I72" s="178"/>
      <c r="J72" s="178"/>
      <c r="K72" s="178"/>
      <c r="L72" s="178"/>
      <c r="M72" s="178"/>
      <c r="N72" s="178"/>
      <c r="O72" s="178"/>
      <c r="P72" s="319"/>
      <c r="Q72" s="319"/>
      <c r="R72" s="319"/>
      <c r="S72" s="175"/>
    </row>
    <row r="73" spans="1:20" ht="16">
      <c r="A73" s="178" t="s">
        <v>117</v>
      </c>
      <c r="B73" s="178"/>
      <c r="C73" s="178"/>
      <c r="D73" s="178"/>
      <c r="E73" s="178"/>
      <c r="F73" s="178"/>
      <c r="G73" s="178"/>
      <c r="H73" s="178"/>
      <c r="I73" s="178"/>
      <c r="J73" s="178"/>
      <c r="K73" s="178"/>
      <c r="L73" s="178"/>
      <c r="M73" s="178"/>
      <c r="N73" s="178"/>
      <c r="O73" s="178"/>
      <c r="P73" s="178"/>
      <c r="Q73" s="178"/>
      <c r="R73" s="178"/>
    </row>
    <row r="74" spans="1:20" ht="16">
      <c r="A74" s="178" t="s">
        <v>453</v>
      </c>
      <c r="B74" s="178"/>
      <c r="C74" s="181"/>
      <c r="D74" s="181"/>
      <c r="E74" s="181"/>
      <c r="F74" s="178"/>
      <c r="G74" s="178"/>
      <c r="H74" s="178"/>
      <c r="I74" s="178"/>
      <c r="J74" s="178"/>
      <c r="K74" s="178"/>
      <c r="L74" s="178"/>
      <c r="M74" s="178"/>
      <c r="N74" s="178"/>
      <c r="O74" s="178"/>
      <c r="P74" s="178"/>
      <c r="Q74" s="178"/>
      <c r="R74" s="178"/>
    </row>
    <row r="75" spans="1:20" ht="16">
      <c r="A75" s="178"/>
      <c r="B75" s="178"/>
      <c r="C75" s="181"/>
      <c r="D75" s="181"/>
      <c r="E75" s="181"/>
      <c r="F75" s="178"/>
      <c r="G75" s="178"/>
      <c r="H75" s="178"/>
      <c r="I75" s="178"/>
      <c r="J75" s="178"/>
      <c r="K75" s="178"/>
      <c r="L75" s="178"/>
      <c r="M75" s="178"/>
      <c r="N75" s="178"/>
      <c r="O75" s="178"/>
      <c r="P75" s="178"/>
      <c r="Q75" s="178"/>
      <c r="R75" s="178"/>
    </row>
    <row r="76" spans="1:20" ht="16">
      <c r="A76" s="180" t="s">
        <v>454</v>
      </c>
      <c r="B76" s="178"/>
      <c r="C76" s="181"/>
      <c r="D76" s="181"/>
      <c r="E76" s="181"/>
      <c r="F76" s="178"/>
      <c r="G76" s="178"/>
      <c r="H76" s="178"/>
      <c r="I76" s="178"/>
      <c r="J76" s="178"/>
      <c r="K76" s="178"/>
      <c r="L76" s="178"/>
      <c r="M76" s="178"/>
      <c r="N76" s="178"/>
      <c r="O76" s="178"/>
      <c r="P76" s="178"/>
      <c r="Q76" s="178"/>
      <c r="R76" s="178"/>
    </row>
    <row r="77" spans="1:20" ht="16">
      <c r="A77" s="178" t="s">
        <v>455</v>
      </c>
      <c r="B77" s="178"/>
      <c r="C77" s="181"/>
      <c r="D77" s="181"/>
      <c r="E77" s="181"/>
      <c r="F77" s="178"/>
      <c r="G77" s="178"/>
      <c r="H77" s="178"/>
      <c r="I77" s="178"/>
      <c r="J77" s="178"/>
      <c r="K77" s="178"/>
      <c r="L77" s="178"/>
      <c r="M77" s="178"/>
      <c r="N77" s="178"/>
      <c r="O77" s="178"/>
      <c r="P77" s="178"/>
      <c r="Q77" s="178"/>
      <c r="R77" s="178"/>
    </row>
    <row r="78" spans="1:20" ht="16">
      <c r="A78" s="181" t="s">
        <v>144</v>
      </c>
      <c r="B78" s="181"/>
      <c r="C78" s="181"/>
      <c r="D78" s="181"/>
      <c r="E78" s="181"/>
      <c r="F78" s="178"/>
      <c r="G78" s="178"/>
      <c r="H78" s="178"/>
      <c r="I78" s="178"/>
      <c r="J78" s="178"/>
      <c r="K78" s="178"/>
      <c r="L78" s="178"/>
      <c r="M78" s="178"/>
      <c r="N78" s="178"/>
      <c r="O78" s="178"/>
      <c r="P78" s="178"/>
      <c r="Q78" s="178"/>
      <c r="R78" s="178"/>
    </row>
    <row r="79" spans="1:20" ht="16">
      <c r="A79" s="181"/>
      <c r="B79" s="181"/>
      <c r="C79" s="181"/>
      <c r="D79" s="181"/>
      <c r="E79" s="181"/>
      <c r="F79" s="178"/>
      <c r="G79" s="178"/>
      <c r="H79" s="178"/>
      <c r="I79" s="178"/>
      <c r="J79" s="178"/>
      <c r="K79" s="178"/>
      <c r="L79" s="178"/>
      <c r="M79" s="178"/>
      <c r="N79" s="178"/>
      <c r="O79" s="178"/>
      <c r="P79" s="178"/>
      <c r="Q79" s="178"/>
      <c r="R79" s="178"/>
    </row>
    <row r="80" spans="1:20" ht="16">
      <c r="A80" s="182" t="s">
        <v>456</v>
      </c>
      <c r="B80" s="181"/>
      <c r="C80" s="181"/>
      <c r="D80" s="181"/>
      <c r="E80" s="181"/>
      <c r="F80" s="178"/>
      <c r="G80" s="178"/>
      <c r="H80" s="178"/>
      <c r="I80" s="178"/>
      <c r="J80" s="178"/>
      <c r="K80" s="178"/>
      <c r="L80" s="178"/>
      <c r="M80" s="178"/>
      <c r="N80" s="178"/>
      <c r="O80" s="178"/>
      <c r="P80" s="178"/>
      <c r="Q80" s="178"/>
      <c r="R80" s="178"/>
    </row>
    <row r="81" spans="1:18" ht="16">
      <c r="A81" s="181" t="s">
        <v>457</v>
      </c>
      <c r="B81" s="181"/>
      <c r="C81" s="181"/>
      <c r="D81" s="181"/>
      <c r="E81" s="181"/>
      <c r="F81" s="178"/>
      <c r="G81" s="178"/>
      <c r="H81" s="178"/>
      <c r="I81" s="178"/>
      <c r="J81" s="178"/>
      <c r="K81" s="178"/>
      <c r="L81" s="178"/>
      <c r="M81" s="178"/>
      <c r="N81" s="178"/>
      <c r="O81" s="178"/>
      <c r="P81" s="178"/>
      <c r="Q81" s="178"/>
      <c r="R81" s="178"/>
    </row>
    <row r="82" spans="1:18" ht="16">
      <c r="A82" s="181"/>
      <c r="B82" s="181"/>
      <c r="C82" s="181"/>
      <c r="D82" s="181"/>
      <c r="E82" s="181"/>
      <c r="F82" s="178"/>
      <c r="G82" s="178"/>
      <c r="H82" s="178"/>
      <c r="I82" s="178"/>
      <c r="J82" s="178"/>
      <c r="K82" s="178"/>
      <c r="L82" s="178"/>
      <c r="M82" s="178"/>
      <c r="N82" s="178"/>
      <c r="O82" s="178"/>
      <c r="P82" s="178"/>
      <c r="Q82" s="178"/>
      <c r="R82" s="178"/>
    </row>
    <row r="83" spans="1:18" ht="16">
      <c r="A83" s="181" t="s">
        <v>458</v>
      </c>
      <c r="B83" s="181"/>
      <c r="C83" s="181"/>
      <c r="D83" s="181"/>
      <c r="E83" s="181"/>
      <c r="F83" s="178"/>
      <c r="G83" s="178"/>
      <c r="H83" s="178"/>
      <c r="I83" s="178"/>
      <c r="J83" s="178"/>
      <c r="K83" s="185"/>
      <c r="L83" s="185"/>
      <c r="M83" s="185"/>
      <c r="N83" s="185"/>
      <c r="O83" s="185"/>
      <c r="P83" s="185"/>
      <c r="Q83" s="185"/>
      <c r="R83" s="185"/>
    </row>
    <row r="84" spans="1:18" ht="16">
      <c r="A84" s="181" t="s">
        <v>459</v>
      </c>
      <c r="B84" s="181"/>
      <c r="C84" s="181"/>
      <c r="D84" s="181"/>
      <c r="E84" s="181"/>
      <c r="F84" s="178"/>
      <c r="G84" s="178"/>
      <c r="H84" s="178"/>
      <c r="I84" s="178"/>
      <c r="J84" s="178"/>
      <c r="K84" s="185"/>
      <c r="L84" s="185"/>
      <c r="M84" s="185"/>
      <c r="N84" s="185"/>
      <c r="O84" s="185"/>
      <c r="P84" s="185"/>
      <c r="Q84" s="185"/>
      <c r="R84" s="185"/>
    </row>
    <row r="85" spans="1:18" ht="16">
      <c r="A85" s="181"/>
      <c r="B85" s="181"/>
      <c r="C85" s="181"/>
      <c r="D85" s="181"/>
      <c r="E85" s="181"/>
      <c r="F85" s="178"/>
      <c r="G85" s="178"/>
      <c r="H85" s="178"/>
      <c r="I85" s="178"/>
      <c r="J85" s="178"/>
      <c r="K85" s="188"/>
      <c r="L85" s="188"/>
      <c r="M85" s="188"/>
      <c r="N85" s="188"/>
      <c r="O85" s="188"/>
      <c r="P85" s="188"/>
      <c r="Q85" s="188"/>
      <c r="R85" s="188"/>
    </row>
    <row r="86" spans="1:18" ht="16">
      <c r="A86" s="183" t="s">
        <v>460</v>
      </c>
      <c r="B86" s="181"/>
      <c r="C86" s="181"/>
      <c r="D86" s="178"/>
      <c r="E86" s="181"/>
      <c r="F86" s="178"/>
      <c r="G86" s="178"/>
      <c r="H86" s="178"/>
      <c r="I86" s="178"/>
      <c r="J86" s="178"/>
      <c r="K86" s="188"/>
      <c r="L86" s="188"/>
      <c r="M86" s="188"/>
      <c r="N86" s="188"/>
      <c r="O86" s="188"/>
      <c r="P86" s="188"/>
      <c r="Q86" s="188"/>
      <c r="R86" s="188"/>
    </row>
    <row r="87" spans="1:18" ht="16">
      <c r="A87" s="181" t="s">
        <v>461</v>
      </c>
      <c r="B87" s="181"/>
      <c r="C87" s="181"/>
      <c r="D87" s="178"/>
      <c r="E87" s="181"/>
      <c r="F87" s="178"/>
      <c r="G87" s="178"/>
      <c r="H87" s="178"/>
      <c r="I87" s="178"/>
      <c r="J87" s="178"/>
      <c r="K87" s="178"/>
      <c r="L87" s="178"/>
      <c r="M87" s="178"/>
      <c r="N87" s="178"/>
      <c r="O87" s="178"/>
      <c r="P87" s="178"/>
      <c r="Q87" s="178"/>
      <c r="R87" s="178"/>
    </row>
    <row r="88" spans="1:18" ht="16">
      <c r="A88" s="184"/>
      <c r="B88" s="205" t="s">
        <v>487</v>
      </c>
      <c r="C88" s="204"/>
      <c r="D88" s="185"/>
      <c r="E88" s="184"/>
      <c r="F88" s="184"/>
      <c r="G88" s="185"/>
      <c r="H88" s="185"/>
      <c r="I88" s="185"/>
      <c r="J88" s="185"/>
      <c r="K88" s="178"/>
      <c r="L88" s="178"/>
      <c r="M88" s="178"/>
      <c r="N88" s="178"/>
      <c r="O88" s="178"/>
      <c r="P88" s="178"/>
      <c r="Q88" s="178"/>
      <c r="R88" s="178"/>
    </row>
    <row r="89" spans="1:18" ht="16">
      <c r="A89" s="184"/>
      <c r="B89" s="204" t="s">
        <v>488</v>
      </c>
      <c r="C89" s="204" t="s">
        <v>462</v>
      </c>
      <c r="D89" s="185"/>
      <c r="E89" s="184"/>
      <c r="F89" s="184"/>
      <c r="G89" s="185"/>
      <c r="H89" s="185"/>
      <c r="I89" s="185"/>
      <c r="J89" s="185"/>
      <c r="K89" s="178"/>
      <c r="L89" s="178"/>
      <c r="M89" s="178"/>
      <c r="N89" s="178"/>
      <c r="O89" s="178"/>
      <c r="P89" s="178"/>
      <c r="Q89" s="178"/>
      <c r="R89" s="178"/>
    </row>
    <row r="90" spans="1:18" ht="16">
      <c r="A90" s="186" t="s">
        <v>226</v>
      </c>
      <c r="B90" s="187">
        <v>16</v>
      </c>
      <c r="C90" s="188">
        <f>B90*4.44</f>
        <v>71.040000000000006</v>
      </c>
      <c r="D90" s="188" t="s">
        <v>100</v>
      </c>
      <c r="E90" s="189"/>
      <c r="F90" s="189"/>
      <c r="G90" s="190" t="s">
        <v>463</v>
      </c>
      <c r="H90" s="188"/>
      <c r="I90" s="188"/>
      <c r="J90" s="188"/>
      <c r="K90" s="178"/>
      <c r="L90" s="178"/>
      <c r="M90" s="178"/>
      <c r="N90" s="178"/>
      <c r="O90" s="178"/>
      <c r="P90" s="178"/>
      <c r="Q90" s="178"/>
      <c r="R90" s="178"/>
    </row>
    <row r="91" spans="1:18" ht="16">
      <c r="A91" s="191" t="s">
        <v>281</v>
      </c>
      <c r="B91" s="192">
        <v>24</v>
      </c>
      <c r="C91" s="178">
        <f t="shared" ref="C91:C100" si="12">B91*4.44</f>
        <v>106.56</v>
      </c>
      <c r="D91" s="178" t="s">
        <v>100</v>
      </c>
      <c r="E91" s="189"/>
      <c r="F91" s="189"/>
      <c r="G91" s="190" t="s">
        <v>463</v>
      </c>
      <c r="H91" s="188"/>
      <c r="I91" s="188"/>
      <c r="J91" s="188"/>
      <c r="K91" s="178"/>
      <c r="L91" s="178"/>
      <c r="M91" s="178"/>
      <c r="N91" s="178"/>
      <c r="O91" s="178"/>
      <c r="P91" s="178"/>
      <c r="Q91" s="178"/>
      <c r="R91" s="178"/>
    </row>
    <row r="92" spans="1:18" ht="16">
      <c r="A92" s="193" t="s">
        <v>464</v>
      </c>
      <c r="B92" s="194" t="s">
        <v>465</v>
      </c>
      <c r="C92" s="206" t="s">
        <v>466</v>
      </c>
      <c r="D92" s="195" t="s">
        <v>467</v>
      </c>
      <c r="E92" s="178"/>
      <c r="F92" s="181"/>
      <c r="G92" s="178"/>
      <c r="H92" s="178"/>
      <c r="I92" s="178"/>
      <c r="J92" s="178"/>
      <c r="K92" s="178"/>
      <c r="L92" s="178"/>
      <c r="M92" s="178"/>
      <c r="N92" s="178"/>
      <c r="O92" s="178"/>
      <c r="P92" s="178"/>
      <c r="Q92" s="178"/>
      <c r="R92" s="178"/>
    </row>
    <row r="93" spans="1:18" ht="16">
      <c r="A93" s="193" t="s">
        <v>468</v>
      </c>
      <c r="B93" s="196">
        <v>16</v>
      </c>
      <c r="C93" s="181">
        <f>B93*4.44</f>
        <v>71.040000000000006</v>
      </c>
      <c r="D93" s="195" t="s">
        <v>469</v>
      </c>
      <c r="E93" s="178"/>
      <c r="F93" s="181"/>
      <c r="G93" s="178"/>
      <c r="H93" s="178"/>
      <c r="I93" s="178"/>
      <c r="J93" s="178"/>
      <c r="K93" s="178"/>
      <c r="L93" s="178"/>
      <c r="M93" s="178"/>
      <c r="N93" s="178"/>
      <c r="O93" s="178"/>
      <c r="P93" s="178"/>
      <c r="Q93" s="178"/>
      <c r="R93" s="178"/>
    </row>
    <row r="94" spans="1:18" ht="16">
      <c r="A94" s="191" t="s">
        <v>162</v>
      </c>
      <c r="B94" s="181">
        <v>25</v>
      </c>
      <c r="C94" s="197">
        <f t="shared" si="12"/>
        <v>111.00000000000001</v>
      </c>
      <c r="D94" s="178" t="s">
        <v>470</v>
      </c>
      <c r="E94" s="181"/>
      <c r="F94" s="181"/>
      <c r="G94" s="178"/>
      <c r="H94" s="178"/>
      <c r="I94" s="178"/>
      <c r="J94" s="178"/>
      <c r="K94" s="178"/>
      <c r="L94" s="178"/>
      <c r="M94" s="178"/>
      <c r="N94" s="178"/>
      <c r="O94" s="178"/>
      <c r="P94" s="178"/>
      <c r="Q94" s="178"/>
      <c r="R94" s="178"/>
    </row>
    <row r="95" spans="1:18" ht="16">
      <c r="A95" s="191" t="s">
        <v>270</v>
      </c>
      <c r="B95" s="178">
        <v>4</v>
      </c>
      <c r="C95" s="197">
        <f t="shared" si="12"/>
        <v>17.760000000000002</v>
      </c>
      <c r="D95" s="178" t="s">
        <v>471</v>
      </c>
      <c r="E95" s="178"/>
      <c r="F95" s="178"/>
      <c r="G95" s="178"/>
      <c r="H95" s="178"/>
      <c r="I95" s="178"/>
      <c r="J95" s="178"/>
      <c r="K95" s="178"/>
      <c r="L95" s="178"/>
      <c r="M95" s="178"/>
      <c r="N95" s="178"/>
      <c r="O95" s="178"/>
      <c r="P95" s="178"/>
      <c r="Q95" s="178"/>
      <c r="R95" s="178"/>
    </row>
    <row r="96" spans="1:18" ht="16">
      <c r="A96" s="198"/>
      <c r="B96" s="178"/>
      <c r="C96" s="197"/>
      <c r="D96" s="178" t="s">
        <v>472</v>
      </c>
      <c r="E96" s="178"/>
      <c r="F96" s="178"/>
      <c r="G96" s="178"/>
      <c r="H96" s="178"/>
      <c r="I96" s="178"/>
      <c r="J96" s="178"/>
      <c r="K96" s="178"/>
      <c r="L96" s="178"/>
      <c r="M96" s="178"/>
      <c r="N96" s="178"/>
      <c r="O96" s="178"/>
      <c r="P96" s="178"/>
      <c r="Q96" s="178"/>
      <c r="R96" s="178"/>
    </row>
    <row r="97" spans="1:18" ht="16">
      <c r="A97" s="198" t="s">
        <v>71</v>
      </c>
      <c r="B97" s="199">
        <v>170</v>
      </c>
      <c r="C97" s="197">
        <f t="shared" si="12"/>
        <v>754.80000000000007</v>
      </c>
      <c r="D97" s="178" t="s">
        <v>473</v>
      </c>
      <c r="E97" s="178"/>
      <c r="F97" s="178"/>
      <c r="G97" s="178"/>
      <c r="H97" s="178"/>
      <c r="I97" s="178"/>
      <c r="J97" s="178"/>
      <c r="K97" s="178"/>
      <c r="L97" s="178"/>
      <c r="M97" s="178"/>
      <c r="N97" s="178"/>
      <c r="O97" s="178"/>
      <c r="P97" s="178"/>
      <c r="Q97" s="178"/>
      <c r="R97" s="178"/>
    </row>
    <row r="98" spans="1:18" ht="16">
      <c r="A98" s="198" t="s">
        <v>72</v>
      </c>
      <c r="B98" s="199">
        <v>25</v>
      </c>
      <c r="C98" s="197">
        <f t="shared" si="12"/>
        <v>111.00000000000001</v>
      </c>
      <c r="D98" s="178" t="s">
        <v>474</v>
      </c>
      <c r="E98" s="178"/>
      <c r="F98" s="178"/>
      <c r="G98" s="178"/>
      <c r="H98" s="178"/>
      <c r="I98" s="178"/>
      <c r="J98" s="178"/>
      <c r="K98" s="178"/>
      <c r="L98" s="178"/>
      <c r="M98" s="178"/>
      <c r="N98" s="178"/>
      <c r="O98" s="178"/>
      <c r="P98" s="178"/>
      <c r="Q98" s="178"/>
      <c r="R98" s="178"/>
    </row>
    <row r="99" spans="1:18" ht="16">
      <c r="A99" s="198" t="s">
        <v>72</v>
      </c>
      <c r="B99" s="200">
        <v>20</v>
      </c>
      <c r="C99" s="197">
        <f t="shared" si="12"/>
        <v>88.800000000000011</v>
      </c>
      <c r="D99" s="178" t="s">
        <v>475</v>
      </c>
      <c r="E99" s="178"/>
      <c r="F99" s="178"/>
      <c r="G99" s="178"/>
      <c r="H99" s="178"/>
      <c r="I99" s="178"/>
      <c r="J99" s="178"/>
      <c r="K99" s="178"/>
      <c r="L99" s="178"/>
      <c r="M99" s="178"/>
      <c r="N99" s="178"/>
      <c r="O99" s="178"/>
      <c r="P99" s="178"/>
      <c r="Q99" s="178"/>
      <c r="R99" s="178"/>
    </row>
    <row r="100" spans="1:18" ht="16">
      <c r="A100" s="198" t="s">
        <v>166</v>
      </c>
      <c r="B100" s="192">
        <v>50</v>
      </c>
      <c r="C100" s="197">
        <f t="shared" si="12"/>
        <v>222.00000000000003</v>
      </c>
      <c r="D100" s="178" t="s">
        <v>476</v>
      </c>
      <c r="E100" s="178"/>
      <c r="F100" s="178"/>
      <c r="G100" s="190" t="s">
        <v>463</v>
      </c>
      <c r="H100" s="178"/>
      <c r="I100" s="178"/>
      <c r="J100" s="178"/>
    </row>
    <row r="101" spans="1:18" ht="16">
      <c r="A101" s="198"/>
      <c r="B101" s="201"/>
      <c r="C101" s="197"/>
      <c r="D101" s="178" t="s">
        <v>477</v>
      </c>
      <c r="E101" s="178"/>
      <c r="F101" s="178"/>
      <c r="G101" s="190"/>
      <c r="H101" s="178"/>
      <c r="I101" s="178"/>
      <c r="J101" s="178"/>
    </row>
    <row r="102" spans="1:18" ht="16">
      <c r="A102" s="198" t="s">
        <v>478</v>
      </c>
      <c r="B102" s="202" t="s">
        <v>479</v>
      </c>
      <c r="C102" s="203" t="s">
        <v>480</v>
      </c>
      <c r="D102" s="178" t="s">
        <v>481</v>
      </c>
      <c r="E102" s="178"/>
      <c r="F102" s="178"/>
      <c r="G102" s="190"/>
      <c r="H102" s="178"/>
      <c r="I102" s="178"/>
      <c r="J102" s="178"/>
    </row>
    <row r="103" spans="1:18" ht="16">
      <c r="A103" s="198" t="s">
        <v>482</v>
      </c>
      <c r="B103" s="201"/>
      <c r="C103" s="197"/>
      <c r="D103" s="178" t="s">
        <v>483</v>
      </c>
      <c r="E103" s="178"/>
      <c r="F103" s="178"/>
      <c r="G103" s="190"/>
      <c r="H103" s="178"/>
      <c r="I103" s="178"/>
      <c r="J103" s="178"/>
    </row>
    <row r="104" spans="1:18" ht="16">
      <c r="A104" s="181"/>
      <c r="B104" s="201"/>
      <c r="C104" s="197"/>
      <c r="D104" s="178" t="s">
        <v>484</v>
      </c>
      <c r="E104" s="178"/>
      <c r="F104" s="178"/>
      <c r="G104" s="190"/>
      <c r="H104" s="178"/>
      <c r="I104" s="178"/>
      <c r="J104" s="178"/>
    </row>
    <row r="107" spans="1:18">
      <c r="A107" s="5" t="s">
        <v>486</v>
      </c>
    </row>
    <row r="108" spans="1:18">
      <c r="A108" s="5"/>
    </row>
    <row r="109" spans="1:18">
      <c r="A109" s="1" t="s">
        <v>262</v>
      </c>
    </row>
    <row r="110" spans="1:18">
      <c r="B110" s="1" t="s">
        <v>212</v>
      </c>
      <c r="F110" s="3"/>
      <c r="G110" s="3"/>
    </row>
    <row r="112" spans="1:18">
      <c r="B112" s="1" t="s">
        <v>347</v>
      </c>
    </row>
    <row r="113" spans="2:4">
      <c r="C113" s="1" t="s">
        <v>275</v>
      </c>
    </row>
    <row r="114" spans="2:4">
      <c r="B114" s="46" t="s">
        <v>214</v>
      </c>
      <c r="C114" s="13" t="s">
        <v>315</v>
      </c>
      <c r="D114" s="13"/>
    </row>
    <row r="115" spans="2:4">
      <c r="B115" s="20">
        <v>1250</v>
      </c>
      <c r="C115" s="1">
        <v>315</v>
      </c>
    </row>
    <row r="116" spans="2:4">
      <c r="B116" s="20">
        <v>1300</v>
      </c>
      <c r="C116" s="1">
        <v>381</v>
      </c>
    </row>
    <row r="117" spans="2:4">
      <c r="B117" s="20">
        <v>1380</v>
      </c>
      <c r="C117" s="1">
        <v>331</v>
      </c>
    </row>
    <row r="118" spans="2:4">
      <c r="B118" s="20">
        <v>1450</v>
      </c>
      <c r="C118" s="1">
        <v>266</v>
      </c>
    </row>
    <row r="119" spans="2:4">
      <c r="B119" s="20">
        <v>1600</v>
      </c>
      <c r="C119" s="1">
        <v>404</v>
      </c>
    </row>
    <row r="120" spans="2:4">
      <c r="B120" s="20">
        <v>1700</v>
      </c>
      <c r="C120" s="1">
        <v>405</v>
      </c>
    </row>
    <row r="121" spans="2:4">
      <c r="B121" s="20">
        <v>1800</v>
      </c>
      <c r="C121" s="11">
        <v>473</v>
      </c>
    </row>
    <row r="122" spans="2:4">
      <c r="B122" s="20">
        <v>1850</v>
      </c>
      <c r="C122" s="1">
        <v>539</v>
      </c>
    </row>
    <row r="123" spans="2:4">
      <c r="B123" s="1" t="s">
        <v>356</v>
      </c>
    </row>
  </sheetData>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2"/>
  <sheetViews>
    <sheetView workbookViewId="0">
      <selection activeCell="M27" sqref="M27"/>
    </sheetView>
  </sheetViews>
  <sheetFormatPr baseColWidth="10" defaultRowHeight="15" x14ac:dyDescent="0"/>
  <cols>
    <col min="1" max="1" width="14.6640625" style="321" customWidth="1"/>
    <col min="2" max="2" width="10.83203125" style="321"/>
    <col min="3" max="3" width="9" style="321" customWidth="1"/>
    <col min="4" max="5" width="10.83203125" style="321"/>
    <col min="6" max="7" width="10.83203125" style="321" customWidth="1"/>
    <col min="8" max="10" width="2.83203125" style="321" customWidth="1"/>
    <col min="11" max="16384" width="10.83203125" style="321"/>
  </cols>
  <sheetData>
    <row r="2" spans="1:7" ht="17">
      <c r="B2" s="322" t="s">
        <v>671</v>
      </c>
      <c r="C2" s="323" t="s">
        <v>681</v>
      </c>
    </row>
    <row r="3" spans="1:7" ht="17">
      <c r="B3" s="326"/>
      <c r="C3" s="323" t="s">
        <v>682</v>
      </c>
    </row>
    <row r="5" spans="1:7">
      <c r="D5" s="321" t="s">
        <v>674</v>
      </c>
    </row>
    <row r="6" spans="1:7">
      <c r="A6" s="321" t="s">
        <v>688</v>
      </c>
      <c r="D6" s="325" t="s">
        <v>678</v>
      </c>
      <c r="E6" s="325" t="s">
        <v>677</v>
      </c>
      <c r="F6" s="325"/>
      <c r="G6" s="325" t="s">
        <v>679</v>
      </c>
    </row>
    <row r="7" spans="1:7">
      <c r="D7" s="327" t="s">
        <v>676</v>
      </c>
      <c r="E7" s="327" t="s">
        <v>680</v>
      </c>
      <c r="F7" s="327" t="s">
        <v>213</v>
      </c>
      <c r="G7" s="327" t="s">
        <v>680</v>
      </c>
    </row>
    <row r="8" spans="1:7">
      <c r="A8" s="321" t="s">
        <v>675</v>
      </c>
      <c r="D8" s="324">
        <v>16164.344216639245</v>
      </c>
      <c r="E8" s="324">
        <v>5911.7854537445392</v>
      </c>
      <c r="F8" s="324">
        <v>21116.4492132298</v>
      </c>
      <c r="G8" s="324">
        <v>43192.578883613583</v>
      </c>
    </row>
    <row r="9" spans="1:7">
      <c r="A9" s="321" t="s">
        <v>683</v>
      </c>
      <c r="D9" s="324">
        <v>4519.3517144663492</v>
      </c>
      <c r="E9" s="324">
        <v>5370.156643863018</v>
      </c>
      <c r="F9" s="324">
        <v>25269.824422833397</v>
      </c>
      <c r="G9" s="324">
        <v>35159.332781162768</v>
      </c>
    </row>
    <row r="10" spans="1:7">
      <c r="A10" s="321" t="s">
        <v>689</v>
      </c>
      <c r="D10" s="324">
        <v>4022.8232835453155</v>
      </c>
      <c r="E10" s="324">
        <v>2763.1396339787925</v>
      </c>
      <c r="F10" s="324">
        <v>20328.436498454641</v>
      </c>
      <c r="G10" s="324">
        <v>27114.399415978747</v>
      </c>
    </row>
    <row r="11" spans="1:7">
      <c r="A11" s="321" t="s">
        <v>696</v>
      </c>
      <c r="D11" s="324">
        <f>SUM(D8:D10)</f>
        <v>24706.519214650911</v>
      </c>
      <c r="E11" s="324">
        <f t="shared" ref="E11:G11" si="0">SUM(E8:E10)</f>
        <v>14045.08173158635</v>
      </c>
      <c r="F11" s="324">
        <f t="shared" si="0"/>
        <v>66714.710134517838</v>
      </c>
      <c r="G11" s="324">
        <f t="shared" si="0"/>
        <v>105466.31108075511</v>
      </c>
    </row>
    <row r="12" spans="1:7">
      <c r="D12" s="324"/>
      <c r="E12" s="324"/>
      <c r="F12" s="324"/>
      <c r="G12" s="324"/>
    </row>
    <row r="13" spans="1:7">
      <c r="A13" s="321" t="s">
        <v>691</v>
      </c>
      <c r="D13" s="324"/>
      <c r="E13" s="324"/>
      <c r="F13" s="324"/>
      <c r="G13" s="324"/>
    </row>
    <row r="14" spans="1:7">
      <c r="A14" s="321" t="s">
        <v>694</v>
      </c>
      <c r="D14" s="324">
        <v>56627.580004860851</v>
      </c>
      <c r="E14" s="324">
        <v>32288.035954781852</v>
      </c>
      <c r="F14" s="324">
        <v>101642.1824922732</v>
      </c>
      <c r="G14" s="324">
        <v>190557.79845191591</v>
      </c>
    </row>
    <row r="15" spans="1:7">
      <c r="A15" s="321" t="s">
        <v>695</v>
      </c>
      <c r="D15" s="324">
        <v>100102.84681366665</v>
      </c>
      <c r="E15" s="324">
        <v>44848.421338890716</v>
      </c>
      <c r="F15" s="324">
        <v>146600.01607406538</v>
      </c>
      <c r="G15" s="324">
        <v>291551.28422662278</v>
      </c>
    </row>
    <row r="16" spans="1:7">
      <c r="A16" s="321" t="s">
        <v>692</v>
      </c>
      <c r="D16" s="324">
        <v>36059.458491147212</v>
      </c>
      <c r="E16" s="324">
        <v>38281.435302889739</v>
      </c>
      <c r="F16" s="324">
        <v>98813.543045095706</v>
      </c>
      <c r="G16" s="324">
        <v>173154.43683913266</v>
      </c>
    </row>
    <row r="17" spans="1:7">
      <c r="A17" s="321" t="s">
        <v>693</v>
      </c>
      <c r="D17" s="324">
        <v>33038.028561074745</v>
      </c>
      <c r="E17" s="324">
        <v>36652.608660444945</v>
      </c>
      <c r="F17" s="324">
        <v>94095.445230154539</v>
      </c>
      <c r="G17" s="324">
        <v>163786.08245167421</v>
      </c>
    </row>
    <row r="18" spans="1:7">
      <c r="D18" s="324"/>
      <c r="E18" s="324"/>
      <c r="F18" s="324"/>
      <c r="G18" s="324"/>
    </row>
    <row r="19" spans="1:7">
      <c r="A19" s="321" t="s">
        <v>697</v>
      </c>
      <c r="D19" s="324">
        <v>-7761.9423912662796</v>
      </c>
      <c r="E19" s="324">
        <v>-3870.6897502592501</v>
      </c>
      <c r="F19" s="324">
        <v>-11180.6400741501</v>
      </c>
      <c r="G19" s="324">
        <v>-22813.272215675599</v>
      </c>
    </row>
    <row r="20" spans="1:7">
      <c r="A20" s="321" t="s">
        <v>696</v>
      </c>
      <c r="D20" s="324">
        <f>D11+D19</f>
        <v>16944.576823384632</v>
      </c>
      <c r="E20" s="324">
        <f t="shared" ref="E20:G20" si="1">E11+E19</f>
        <v>10174.391981327099</v>
      </c>
      <c r="F20" s="324">
        <f t="shared" si="1"/>
        <v>55534.07006036774</v>
      </c>
      <c r="G20" s="324">
        <f t="shared" si="1"/>
        <v>82653.038865079521</v>
      </c>
    </row>
    <row r="21" spans="1:7">
      <c r="D21" s="324"/>
      <c r="E21" s="324"/>
      <c r="F21" s="324"/>
      <c r="G21" s="324"/>
    </row>
    <row r="22" spans="1:7">
      <c r="A22" s="321" t="s">
        <v>698</v>
      </c>
      <c r="D22" s="324"/>
      <c r="E22" s="324"/>
      <c r="F22" s="324"/>
      <c r="G22" s="324"/>
    </row>
    <row r="23" spans="1:7">
      <c r="A23" s="321" t="s">
        <v>699</v>
      </c>
      <c r="D23" s="324"/>
      <c r="E23" s="324"/>
      <c r="F23" s="324"/>
      <c r="G23" s="324"/>
    </row>
    <row r="24" spans="1:7">
      <c r="B24" s="321" t="s">
        <v>704</v>
      </c>
      <c r="D24" s="328">
        <v>-21.52539920468266</v>
      </c>
      <c r="E24" s="328">
        <v>-10.111140608061431</v>
      </c>
      <c r="F24" s="328">
        <v>-11.314886329951278</v>
      </c>
      <c r="G24" s="328">
        <v>-13.175101159475355</v>
      </c>
    </row>
    <row r="25" spans="1:7">
      <c r="B25" s="321" t="s">
        <v>705</v>
      </c>
      <c r="D25" s="328">
        <v>-20.909627568898316</v>
      </c>
      <c r="E25" s="328">
        <v>-9.398823176939219</v>
      </c>
      <c r="F25" s="328">
        <v>-10.575187397917373</v>
      </c>
      <c r="G25" s="328">
        <v>-12.396543081089927</v>
      </c>
    </row>
    <row r="26" spans="1:7">
      <c r="D26" s="324"/>
      <c r="E26" s="324"/>
      <c r="F26" s="324"/>
      <c r="G26" s="324"/>
    </row>
    <row r="27" spans="1:7">
      <c r="A27" s="321" t="s">
        <v>685</v>
      </c>
      <c r="D27" s="324"/>
      <c r="E27" s="324"/>
      <c r="F27" s="324"/>
      <c r="G27" s="324"/>
    </row>
    <row r="28" spans="1:7">
      <c r="A28" s="321" t="s">
        <v>707</v>
      </c>
      <c r="D28" s="324"/>
      <c r="E28" s="324"/>
      <c r="F28" s="324"/>
      <c r="G28" s="324"/>
    </row>
    <row r="29" spans="1:7">
      <c r="A29" s="321" t="s">
        <v>706</v>
      </c>
      <c r="D29" s="324"/>
      <c r="E29" s="324"/>
      <c r="F29" s="324"/>
      <c r="G29" s="324"/>
    </row>
    <row r="30" spans="1:7">
      <c r="A30" s="321" t="s">
        <v>684</v>
      </c>
      <c r="D30" s="324"/>
      <c r="E30" s="324"/>
      <c r="F30" s="324"/>
      <c r="G30" s="324"/>
    </row>
    <row r="31" spans="1:7">
      <c r="A31" s="321" t="s">
        <v>686</v>
      </c>
      <c r="D31" s="324"/>
      <c r="E31" s="324"/>
      <c r="F31" s="324"/>
      <c r="G31" s="324"/>
    </row>
    <row r="32" spans="1:7">
      <c r="A32" s="321" t="s">
        <v>687</v>
      </c>
      <c r="D32" s="324"/>
      <c r="E32" s="324"/>
      <c r="F32" s="324"/>
      <c r="G32" s="324"/>
    </row>
    <row r="33" spans="1:7">
      <c r="A33" s="321" t="s">
        <v>690</v>
      </c>
      <c r="D33" s="324"/>
      <c r="E33" s="324"/>
      <c r="F33" s="324"/>
      <c r="G33" s="324"/>
    </row>
    <row r="34" spans="1:7">
      <c r="D34" s="324"/>
      <c r="E34" s="324"/>
      <c r="F34" s="324"/>
      <c r="G34" s="324"/>
    </row>
    <row r="35" spans="1:7">
      <c r="D35" s="324"/>
      <c r="E35" s="324"/>
      <c r="F35" s="324"/>
      <c r="G35" s="324"/>
    </row>
    <row r="36" spans="1:7">
      <c r="D36" s="324"/>
      <c r="E36" s="324"/>
      <c r="F36" s="324"/>
      <c r="G36" s="324"/>
    </row>
    <row r="37" spans="1:7">
      <c r="D37" s="324"/>
      <c r="E37" s="324"/>
      <c r="F37" s="324"/>
      <c r="G37" s="324"/>
    </row>
    <row r="38" spans="1:7">
      <c r="D38" s="324"/>
      <c r="E38" s="324"/>
      <c r="F38" s="324"/>
      <c r="G38" s="324"/>
    </row>
    <row r="39" spans="1:7">
      <c r="D39" s="324"/>
      <c r="E39" s="324"/>
      <c r="F39" s="324"/>
      <c r="G39" s="324"/>
    </row>
    <row r="40" spans="1:7">
      <c r="D40" s="324"/>
      <c r="E40" s="324"/>
      <c r="F40" s="324"/>
      <c r="G40" s="324"/>
    </row>
    <row r="41" spans="1:7">
      <c r="D41" s="324"/>
      <c r="E41" s="324"/>
      <c r="F41" s="324"/>
      <c r="G41" s="324"/>
    </row>
    <row r="42" spans="1:7">
      <c r="D42" s="324"/>
      <c r="E42" s="324"/>
      <c r="F42" s="324"/>
      <c r="G42" s="324"/>
    </row>
  </sheetData>
  <phoneticPr fontId="41"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election activeCell="G17" sqref="G17"/>
    </sheetView>
  </sheetViews>
  <sheetFormatPr baseColWidth="10" defaultColWidth="8.83203125" defaultRowHeight="15" x14ac:dyDescent="0"/>
  <cols>
    <col min="1" max="1" width="11.1640625" style="1" customWidth="1"/>
    <col min="2" max="16" width="9" style="1" bestFit="1" customWidth="1"/>
    <col min="17" max="16384" width="8.83203125" style="1"/>
  </cols>
  <sheetData>
    <row r="1" spans="1:16" ht="17">
      <c r="B1" s="51" t="s">
        <v>399</v>
      </c>
      <c r="C1" s="12"/>
      <c r="D1" s="5"/>
    </row>
    <row r="3" spans="1:16">
      <c r="B3" s="331" t="s">
        <v>326</v>
      </c>
      <c r="C3" s="331"/>
      <c r="D3" s="331"/>
      <c r="E3" s="332"/>
      <c r="F3" s="332"/>
      <c r="G3" s="332"/>
      <c r="H3" s="332"/>
      <c r="I3" s="332"/>
      <c r="J3" s="332"/>
      <c r="K3" s="332"/>
      <c r="L3" s="332"/>
      <c r="M3" s="332"/>
      <c r="N3" s="332"/>
      <c r="O3" s="332"/>
      <c r="P3" s="332"/>
    </row>
    <row r="4" spans="1:16" ht="15" customHeight="1">
      <c r="B4" s="331" t="s">
        <v>218</v>
      </c>
      <c r="C4" s="331"/>
      <c r="D4" s="331"/>
      <c r="E4" s="331" t="s">
        <v>219</v>
      </c>
      <c r="F4" s="331"/>
      <c r="G4" s="331"/>
      <c r="H4" s="331" t="s">
        <v>223</v>
      </c>
      <c r="I4" s="331"/>
      <c r="J4" s="331"/>
      <c r="K4" s="331" t="s">
        <v>252</v>
      </c>
      <c r="L4" s="331"/>
      <c r="M4" s="331"/>
      <c r="N4" s="331" t="s">
        <v>225</v>
      </c>
      <c r="O4" s="331"/>
      <c r="P4" s="331"/>
    </row>
    <row r="5" spans="1:16" ht="15" customHeight="1">
      <c r="B5" s="331" t="s">
        <v>248</v>
      </c>
      <c r="C5" s="331" t="s">
        <v>170</v>
      </c>
      <c r="D5" s="331"/>
      <c r="E5" s="331" t="s">
        <v>248</v>
      </c>
      <c r="F5" s="331" t="s">
        <v>170</v>
      </c>
      <c r="G5" s="331"/>
      <c r="H5" s="331" t="s">
        <v>248</v>
      </c>
      <c r="I5" s="331" t="s">
        <v>170</v>
      </c>
      <c r="J5" s="331"/>
      <c r="K5" s="331" t="s">
        <v>248</v>
      </c>
      <c r="L5" s="331" t="s">
        <v>170</v>
      </c>
      <c r="M5" s="331"/>
      <c r="N5" s="331" t="s">
        <v>248</v>
      </c>
      <c r="O5" s="331" t="s">
        <v>170</v>
      </c>
      <c r="P5" s="331"/>
    </row>
    <row r="6" spans="1:16" ht="30">
      <c r="B6" s="333"/>
      <c r="C6" s="8" t="s">
        <v>167</v>
      </c>
      <c r="D6" s="8" t="s">
        <v>155</v>
      </c>
      <c r="E6" s="333"/>
      <c r="F6" s="8" t="s">
        <v>167</v>
      </c>
      <c r="G6" s="8" t="s">
        <v>155</v>
      </c>
      <c r="H6" s="333"/>
      <c r="I6" s="8" t="s">
        <v>167</v>
      </c>
      <c r="J6" s="8" t="s">
        <v>155</v>
      </c>
      <c r="K6" s="333"/>
      <c r="L6" s="8" t="s">
        <v>167</v>
      </c>
      <c r="M6" s="8" t="s">
        <v>155</v>
      </c>
      <c r="N6" s="333"/>
      <c r="O6" s="8" t="s">
        <v>167</v>
      </c>
      <c r="P6" s="8" t="s">
        <v>155</v>
      </c>
    </row>
    <row r="7" spans="1:16">
      <c r="D7" s="2"/>
      <c r="E7" s="2"/>
      <c r="F7" s="3"/>
      <c r="H7" s="2"/>
      <c r="K7" s="2"/>
      <c r="N7" s="2"/>
      <c r="O7" s="2"/>
      <c r="P7" s="2"/>
    </row>
    <row r="8" spans="1:16">
      <c r="D8" s="2"/>
      <c r="E8" s="2"/>
      <c r="F8" s="3"/>
      <c r="H8" s="2"/>
      <c r="K8" s="2"/>
      <c r="N8" s="2"/>
      <c r="O8" s="2"/>
      <c r="P8" s="2"/>
    </row>
    <row r="9" spans="1:16">
      <c r="A9" s="9" t="s">
        <v>288</v>
      </c>
      <c r="B9" s="1">
        <v>11500</v>
      </c>
      <c r="C9" s="3">
        <f>D9/B9</f>
        <v>153.28962840000003</v>
      </c>
      <c r="D9" s="2">
        <f>G9+J9+M9+P9</f>
        <v>1762830.7266000002</v>
      </c>
      <c r="E9" s="2">
        <f>11500*0.4</f>
        <v>4600</v>
      </c>
      <c r="F9" s="3">
        <f>0.802*189.17</f>
        <v>151.71433999999999</v>
      </c>
      <c r="G9" s="2">
        <f>E9*F9</f>
        <v>697885.96399999992</v>
      </c>
      <c r="H9" s="2">
        <f>11500*0.15</f>
        <v>1725</v>
      </c>
      <c r="I9" s="3">
        <f>0.802*296.09</f>
        <v>237.46418</v>
      </c>
      <c r="J9" s="2">
        <f>H9*I9</f>
        <v>409625.71049999999</v>
      </c>
      <c r="K9" s="2">
        <f>11500*0.31</f>
        <v>3565</v>
      </c>
      <c r="L9" s="3">
        <f>0.802*138.97</f>
        <v>111.45394</v>
      </c>
      <c r="M9" s="2">
        <f>K9*L9</f>
        <v>397333.29610000004</v>
      </c>
      <c r="N9" s="2">
        <f>11500*0.14</f>
        <v>1610.0000000000002</v>
      </c>
      <c r="O9" s="3">
        <f>0.802*199.8</f>
        <v>160.23960000000002</v>
      </c>
      <c r="P9" s="2">
        <f>N9*O9</f>
        <v>257985.75600000008</v>
      </c>
    </row>
    <row r="10" spans="1:16">
      <c r="A10" s="9"/>
      <c r="C10" s="3"/>
      <c r="D10" s="2"/>
      <c r="E10" s="2"/>
      <c r="F10" s="3"/>
      <c r="H10" s="2"/>
      <c r="K10" s="2"/>
      <c r="N10" s="2"/>
      <c r="O10" s="2"/>
      <c r="P10" s="2"/>
    </row>
    <row r="11" spans="1:16">
      <c r="A11" s="9" t="s">
        <v>218</v>
      </c>
      <c r="B11" s="1">
        <v>11500</v>
      </c>
      <c r="C11" s="3">
        <v>153.28962840000003</v>
      </c>
      <c r="D11" s="2">
        <v>1762830.7266000002</v>
      </c>
      <c r="E11" s="2">
        <v>4600</v>
      </c>
      <c r="F11" s="3">
        <v>151.71433999999999</v>
      </c>
      <c r="G11" s="1">
        <v>697885.96399999992</v>
      </c>
      <c r="H11" s="2">
        <v>1725</v>
      </c>
      <c r="I11" s="1">
        <v>237.46418</v>
      </c>
      <c r="J11" s="1">
        <v>409625.71049999999</v>
      </c>
      <c r="K11" s="2">
        <v>3565</v>
      </c>
      <c r="L11" s="1">
        <v>111.45394</v>
      </c>
      <c r="M11" s="1">
        <v>397333.29610000004</v>
      </c>
      <c r="N11" s="2">
        <v>1610.0000000000002</v>
      </c>
      <c r="O11" s="2">
        <v>160.23960000000002</v>
      </c>
      <c r="P11" s="2">
        <v>257985.75600000008</v>
      </c>
    </row>
    <row r="12" spans="1:16">
      <c r="C12" s="3"/>
      <c r="D12" s="2"/>
      <c r="E12" s="2"/>
      <c r="F12" s="3"/>
      <c r="H12" s="2"/>
      <c r="K12" s="2"/>
      <c r="N12" s="2"/>
      <c r="O12" s="2"/>
      <c r="P12" s="2"/>
    </row>
    <row r="13" spans="1:16">
      <c r="A13" s="65" t="s">
        <v>259</v>
      </c>
    </row>
    <row r="14" spans="1:16">
      <c r="A14" s="1" t="s">
        <v>305</v>
      </c>
    </row>
    <row r="15" spans="1:16">
      <c r="A15" s="1" t="s">
        <v>278</v>
      </c>
    </row>
    <row r="16" spans="1:16">
      <c r="A16" s="1" t="s">
        <v>229</v>
      </c>
    </row>
    <row r="17" spans="1:1">
      <c r="A17" s="1" t="s">
        <v>95</v>
      </c>
    </row>
    <row r="19" spans="1:1">
      <c r="A19" s="13" t="s">
        <v>673</v>
      </c>
    </row>
    <row r="20" spans="1:1">
      <c r="A20" s="1" t="s">
        <v>672</v>
      </c>
    </row>
    <row r="21" spans="1:1">
      <c r="A21" s="1" t="s">
        <v>321</v>
      </c>
    </row>
    <row r="22" spans="1:1">
      <c r="A22" s="1" t="s">
        <v>276</v>
      </c>
    </row>
    <row r="23" spans="1:1">
      <c r="A23" s="1" t="s">
        <v>261</v>
      </c>
    </row>
    <row r="24" spans="1:1">
      <c r="A24" s="1" t="s">
        <v>318</v>
      </c>
    </row>
    <row r="25" spans="1:1">
      <c r="A25" s="1" t="s">
        <v>390</v>
      </c>
    </row>
  </sheetData>
  <mergeCells count="16">
    <mergeCell ref="N5:N6"/>
    <mergeCell ref="O5:P5"/>
    <mergeCell ref="K5:K6"/>
    <mergeCell ref="L5:M5"/>
    <mergeCell ref="B5:B6"/>
    <mergeCell ref="C5:D5"/>
    <mergeCell ref="E5:E6"/>
    <mergeCell ref="F5:G5"/>
    <mergeCell ref="H5:H6"/>
    <mergeCell ref="I5:J5"/>
    <mergeCell ref="B3:P3"/>
    <mergeCell ref="B4:D4"/>
    <mergeCell ref="E4:G4"/>
    <mergeCell ref="H4:J4"/>
    <mergeCell ref="K4:M4"/>
    <mergeCell ref="N4:P4"/>
  </mergeCells>
  <phoneticPr fontId="2"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36"/>
  <sheetViews>
    <sheetView workbookViewId="0">
      <selection activeCell="G98" sqref="G98"/>
    </sheetView>
  </sheetViews>
  <sheetFormatPr baseColWidth="10" defaultColWidth="8.83203125" defaultRowHeight="15" x14ac:dyDescent="0"/>
  <cols>
    <col min="1" max="1" width="22" style="14" customWidth="1"/>
    <col min="2" max="2" width="13" style="14" customWidth="1"/>
    <col min="3" max="3" width="12.5" style="14" customWidth="1"/>
    <col min="4" max="4" width="11.1640625" style="14" customWidth="1"/>
    <col min="5" max="5" width="10.33203125" style="14" customWidth="1"/>
    <col min="6" max="6" width="12.83203125" style="14" customWidth="1"/>
    <col min="7" max="8" width="13" style="14" customWidth="1"/>
    <col min="9" max="9" width="13.33203125" style="14" customWidth="1"/>
    <col min="10" max="13" width="12.33203125" style="14" customWidth="1"/>
    <col min="14" max="14" width="13" style="14" customWidth="1"/>
    <col min="15" max="15" width="13.83203125" style="14" customWidth="1"/>
    <col min="16" max="16" width="12.33203125" style="14" customWidth="1"/>
    <col min="17" max="17" width="10.1640625" style="14" customWidth="1"/>
    <col min="18" max="19" width="12.33203125" style="14" customWidth="1"/>
    <col min="20" max="20" width="10.1640625" style="14" customWidth="1"/>
    <col min="21" max="25" width="12.33203125" style="14" customWidth="1"/>
    <col min="26" max="26" width="13.1640625" style="14" customWidth="1"/>
    <col min="27" max="27" width="12.5" style="14" customWidth="1"/>
    <col min="28" max="28" width="13.1640625" style="14" customWidth="1"/>
    <col min="29" max="29" width="11.5" style="14" customWidth="1"/>
    <col min="30" max="30" width="13.83203125" style="14" customWidth="1"/>
    <col min="31" max="31" width="14" style="14" customWidth="1"/>
    <col min="32" max="32" width="14.33203125" style="14" customWidth="1"/>
    <col min="33" max="33" width="12.5" style="14" customWidth="1"/>
    <col min="34" max="34" width="11.5" style="14" customWidth="1"/>
    <col min="35" max="35" width="13.5" style="14" customWidth="1"/>
    <col min="36" max="36" width="11.6640625" style="14" customWidth="1"/>
    <col min="37" max="37" width="11.5" style="14" customWidth="1"/>
    <col min="38" max="16384" width="8.83203125" style="14"/>
  </cols>
  <sheetData>
    <row r="1" spans="1:82" ht="18">
      <c r="B1" s="157" t="s">
        <v>112</v>
      </c>
    </row>
    <row r="3" spans="1:82">
      <c r="A3" s="9" t="s">
        <v>244</v>
      </c>
      <c r="B3" s="34" t="s">
        <v>113</v>
      </c>
    </row>
    <row r="4" spans="1:82">
      <c r="B4" s="14" t="s">
        <v>211</v>
      </c>
    </row>
    <row r="5" spans="1:82">
      <c r="B5" s="34"/>
    </row>
    <row r="6" spans="1:82">
      <c r="A6" s="34"/>
      <c r="B6" s="47" t="s">
        <v>154</v>
      </c>
      <c r="C6" s="47"/>
      <c r="D6" s="47"/>
      <c r="E6" s="47"/>
      <c r="I6" s="47" t="s">
        <v>247</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20"/>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1:82" ht="15" customHeight="1">
      <c r="A7" s="7"/>
      <c r="B7" s="47"/>
      <c r="C7" s="47"/>
      <c r="D7" s="47"/>
      <c r="E7" s="47"/>
      <c r="F7" s="117" t="s">
        <v>2</v>
      </c>
      <c r="G7" s="118"/>
      <c r="H7" s="119"/>
      <c r="I7" s="57"/>
      <c r="J7" s="56" t="s">
        <v>346</v>
      </c>
      <c r="K7" s="58"/>
      <c r="L7" s="59"/>
      <c r="N7" s="113" t="s">
        <v>285</v>
      </c>
      <c r="O7" s="114"/>
      <c r="P7" s="114"/>
      <c r="Q7" s="115"/>
      <c r="R7" s="115"/>
      <c r="S7" s="115"/>
      <c r="T7" s="115"/>
      <c r="U7" s="115"/>
      <c r="V7" s="115"/>
      <c r="W7" s="115"/>
      <c r="X7" s="115"/>
      <c r="Y7" s="116"/>
      <c r="Z7" s="109" t="s">
        <v>253</v>
      </c>
      <c r="AA7" s="110"/>
      <c r="AB7" s="110"/>
      <c r="AC7" s="110"/>
      <c r="AD7" s="110"/>
      <c r="AE7" s="110"/>
      <c r="AF7" s="110"/>
      <c r="AG7" s="110"/>
      <c r="AH7" s="110"/>
      <c r="AI7" s="110"/>
      <c r="AJ7" s="111"/>
      <c r="AK7" s="112"/>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1:82" ht="15" customHeight="1">
      <c r="A8" s="49"/>
      <c r="B8" s="60"/>
      <c r="C8" s="52" t="s">
        <v>90</v>
      </c>
      <c r="D8" s="60"/>
      <c r="E8" s="60"/>
      <c r="G8" s="16" t="s">
        <v>130</v>
      </c>
      <c r="K8" s="16" t="s">
        <v>130</v>
      </c>
      <c r="N8" s="120" t="s">
        <v>218</v>
      </c>
      <c r="O8" s="121"/>
      <c r="P8" s="122"/>
      <c r="Q8" s="60" t="s">
        <v>279</v>
      </c>
      <c r="R8" s="60"/>
      <c r="S8" s="60"/>
      <c r="T8" s="60" t="s">
        <v>223</v>
      </c>
      <c r="U8" s="60"/>
      <c r="V8" s="60"/>
      <c r="W8" s="60" t="s">
        <v>224</v>
      </c>
      <c r="X8" s="60"/>
      <c r="Y8" s="60"/>
      <c r="Z8" s="120" t="s">
        <v>218</v>
      </c>
      <c r="AA8" s="121"/>
      <c r="AB8" s="122"/>
      <c r="AC8" s="60" t="s">
        <v>219</v>
      </c>
      <c r="AD8" s="60"/>
      <c r="AE8" s="60"/>
      <c r="AF8" s="60" t="s">
        <v>223</v>
      </c>
      <c r="AG8" s="60"/>
      <c r="AH8" s="60"/>
      <c r="AI8" s="60" t="s">
        <v>224</v>
      </c>
      <c r="AJ8" s="60"/>
      <c r="AK8" s="60"/>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row>
    <row r="9" spans="1:82" s="16" customFormat="1" ht="15" customHeight="1">
      <c r="A9" s="52"/>
      <c r="B9" s="52" t="s">
        <v>280</v>
      </c>
      <c r="C9" s="52" t="s">
        <v>91</v>
      </c>
      <c r="D9" s="52"/>
      <c r="E9" s="52"/>
      <c r="F9" s="52" t="s">
        <v>280</v>
      </c>
      <c r="G9" s="52" t="s">
        <v>177</v>
      </c>
      <c r="H9" s="52" t="s">
        <v>130</v>
      </c>
      <c r="J9" s="52" t="s">
        <v>280</v>
      </c>
      <c r="K9" s="52" t="s">
        <v>177</v>
      </c>
      <c r="L9" s="52" t="s">
        <v>130</v>
      </c>
      <c r="M9" s="52"/>
      <c r="N9" s="52" t="s">
        <v>280</v>
      </c>
      <c r="O9" s="52" t="s">
        <v>422</v>
      </c>
      <c r="P9" s="52" t="s">
        <v>130</v>
      </c>
      <c r="Q9" s="52" t="s">
        <v>280</v>
      </c>
      <c r="R9" s="52" t="s">
        <v>199</v>
      </c>
      <c r="S9" s="52" t="s">
        <v>130</v>
      </c>
      <c r="T9" s="52" t="s">
        <v>280</v>
      </c>
      <c r="U9" s="52" t="s">
        <v>199</v>
      </c>
      <c r="V9" s="52" t="s">
        <v>130</v>
      </c>
      <c r="W9" s="52" t="s">
        <v>280</v>
      </c>
      <c r="X9" s="52" t="s">
        <v>199</v>
      </c>
      <c r="Y9" s="52" t="s">
        <v>130</v>
      </c>
      <c r="Z9" s="52" t="s">
        <v>280</v>
      </c>
      <c r="AA9" s="52" t="s">
        <v>199</v>
      </c>
      <c r="AB9" s="52" t="s">
        <v>130</v>
      </c>
      <c r="AC9" s="52" t="s">
        <v>280</v>
      </c>
      <c r="AD9" s="52" t="s">
        <v>199</v>
      </c>
      <c r="AE9" s="52" t="s">
        <v>130</v>
      </c>
      <c r="AF9" s="52" t="s">
        <v>280</v>
      </c>
      <c r="AG9" s="52" t="s">
        <v>199</v>
      </c>
      <c r="AH9" s="52" t="s">
        <v>130</v>
      </c>
      <c r="AI9" s="52" t="s">
        <v>280</v>
      </c>
      <c r="AJ9" s="52" t="s">
        <v>199</v>
      </c>
      <c r="AK9" s="52" t="s">
        <v>130</v>
      </c>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row>
    <row r="10" spans="1:82" s="17" customFormat="1">
      <c r="A10" s="62" t="s">
        <v>200</v>
      </c>
      <c r="B10" s="17" t="s">
        <v>176</v>
      </c>
      <c r="C10" s="61" t="s">
        <v>167</v>
      </c>
      <c r="D10" s="61" t="s">
        <v>155</v>
      </c>
      <c r="E10" s="61"/>
      <c r="F10" s="17" t="s">
        <v>176</v>
      </c>
      <c r="G10" s="61" t="s">
        <v>167</v>
      </c>
      <c r="H10" s="61" t="s">
        <v>155</v>
      </c>
      <c r="J10" s="17" t="s">
        <v>176</v>
      </c>
      <c r="K10" s="61" t="s">
        <v>167</v>
      </c>
      <c r="L10" s="61" t="s">
        <v>155</v>
      </c>
      <c r="M10" s="61"/>
      <c r="N10" s="17" t="s">
        <v>176</v>
      </c>
      <c r="O10" s="61" t="s">
        <v>423</v>
      </c>
      <c r="P10" s="61" t="s">
        <v>155</v>
      </c>
      <c r="Q10" s="17" t="s">
        <v>176</v>
      </c>
      <c r="R10" s="61" t="s">
        <v>167</v>
      </c>
      <c r="S10" s="61" t="s">
        <v>155</v>
      </c>
      <c r="T10" s="17" t="s">
        <v>176</v>
      </c>
      <c r="U10" s="61" t="s">
        <v>167</v>
      </c>
      <c r="V10" s="61" t="s">
        <v>155</v>
      </c>
      <c r="W10" s="17" t="s">
        <v>176</v>
      </c>
      <c r="X10" s="61" t="s">
        <v>167</v>
      </c>
      <c r="Y10" s="61" t="s">
        <v>155</v>
      </c>
      <c r="Z10" s="17" t="s">
        <v>176</v>
      </c>
      <c r="AA10" s="61" t="s">
        <v>167</v>
      </c>
      <c r="AB10" s="61" t="s">
        <v>155</v>
      </c>
      <c r="AC10" s="17" t="s">
        <v>176</v>
      </c>
      <c r="AD10" s="61" t="s">
        <v>167</v>
      </c>
      <c r="AE10" s="61" t="s">
        <v>155</v>
      </c>
      <c r="AF10" s="17" t="s">
        <v>176</v>
      </c>
      <c r="AG10" s="61" t="s">
        <v>167</v>
      </c>
      <c r="AH10" s="61" t="s">
        <v>155</v>
      </c>
      <c r="AI10" s="17" t="s">
        <v>176</v>
      </c>
      <c r="AJ10" s="61" t="s">
        <v>167</v>
      </c>
      <c r="AK10" s="61" t="s">
        <v>155</v>
      </c>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row>
    <row r="11" spans="1:82">
      <c r="A11" s="7" t="s">
        <v>226</v>
      </c>
      <c r="B11" s="329">
        <v>2231</v>
      </c>
      <c r="C11" s="41">
        <f>D11/B11</f>
        <v>53.45159234448073</v>
      </c>
      <c r="D11" s="44">
        <f>H11+L11</f>
        <v>119250.50252053651</v>
      </c>
      <c r="E11" s="330"/>
      <c r="F11" s="44">
        <v>1896.3002276769951</v>
      </c>
      <c r="G11" s="156">
        <f>0.401*137.07</f>
        <v>54.965069999999997</v>
      </c>
      <c r="H11" s="44">
        <f>F11*G11</f>
        <v>104230.27475528196</v>
      </c>
      <c r="I11" s="44"/>
      <c r="J11" s="44">
        <f>B11-F11</f>
        <v>334.69977232300494</v>
      </c>
      <c r="K11" s="42">
        <f>L11/J11</f>
        <v>44.876719398420001</v>
      </c>
      <c r="L11" s="44">
        <f>P11+AB11</f>
        <v>15020.227765254553</v>
      </c>
      <c r="M11" s="4"/>
      <c r="N11" s="6">
        <v>0</v>
      </c>
      <c r="O11" s="42"/>
      <c r="P11" s="4">
        <f>S11+V11+Y11</f>
        <v>0</v>
      </c>
      <c r="Q11" s="4">
        <f>N11*0.423</f>
        <v>0</v>
      </c>
      <c r="R11" s="42">
        <f>178.92*0.523</f>
        <v>93.575159999999997</v>
      </c>
      <c r="S11" s="4">
        <f>Q11*R11</f>
        <v>0</v>
      </c>
      <c r="T11" s="4">
        <f>N11*0.239</f>
        <v>0</v>
      </c>
      <c r="U11" s="42">
        <f>240.38*0.523</f>
        <v>125.71874</v>
      </c>
      <c r="V11" s="4">
        <f>T11*U11</f>
        <v>0</v>
      </c>
      <c r="W11" s="4">
        <f>N11*0.338</f>
        <v>0</v>
      </c>
      <c r="X11" s="42">
        <f>108.57*0.523</f>
        <v>56.782109999999996</v>
      </c>
      <c r="Y11" s="4">
        <f>W11*X11</f>
        <v>0</v>
      </c>
      <c r="Z11" s="4">
        <f>J11*0.546</f>
        <v>182.74607568836072</v>
      </c>
      <c r="AA11" s="42">
        <f>AB11/Z11</f>
        <v>82.19179376999999</v>
      </c>
      <c r="AB11" s="4">
        <f>AE11+AH11+AK11</f>
        <v>15020.227765254553</v>
      </c>
      <c r="AC11" s="4">
        <f>Z11*0.423</f>
        <v>77.301590016176576</v>
      </c>
      <c r="AD11" s="42">
        <f>178.92*0.471</f>
        <v>84.271319999999989</v>
      </c>
      <c r="AE11" s="4">
        <f>AC11*AD11</f>
        <v>6514.3070287620203</v>
      </c>
      <c r="AF11" s="4">
        <f>Z11*0.239</f>
        <v>43.676312089518213</v>
      </c>
      <c r="AG11" s="42">
        <f>240.11*0.471</f>
        <v>113.09181</v>
      </c>
      <c r="AH11" s="4">
        <f>AF11*AG11</f>
        <v>4939.4331883284967</v>
      </c>
      <c r="AI11" s="4">
        <f>Z11*0.338</f>
        <v>61.768173582665931</v>
      </c>
      <c r="AJ11" s="42">
        <f>122.59*0.471</f>
        <v>57.739889999999995</v>
      </c>
      <c r="AK11" s="4">
        <f>AI11*AJ11</f>
        <v>3566.4875481640365</v>
      </c>
    </row>
    <row r="12" spans="1:82">
      <c r="A12" s="7" t="s">
        <v>370</v>
      </c>
      <c r="B12" s="329">
        <v>18779.636609038462</v>
      </c>
      <c r="C12" s="41">
        <f>D12/B12</f>
        <v>56.311266010263402</v>
      </c>
      <c r="D12" s="44">
        <f>H12+L12</f>
        <v>1057505.1126676458</v>
      </c>
      <c r="E12" s="330"/>
      <c r="F12" s="44">
        <v>16256.348901912796</v>
      </c>
      <c r="G12" s="156">
        <f>0.401*119.88</f>
        <v>48.07188</v>
      </c>
      <c r="H12" s="44">
        <f>F12*G12</f>
        <v>781473.25365088368</v>
      </c>
      <c r="I12" s="44"/>
      <c r="J12" s="44">
        <f>B12-F12</f>
        <v>2523.2877071256662</v>
      </c>
      <c r="K12" s="42">
        <f>L12/J12</f>
        <v>109.39373193047261</v>
      </c>
      <c r="L12" s="44">
        <f>P12+AB12</f>
        <v>276031.859016762</v>
      </c>
      <c r="M12" s="4"/>
      <c r="N12" s="6">
        <v>2537.0550000000003</v>
      </c>
      <c r="O12" s="42">
        <f>P12/N12</f>
        <v>108.80010839999998</v>
      </c>
      <c r="P12" s="4">
        <f>S12+V12+Y12</f>
        <v>276031.859016762</v>
      </c>
      <c r="Q12" s="4">
        <f>N12*0.415</f>
        <v>1052.877825</v>
      </c>
      <c r="R12" s="42">
        <f>217.6*0.523</f>
        <v>113.8048</v>
      </c>
      <c r="S12" s="4">
        <f>Q12*R12</f>
        <v>119822.55029856</v>
      </c>
      <c r="T12" s="4">
        <f>N12*0.242</f>
        <v>613.96731</v>
      </c>
      <c r="U12" s="42">
        <f>292.24*0.523</f>
        <v>152.84152</v>
      </c>
      <c r="V12" s="4">
        <f>T12*U12</f>
        <v>93839.696890711202</v>
      </c>
      <c r="W12" s="4">
        <f>N12*0.343</f>
        <v>870.20986500000015</v>
      </c>
      <c r="X12" s="42">
        <f>137.04*0.523</f>
        <v>71.67192</v>
      </c>
      <c r="Y12" s="4">
        <f>W12*X12</f>
        <v>62369.611827490808</v>
      </c>
      <c r="Z12" s="4"/>
      <c r="AA12" s="4"/>
      <c r="AB12" s="4"/>
      <c r="AC12" s="4">
        <f>Z12*0.415</f>
        <v>0</v>
      </c>
      <c r="AD12" s="42">
        <f>171.69*0.471</f>
        <v>80.865989999999996</v>
      </c>
      <c r="AE12" s="4"/>
      <c r="AF12" s="4"/>
      <c r="AG12" s="42">
        <f>223.01*0.471</f>
        <v>105.03770999999999</v>
      </c>
      <c r="AH12" s="4"/>
      <c r="AI12" s="4"/>
      <c r="AJ12" s="42">
        <f>111.49*0.471</f>
        <v>52.511789999999998</v>
      </c>
      <c r="AK12" s="4"/>
    </row>
    <row r="13" spans="1:82">
      <c r="A13" s="52" t="s">
        <v>198</v>
      </c>
      <c r="B13" s="44">
        <f>B11+B12</f>
        <v>21010.636609038462</v>
      </c>
      <c r="C13" s="43">
        <f>D13/B13</f>
        <v>56.00761352856675</v>
      </c>
      <c r="D13" s="44">
        <f>D11+D12</f>
        <v>1176755.6151881823</v>
      </c>
      <c r="E13" s="44"/>
      <c r="F13" s="44">
        <f>F11+F12</f>
        <v>18152.64912958979</v>
      </c>
      <c r="G13" s="43">
        <f>H13/F13</f>
        <v>48.791970917480107</v>
      </c>
      <c r="H13" s="44">
        <f>H11+H12</f>
        <v>885703.52840616566</v>
      </c>
      <c r="I13" s="44"/>
      <c r="J13" s="44">
        <f>J11+J12</f>
        <v>2857.9874794486714</v>
      </c>
      <c r="K13" s="43">
        <f>L13/J13</f>
        <v>101.83812521045853</v>
      </c>
      <c r="L13" s="44">
        <f>L11+L12</f>
        <v>291052.08678201656</v>
      </c>
      <c r="N13" s="4">
        <f>N11+N12</f>
        <v>2537.0550000000003</v>
      </c>
      <c r="O13" s="43">
        <f>P13/N13</f>
        <v>108.80010839999998</v>
      </c>
      <c r="P13" s="4">
        <f>P11+P12</f>
        <v>276031.859016762</v>
      </c>
      <c r="Q13" s="4">
        <f>Q11+Q12</f>
        <v>1052.877825</v>
      </c>
      <c r="R13" s="43">
        <f>S13/Q13</f>
        <v>113.8048</v>
      </c>
      <c r="S13" s="4">
        <f>S11+S12</f>
        <v>119822.55029856</v>
      </c>
      <c r="T13" s="4">
        <f>T11+T12</f>
        <v>613.96731</v>
      </c>
      <c r="U13" s="43">
        <f>V13/T13</f>
        <v>152.84152</v>
      </c>
      <c r="V13" s="4">
        <f>V11+V12</f>
        <v>93839.696890711202</v>
      </c>
      <c r="W13" s="4">
        <f>W11+W12</f>
        <v>870.20986500000015</v>
      </c>
      <c r="X13" s="43">
        <f>Y13/W13</f>
        <v>71.67192</v>
      </c>
      <c r="Y13" s="4">
        <f>Y11+Y12</f>
        <v>62369.611827490808</v>
      </c>
      <c r="Z13" s="4">
        <f>Z11+Z12</f>
        <v>182.74607568836072</v>
      </c>
      <c r="AA13" s="43">
        <f>AB13/Z13</f>
        <v>82.19179376999999</v>
      </c>
      <c r="AB13" s="4">
        <f>AB11+AB12</f>
        <v>15020.227765254553</v>
      </c>
      <c r="AC13" s="4">
        <f>AC11+AC12</f>
        <v>77.301590016176576</v>
      </c>
      <c r="AD13" s="43">
        <f>AE13/AC13</f>
        <v>84.271319999999989</v>
      </c>
      <c r="AE13" s="4">
        <f>AE11+AE12</f>
        <v>6514.3070287620203</v>
      </c>
      <c r="AF13" s="4">
        <f>AF11+AF12</f>
        <v>43.676312089518213</v>
      </c>
      <c r="AG13" s="43">
        <f>AH13/AF13</f>
        <v>113.09181</v>
      </c>
      <c r="AH13" s="4">
        <f>AH11+AH12</f>
        <v>4939.4331883284967</v>
      </c>
      <c r="AI13" s="4">
        <f>AI11+AI12</f>
        <v>61.768173582665931</v>
      </c>
      <c r="AJ13" s="43">
        <f>AK13/AI13</f>
        <v>57.739889999999995</v>
      </c>
      <c r="AK13" s="4">
        <f>AK11+AK12</f>
        <v>3566.4875481640365</v>
      </c>
    </row>
    <row r="14" spans="1:82">
      <c r="A14" s="7" t="s">
        <v>303</v>
      </c>
      <c r="B14" s="329">
        <v>228698.23062868664</v>
      </c>
      <c r="C14" s="41">
        <f>D14/B14</f>
        <v>45.54</v>
      </c>
      <c r="D14" s="44">
        <f>H14+L14</f>
        <v>10414917.42283039</v>
      </c>
      <c r="E14" s="329"/>
      <c r="F14" s="44">
        <v>228698.23062868664</v>
      </c>
      <c r="G14" s="156">
        <f>0.414*110</f>
        <v>45.54</v>
      </c>
      <c r="H14" s="44">
        <f>F14*G14</f>
        <v>10414917.42283039</v>
      </c>
      <c r="I14" s="44"/>
      <c r="J14" s="44" t="s">
        <v>424</v>
      </c>
      <c r="K14" s="4"/>
      <c r="L14" s="44"/>
      <c r="M14" s="4"/>
      <c r="N14" s="4"/>
      <c r="O14" s="4"/>
      <c r="P14" s="4"/>
      <c r="Q14" s="4"/>
      <c r="R14" s="42">
        <f>196.49*0.527</f>
        <v>103.55023000000001</v>
      </c>
      <c r="S14" s="4"/>
      <c r="T14" s="4"/>
      <c r="U14" s="42">
        <f>329.56*0.527</f>
        <v>173.67812000000001</v>
      </c>
      <c r="V14" s="4"/>
      <c r="W14" s="4"/>
      <c r="X14" s="42">
        <f>133.2*0.527</f>
        <v>70.196399999999997</v>
      </c>
      <c r="Y14" s="4"/>
      <c r="Z14" s="4"/>
      <c r="AA14" s="43"/>
      <c r="AB14" s="4"/>
      <c r="AC14" s="4"/>
      <c r="AD14" s="42"/>
      <c r="AE14" s="6"/>
      <c r="AF14" s="4"/>
      <c r="AG14" s="42"/>
      <c r="AH14" s="6"/>
      <c r="AI14" s="4"/>
      <c r="AJ14" s="42"/>
      <c r="AK14" s="6"/>
    </row>
    <row r="15" spans="1:82">
      <c r="B15" s="329"/>
      <c r="C15" s="43"/>
      <c r="D15" s="44"/>
      <c r="E15" s="44"/>
      <c r="F15" s="44"/>
      <c r="G15" s="42"/>
      <c r="H15" s="44"/>
      <c r="I15" s="44"/>
      <c r="J15" s="44"/>
      <c r="K15" s="42"/>
      <c r="L15" s="44"/>
      <c r="N15" s="6"/>
      <c r="O15" s="42"/>
      <c r="P15" s="4"/>
      <c r="Q15" s="4"/>
      <c r="R15" s="42"/>
      <c r="W15" s="4"/>
      <c r="Y15" s="4"/>
      <c r="Z15" s="4"/>
      <c r="AA15" s="43"/>
      <c r="AB15" s="4"/>
      <c r="AC15" s="4"/>
      <c r="AE15" s="4"/>
      <c r="AF15" s="4"/>
      <c r="AI15" s="4"/>
    </row>
    <row r="16" spans="1:82">
      <c r="A16" s="7" t="s">
        <v>317</v>
      </c>
      <c r="B16" s="329">
        <f>B11+B12+B14</f>
        <v>249708.86723772509</v>
      </c>
      <c r="C16" s="41">
        <f>D16/B16</f>
        <v>46.420750557420916</v>
      </c>
      <c r="D16" s="44">
        <f>D11+D12+D14</f>
        <v>11591673.038018573</v>
      </c>
      <c r="E16" s="329"/>
      <c r="F16" s="44">
        <f>F11+F12+F14</f>
        <v>246850.87975827642</v>
      </c>
      <c r="G16" s="41">
        <f>H16/F16</f>
        <v>45.779139868986704</v>
      </c>
      <c r="H16" s="44">
        <f>H11+H12+H14</f>
        <v>11300620.951236555</v>
      </c>
      <c r="I16" s="44"/>
      <c r="J16" s="44">
        <f>B16-F16</f>
        <v>2857.9874794486677</v>
      </c>
      <c r="K16" s="42">
        <f>L16/J16</f>
        <v>101.83812521045866</v>
      </c>
      <c r="L16" s="329">
        <f>L11+L12+L14</f>
        <v>291052.08678201656</v>
      </c>
      <c r="M16" s="4"/>
      <c r="N16" s="40">
        <f>N11+N12+N14</f>
        <v>2537.0550000000003</v>
      </c>
      <c r="O16" s="42">
        <f>P16/N16</f>
        <v>108.80010839999998</v>
      </c>
      <c r="P16" s="40">
        <f>P11+P12+P14</f>
        <v>276031.859016762</v>
      </c>
      <c r="Q16" s="40">
        <f>Q11+Q12+Q14</f>
        <v>1052.877825</v>
      </c>
      <c r="R16" s="42">
        <f>S16/Q16</f>
        <v>113.8048</v>
      </c>
      <c r="S16" s="40">
        <f>S11+S12+S14</f>
        <v>119822.55029856</v>
      </c>
      <c r="T16" s="40">
        <f>T11+T12+T14</f>
        <v>613.96731</v>
      </c>
      <c r="U16" s="42">
        <f>V16/T16</f>
        <v>152.84152</v>
      </c>
      <c r="V16" s="40">
        <f>V11+V12+V14</f>
        <v>93839.696890711202</v>
      </c>
      <c r="W16" s="40">
        <f>W11+W12+W14</f>
        <v>870.20986500000015</v>
      </c>
      <c r="X16" s="42">
        <f>Y16/W16</f>
        <v>71.67192</v>
      </c>
      <c r="Y16" s="40">
        <f>Y11+Y12+Y14</f>
        <v>62369.611827490808</v>
      </c>
      <c r="Z16" s="6">
        <f>Z11+Z12+Z14</f>
        <v>182.74607568836072</v>
      </c>
      <c r="AA16" s="42">
        <f>AB16/Z16</f>
        <v>82.19179376999999</v>
      </c>
      <c r="AB16" s="40">
        <f>AB11+AB12+AB14</f>
        <v>15020.227765254553</v>
      </c>
      <c r="AC16" s="6">
        <f>AC11+AC12+AC14</f>
        <v>77.301590016176576</v>
      </c>
      <c r="AD16" s="42">
        <f>AE16/AC16</f>
        <v>84.271319999999989</v>
      </c>
      <c r="AE16" s="40">
        <f>AE11+AE12+AE14</f>
        <v>6514.3070287620203</v>
      </c>
      <c r="AF16" s="6">
        <f>AF11+AF12+AF14</f>
        <v>43.676312089518213</v>
      </c>
      <c r="AG16" s="42">
        <f>AH16/AF16</f>
        <v>113.09181</v>
      </c>
      <c r="AH16" s="40">
        <f>AH11+AH12+AH14</f>
        <v>4939.4331883284967</v>
      </c>
      <c r="AI16" s="6">
        <f>AI11+AI12+AI14</f>
        <v>61.768173582665931</v>
      </c>
      <c r="AJ16" s="42">
        <f>AK16/AI16</f>
        <v>57.739889999999995</v>
      </c>
      <c r="AK16" s="40">
        <f>AK11+AK12+AK14</f>
        <v>3566.4875481640365</v>
      </c>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25">
      <c r="B17" s="329"/>
      <c r="Y17" s="40"/>
    </row>
    <row r="18" spans="1:25">
      <c r="A18" s="34" t="s">
        <v>306</v>
      </c>
      <c r="B18" s="4"/>
    </row>
    <row r="19" spans="1:25">
      <c r="A19" s="14" t="s">
        <v>708</v>
      </c>
      <c r="B19" s="4"/>
    </row>
    <row r="20" spans="1:25">
      <c r="A20" s="14" t="s">
        <v>425</v>
      </c>
      <c r="B20" s="4"/>
    </row>
    <row r="21" spans="1:25">
      <c r="A21" s="14" t="s">
        <v>415</v>
      </c>
      <c r="B21" s="4"/>
    </row>
    <row r="22" spans="1:25">
      <c r="A22" s="14" t="s">
        <v>368</v>
      </c>
      <c r="B22" s="4"/>
    </row>
    <row r="23" spans="1:25">
      <c r="A23" s="14" t="s">
        <v>426</v>
      </c>
      <c r="B23" s="4"/>
    </row>
    <row r="24" spans="1:25">
      <c r="A24" s="14" t="s">
        <v>416</v>
      </c>
      <c r="B24" s="4"/>
    </row>
    <row r="25" spans="1:25">
      <c r="A25" s="14" t="s">
        <v>417</v>
      </c>
      <c r="B25" s="4"/>
    </row>
    <row r="26" spans="1:25">
      <c r="B26" s="4"/>
    </row>
    <row r="27" spans="1:25">
      <c r="B27" s="6" t="s">
        <v>430</v>
      </c>
    </row>
    <row r="28" spans="1:25">
      <c r="B28" s="70" t="s">
        <v>283</v>
      </c>
      <c r="C28" s="71"/>
      <c r="D28" s="72"/>
      <c r="E28" s="71"/>
      <c r="F28" s="73" t="s">
        <v>284</v>
      </c>
      <c r="G28" s="74"/>
      <c r="H28" s="75"/>
      <c r="I28" s="74"/>
      <c r="J28" s="76" t="s">
        <v>131</v>
      </c>
      <c r="K28" s="77"/>
      <c r="L28" s="77"/>
      <c r="M28" s="78"/>
    </row>
    <row r="29" spans="1:25">
      <c r="B29" s="16" t="s">
        <v>282</v>
      </c>
      <c r="C29" s="16" t="s">
        <v>223</v>
      </c>
      <c r="D29" s="16" t="s">
        <v>224</v>
      </c>
      <c r="E29" s="16" t="s">
        <v>429</v>
      </c>
      <c r="F29" s="16" t="s">
        <v>282</v>
      </c>
      <c r="G29" s="16" t="s">
        <v>223</v>
      </c>
      <c r="H29" s="16" t="s">
        <v>224</v>
      </c>
      <c r="I29" s="16" t="s">
        <v>429</v>
      </c>
      <c r="J29" s="16" t="s">
        <v>282</v>
      </c>
      <c r="K29" s="16" t="s">
        <v>223</v>
      </c>
      <c r="L29" s="16" t="s">
        <v>224</v>
      </c>
      <c r="M29" s="16" t="s">
        <v>429</v>
      </c>
    </row>
    <row r="30" spans="1:25">
      <c r="A30" s="16" t="s">
        <v>226</v>
      </c>
      <c r="B30" s="14">
        <v>0.42299999999999999</v>
      </c>
      <c r="C30" s="14">
        <v>0.23899999999999999</v>
      </c>
      <c r="D30" s="14">
        <v>0.33800000000000002</v>
      </c>
      <c r="E30" s="169">
        <f>B30+C30+D30</f>
        <v>1</v>
      </c>
      <c r="F30" s="14">
        <v>0.42299999999999999</v>
      </c>
      <c r="G30" s="14">
        <v>0.23899999999999999</v>
      </c>
      <c r="H30" s="14">
        <v>0.33800000000000002</v>
      </c>
      <c r="I30" s="169">
        <f>F30+G30+H30</f>
        <v>1</v>
      </c>
      <c r="J30" s="14">
        <v>0.42299999999999999</v>
      </c>
      <c r="K30" s="14">
        <v>0.23899999999999999</v>
      </c>
      <c r="L30" s="14">
        <v>0.33800000000000002</v>
      </c>
      <c r="M30" s="169">
        <f>J30+K30+L30</f>
        <v>1</v>
      </c>
    </row>
    <row r="31" spans="1:25">
      <c r="A31" s="16" t="s">
        <v>281</v>
      </c>
      <c r="B31" s="14">
        <v>0.41499999999999998</v>
      </c>
      <c r="C31" s="14">
        <v>0.24199999999999999</v>
      </c>
      <c r="D31" s="14">
        <v>0.34300000000000003</v>
      </c>
      <c r="E31" s="169">
        <f>B31+C31+D31</f>
        <v>1</v>
      </c>
      <c r="F31" s="14">
        <v>0.41499999999999998</v>
      </c>
      <c r="G31" s="14">
        <v>0.24199999999999999</v>
      </c>
      <c r="H31" s="14">
        <v>0.34300000000000003</v>
      </c>
      <c r="I31" s="169">
        <f>F31+G31+H31</f>
        <v>1</v>
      </c>
      <c r="J31" s="14">
        <v>0.41499999999999998</v>
      </c>
      <c r="K31" s="14">
        <v>0.24199999999999999</v>
      </c>
      <c r="L31" s="14">
        <v>0.34300000000000003</v>
      </c>
      <c r="M31" s="169">
        <f>J31+K31+L31</f>
        <v>1</v>
      </c>
    </row>
    <row r="32" spans="1:25">
      <c r="A32" s="16" t="s">
        <v>213</v>
      </c>
      <c r="B32" s="14">
        <v>0.16600000000000001</v>
      </c>
      <c r="C32" s="14">
        <v>0.10299999999999999</v>
      </c>
      <c r="D32" s="14">
        <v>0.73099999999999998</v>
      </c>
      <c r="E32" s="169">
        <f>B32+C32+D32</f>
        <v>1</v>
      </c>
      <c r="F32" s="14">
        <v>0</v>
      </c>
      <c r="G32" s="14">
        <v>0</v>
      </c>
      <c r="H32" s="14">
        <v>0</v>
      </c>
      <c r="I32" s="169"/>
      <c r="J32" s="14">
        <v>0</v>
      </c>
      <c r="K32" s="14">
        <v>0</v>
      </c>
      <c r="L32" s="169">
        <v>1</v>
      </c>
      <c r="M32" s="169">
        <v>1</v>
      </c>
    </row>
    <row r="33" spans="1:10">
      <c r="A33" s="16"/>
    </row>
    <row r="34" spans="1:10">
      <c r="A34" s="50" t="s">
        <v>358</v>
      </c>
      <c r="B34" s="4"/>
    </row>
    <row r="35" spans="1:10">
      <c r="A35" s="50" t="s">
        <v>348</v>
      </c>
      <c r="B35" s="4"/>
    </row>
    <row r="36" spans="1:10">
      <c r="A36" s="50"/>
      <c r="B36" s="4"/>
    </row>
    <row r="37" spans="1:10">
      <c r="B37" s="53" t="s">
        <v>413</v>
      </c>
    </row>
    <row r="38" spans="1:10">
      <c r="A38" s="53"/>
      <c r="B38" s="54" t="s">
        <v>308</v>
      </c>
      <c r="C38" s="46" t="s">
        <v>309</v>
      </c>
    </row>
    <row r="39" spans="1:10">
      <c r="A39" s="32" t="s">
        <v>371</v>
      </c>
      <c r="B39" s="165">
        <v>41.4</v>
      </c>
      <c r="C39" s="166">
        <v>40.1</v>
      </c>
      <c r="E39" s="14" t="s">
        <v>428</v>
      </c>
    </row>
    <row r="40" spans="1:10">
      <c r="A40" s="32" t="s">
        <v>290</v>
      </c>
      <c r="B40" s="167">
        <v>47.5</v>
      </c>
      <c r="C40" s="167">
        <v>47.1</v>
      </c>
    </row>
    <row r="41" spans="1:10">
      <c r="A41" s="32" t="s">
        <v>251</v>
      </c>
      <c r="B41" s="168">
        <v>52.7</v>
      </c>
      <c r="C41" s="168">
        <v>52.3</v>
      </c>
    </row>
    <row r="42" spans="1:10">
      <c r="A42" s="32"/>
      <c r="B42" s="33"/>
      <c r="C42" s="33"/>
    </row>
    <row r="43" spans="1:10">
      <c r="A43" s="48"/>
      <c r="B43" s="48"/>
      <c r="C43" s="48"/>
      <c r="D43" s="48"/>
      <c r="E43" s="48"/>
      <c r="F43" s="48"/>
    </row>
    <row r="44" spans="1:10">
      <c r="A44" s="55" t="s">
        <v>197</v>
      </c>
      <c r="B44" s="34" t="s">
        <v>433</v>
      </c>
    </row>
    <row r="45" spans="1:10">
      <c r="A45" s="55"/>
      <c r="B45" s="34"/>
    </row>
    <row r="46" spans="1:10">
      <c r="A46" s="49"/>
      <c r="E46" s="14" t="s">
        <v>242</v>
      </c>
      <c r="I46" s="14" t="s">
        <v>88</v>
      </c>
    </row>
    <row r="47" spans="1:10">
      <c r="A47" s="49"/>
      <c r="B47" s="14" t="s">
        <v>201</v>
      </c>
      <c r="E47" s="34" t="s">
        <v>398</v>
      </c>
      <c r="I47" s="14" t="s">
        <v>300</v>
      </c>
    </row>
    <row r="48" spans="1:10">
      <c r="A48" s="53"/>
      <c r="B48" s="54" t="s">
        <v>308</v>
      </c>
      <c r="C48" s="46" t="s">
        <v>309</v>
      </c>
      <c r="E48" s="54" t="s">
        <v>308</v>
      </c>
      <c r="F48" s="46" t="s">
        <v>309</v>
      </c>
      <c r="I48" s="171" t="s">
        <v>308</v>
      </c>
      <c r="J48" s="171" t="s">
        <v>309</v>
      </c>
    </row>
    <row r="49" spans="1:13">
      <c r="A49" s="32" t="s">
        <v>371</v>
      </c>
      <c r="B49" s="20">
        <f t="shared" ref="B49:C51" si="0">100-B39</f>
        <v>58.6</v>
      </c>
      <c r="C49" s="20">
        <f t="shared" si="0"/>
        <v>59.9</v>
      </c>
      <c r="E49" s="63">
        <f>59.1785*B49/B39</f>
        <v>83.76473671497584</v>
      </c>
      <c r="F49" s="63">
        <f>58.4143*C49/C39</f>
        <v>87.257271072319199</v>
      </c>
      <c r="I49" s="172">
        <f>E49*$B$14</f>
        <v>19156847.07579276</v>
      </c>
      <c r="J49" s="172">
        <f>F49*$B$13</f>
        <v>1833330.8139968626</v>
      </c>
    </row>
    <row r="50" spans="1:13">
      <c r="A50" s="32" t="s">
        <v>290</v>
      </c>
      <c r="B50" s="20">
        <f t="shared" si="0"/>
        <v>52.5</v>
      </c>
      <c r="C50" s="20">
        <f t="shared" si="0"/>
        <v>52.9</v>
      </c>
      <c r="E50" s="63">
        <f>59.1785*B50/B40</f>
        <v>65.407815789473688</v>
      </c>
      <c r="F50" s="63">
        <f>58.4143*C50/C40</f>
        <v>65.60756836518047</v>
      </c>
      <c r="I50" s="172">
        <f>E50*$B$14</f>
        <v>14958651.740339704</v>
      </c>
      <c r="J50" s="172">
        <f>F50*$B$13</f>
        <v>1378456.7777234544</v>
      </c>
    </row>
    <row r="51" spans="1:13">
      <c r="A51" s="32" t="s">
        <v>251</v>
      </c>
      <c r="B51" s="20">
        <f t="shared" si="0"/>
        <v>47.3</v>
      </c>
      <c r="C51" s="20">
        <f t="shared" si="0"/>
        <v>47.7</v>
      </c>
      <c r="E51" s="63">
        <f>59.1785*B51/B41</f>
        <v>53.114668880455397</v>
      </c>
      <c r="F51" s="63">
        <f>58.4143*C51/C41</f>
        <v>53.276522179732318</v>
      </c>
      <c r="I51" s="172">
        <f>E51*$B$14</f>
        <v>12147230.793388713</v>
      </c>
      <c r="J51" s="172">
        <f>F51*$B$13</f>
        <v>1119373.6473117333</v>
      </c>
    </row>
    <row r="52" spans="1:13">
      <c r="A52" s="7"/>
      <c r="D52" s="44"/>
      <c r="H52" s="16" t="s">
        <v>188</v>
      </c>
      <c r="I52" s="172">
        <f>SUM(I49:I51)</f>
        <v>46262729.60952118</v>
      </c>
      <c r="J52" s="172">
        <f>SUM(J49:J51)</f>
        <v>4331161.2390320506</v>
      </c>
    </row>
    <row r="53" spans="1:13">
      <c r="A53" s="49"/>
    </row>
    <row r="54" spans="1:13">
      <c r="A54" s="49"/>
    </row>
    <row r="55" spans="1:13">
      <c r="A55" s="55" t="s">
        <v>98</v>
      </c>
      <c r="B55" s="34" t="s">
        <v>434</v>
      </c>
    </row>
    <row r="56" spans="1:13">
      <c r="A56" s="48" t="s">
        <v>314</v>
      </c>
    </row>
    <row r="57" spans="1:13">
      <c r="A57" s="48"/>
    </row>
    <row r="58" spans="1:13">
      <c r="A58" s="52"/>
      <c r="C58" s="14" t="s">
        <v>334</v>
      </c>
      <c r="D58" s="14" t="s">
        <v>369</v>
      </c>
    </row>
    <row r="59" spans="1:13" s="64" customFormat="1">
      <c r="A59" s="62" t="s">
        <v>272</v>
      </c>
      <c r="C59" s="64" t="s">
        <v>333</v>
      </c>
      <c r="D59" s="64" t="s">
        <v>320</v>
      </c>
      <c r="E59" s="64" t="s">
        <v>273</v>
      </c>
      <c r="H59" s="64" t="s">
        <v>274</v>
      </c>
      <c r="M59" s="14"/>
    </row>
    <row r="60" spans="1:13">
      <c r="A60" s="14" t="s">
        <v>159</v>
      </c>
      <c r="C60" s="14" t="s">
        <v>335</v>
      </c>
      <c r="D60" s="66">
        <v>34</v>
      </c>
      <c r="E60" s="42">
        <f>D60*4.44</f>
        <v>150.96</v>
      </c>
      <c r="H60" s="14" t="s">
        <v>337</v>
      </c>
    </row>
    <row r="61" spans="1:13">
      <c r="D61" s="66"/>
      <c r="E61" s="42"/>
    </row>
    <row r="62" spans="1:13">
      <c r="A62" s="14" t="s">
        <v>115</v>
      </c>
      <c r="C62" s="14" t="s">
        <v>335</v>
      </c>
      <c r="D62" s="66">
        <v>18.899999999999999</v>
      </c>
      <c r="E62" s="42">
        <f>D62*4.44</f>
        <v>83.915999999999997</v>
      </c>
      <c r="H62" s="14" t="s">
        <v>292</v>
      </c>
    </row>
    <row r="63" spans="1:13">
      <c r="A63" s="14" t="s">
        <v>156</v>
      </c>
      <c r="C63" s="14" t="s">
        <v>372</v>
      </c>
      <c r="D63" s="66">
        <v>19.8</v>
      </c>
      <c r="E63" s="42">
        <f t="shared" ref="E63:E76" si="1">D63*4.44</f>
        <v>87.912000000000006</v>
      </c>
      <c r="H63" s="14" t="s">
        <v>292</v>
      </c>
    </row>
    <row r="64" spans="1:13">
      <c r="A64" s="48" t="s">
        <v>157</v>
      </c>
      <c r="C64" s="14" t="s">
        <v>291</v>
      </c>
      <c r="D64" s="66">
        <v>18</v>
      </c>
      <c r="E64" s="42">
        <f t="shared" si="1"/>
        <v>79.92</v>
      </c>
      <c r="H64" s="14" t="s">
        <v>337</v>
      </c>
      <c r="M64" s="64"/>
    </row>
    <row r="65" spans="1:8">
      <c r="A65" s="48" t="s">
        <v>209</v>
      </c>
      <c r="C65" s="14" t="s">
        <v>335</v>
      </c>
      <c r="D65" s="66">
        <v>21.8</v>
      </c>
      <c r="E65" s="42">
        <f t="shared" si="1"/>
        <v>96.792000000000016</v>
      </c>
      <c r="H65" s="14" t="s">
        <v>337</v>
      </c>
    </row>
    <row r="66" spans="1:8">
      <c r="A66" s="48" t="s">
        <v>210</v>
      </c>
      <c r="C66" s="14" t="s">
        <v>335</v>
      </c>
      <c r="D66" s="66">
        <v>23.1</v>
      </c>
      <c r="E66" s="42">
        <f t="shared" si="1"/>
        <v>102.56400000000002</v>
      </c>
      <c r="H66" s="14" t="s">
        <v>337</v>
      </c>
    </row>
    <row r="67" spans="1:8">
      <c r="A67" s="48" t="s">
        <v>208</v>
      </c>
      <c r="C67" s="14" t="s">
        <v>335</v>
      </c>
      <c r="D67" s="66">
        <v>19.3</v>
      </c>
      <c r="E67" s="42">
        <f t="shared" si="1"/>
        <v>85.692000000000007</v>
      </c>
      <c r="H67" s="14" t="s">
        <v>337</v>
      </c>
    </row>
    <row r="68" spans="1:8">
      <c r="A68" s="48" t="s">
        <v>266</v>
      </c>
      <c r="C68" s="14" t="s">
        <v>372</v>
      </c>
      <c r="D68" s="66">
        <v>22.5</v>
      </c>
      <c r="E68" s="42">
        <f t="shared" si="1"/>
        <v>99.9</v>
      </c>
      <c r="H68" s="14" t="s">
        <v>337</v>
      </c>
    </row>
    <row r="69" spans="1:8">
      <c r="A69" s="48" t="s">
        <v>267</v>
      </c>
      <c r="C69" s="14" t="s">
        <v>293</v>
      </c>
      <c r="D69" s="66">
        <v>20.9</v>
      </c>
      <c r="E69" s="42">
        <f t="shared" si="1"/>
        <v>92.796000000000006</v>
      </c>
      <c r="H69" s="14" t="s">
        <v>337</v>
      </c>
    </row>
    <row r="70" spans="1:8">
      <c r="A70" s="48" t="s">
        <v>268</v>
      </c>
      <c r="C70" s="14" t="s">
        <v>330</v>
      </c>
      <c r="D70" s="66">
        <v>32.99</v>
      </c>
      <c r="E70" s="42">
        <f t="shared" si="1"/>
        <v>146.47560000000001</v>
      </c>
      <c r="H70" s="14" t="s">
        <v>57</v>
      </c>
    </row>
    <row r="71" spans="1:8">
      <c r="A71" s="48" t="s">
        <v>269</v>
      </c>
      <c r="C71" s="14" t="s">
        <v>330</v>
      </c>
      <c r="D71" s="66">
        <v>25.9</v>
      </c>
      <c r="E71" s="42">
        <f t="shared" si="1"/>
        <v>114.99600000000001</v>
      </c>
      <c r="H71" s="14" t="s">
        <v>337</v>
      </c>
    </row>
    <row r="72" spans="1:8">
      <c r="A72" s="48" t="s">
        <v>221</v>
      </c>
      <c r="C72" s="14" t="s">
        <v>183</v>
      </c>
      <c r="D72" s="66">
        <v>32.700000000000003</v>
      </c>
      <c r="E72" s="42">
        <f t="shared" si="1"/>
        <v>145.18800000000002</v>
      </c>
      <c r="H72" s="14" t="s">
        <v>337</v>
      </c>
    </row>
    <row r="73" spans="1:8">
      <c r="A73" s="48" t="s">
        <v>222</v>
      </c>
      <c r="C73" s="14" t="s">
        <v>183</v>
      </c>
      <c r="D73" s="66">
        <v>37.9</v>
      </c>
      <c r="E73" s="42">
        <f t="shared" si="1"/>
        <v>168.27600000000001</v>
      </c>
      <c r="H73" s="14" t="s">
        <v>337</v>
      </c>
    </row>
    <row r="74" spans="1:8">
      <c r="A74" s="48" t="s">
        <v>158</v>
      </c>
      <c r="C74" s="14" t="s">
        <v>372</v>
      </c>
      <c r="D74" s="66">
        <v>45.8</v>
      </c>
      <c r="E74" s="42">
        <f t="shared" si="1"/>
        <v>203.352</v>
      </c>
      <c r="H74" s="14" t="s">
        <v>337</v>
      </c>
    </row>
    <row r="75" spans="1:8">
      <c r="A75" s="48" t="s">
        <v>34</v>
      </c>
      <c r="C75" s="14" t="s">
        <v>372</v>
      </c>
      <c r="D75" s="66">
        <v>54.191398214847055</v>
      </c>
      <c r="E75" s="42">
        <f t="shared" si="1"/>
        <v>240.60980807392096</v>
      </c>
      <c r="H75" s="14" t="s">
        <v>116</v>
      </c>
    </row>
    <row r="76" spans="1:8">
      <c r="A76" s="48" t="s">
        <v>332</v>
      </c>
      <c r="C76" s="14" t="s">
        <v>373</v>
      </c>
      <c r="D76" s="66">
        <v>39.999999999999993</v>
      </c>
      <c r="E76" s="42">
        <f t="shared" si="1"/>
        <v>177.6</v>
      </c>
      <c r="H76" s="14" t="s">
        <v>295</v>
      </c>
    </row>
    <row r="77" spans="1:8">
      <c r="A77" s="48"/>
      <c r="D77" s="66"/>
      <c r="E77" s="42"/>
    </row>
    <row r="78" spans="1:8">
      <c r="A78" s="48" t="s">
        <v>146</v>
      </c>
      <c r="D78" s="66"/>
      <c r="E78" s="42"/>
    </row>
    <row r="79" spans="1:8">
      <c r="A79" s="48" t="s">
        <v>153</v>
      </c>
      <c r="D79" s="66"/>
      <c r="E79" s="42"/>
    </row>
    <row r="80" spans="1:8">
      <c r="A80" s="48" t="s">
        <v>260</v>
      </c>
      <c r="D80" s="66"/>
      <c r="E80" s="42"/>
    </row>
    <row r="81" spans="1:13">
      <c r="A81" s="48" t="s">
        <v>145</v>
      </c>
      <c r="D81" s="66"/>
      <c r="E81" s="42"/>
    </row>
    <row r="82" spans="1:13">
      <c r="A82" s="48" t="s">
        <v>187</v>
      </c>
      <c r="D82" s="66"/>
      <c r="E82" s="42"/>
    </row>
    <row r="83" spans="1:13">
      <c r="A83" s="1" t="s">
        <v>114</v>
      </c>
      <c r="D83" s="66"/>
      <c r="E83" s="42"/>
    </row>
    <row r="84" spans="1:13">
      <c r="A84" s="1"/>
      <c r="D84" s="66"/>
      <c r="E84" s="42"/>
    </row>
    <row r="85" spans="1:13">
      <c r="A85" s="52"/>
      <c r="B85" s="65" t="s">
        <v>143</v>
      </c>
      <c r="C85" s="66"/>
      <c r="D85" s="42"/>
    </row>
    <row r="86" spans="1:13">
      <c r="A86" s="52"/>
      <c r="B86" s="65"/>
      <c r="C86" s="66"/>
      <c r="D86" s="16" t="s">
        <v>383</v>
      </c>
      <c r="E86" s="16" t="s">
        <v>340</v>
      </c>
      <c r="F86" s="16"/>
    </row>
    <row r="87" spans="1:13">
      <c r="A87" s="52"/>
      <c r="B87" s="65"/>
      <c r="C87" s="66"/>
      <c r="D87" s="14" t="s">
        <v>123</v>
      </c>
      <c r="E87" s="67" t="s">
        <v>378</v>
      </c>
      <c r="F87" s="16" t="s">
        <v>286</v>
      </c>
      <c r="G87" s="80" t="s">
        <v>263</v>
      </c>
      <c r="H87" s="59"/>
    </row>
    <row r="88" spans="1:13">
      <c r="A88" s="52"/>
      <c r="B88" s="65"/>
      <c r="C88" s="66"/>
      <c r="D88" s="14" t="s">
        <v>125</v>
      </c>
      <c r="E88" s="16" t="s">
        <v>377</v>
      </c>
      <c r="F88" s="16" t="s">
        <v>392</v>
      </c>
      <c r="G88" s="16" t="s">
        <v>264</v>
      </c>
      <c r="H88" s="16" t="s">
        <v>350</v>
      </c>
    </row>
    <row r="89" spans="1:13">
      <c r="A89" s="52"/>
      <c r="C89" s="66"/>
      <c r="D89" s="17" t="s">
        <v>124</v>
      </c>
      <c r="E89" s="17" t="s">
        <v>147</v>
      </c>
      <c r="F89" s="17" t="s">
        <v>231</v>
      </c>
      <c r="G89" s="17" t="s">
        <v>265</v>
      </c>
      <c r="H89" s="17" t="s">
        <v>349</v>
      </c>
      <c r="J89" s="64" t="s">
        <v>401</v>
      </c>
    </row>
    <row r="90" spans="1:13">
      <c r="A90" s="3" t="s">
        <v>325</v>
      </c>
      <c r="C90" s="66" t="s">
        <v>373</v>
      </c>
      <c r="D90" s="4">
        <v>88</v>
      </c>
      <c r="E90" s="81">
        <f>D90/0.523</f>
        <v>168.26003824091777</v>
      </c>
      <c r="F90" s="82">
        <v>53.276522179732318</v>
      </c>
      <c r="G90" s="83">
        <f>100*F90/E90</f>
        <v>31.663205795454552</v>
      </c>
      <c r="H90" s="66">
        <f>G90*0.523</f>
        <v>16.559856631022733</v>
      </c>
      <c r="J90" s="14" t="s">
        <v>312</v>
      </c>
    </row>
    <row r="91" spans="1:13">
      <c r="A91" s="48" t="s">
        <v>391</v>
      </c>
      <c r="C91" s="14" t="s">
        <v>183</v>
      </c>
      <c r="D91" s="4">
        <v>93</v>
      </c>
      <c r="E91" s="81">
        <f>D91/0.523</f>
        <v>177.82026768642447</v>
      </c>
      <c r="F91" s="82">
        <v>87.257271072319199</v>
      </c>
      <c r="G91" s="83">
        <f>100*F91/E91</f>
        <v>49.070486850347251</v>
      </c>
      <c r="H91" s="66">
        <f>G91*0.523</f>
        <v>25.663864622731612</v>
      </c>
      <c r="J91" s="14" t="s">
        <v>206</v>
      </c>
    </row>
    <row r="92" spans="1:13">
      <c r="A92" s="48" t="s">
        <v>294</v>
      </c>
      <c r="C92" s="14" t="s">
        <v>372</v>
      </c>
      <c r="D92" s="4">
        <v>240.60980807392093</v>
      </c>
      <c r="E92" s="81">
        <f>D92/0.523</f>
        <v>460.05699440520254</v>
      </c>
      <c r="F92" s="82">
        <v>53.114668880455397</v>
      </c>
      <c r="G92" s="83">
        <f>100*F92/E92</f>
        <v>11.545236682930161</v>
      </c>
      <c r="H92" s="66">
        <f>G92*0.523</f>
        <v>6.0381587851724747</v>
      </c>
      <c r="J92" s="14" t="s">
        <v>207</v>
      </c>
    </row>
    <row r="93" spans="1:13">
      <c r="A93" s="48" t="s">
        <v>323</v>
      </c>
      <c r="C93" s="14" t="s">
        <v>183</v>
      </c>
      <c r="D93" s="4">
        <v>145</v>
      </c>
      <c r="E93" s="81">
        <f>D93/0.523</f>
        <v>277.24665391969404</v>
      </c>
      <c r="F93" s="82">
        <v>83.76473671497584</v>
      </c>
      <c r="G93" s="83">
        <f>100*F93/E93</f>
        <v>30.213074001332668</v>
      </c>
      <c r="H93" s="66">
        <f>G93*0.523</f>
        <v>15.801437702696987</v>
      </c>
    </row>
    <row r="94" spans="1:13">
      <c r="A94" s="52"/>
    </row>
    <row r="95" spans="1:13">
      <c r="A95" s="48" t="s">
        <v>160</v>
      </c>
      <c r="B95" s="68"/>
      <c r="J95" s="14" t="s">
        <v>307</v>
      </c>
      <c r="M95" s="66">
        <v>25.386398763523957</v>
      </c>
    </row>
    <row r="96" spans="1:13">
      <c r="A96" s="48" t="s">
        <v>163</v>
      </c>
      <c r="B96" s="68"/>
      <c r="J96" s="14" t="s">
        <v>386</v>
      </c>
      <c r="M96" s="66">
        <v>25.079526657335538</v>
      </c>
    </row>
    <row r="97" spans="1:13">
      <c r="A97" s="48" t="s">
        <v>339</v>
      </c>
      <c r="B97" s="68"/>
      <c r="J97" s="14" t="s">
        <v>387</v>
      </c>
      <c r="M97" s="66">
        <v>16.793981481481481</v>
      </c>
    </row>
    <row r="98" spans="1:13">
      <c r="A98" s="48" t="s">
        <v>30</v>
      </c>
      <c r="B98" s="68"/>
      <c r="J98" s="14" t="s">
        <v>341</v>
      </c>
      <c r="M98" s="66">
        <v>15.977615349474645</v>
      </c>
    </row>
    <row r="99" spans="1:13">
      <c r="A99" s="48" t="s">
        <v>432</v>
      </c>
      <c r="B99" s="68"/>
      <c r="J99" s="14" t="s">
        <v>204</v>
      </c>
      <c r="M99" s="14" t="s">
        <v>311</v>
      </c>
    </row>
    <row r="100" spans="1:13">
      <c r="A100" s="48" t="s">
        <v>181</v>
      </c>
      <c r="B100" s="68"/>
      <c r="J100" s="14" t="s">
        <v>258</v>
      </c>
    </row>
    <row r="101" spans="1:13">
      <c r="A101" s="48" t="s">
        <v>709</v>
      </c>
      <c r="B101" s="68"/>
    </row>
    <row r="102" spans="1:13">
      <c r="A102" s="48"/>
      <c r="B102" s="68"/>
      <c r="J102" s="14" t="s">
        <v>393</v>
      </c>
    </row>
    <row r="103" spans="1:13">
      <c r="A103" s="14" t="s">
        <v>418</v>
      </c>
    </row>
    <row r="104" spans="1:13">
      <c r="A104" s="14" t="s">
        <v>385</v>
      </c>
    </row>
    <row r="105" spans="1:13">
      <c r="A105" s="14" t="s">
        <v>388</v>
      </c>
    </row>
    <row r="106" spans="1:13">
      <c r="A106" s="14" t="s">
        <v>301</v>
      </c>
    </row>
    <row r="107" spans="1:13">
      <c r="A107" s="14" t="s">
        <v>36</v>
      </c>
    </row>
    <row r="108" spans="1:13">
      <c r="A108" s="14" t="s">
        <v>1</v>
      </c>
      <c r="B108" s="7"/>
      <c r="C108" s="7"/>
      <c r="D108" s="7"/>
      <c r="E108" s="7"/>
      <c r="F108" s="7"/>
    </row>
    <row r="109" spans="1:13">
      <c r="A109" s="49" t="s">
        <v>353</v>
      </c>
      <c r="B109" s="7"/>
      <c r="C109" s="7"/>
      <c r="D109" s="7"/>
      <c r="E109" s="7"/>
      <c r="F109" s="7"/>
      <c r="G109" s="7"/>
      <c r="H109" s="7"/>
    </row>
    <row r="110" spans="1:13">
      <c r="A110" s="49" t="s">
        <v>404</v>
      </c>
      <c r="B110" s="7"/>
      <c r="C110" s="7"/>
      <c r="D110" s="7"/>
      <c r="E110" s="7"/>
      <c r="F110" s="7"/>
    </row>
    <row r="111" spans="1:13">
      <c r="A111" s="7"/>
      <c r="B111" s="7"/>
      <c r="C111" s="7"/>
      <c r="D111" s="7"/>
      <c r="E111" s="7"/>
      <c r="F111" s="7"/>
    </row>
    <row r="112" spans="1:13">
      <c r="A112" s="69" t="s">
        <v>120</v>
      </c>
    </row>
    <row r="113" spans="1:8">
      <c r="A113" s="69"/>
    </row>
    <row r="114" spans="1:8">
      <c r="A114" s="14" t="s">
        <v>419</v>
      </c>
    </row>
    <row r="115" spans="1:8">
      <c r="A115" s="14" t="s">
        <v>362</v>
      </c>
    </row>
    <row r="117" spans="1:8">
      <c r="A117" s="173" t="s">
        <v>435</v>
      </c>
    </row>
    <row r="118" spans="1:8">
      <c r="A118" s="14" t="s">
        <v>436</v>
      </c>
      <c r="G118" s="7"/>
      <c r="H118" s="7"/>
    </row>
    <row r="119" spans="1:8">
      <c r="A119" s="14" t="s">
        <v>329</v>
      </c>
      <c r="G119" s="7"/>
      <c r="H119" s="7"/>
    </row>
    <row r="120" spans="1:8">
      <c r="G120" s="7"/>
      <c r="H120" s="7"/>
    </row>
    <row r="121" spans="1:8">
      <c r="G121" s="7"/>
      <c r="H121" s="7"/>
    </row>
    <row r="130" spans="1:8">
      <c r="A130" s="7"/>
      <c r="B130" s="7"/>
      <c r="C130" s="7"/>
      <c r="D130" s="7"/>
      <c r="E130" s="7"/>
      <c r="F130" s="7"/>
      <c r="G130" s="7"/>
      <c r="H130" s="7"/>
    </row>
    <row r="131" spans="1:8">
      <c r="A131" s="7"/>
      <c r="B131" s="7"/>
      <c r="C131" s="7"/>
      <c r="D131" s="7"/>
      <c r="E131" s="7"/>
      <c r="F131" s="7"/>
      <c r="G131" s="7"/>
      <c r="H131" s="7"/>
    </row>
    <row r="134" spans="1:8">
      <c r="A134" s="7"/>
      <c r="B134" s="7"/>
      <c r="C134" s="7"/>
      <c r="D134" s="7"/>
      <c r="E134" s="7"/>
      <c r="F134" s="7"/>
      <c r="G134" s="7"/>
      <c r="H134" s="7"/>
    </row>
    <row r="136" spans="1:8">
      <c r="A136" s="7"/>
      <c r="B136" s="7"/>
      <c r="C136" s="7"/>
      <c r="D136" s="7"/>
      <c r="E136" s="7"/>
      <c r="F136" s="7"/>
      <c r="G136" s="7"/>
      <c r="H136" s="7"/>
    </row>
  </sheetData>
  <phoneticPr fontId="2"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0"/>
  <sheetViews>
    <sheetView tabSelected="1" workbookViewId="0">
      <selection activeCell="B5" sqref="B5"/>
    </sheetView>
  </sheetViews>
  <sheetFormatPr baseColWidth="10" defaultRowHeight="15" x14ac:dyDescent="0"/>
  <cols>
    <col min="1" max="1" width="6.6640625" customWidth="1"/>
    <col min="2" max="2" width="12.83203125" customWidth="1"/>
    <col min="6" max="6" width="13" customWidth="1"/>
    <col min="7" max="10" width="12.33203125" style="30" customWidth="1"/>
    <col min="11" max="11" width="3.83203125" customWidth="1"/>
    <col min="12" max="12" width="12.5" style="38" customWidth="1"/>
    <col min="13" max="13" width="13" style="38" customWidth="1"/>
    <col min="14" max="14" width="11.83203125" style="38" customWidth="1"/>
    <col min="15" max="15" width="13" style="38" customWidth="1"/>
    <col min="16" max="16" width="3.83203125" customWidth="1"/>
    <col min="17" max="19" width="12.83203125" style="30" customWidth="1"/>
    <col min="20" max="20" width="14.1640625" style="30" customWidth="1"/>
    <col min="21" max="21" width="11.83203125" customWidth="1"/>
    <col min="22" max="22" width="13.5" style="1" customWidth="1"/>
    <col min="23" max="23" width="10.83203125" style="1"/>
  </cols>
  <sheetData>
    <row r="1" spans="1:71" ht="18">
      <c r="B1" s="224"/>
      <c r="C1" s="158" t="s">
        <v>646</v>
      </c>
      <c r="E1" s="1"/>
      <c r="F1" s="1"/>
      <c r="G1" s="2"/>
      <c r="H1" s="2"/>
      <c r="I1" s="2"/>
      <c r="J1" s="2"/>
      <c r="K1" s="1"/>
      <c r="L1" s="1"/>
      <c r="M1" s="1"/>
      <c r="N1" s="1"/>
      <c r="O1" s="1"/>
      <c r="P1" s="225"/>
      <c r="Q1" s="3"/>
      <c r="R1" s="3"/>
      <c r="S1" s="3"/>
      <c r="T1" s="3"/>
      <c r="U1" s="3"/>
      <c r="W1" s="226"/>
      <c r="X1" s="227"/>
      <c r="Y1" s="227"/>
      <c r="Z1" s="227"/>
      <c r="AA1" s="228"/>
      <c r="AB1" s="228"/>
      <c r="AC1" s="228"/>
      <c r="AD1" s="228"/>
      <c r="AE1" s="228"/>
      <c r="AF1" s="228"/>
      <c r="AG1" s="228"/>
      <c r="AH1" s="228"/>
      <c r="AI1" s="228"/>
      <c r="AJ1" s="228"/>
      <c r="AK1" s="228"/>
      <c r="AL1" s="229"/>
      <c r="AM1" s="229"/>
      <c r="AN1" s="229"/>
      <c r="AO1" s="229"/>
      <c r="AP1" s="228"/>
      <c r="AQ1" s="228"/>
      <c r="AR1" s="228"/>
      <c r="AS1" s="228"/>
      <c r="AT1" s="228"/>
      <c r="AU1" s="228"/>
      <c r="AV1" s="228"/>
      <c r="AW1" s="228"/>
      <c r="AX1" s="228"/>
      <c r="AY1" s="228"/>
      <c r="AZ1" s="228"/>
      <c r="BA1" s="228"/>
      <c r="BB1" s="228"/>
      <c r="BC1" s="228"/>
      <c r="BD1" s="228"/>
      <c r="BE1" s="228"/>
      <c r="BF1" s="228"/>
      <c r="BG1" s="228"/>
    </row>
    <row r="2" spans="1:71">
      <c r="A2" s="230"/>
      <c r="B2" s="316">
        <v>41759</v>
      </c>
      <c r="C2" s="231" t="s">
        <v>508</v>
      </c>
      <c r="D2" s="225"/>
      <c r="E2" s="225"/>
      <c r="F2" s="225"/>
      <c r="G2" s="225"/>
      <c r="H2" s="225"/>
      <c r="I2" s="225"/>
      <c r="J2" s="225"/>
      <c r="K2" s="225"/>
      <c r="L2"/>
      <c r="M2"/>
      <c r="N2"/>
      <c r="O2"/>
      <c r="P2" s="225"/>
      <c r="Q2" s="3"/>
      <c r="R2" s="3"/>
      <c r="S2" s="3"/>
      <c r="T2" s="3"/>
      <c r="U2" s="3"/>
      <c r="W2" s="30"/>
      <c r="X2" s="30"/>
      <c r="Y2" s="30"/>
      <c r="Z2" s="30"/>
      <c r="AA2" s="228"/>
      <c r="AB2" s="232"/>
      <c r="AC2" s="232"/>
      <c r="AD2" s="232"/>
      <c r="AE2" s="232"/>
      <c r="AF2" s="228"/>
      <c r="AG2" s="228"/>
      <c r="AH2" s="228"/>
      <c r="AI2" s="228"/>
      <c r="AJ2" s="228"/>
      <c r="AK2" s="228"/>
      <c r="AL2" s="229"/>
      <c r="AM2" s="229"/>
      <c r="AN2" s="229"/>
      <c r="AO2" s="229"/>
      <c r="AP2" s="228"/>
      <c r="AQ2" s="228"/>
      <c r="AR2" s="228"/>
      <c r="AS2" s="228"/>
      <c r="AT2" s="228"/>
      <c r="AU2" s="228"/>
      <c r="AV2" s="228"/>
      <c r="AW2" s="228"/>
      <c r="AX2" s="228"/>
      <c r="AY2" s="228"/>
      <c r="AZ2" s="228"/>
      <c r="BA2" s="228"/>
      <c r="BB2" s="228"/>
      <c r="BC2" s="228"/>
      <c r="BD2" s="228"/>
      <c r="BE2" s="228"/>
      <c r="BF2" s="228"/>
      <c r="BG2" s="228"/>
    </row>
    <row r="3" spans="1:71">
      <c r="A3" s="233"/>
      <c r="B3" s="234"/>
      <c r="C3" s="235" t="s">
        <v>509</v>
      </c>
      <c r="D3" s="236"/>
      <c r="E3" s="237"/>
      <c r="F3" s="236"/>
      <c r="G3" s="238"/>
      <c r="H3" s="225"/>
      <c r="I3" s="225"/>
      <c r="J3" s="225"/>
      <c r="K3" s="225"/>
      <c r="L3"/>
      <c r="M3"/>
      <c r="N3"/>
      <c r="O3"/>
      <c r="P3" s="225"/>
      <c r="Q3" s="3"/>
      <c r="R3" s="3"/>
      <c r="S3" s="3"/>
      <c r="T3" s="3"/>
      <c r="U3" s="3"/>
      <c r="W3" s="30"/>
      <c r="X3" s="30"/>
      <c r="Y3" s="30"/>
      <c r="Z3" s="30"/>
      <c r="AA3" s="152"/>
      <c r="AB3" s="232"/>
      <c r="AC3" s="232"/>
      <c r="AD3" s="232"/>
      <c r="AE3" s="232"/>
      <c r="AF3" s="152"/>
      <c r="AG3" s="3"/>
      <c r="AH3" s="3"/>
      <c r="AI3" s="3"/>
      <c r="AJ3" s="3"/>
      <c r="AK3" s="1"/>
      <c r="AL3" s="175"/>
      <c r="AM3" s="175"/>
      <c r="AN3" s="175"/>
      <c r="AO3" s="175"/>
      <c r="AP3" s="38"/>
    </row>
    <row r="4" spans="1:71">
      <c r="A4" s="233"/>
      <c r="B4" s="234"/>
      <c r="C4" s="239" t="s">
        <v>510</v>
      </c>
      <c r="D4" s="240"/>
      <c r="E4" s="240"/>
      <c r="F4" s="240"/>
      <c r="G4" s="241"/>
      <c r="H4" s="241"/>
      <c r="I4" s="241"/>
      <c r="J4" s="241"/>
      <c r="K4" s="242"/>
      <c r="L4" s="225"/>
      <c r="M4" s="225"/>
      <c r="N4" s="225"/>
      <c r="O4" s="225"/>
      <c r="P4" s="243"/>
      <c r="Q4" s="3"/>
      <c r="R4" s="3"/>
      <c r="S4" s="3"/>
      <c r="T4" s="3"/>
      <c r="U4" s="3"/>
      <c r="W4" s="2"/>
      <c r="X4" s="2"/>
      <c r="Y4" s="2"/>
      <c r="Z4" s="2"/>
      <c r="AA4" s="152"/>
      <c r="AB4" s="152"/>
      <c r="AC4" s="152"/>
      <c r="AD4" s="152"/>
      <c r="AE4" s="152"/>
      <c r="AF4" s="152"/>
      <c r="AG4" s="3"/>
      <c r="AH4" s="3"/>
      <c r="AI4" s="3"/>
      <c r="AJ4" s="3"/>
      <c r="AK4" s="1"/>
      <c r="AL4" s="175"/>
      <c r="AM4" s="175"/>
      <c r="AN4" s="175"/>
      <c r="AO4" s="175"/>
      <c r="AP4" s="38"/>
      <c r="BA4" s="239" t="s">
        <v>511</v>
      </c>
      <c r="BB4" s="240"/>
      <c r="BC4" s="240"/>
      <c r="BD4" s="240"/>
      <c r="BE4" s="241"/>
      <c r="BF4" s="241"/>
      <c r="BG4" s="241"/>
      <c r="BH4" s="241"/>
      <c r="BI4" s="242"/>
    </row>
    <row r="5" spans="1:71">
      <c r="A5" s="233"/>
      <c r="B5" s="234"/>
      <c r="C5" s="225"/>
      <c r="E5" s="1"/>
      <c r="G5"/>
      <c r="H5"/>
      <c r="I5"/>
      <c r="J5"/>
      <c r="K5" s="1"/>
      <c r="L5" s="225"/>
      <c r="M5" s="225"/>
      <c r="N5" s="225"/>
      <c r="O5" s="225"/>
      <c r="P5" s="243"/>
      <c r="Q5" s="3"/>
      <c r="R5" s="38"/>
      <c r="S5" s="3"/>
      <c r="T5" s="3"/>
      <c r="U5" s="244" t="s">
        <v>512</v>
      </c>
      <c r="W5" s="2"/>
      <c r="X5" s="2"/>
      <c r="Y5" s="2"/>
      <c r="Z5" s="2"/>
      <c r="AA5" s="152"/>
      <c r="AB5" s="152"/>
      <c r="AC5" s="152"/>
      <c r="AD5" s="152"/>
      <c r="AE5" s="152"/>
      <c r="AF5" s="152"/>
      <c r="AG5" s="3" t="s">
        <v>513</v>
      </c>
      <c r="AH5" s="3"/>
      <c r="AI5" s="3"/>
      <c r="AJ5" s="3"/>
      <c r="AK5" s="1"/>
      <c r="AL5" s="175"/>
      <c r="AM5" s="175"/>
      <c r="AN5" s="175"/>
      <c r="AO5" s="175"/>
      <c r="AP5" s="38"/>
      <c r="AV5" s="237" t="s">
        <v>514</v>
      </c>
      <c r="AW5" s="236"/>
      <c r="AX5" s="236"/>
      <c r="AY5" s="236"/>
      <c r="BA5" s="1" t="s">
        <v>515</v>
      </c>
    </row>
    <row r="6" spans="1:71" ht="16" thickBot="1">
      <c r="A6" s="1"/>
      <c r="B6" s="1"/>
      <c r="C6" s="1"/>
      <c r="E6" s="1"/>
      <c r="F6" s="1"/>
      <c r="G6" s="1" t="s">
        <v>516</v>
      </c>
      <c r="H6" s="2"/>
      <c r="I6" s="2"/>
      <c r="J6" s="2"/>
      <c r="K6" s="1"/>
      <c r="L6" s="1" t="s">
        <v>516</v>
      </c>
      <c r="M6" s="1"/>
      <c r="N6" s="1"/>
      <c r="O6" s="1"/>
      <c r="P6" s="243"/>
      <c r="Q6" s="3" t="s">
        <v>517</v>
      </c>
      <c r="R6" s="38"/>
      <c r="S6" s="3"/>
      <c r="T6" s="3"/>
      <c r="U6" s="244" t="s">
        <v>518</v>
      </c>
      <c r="W6" s="3" t="s">
        <v>517</v>
      </c>
      <c r="X6" s="2"/>
      <c r="Y6" s="2"/>
      <c r="Z6" s="2"/>
      <c r="AA6" s="152"/>
      <c r="AB6" s="3" t="s">
        <v>517</v>
      </c>
      <c r="AC6" s="152"/>
      <c r="AD6" s="152"/>
      <c r="AE6" s="152"/>
      <c r="AF6" s="152"/>
      <c r="AG6" s="3" t="s">
        <v>519</v>
      </c>
      <c r="AH6" s="3"/>
      <c r="AI6" s="3"/>
      <c r="AJ6" s="3"/>
      <c r="AK6" s="1"/>
      <c r="AL6" s="175"/>
      <c r="AM6" s="175"/>
      <c r="AN6" s="175"/>
      <c r="AO6" s="175"/>
      <c r="AP6" s="38"/>
      <c r="AV6" s="237" t="s">
        <v>520</v>
      </c>
      <c r="AW6" s="236"/>
      <c r="AX6" s="236"/>
      <c r="AY6" s="236"/>
    </row>
    <row r="7" spans="1:71" ht="16" thickBot="1">
      <c r="A7" s="16" t="s">
        <v>521</v>
      </c>
      <c r="B7" s="1"/>
      <c r="C7" s="1"/>
      <c r="D7" s="1"/>
      <c r="E7" s="1"/>
      <c r="F7" s="1"/>
      <c r="G7" s="39" t="s">
        <v>522</v>
      </c>
      <c r="H7" s="27"/>
      <c r="I7" s="27"/>
      <c r="J7" s="28"/>
      <c r="K7" s="1"/>
      <c r="L7" s="245" t="s">
        <v>523</v>
      </c>
      <c r="M7" s="246"/>
      <c r="N7" s="246"/>
      <c r="O7" s="247"/>
      <c r="P7" s="243"/>
      <c r="Q7" s="248" t="s">
        <v>524</v>
      </c>
      <c r="R7" s="35"/>
      <c r="S7" s="35"/>
      <c r="T7" s="36"/>
      <c r="U7" s="244" t="s">
        <v>525</v>
      </c>
      <c r="W7" s="249" t="s">
        <v>526</v>
      </c>
      <c r="X7" s="250"/>
      <c r="Y7" s="250"/>
      <c r="Z7" s="251"/>
      <c r="AA7" s="152"/>
      <c r="AB7" s="252" t="s">
        <v>527</v>
      </c>
      <c r="AC7" s="253"/>
      <c r="AD7" s="253"/>
      <c r="AE7" s="254"/>
      <c r="AF7" s="152"/>
      <c r="AG7" s="143" t="s">
        <v>528</v>
      </c>
      <c r="AH7" s="35"/>
      <c r="AI7" s="35"/>
      <c r="AJ7" s="36"/>
      <c r="AK7" s="1"/>
      <c r="AL7" s="255" t="s">
        <v>529</v>
      </c>
      <c r="AM7" s="256"/>
      <c r="AN7" s="256"/>
      <c r="AO7" s="257"/>
      <c r="AP7" s="38"/>
      <c r="AQ7" s="258" t="s">
        <v>530</v>
      </c>
      <c r="AR7" s="259"/>
      <c r="AS7" s="259"/>
      <c r="AT7" s="260"/>
      <c r="AU7" s="1"/>
      <c r="AV7" s="261" t="s">
        <v>531</v>
      </c>
      <c r="AW7" s="253"/>
      <c r="AX7" s="253"/>
      <c r="AY7" s="254"/>
      <c r="AZ7" s="1"/>
      <c r="BA7" s="262" t="s">
        <v>532</v>
      </c>
      <c r="BB7" s="250"/>
      <c r="BC7" s="250"/>
      <c r="BD7" s="251"/>
      <c r="BF7" s="261" t="s">
        <v>533</v>
      </c>
      <c r="BG7" s="263"/>
      <c r="BH7" s="263"/>
      <c r="BI7" s="264"/>
      <c r="BK7" s="265" t="s">
        <v>534</v>
      </c>
      <c r="BL7" s="266"/>
      <c r="BM7" s="266"/>
      <c r="BN7" s="267"/>
      <c r="BP7" s="1" t="s">
        <v>535</v>
      </c>
    </row>
    <row r="8" spans="1:71">
      <c r="A8" s="16" t="s">
        <v>536</v>
      </c>
      <c r="B8" s="20" t="s">
        <v>537</v>
      </c>
      <c r="C8" s="1" t="s">
        <v>538</v>
      </c>
      <c r="D8" s="1"/>
      <c r="E8" s="1"/>
      <c r="F8" s="1"/>
      <c r="G8" s="29" t="s">
        <v>539</v>
      </c>
      <c r="H8" s="29" t="s">
        <v>540</v>
      </c>
      <c r="I8" s="29"/>
      <c r="J8" s="29" t="s">
        <v>541</v>
      </c>
      <c r="K8" s="1"/>
      <c r="L8" s="29" t="s">
        <v>539</v>
      </c>
      <c r="M8" s="29" t="s">
        <v>540</v>
      </c>
      <c r="N8" s="29"/>
      <c r="O8" s="29" t="s">
        <v>541</v>
      </c>
      <c r="P8" s="243"/>
      <c r="Q8" s="37" t="s">
        <v>539</v>
      </c>
      <c r="R8" s="37" t="s">
        <v>540</v>
      </c>
      <c r="S8" s="37"/>
      <c r="T8" s="37" t="s">
        <v>541</v>
      </c>
      <c r="U8" s="244" t="s">
        <v>542</v>
      </c>
      <c r="W8" s="29" t="s">
        <v>539</v>
      </c>
      <c r="X8" s="29" t="s">
        <v>540</v>
      </c>
      <c r="Y8" s="29"/>
      <c r="Z8" s="29" t="s">
        <v>541</v>
      </c>
      <c r="AA8" s="152"/>
      <c r="AB8" s="29" t="s">
        <v>539</v>
      </c>
      <c r="AC8" s="29" t="s">
        <v>540</v>
      </c>
      <c r="AD8" s="29"/>
      <c r="AE8" s="29" t="s">
        <v>541</v>
      </c>
      <c r="AF8" s="29"/>
      <c r="AG8" s="37" t="s">
        <v>539</v>
      </c>
      <c r="AH8" s="37" t="s">
        <v>540</v>
      </c>
      <c r="AI8" s="37"/>
      <c r="AJ8" s="37" t="s">
        <v>541</v>
      </c>
      <c r="AK8" s="1"/>
      <c r="AL8" s="172" t="s">
        <v>539</v>
      </c>
      <c r="AM8" s="172" t="s">
        <v>540</v>
      </c>
      <c r="AN8" s="172"/>
      <c r="AO8" s="172" t="s">
        <v>543</v>
      </c>
      <c r="AP8" s="38"/>
      <c r="AQ8" s="37" t="s">
        <v>539</v>
      </c>
      <c r="AR8" s="37" t="s">
        <v>540</v>
      </c>
      <c r="AS8" s="37"/>
      <c r="AT8" s="37" t="s">
        <v>541</v>
      </c>
      <c r="AU8" s="1"/>
      <c r="AV8" s="37" t="s">
        <v>539</v>
      </c>
      <c r="AW8" s="37" t="s">
        <v>540</v>
      </c>
      <c r="AX8" s="37"/>
      <c r="AY8" s="37" t="s">
        <v>541</v>
      </c>
      <c r="AZ8" s="1"/>
      <c r="BA8" s="29" t="s">
        <v>539</v>
      </c>
      <c r="BB8" s="29" t="s">
        <v>540</v>
      </c>
      <c r="BC8" s="29"/>
      <c r="BD8" s="29" t="s">
        <v>543</v>
      </c>
      <c r="BF8" s="29" t="s">
        <v>539</v>
      </c>
      <c r="BG8" s="29" t="s">
        <v>540</v>
      </c>
      <c r="BH8" s="29"/>
      <c r="BI8" s="29" t="s">
        <v>543</v>
      </c>
      <c r="BK8" s="29" t="s">
        <v>539</v>
      </c>
      <c r="BL8" s="29" t="s">
        <v>540</v>
      </c>
      <c r="BM8" s="29"/>
      <c r="BN8" s="29" t="s">
        <v>543</v>
      </c>
      <c r="BP8" s="29" t="s">
        <v>539</v>
      </c>
      <c r="BQ8" s="29" t="s">
        <v>540</v>
      </c>
      <c r="BR8" s="29"/>
      <c r="BS8" s="29" t="s">
        <v>543</v>
      </c>
    </row>
    <row r="9" spans="1:71">
      <c r="A9" s="16" t="s">
        <v>544</v>
      </c>
      <c r="B9" s="20" t="s">
        <v>545</v>
      </c>
      <c r="C9" s="1" t="s">
        <v>546</v>
      </c>
      <c r="D9" s="1" t="s">
        <v>547</v>
      </c>
      <c r="E9" s="1"/>
      <c r="F9" s="1"/>
      <c r="G9" s="29" t="s">
        <v>548</v>
      </c>
      <c r="H9" s="29" t="s">
        <v>549</v>
      </c>
      <c r="I9" s="29" t="s">
        <v>550</v>
      </c>
      <c r="J9" s="29" t="s">
        <v>549</v>
      </c>
      <c r="K9" s="1"/>
      <c r="L9" s="29" t="s">
        <v>548</v>
      </c>
      <c r="M9" s="29" t="s">
        <v>549</v>
      </c>
      <c r="N9" s="29" t="s">
        <v>550</v>
      </c>
      <c r="O9" s="29" t="s">
        <v>549</v>
      </c>
      <c r="P9" s="243"/>
      <c r="Q9" s="37" t="s">
        <v>548</v>
      </c>
      <c r="R9" s="37" t="s">
        <v>549</v>
      </c>
      <c r="S9" s="37" t="s">
        <v>550</v>
      </c>
      <c r="T9" s="37" t="s">
        <v>549</v>
      </c>
      <c r="U9" s="244" t="s">
        <v>551</v>
      </c>
      <c r="W9" s="29" t="s">
        <v>548</v>
      </c>
      <c r="X9" s="29" t="s">
        <v>549</v>
      </c>
      <c r="Y9" s="29" t="s">
        <v>550</v>
      </c>
      <c r="Z9" s="29" t="s">
        <v>549</v>
      </c>
      <c r="AA9" s="152"/>
      <c r="AB9" s="29" t="s">
        <v>548</v>
      </c>
      <c r="AC9" s="29" t="s">
        <v>549</v>
      </c>
      <c r="AD9" s="29" t="s">
        <v>550</v>
      </c>
      <c r="AE9" s="29" t="s">
        <v>549</v>
      </c>
      <c r="AF9" s="29"/>
      <c r="AG9" s="37" t="s">
        <v>548</v>
      </c>
      <c r="AH9" s="37" t="s">
        <v>549</v>
      </c>
      <c r="AI9" s="37" t="s">
        <v>550</v>
      </c>
      <c r="AJ9" s="37" t="s">
        <v>549</v>
      </c>
      <c r="AK9" s="1"/>
      <c r="AL9" s="172" t="s">
        <v>548</v>
      </c>
      <c r="AM9" s="172" t="s">
        <v>549</v>
      </c>
      <c r="AN9" s="172" t="s">
        <v>550</v>
      </c>
      <c r="AO9" s="172" t="s">
        <v>549</v>
      </c>
      <c r="AP9" s="38"/>
      <c r="AQ9" s="37" t="s">
        <v>548</v>
      </c>
      <c r="AR9" s="37" t="s">
        <v>549</v>
      </c>
      <c r="AS9" s="37" t="s">
        <v>550</v>
      </c>
      <c r="AT9" s="37" t="s">
        <v>549</v>
      </c>
      <c r="AU9" s="1"/>
      <c r="AV9" s="37" t="s">
        <v>548</v>
      </c>
      <c r="AW9" s="37" t="s">
        <v>549</v>
      </c>
      <c r="AX9" s="37" t="s">
        <v>550</v>
      </c>
      <c r="AY9" s="37" t="s">
        <v>549</v>
      </c>
      <c r="AZ9" s="1"/>
      <c r="BA9" s="29" t="s">
        <v>548</v>
      </c>
      <c r="BB9" s="29" t="s">
        <v>549</v>
      </c>
      <c r="BC9" s="29" t="s">
        <v>550</v>
      </c>
      <c r="BD9" s="29" t="s">
        <v>549</v>
      </c>
      <c r="BF9" s="29" t="s">
        <v>548</v>
      </c>
      <c r="BG9" s="29" t="s">
        <v>549</v>
      </c>
      <c r="BH9" s="29" t="s">
        <v>550</v>
      </c>
      <c r="BI9" s="29" t="s">
        <v>549</v>
      </c>
      <c r="BK9" s="29" t="s">
        <v>548</v>
      </c>
      <c r="BL9" s="29" t="s">
        <v>549</v>
      </c>
      <c r="BM9" s="29" t="s">
        <v>550</v>
      </c>
      <c r="BN9" s="29" t="s">
        <v>549</v>
      </c>
      <c r="BP9" s="29" t="s">
        <v>548</v>
      </c>
      <c r="BQ9" s="29" t="s">
        <v>549</v>
      </c>
      <c r="BR9" s="29" t="s">
        <v>550</v>
      </c>
      <c r="BS9" s="29" t="s">
        <v>549</v>
      </c>
    </row>
    <row r="10" spans="1:71">
      <c r="A10" s="1"/>
      <c r="B10" s="20"/>
      <c r="C10" s="1"/>
      <c r="D10" s="1"/>
      <c r="E10" s="1"/>
      <c r="F10" s="1"/>
      <c r="G10" s="1"/>
      <c r="H10" s="1"/>
      <c r="I10" s="1"/>
      <c r="J10" s="1"/>
      <c r="K10" s="1"/>
      <c r="L10" s="1"/>
      <c r="M10" s="1"/>
      <c r="N10" s="1"/>
      <c r="O10" s="1"/>
      <c r="P10" s="243"/>
      <c r="Q10" s="2"/>
      <c r="R10" s="2"/>
      <c r="S10" s="2"/>
      <c r="T10" s="2"/>
      <c r="U10" s="3"/>
      <c r="V10" s="2"/>
      <c r="W10" s="2"/>
      <c r="X10" s="2"/>
      <c r="Y10" s="2"/>
      <c r="Z10" s="2"/>
      <c r="AA10" s="31"/>
      <c r="AB10" s="31"/>
      <c r="AC10" s="31"/>
      <c r="AD10" s="31"/>
      <c r="AE10" s="31"/>
      <c r="AF10" s="31"/>
      <c r="AG10" s="3"/>
      <c r="AH10" s="3"/>
      <c r="AI10" s="3"/>
      <c r="AJ10" s="3"/>
      <c r="AK10" s="1"/>
      <c r="AL10" s="175"/>
      <c r="AM10" s="175"/>
      <c r="AN10" s="175"/>
      <c r="AO10" s="175"/>
      <c r="AP10" s="38"/>
    </row>
    <row r="11" spans="1:71">
      <c r="A11" s="1">
        <v>1</v>
      </c>
      <c r="B11" s="21" t="s">
        <v>552</v>
      </c>
      <c r="C11" s="14" t="s">
        <v>553</v>
      </c>
      <c r="D11" s="14" t="s">
        <v>554</v>
      </c>
      <c r="E11" s="1"/>
      <c r="F11" s="1"/>
      <c r="G11" s="2">
        <f>SUM(G12:G22)</f>
        <v>2036.7271116484985</v>
      </c>
      <c r="H11" s="2">
        <f>SUM(H12:H22)</f>
        <v>9385.3938245611353</v>
      </c>
      <c r="I11" s="2">
        <f>SUM(I12:I22)</f>
        <v>3696.0366600576413</v>
      </c>
      <c r="J11" s="2">
        <f>G11+H11+I11</f>
        <v>15118.157596267276</v>
      </c>
      <c r="K11" s="2"/>
      <c r="L11" s="31">
        <f>SUM(L12:L22)</f>
        <v>3437.1615697741568</v>
      </c>
      <c r="M11" s="31">
        <f>SUM(M12:M22)</f>
        <v>13795.452725362811</v>
      </c>
      <c r="N11" s="31">
        <f>SUM(N12:N22)</f>
        <v>6445.6587433078648</v>
      </c>
      <c r="O11" s="31">
        <f t="shared" ref="O11:O21" si="0">L11+M11+N11</f>
        <v>23678.273038444833</v>
      </c>
      <c r="P11" s="243"/>
      <c r="Q11" s="3">
        <f t="shared" ref="Q11:T20" si="1">W11/G11</f>
        <v>312.11970108993222</v>
      </c>
      <c r="R11" s="3">
        <f t="shared" si="1"/>
        <v>561.81383323035072</v>
      </c>
      <c r="S11" s="3">
        <f t="shared" si="1"/>
        <v>1103.2709936079123</v>
      </c>
      <c r="T11" s="3">
        <f t="shared" si="1"/>
        <v>660.54853000483024</v>
      </c>
      <c r="U11" s="3"/>
      <c r="V11" s="2"/>
      <c r="W11" s="175">
        <f>SUM(W12:W22)</f>
        <v>635702.65728949034</v>
      </c>
      <c r="X11" s="175">
        <f>SUM(X12:X22)</f>
        <v>5272844.0809531529</v>
      </c>
      <c r="Y11" s="175">
        <f>SUM(Y12:Y22)</f>
        <v>4077730.0383530636</v>
      </c>
      <c r="Z11" s="175">
        <f>W11+X11+Y11</f>
        <v>9986276.7765957061</v>
      </c>
      <c r="AA11" s="31"/>
      <c r="AB11" s="268">
        <f>SUM(AB12:AB22)</f>
        <v>599667.74415711209</v>
      </c>
      <c r="AC11" s="268">
        <f t="shared" ref="AC11:AE11" si="2">SUM(AC12:AC22)</f>
        <v>5130057.7295591542</v>
      </c>
      <c r="AD11" s="268">
        <f t="shared" si="2"/>
        <v>4017137.4220699002</v>
      </c>
      <c r="AE11" s="268">
        <f t="shared" si="2"/>
        <v>9746862.8957861625</v>
      </c>
      <c r="AF11" s="31"/>
      <c r="AG11" s="3">
        <v>46.698745311033541</v>
      </c>
      <c r="AH11" s="3">
        <v>103.45614049581889</v>
      </c>
      <c r="AI11" s="3">
        <v>582.82094720929751</v>
      </c>
      <c r="AJ11" s="3">
        <v>213.00325713680238</v>
      </c>
      <c r="AK11" s="1"/>
      <c r="AL11" s="175">
        <f>SUM(AL12:AL22)</f>
        <v>95112.600654950205</v>
      </c>
      <c r="AM11" s="175">
        <f>SUM(AM12:AM22)</f>
        <v>970976.62212238775</v>
      </c>
      <c r="AN11" s="175">
        <f>SUM(AN12:AN22)</f>
        <v>2154127.587135083</v>
      </c>
      <c r="AO11" s="175">
        <f>AL11+AM11+AN11</f>
        <v>3220216.8099124208</v>
      </c>
      <c r="AP11" s="38"/>
      <c r="AQ11" s="3">
        <f t="shared" ref="AQ11:AT20" si="3">BA11/G11</f>
        <v>358.8184464009658</v>
      </c>
      <c r="AR11" s="3">
        <f t="shared" si="3"/>
        <v>665.2699737261695</v>
      </c>
      <c r="AS11" s="3">
        <f t="shared" si="3"/>
        <v>1686.0919408172099</v>
      </c>
      <c r="AT11" s="3">
        <f t="shared" si="3"/>
        <v>873.55178714163253</v>
      </c>
      <c r="AV11" s="3">
        <f>BF11/G11</f>
        <v>341.1258881165071</v>
      </c>
      <c r="AW11" s="3">
        <f t="shared" ref="AW11:AY26" si="4">BB11/H11</f>
        <v>665.2699737261695</v>
      </c>
      <c r="AX11" s="3">
        <f t="shared" si="4"/>
        <v>1686.0919408172099</v>
      </c>
      <c r="AY11" s="3">
        <f t="shared" si="4"/>
        <v>873.55178714163253</v>
      </c>
      <c r="BA11" s="159">
        <f>SUM(BA12:BA22)</f>
        <v>730815.2579444407</v>
      </c>
      <c r="BB11" s="159">
        <f>SUM(BB12:BB22)</f>
        <v>6243820.7030755403</v>
      </c>
      <c r="BC11" s="159">
        <f>SUM(BC12:BC22)</f>
        <v>6231857.6254881462</v>
      </c>
      <c r="BD11" s="159">
        <f>BA11+BB11+BC11</f>
        <v>13206493.586508127</v>
      </c>
      <c r="BF11" s="175">
        <f>AB11+AL11</f>
        <v>694780.34481206234</v>
      </c>
      <c r="BG11" s="175">
        <f t="shared" ref="BG11:BI26" si="5">AC11+AM11</f>
        <v>6101034.3516815417</v>
      </c>
      <c r="BH11" s="175">
        <f t="shared" si="5"/>
        <v>6171265.0092049837</v>
      </c>
      <c r="BI11" s="175">
        <f t="shared" si="5"/>
        <v>12967079.705698583</v>
      </c>
      <c r="BK11" s="175">
        <f>BF11/4.44</f>
        <v>156482.05964235635</v>
      </c>
      <c r="BL11" s="175">
        <f t="shared" ref="BL11:BN26" si="6">BG11/4.44</f>
        <v>1374106.8359643111</v>
      </c>
      <c r="BM11" s="175">
        <f t="shared" si="6"/>
        <v>1389924.551622744</v>
      </c>
      <c r="BN11" s="175">
        <f t="shared" si="6"/>
        <v>2920513.4472294105</v>
      </c>
      <c r="BP11" s="269">
        <f>BF11/BA11</f>
        <v>0.95069217187154309</v>
      </c>
      <c r="BQ11" s="269">
        <f t="shared" ref="BQ11:BS26" si="7">BG11/BB11</f>
        <v>0.9771315740498977</v>
      </c>
      <c r="BR11" s="269">
        <f t="shared" si="7"/>
        <v>0.99027695754226797</v>
      </c>
      <c r="BS11" s="269">
        <f t="shared" si="7"/>
        <v>0.98187150289050751</v>
      </c>
    </row>
    <row r="12" spans="1:71">
      <c r="A12" s="1">
        <v>2</v>
      </c>
      <c r="B12" s="22" t="s">
        <v>555</v>
      </c>
      <c r="C12" s="15" t="s">
        <v>556</v>
      </c>
      <c r="D12" s="4" t="s">
        <v>148</v>
      </c>
      <c r="E12" s="1"/>
      <c r="F12" s="1"/>
      <c r="G12" s="2">
        <f>'[1](1) Homes for non-HH earners'!G16</f>
        <v>73.068323586118268</v>
      </c>
      <c r="H12" s="2">
        <f>'[1](1) Homes for non-HH earners'!H16</f>
        <v>418.37451309653005</v>
      </c>
      <c r="I12" s="2">
        <f>'[1](1) Homes for non-HH earners'!I16</f>
        <v>882.38165577173538</v>
      </c>
      <c r="J12" s="2">
        <f>G12+H12+I12</f>
        <v>1373.8244924543837</v>
      </c>
      <c r="K12" s="2"/>
      <c r="L12" s="31">
        <v>164.34197698378634</v>
      </c>
      <c r="M12" s="31">
        <v>613.87144256812326</v>
      </c>
      <c r="N12" s="31">
        <v>1733.362916060456</v>
      </c>
      <c r="O12" s="31">
        <f t="shared" si="0"/>
        <v>2511.5763356123657</v>
      </c>
      <c r="P12" s="243"/>
      <c r="Q12" s="3">
        <f t="shared" si="1"/>
        <v>2301.5880960283748</v>
      </c>
      <c r="R12" s="3">
        <f t="shared" si="1"/>
        <v>2128.0367685602801</v>
      </c>
      <c r="S12" s="3">
        <f t="shared" si="1"/>
        <v>3262.2829959104115</v>
      </c>
      <c r="T12" s="3">
        <f t="shared" si="1"/>
        <v>2865.7723193988049</v>
      </c>
      <c r="U12" s="3">
        <v>1</v>
      </c>
      <c r="V12" s="2"/>
      <c r="W12" s="175">
        <v>168173.18376255914</v>
      </c>
      <c r="X12" s="175">
        <v>890316.34689792036</v>
      </c>
      <c r="Y12" s="175">
        <v>2878578.6715274062</v>
      </c>
      <c r="Z12" s="175">
        <f t="shared" ref="Z12:Z40" si="8">W12+X12+Y12</f>
        <v>3937068.2021878855</v>
      </c>
      <c r="AA12" s="31"/>
      <c r="AB12" s="268">
        <f>W12*$U12</f>
        <v>168173.18376255914</v>
      </c>
      <c r="AC12" s="268">
        <f t="shared" ref="AC12:AD22" si="9">X12*$U12</f>
        <v>890316.34689792036</v>
      </c>
      <c r="AD12" s="268">
        <f t="shared" si="9"/>
        <v>2878578.6715274062</v>
      </c>
      <c r="AE12" s="268">
        <f>AB12+AC12+AD12</f>
        <v>3937068.2021878855</v>
      </c>
      <c r="AF12" s="31"/>
      <c r="AG12" s="3">
        <v>315.55221315517986</v>
      </c>
      <c r="AH12" s="3">
        <v>309.49734556346704</v>
      </c>
      <c r="AI12" s="3">
        <v>1578.1445403057689</v>
      </c>
      <c r="AJ12" s="3">
        <v>1732.3927200498772</v>
      </c>
      <c r="AK12" s="1"/>
      <c r="AL12" s="175">
        <f t="shared" ref="AL12:AN20" si="10">G12*AG12</f>
        <v>23056.871219138447</v>
      </c>
      <c r="AM12" s="175">
        <f t="shared" si="10"/>
        <v>129485.80125478403</v>
      </c>
      <c r="AN12" s="175">
        <f t="shared" si="10"/>
        <v>1392525.7925221287</v>
      </c>
      <c r="AO12" s="175">
        <f t="shared" ref="AO12:AO20" si="11">AL12+AM12+AN12</f>
        <v>1545068.464996051</v>
      </c>
      <c r="AP12" s="38"/>
      <c r="AQ12" s="3">
        <f t="shared" si="3"/>
        <v>2617.1403091835546</v>
      </c>
      <c r="AR12" s="3">
        <f t="shared" si="3"/>
        <v>2437.5341141237468</v>
      </c>
      <c r="AS12" s="3">
        <f t="shared" si="3"/>
        <v>4840.4275362161807</v>
      </c>
      <c r="AT12" s="3">
        <f t="shared" si="3"/>
        <v>3990.4199534177142</v>
      </c>
      <c r="AV12" s="3">
        <f t="shared" ref="AV12:AV21" si="12">BF12/G12</f>
        <v>2617.1403091835546</v>
      </c>
      <c r="AW12" s="3">
        <f t="shared" si="4"/>
        <v>2437.5341141237468</v>
      </c>
      <c r="AX12" s="3">
        <f t="shared" si="4"/>
        <v>4840.4275362161807</v>
      </c>
      <c r="AY12" s="3">
        <f t="shared" si="4"/>
        <v>3990.4199534177142</v>
      </c>
      <c r="BA12" s="159">
        <f>W12+AL12</f>
        <v>191230.05498169758</v>
      </c>
      <c r="BB12" s="159">
        <f>X12+AM12</f>
        <v>1019802.1481527044</v>
      </c>
      <c r="BC12" s="159">
        <f>Y12+AN12</f>
        <v>4271104.4640495349</v>
      </c>
      <c r="BD12" s="159">
        <f t="shared" ref="BD12:BD45" si="13">BA12+BB12+BC12</f>
        <v>5482136.6671839366</v>
      </c>
      <c r="BF12" s="175">
        <f t="shared" ref="BF12:BH41" si="14">AB12+AL12</f>
        <v>191230.05498169758</v>
      </c>
      <c r="BG12" s="175">
        <f t="shared" si="5"/>
        <v>1019802.1481527044</v>
      </c>
      <c r="BH12" s="175">
        <f t="shared" si="5"/>
        <v>4271104.4640495349</v>
      </c>
      <c r="BI12" s="175">
        <f t="shared" si="5"/>
        <v>5482136.6671839366</v>
      </c>
      <c r="BK12" s="175">
        <f t="shared" ref="BK12:BN45" si="15">BF12/4.44</f>
        <v>43069.83220308504</v>
      </c>
      <c r="BL12" s="175">
        <f t="shared" si="6"/>
        <v>229685.16850286131</v>
      </c>
      <c r="BM12" s="175">
        <f t="shared" si="6"/>
        <v>961960.46487602126</v>
      </c>
      <c r="BN12" s="175">
        <f t="shared" si="6"/>
        <v>1234715.4655819675</v>
      </c>
      <c r="BP12" s="269">
        <f t="shared" ref="BP12:BS45" si="16">BF12/BA12</f>
        <v>1</v>
      </c>
      <c r="BQ12" s="269">
        <f t="shared" si="7"/>
        <v>1</v>
      </c>
      <c r="BR12" s="269">
        <f t="shared" si="7"/>
        <v>1</v>
      </c>
      <c r="BS12" s="269">
        <f t="shared" si="7"/>
        <v>1</v>
      </c>
    </row>
    <row r="13" spans="1:71">
      <c r="A13" s="1">
        <v>3</v>
      </c>
      <c r="B13" s="22"/>
      <c r="C13" s="15" t="s">
        <v>557</v>
      </c>
      <c r="D13" s="4" t="s">
        <v>558</v>
      </c>
      <c r="E13" s="1"/>
      <c r="F13" s="1"/>
      <c r="G13" s="2">
        <f>'[1](1) Homes for non-HH earners'!G17</f>
        <v>405.1970671593831</v>
      </c>
      <c r="H13" s="2">
        <f>'[1](1) Homes for non-HH earners'!H17</f>
        <v>2386.8172746096379</v>
      </c>
      <c r="I13" s="2">
        <f>'[1](1) Homes for non-HH earners'!I17</f>
        <v>930.99772496026071</v>
      </c>
      <c r="J13" s="2">
        <f t="shared" ref="J13:J22" si="17">G13+H13+I13</f>
        <v>3723.0120667292817</v>
      </c>
      <c r="K13" s="2"/>
      <c r="L13" s="31">
        <v>911.35096327372412</v>
      </c>
      <c r="M13" s="31">
        <v>3502.1229010025154</v>
      </c>
      <c r="N13" s="31">
        <v>1828.8650050995996</v>
      </c>
      <c r="O13" s="31">
        <f t="shared" si="0"/>
        <v>6242.3388693758388</v>
      </c>
      <c r="P13" s="243"/>
      <c r="Q13" s="3">
        <f t="shared" si="1"/>
        <v>414.68568164609638</v>
      </c>
      <c r="R13" s="3">
        <f t="shared" si="1"/>
        <v>1076.2512523700495</v>
      </c>
      <c r="S13" s="3">
        <f t="shared" si="1"/>
        <v>507.27549959361124</v>
      </c>
      <c r="T13" s="3">
        <f t="shared" si="1"/>
        <v>861.96788554651789</v>
      </c>
      <c r="U13" s="218">
        <v>1</v>
      </c>
      <c r="V13" s="2"/>
      <c r="W13" s="175">
        <v>168029.42199598788</v>
      </c>
      <c r="X13" s="175">
        <v>2568815.0809770911</v>
      </c>
      <c r="Y13" s="175">
        <v>472272.3360497317</v>
      </c>
      <c r="Z13" s="175">
        <f t="shared" si="8"/>
        <v>3209116.8390228106</v>
      </c>
      <c r="AA13" s="31"/>
      <c r="AB13" s="268">
        <f t="shared" ref="AB13:AB22" si="18">W13*$U13</f>
        <v>168029.42199598788</v>
      </c>
      <c r="AC13" s="268">
        <f t="shared" si="9"/>
        <v>2568815.0809770911</v>
      </c>
      <c r="AD13" s="268">
        <f t="shared" si="9"/>
        <v>472272.3360497317</v>
      </c>
      <c r="AE13" s="268">
        <f t="shared" ref="AE13:AE22" si="19">AB13+AC13+AD13</f>
        <v>3209116.8390228106</v>
      </c>
      <c r="AF13" s="31"/>
      <c r="AG13" s="3">
        <v>116.7301793535444</v>
      </c>
      <c r="AH13" s="3">
        <v>203.56716305408384</v>
      </c>
      <c r="AI13" s="3">
        <v>77.459813446997401</v>
      </c>
      <c r="AJ13" s="3">
        <v>157.38898066999803</v>
      </c>
      <c r="AK13" s="1"/>
      <c r="AL13" s="175">
        <f t="shared" si="10"/>
        <v>47298.726323044968</v>
      </c>
      <c r="AM13" s="175">
        <f t="shared" si="10"/>
        <v>485877.62132076418</v>
      </c>
      <c r="AN13" s="175">
        <f t="shared" si="10"/>
        <v>72114.910095000785</v>
      </c>
      <c r="AO13" s="175">
        <f t="shared" si="11"/>
        <v>605291.25773880992</v>
      </c>
      <c r="AP13" s="38"/>
      <c r="AQ13" s="3">
        <f t="shared" si="3"/>
        <v>531.41586099964081</v>
      </c>
      <c r="AR13" s="3">
        <f t="shared" si="3"/>
        <v>1279.8184154241333</v>
      </c>
      <c r="AS13" s="3">
        <f t="shared" si="3"/>
        <v>584.73531304060862</v>
      </c>
      <c r="AT13" s="3">
        <f t="shared" si="3"/>
        <v>1024.5489481081997</v>
      </c>
      <c r="AV13" s="3">
        <f t="shared" si="12"/>
        <v>531.41586099964081</v>
      </c>
      <c r="AW13" s="3">
        <f t="shared" si="4"/>
        <v>1279.8184154241333</v>
      </c>
      <c r="AX13" s="3">
        <f t="shared" si="4"/>
        <v>584.73531304060862</v>
      </c>
      <c r="AY13" s="3">
        <f t="shared" si="4"/>
        <v>1024.5489481081997</v>
      </c>
      <c r="BA13" s="159">
        <f t="shared" ref="BA13:BC41" si="20">W13+AL13</f>
        <v>215328.14831903286</v>
      </c>
      <c r="BB13" s="159">
        <f t="shared" si="20"/>
        <v>3054692.7022978552</v>
      </c>
      <c r="BC13" s="159">
        <f t="shared" si="20"/>
        <v>544387.24614473246</v>
      </c>
      <c r="BD13" s="159">
        <f t="shared" si="13"/>
        <v>3814408.0967616206</v>
      </c>
      <c r="BF13" s="175">
        <f t="shared" si="14"/>
        <v>215328.14831903286</v>
      </c>
      <c r="BG13" s="175">
        <f t="shared" si="5"/>
        <v>3054692.7022978552</v>
      </c>
      <c r="BH13" s="175">
        <f t="shared" si="5"/>
        <v>544387.24614473246</v>
      </c>
      <c r="BI13" s="175">
        <f t="shared" si="5"/>
        <v>3814408.0967616206</v>
      </c>
      <c r="BK13" s="175">
        <f t="shared" si="15"/>
        <v>48497.330702484876</v>
      </c>
      <c r="BL13" s="175">
        <f t="shared" si="6"/>
        <v>687993.85186888627</v>
      </c>
      <c r="BM13" s="175">
        <f t="shared" si="6"/>
        <v>122609.74012268748</v>
      </c>
      <c r="BN13" s="175">
        <f t="shared" si="6"/>
        <v>859100.92269405862</v>
      </c>
      <c r="BP13" s="269">
        <f t="shared" si="16"/>
        <v>1</v>
      </c>
      <c r="BQ13" s="269">
        <f t="shared" si="7"/>
        <v>1</v>
      </c>
      <c r="BR13" s="269">
        <f t="shared" si="7"/>
        <v>1</v>
      </c>
      <c r="BS13" s="269">
        <f t="shared" si="7"/>
        <v>1</v>
      </c>
    </row>
    <row r="14" spans="1:71">
      <c r="A14" s="1">
        <v>4</v>
      </c>
      <c r="B14" s="22" t="s">
        <v>559</v>
      </c>
      <c r="C14" s="15" t="s">
        <v>560</v>
      </c>
      <c r="D14" s="14" t="s">
        <v>561</v>
      </c>
      <c r="E14" s="1"/>
      <c r="F14" s="1"/>
      <c r="G14" s="2">
        <f>'[1](1) Homes for non-HH earners'!G18</f>
        <v>273</v>
      </c>
      <c r="H14" s="2">
        <f>'[1](1) Homes for non-HH earners'!H18</f>
        <v>1514</v>
      </c>
      <c r="I14" s="2">
        <f>'[1](1) Homes for non-HH earners'!I18</f>
        <v>299</v>
      </c>
      <c r="J14" s="2">
        <f t="shared" si="17"/>
        <v>2086</v>
      </c>
      <c r="K14" s="2"/>
      <c r="L14" s="31">
        <v>614.01928379669744</v>
      </c>
      <c r="M14" s="31">
        <v>2221.457892282509</v>
      </c>
      <c r="N14" s="31">
        <v>587.35979891693239</v>
      </c>
      <c r="O14" s="31">
        <f t="shared" si="0"/>
        <v>3422.8369749961389</v>
      </c>
      <c r="P14" s="243"/>
      <c r="Q14" s="3">
        <f t="shared" si="1"/>
        <v>360.1614293617086</v>
      </c>
      <c r="R14" s="3">
        <f t="shared" si="1"/>
        <v>375.02305427456565</v>
      </c>
      <c r="S14" s="3">
        <f t="shared" si="1"/>
        <v>378.52299591041134</v>
      </c>
      <c r="T14" s="3">
        <f t="shared" si="1"/>
        <v>373.57974600414758</v>
      </c>
      <c r="U14" s="218">
        <v>1</v>
      </c>
      <c r="V14" s="2"/>
      <c r="W14" s="175">
        <v>98324.07021574644</v>
      </c>
      <c r="X14" s="175">
        <v>567784.90417169244</v>
      </c>
      <c r="Y14" s="175">
        <v>113178.37577721299</v>
      </c>
      <c r="Z14" s="175">
        <f t="shared" si="8"/>
        <v>779287.35016465187</v>
      </c>
      <c r="AA14" s="31"/>
      <c r="AB14" s="268">
        <f t="shared" si="18"/>
        <v>98324.07021574644</v>
      </c>
      <c r="AC14" s="268">
        <f t="shared" si="9"/>
        <v>567784.90417169244</v>
      </c>
      <c r="AD14" s="268">
        <f t="shared" si="9"/>
        <v>113178.37577721299</v>
      </c>
      <c r="AE14" s="268">
        <f t="shared" si="19"/>
        <v>779287.35016465187</v>
      </c>
      <c r="AF14" s="31"/>
      <c r="AG14" s="3">
        <v>43.028828716563922</v>
      </c>
      <c r="AH14" s="3">
        <v>137.54915569934698</v>
      </c>
      <c r="AI14" s="3">
        <v>233.29624915256639</v>
      </c>
      <c r="AJ14" s="3">
        <v>141.45743139273671</v>
      </c>
      <c r="AK14" s="1"/>
      <c r="AL14" s="175">
        <f t="shared" si="10"/>
        <v>11746.870239621951</v>
      </c>
      <c r="AM14" s="175">
        <f t="shared" si="10"/>
        <v>208249.42172881134</v>
      </c>
      <c r="AN14" s="175">
        <f t="shared" si="10"/>
        <v>69755.578496617352</v>
      </c>
      <c r="AO14" s="175">
        <f t="shared" si="11"/>
        <v>289751.87046505068</v>
      </c>
      <c r="AP14" s="38"/>
      <c r="AQ14" s="3">
        <f t="shared" si="3"/>
        <v>403.19025807827245</v>
      </c>
      <c r="AR14" s="3">
        <f t="shared" si="3"/>
        <v>512.57220997391266</v>
      </c>
      <c r="AS14" s="3">
        <f t="shared" si="3"/>
        <v>611.81924506297776</v>
      </c>
      <c r="AT14" s="3">
        <f t="shared" si="3"/>
        <v>512.48284785700025</v>
      </c>
      <c r="AV14" s="3">
        <f t="shared" si="12"/>
        <v>403.19025807827245</v>
      </c>
      <c r="AW14" s="3">
        <f t="shared" si="4"/>
        <v>512.57220997391266</v>
      </c>
      <c r="AX14" s="3">
        <f t="shared" si="4"/>
        <v>611.81924506297776</v>
      </c>
      <c r="AY14" s="3">
        <f t="shared" si="4"/>
        <v>512.48284785700025</v>
      </c>
      <c r="BA14" s="159">
        <f t="shared" si="20"/>
        <v>110070.94045536839</v>
      </c>
      <c r="BB14" s="159">
        <f t="shared" si="20"/>
        <v>776034.32590050378</v>
      </c>
      <c r="BC14" s="159">
        <f t="shared" si="20"/>
        <v>182933.95427383034</v>
      </c>
      <c r="BD14" s="159">
        <f t="shared" si="13"/>
        <v>1069039.2206297026</v>
      </c>
      <c r="BF14" s="175">
        <f t="shared" si="14"/>
        <v>110070.94045536839</v>
      </c>
      <c r="BG14" s="175">
        <f t="shared" si="5"/>
        <v>776034.32590050378</v>
      </c>
      <c r="BH14" s="175">
        <f t="shared" si="5"/>
        <v>182933.95427383034</v>
      </c>
      <c r="BI14" s="175">
        <f t="shared" si="5"/>
        <v>1069039.2206297026</v>
      </c>
      <c r="BK14" s="175">
        <f t="shared" si="15"/>
        <v>24790.752354812696</v>
      </c>
      <c r="BL14" s="175">
        <f t="shared" si="6"/>
        <v>174782.50583344678</v>
      </c>
      <c r="BM14" s="175">
        <f t="shared" si="6"/>
        <v>41201.341052664488</v>
      </c>
      <c r="BN14" s="175">
        <f t="shared" si="6"/>
        <v>240774.59924092397</v>
      </c>
      <c r="BP14" s="269">
        <f t="shared" si="16"/>
        <v>1</v>
      </c>
      <c r="BQ14" s="269">
        <f t="shared" si="7"/>
        <v>1</v>
      </c>
      <c r="BR14" s="269">
        <f t="shared" si="7"/>
        <v>1</v>
      </c>
      <c r="BS14" s="269">
        <f t="shared" si="7"/>
        <v>1</v>
      </c>
    </row>
    <row r="15" spans="1:71">
      <c r="A15" s="1">
        <v>5</v>
      </c>
      <c r="B15" s="22" t="s">
        <v>562</v>
      </c>
      <c r="C15" s="15" t="s">
        <v>563</v>
      </c>
      <c r="D15" s="14" t="s">
        <v>223</v>
      </c>
      <c r="E15" s="1"/>
      <c r="F15" s="1"/>
      <c r="G15" s="2">
        <f>'[1](1) Homes for non-HH earners'!G19</f>
        <v>197.82570688946015</v>
      </c>
      <c r="H15" s="2">
        <f>'[1](1) Homes for non-HH earners'!H19</f>
        <v>685.91208771434367</v>
      </c>
      <c r="I15" s="2">
        <f>'[1](1) Homes for non-HH earners'!I19</f>
        <v>216.02648296594066</v>
      </c>
      <c r="J15" s="2">
        <f t="shared" si="17"/>
        <v>1099.7642775697445</v>
      </c>
      <c r="K15" s="2"/>
      <c r="L15" s="31">
        <v>444.94065516791829</v>
      </c>
      <c r="M15" s="31">
        <v>1006.4232633190234</v>
      </c>
      <c r="N15" s="31">
        <v>424.36545684149507</v>
      </c>
      <c r="O15" s="31">
        <f t="shared" si="0"/>
        <v>1875.7293753284366</v>
      </c>
      <c r="P15" s="243"/>
      <c r="Q15" s="3">
        <f t="shared" si="1"/>
        <v>425.10254047281961</v>
      </c>
      <c r="R15" s="3">
        <f t="shared" si="1"/>
        <v>466.35438760789901</v>
      </c>
      <c r="S15" s="3">
        <f t="shared" si="1"/>
        <v>492.03299591041127</v>
      </c>
      <c r="T15" s="3">
        <f t="shared" si="1"/>
        <v>463.97804530051252</v>
      </c>
      <c r="U15" s="218">
        <f>280/313</f>
        <v>0.89456869009584661</v>
      </c>
      <c r="V15" s="2"/>
      <c r="W15" s="175">
        <v>84096.210569540883</v>
      </c>
      <c r="X15" s="175">
        <v>319878.11161887826</v>
      </c>
      <c r="Y15" s="175">
        <v>106292.15760972121</v>
      </c>
      <c r="Z15" s="175">
        <f t="shared" si="8"/>
        <v>510266.47979814035</v>
      </c>
      <c r="AA15" s="31"/>
      <c r="AB15" s="268">
        <f t="shared" si="18"/>
        <v>75229.836931218684</v>
      </c>
      <c r="AC15" s="268">
        <f t="shared" si="9"/>
        <v>286152.94330123294</v>
      </c>
      <c r="AD15" s="268">
        <f t="shared" si="9"/>
        <v>95085.636200389577</v>
      </c>
      <c r="AE15" s="268">
        <f t="shared" si="19"/>
        <v>456468.41643284122</v>
      </c>
      <c r="AF15" s="31"/>
      <c r="AG15" s="3">
        <v>43.028828716563922</v>
      </c>
      <c r="AH15" s="3">
        <v>137.54915569934698</v>
      </c>
      <c r="AI15" s="3">
        <v>233.29624915256639</v>
      </c>
      <c r="AJ15" s="3">
        <v>141.87304746886508</v>
      </c>
      <c r="AK15" s="1"/>
      <c r="AL15" s="175">
        <f t="shared" si="10"/>
        <v>8512.2084574797609</v>
      </c>
      <c r="AM15" s="175">
        <f t="shared" si="10"/>
        <v>94346.628549084402</v>
      </c>
      <c r="AN15" s="175">
        <f t="shared" si="10"/>
        <v>50398.168193574733</v>
      </c>
      <c r="AO15" s="175">
        <f t="shared" si="11"/>
        <v>153257.0052001389</v>
      </c>
      <c r="AP15" s="38"/>
      <c r="AQ15" s="3">
        <f t="shared" si="3"/>
        <v>468.13136918938352</v>
      </c>
      <c r="AR15" s="3">
        <f t="shared" si="3"/>
        <v>603.90354330724608</v>
      </c>
      <c r="AS15" s="3">
        <f t="shared" si="3"/>
        <v>725.32924506297763</v>
      </c>
      <c r="AT15" s="3">
        <f t="shared" si="3"/>
        <v>603.33245817415639</v>
      </c>
      <c r="AV15" s="3">
        <f t="shared" si="12"/>
        <v>423.31225150375082</v>
      </c>
      <c r="AW15" s="3">
        <f t="shared" si="4"/>
        <v>603.90354330724608</v>
      </c>
      <c r="AX15" s="3">
        <f t="shared" si="4"/>
        <v>725.32924506297763</v>
      </c>
      <c r="AY15" s="3">
        <f t="shared" si="4"/>
        <v>603.33245817415639</v>
      </c>
      <c r="BA15" s="159">
        <f t="shared" si="20"/>
        <v>92608.419027020645</v>
      </c>
      <c r="BB15" s="159">
        <f t="shared" si="20"/>
        <v>414224.74016796268</v>
      </c>
      <c r="BC15" s="159">
        <f t="shared" si="20"/>
        <v>156690.32580329594</v>
      </c>
      <c r="BD15" s="159">
        <f t="shared" si="13"/>
        <v>663523.48499827925</v>
      </c>
      <c r="BF15" s="175">
        <f t="shared" si="14"/>
        <v>83742.045388698447</v>
      </c>
      <c r="BG15" s="175">
        <f t="shared" si="5"/>
        <v>380499.57185031736</v>
      </c>
      <c r="BH15" s="175">
        <f t="shared" si="5"/>
        <v>145483.8043939643</v>
      </c>
      <c r="BI15" s="175">
        <f t="shared" si="5"/>
        <v>609725.42163298011</v>
      </c>
      <c r="BK15" s="175">
        <f t="shared" si="15"/>
        <v>18860.82103349064</v>
      </c>
      <c r="BL15" s="175">
        <f t="shared" si="6"/>
        <v>85698.101768089487</v>
      </c>
      <c r="BM15" s="175">
        <f t="shared" si="6"/>
        <v>32766.622611253217</v>
      </c>
      <c r="BN15" s="175">
        <f t="shared" si="6"/>
        <v>137325.54541283334</v>
      </c>
      <c r="BP15" s="269">
        <f t="shared" si="16"/>
        <v>0.90425952919318031</v>
      </c>
      <c r="BQ15" s="269">
        <f t="shared" si="7"/>
        <v>0.91858243835467135</v>
      </c>
      <c r="BR15" s="269">
        <f t="shared" si="7"/>
        <v>0.92847981295667248</v>
      </c>
      <c r="BS15" s="269">
        <f t="shared" si="7"/>
        <v>0.91892063418759229</v>
      </c>
    </row>
    <row r="16" spans="1:71">
      <c r="A16" s="1">
        <v>6</v>
      </c>
      <c r="B16" s="22" t="s">
        <v>564</v>
      </c>
      <c r="C16" s="15" t="s">
        <v>565</v>
      </c>
      <c r="D16" s="14" t="s">
        <v>566</v>
      </c>
      <c r="E16" s="1"/>
      <c r="F16" s="1"/>
      <c r="G16" s="2">
        <f>'[1](1) Homes for non-HH earners'!G20</f>
        <v>8.0144387200686378</v>
      </c>
      <c r="H16" s="2">
        <f>'[1](1) Homes for non-HH earners'!H20</f>
        <v>254.68015419186904</v>
      </c>
      <c r="I16" s="2">
        <f>'[1](1) Homes for non-HH earners'!I20</f>
        <v>384.67464745420693</v>
      </c>
      <c r="J16" s="2">
        <f t="shared" si="17"/>
        <v>647.3692403661446</v>
      </c>
      <c r="K16" s="2"/>
      <c r="L16" s="31">
        <v>18.025714003403166</v>
      </c>
      <c r="M16" s="31">
        <v>373.68641911311346</v>
      </c>
      <c r="N16" s="31">
        <v>755.6602795222235</v>
      </c>
      <c r="O16" s="31">
        <f t="shared" si="0"/>
        <v>1147.3724126387401</v>
      </c>
      <c r="P16" s="243"/>
      <c r="Q16" s="3">
        <f t="shared" si="1"/>
        <v>355.09402585293662</v>
      </c>
      <c r="R16" s="3">
        <f t="shared" si="1"/>
        <v>366.64021629799782</v>
      </c>
      <c r="S16" s="3">
        <f t="shared" si="1"/>
        <v>822.03299591041127</v>
      </c>
      <c r="T16" s="3">
        <f t="shared" si="1"/>
        <v>637.09718242724728</v>
      </c>
      <c r="U16" s="270">
        <f>280/313</f>
        <v>0.89456869009584661</v>
      </c>
      <c r="V16" s="2"/>
      <c r="W16" s="175">
        <v>2845.8793100608291</v>
      </c>
      <c r="X16" s="175">
        <v>93375.986819714308</v>
      </c>
      <c r="Y16" s="175">
        <v>316215.25289756298</v>
      </c>
      <c r="Z16" s="175">
        <f t="shared" si="8"/>
        <v>412437.11902733811</v>
      </c>
      <c r="AA16" s="31"/>
      <c r="AB16" s="268">
        <f t="shared" si="18"/>
        <v>2545.8345265719877</v>
      </c>
      <c r="AC16" s="268">
        <f t="shared" si="9"/>
        <v>83531.234215718869</v>
      </c>
      <c r="AD16" s="268">
        <f t="shared" si="9"/>
        <v>282876.26457289979</v>
      </c>
      <c r="AE16" s="268">
        <f t="shared" si="19"/>
        <v>368953.33331519063</v>
      </c>
      <c r="AF16" s="31"/>
      <c r="AG16" s="3">
        <v>26.873229935943062</v>
      </c>
      <c r="AH16" s="3">
        <v>22.614155001121127</v>
      </c>
      <c r="AI16" s="3">
        <v>1273.7051736752167</v>
      </c>
      <c r="AJ16" s="3">
        <v>273.866161395213</v>
      </c>
      <c r="AK16" s="1"/>
      <c r="AL16" s="175">
        <f t="shared" si="10"/>
        <v>215.37385453192971</v>
      </c>
      <c r="AM16" s="175">
        <f t="shared" si="10"/>
        <v>5759.3764826043544</v>
      </c>
      <c r="AN16" s="175">
        <f t="shared" si="10"/>
        <v>489962.08864411339</v>
      </c>
      <c r="AO16" s="175">
        <f t="shared" si="11"/>
        <v>495936.83898124966</v>
      </c>
      <c r="AP16" s="38"/>
      <c r="AQ16" s="3">
        <f t="shared" si="3"/>
        <v>381.9672557888797</v>
      </c>
      <c r="AR16" s="3">
        <f t="shared" si="3"/>
        <v>389.25437129911893</v>
      </c>
      <c r="AS16" s="3">
        <f t="shared" si="3"/>
        <v>2095.7381695856279</v>
      </c>
      <c r="AT16" s="3">
        <f t="shared" si="3"/>
        <v>1403.1775088585023</v>
      </c>
      <c r="AV16" s="3">
        <f t="shared" si="12"/>
        <v>344.52922750406526</v>
      </c>
      <c r="AW16" s="3">
        <f t="shared" si="4"/>
        <v>389.25437129911893</v>
      </c>
      <c r="AX16" s="3">
        <f t="shared" si="4"/>
        <v>2095.7381695856279</v>
      </c>
      <c r="AY16" s="3">
        <f t="shared" si="4"/>
        <v>1403.1775088585023</v>
      </c>
      <c r="BA16" s="159">
        <f t="shared" si="20"/>
        <v>3061.2531645927588</v>
      </c>
      <c r="BB16" s="159">
        <f t="shared" si="20"/>
        <v>99135.363302318656</v>
      </c>
      <c r="BC16" s="159">
        <f t="shared" si="20"/>
        <v>806177.34154167632</v>
      </c>
      <c r="BD16" s="159">
        <f t="shared" si="13"/>
        <v>908373.95800858771</v>
      </c>
      <c r="BF16" s="175">
        <f t="shared" si="14"/>
        <v>2761.2083811039174</v>
      </c>
      <c r="BG16" s="175">
        <f t="shared" si="5"/>
        <v>89290.610698323217</v>
      </c>
      <c r="BH16" s="175">
        <f t="shared" si="5"/>
        <v>772838.35321701318</v>
      </c>
      <c r="BI16" s="175">
        <f t="shared" si="5"/>
        <v>864890.17229644023</v>
      </c>
      <c r="BK16" s="175">
        <f t="shared" si="15"/>
        <v>621.89377952790926</v>
      </c>
      <c r="BL16" s="175">
        <f t="shared" si="6"/>
        <v>20110.497905027751</v>
      </c>
      <c r="BM16" s="175">
        <f t="shared" si="6"/>
        <v>174062.69216599394</v>
      </c>
      <c r="BN16" s="175">
        <f t="shared" si="6"/>
        <v>194795.08385054959</v>
      </c>
      <c r="BP16" s="269">
        <f t="shared" si="16"/>
        <v>0.90198628883124188</v>
      </c>
      <c r="BQ16" s="269">
        <f t="shared" si="7"/>
        <v>0.90069383642673162</v>
      </c>
      <c r="BR16" s="269">
        <f t="shared" si="7"/>
        <v>0.95864558998779592</v>
      </c>
      <c r="BS16" s="269">
        <f t="shared" si="7"/>
        <v>0.95213008328918169</v>
      </c>
    </row>
    <row r="17" spans="1:71">
      <c r="A17" s="1">
        <v>7</v>
      </c>
      <c r="B17" s="22" t="s">
        <v>567</v>
      </c>
      <c r="C17" s="15" t="s">
        <v>568</v>
      </c>
      <c r="D17" s="14" t="s">
        <v>569</v>
      </c>
      <c r="E17" s="1"/>
      <c r="F17" s="1"/>
      <c r="G17" s="271">
        <f>'[1](1) Homes for non-HH earners'!G21</f>
        <v>164</v>
      </c>
      <c r="H17" s="2">
        <f>'[1](1) Homes for non-HH earners'!H21</f>
        <v>860</v>
      </c>
      <c r="I17" s="2">
        <f>'[1](1) Homes for non-HH earners'!I21</f>
        <v>138</v>
      </c>
      <c r="J17" s="2">
        <f t="shared" si="17"/>
        <v>1162</v>
      </c>
      <c r="K17" s="2"/>
      <c r="L17" s="271">
        <v>368.86140125515885</v>
      </c>
      <c r="M17" s="31">
        <v>1261.8585121287699</v>
      </c>
      <c r="N17" s="31">
        <v>271.08913796166109</v>
      </c>
      <c r="O17" s="31">
        <f t="shared" si="0"/>
        <v>1901.80905134559</v>
      </c>
      <c r="P17" s="243"/>
      <c r="Q17" s="272">
        <f t="shared" si="1"/>
        <v>281.97652439024392</v>
      </c>
      <c r="R17" s="3">
        <f t="shared" si="1"/>
        <v>318.9130542745657</v>
      </c>
      <c r="S17" s="3">
        <f t="shared" si="1"/>
        <v>361.71299591041128</v>
      </c>
      <c r="T17" s="3">
        <f t="shared" si="1"/>
        <v>318.78293469170677</v>
      </c>
      <c r="U17" s="270">
        <f>222/313</f>
        <v>0.70926517571884984</v>
      </c>
      <c r="V17" s="3"/>
      <c r="W17" s="221">
        <v>46244.15</v>
      </c>
      <c r="X17" s="175">
        <v>274265.22667612648</v>
      </c>
      <c r="Y17" s="175">
        <v>49916.393435636754</v>
      </c>
      <c r="Z17" s="175">
        <f t="shared" si="8"/>
        <v>370425.77011176327</v>
      </c>
      <c r="AA17" s="31"/>
      <c r="AB17" s="221">
        <f t="shared" si="18"/>
        <v>32799.365175718849</v>
      </c>
      <c r="AC17" s="268">
        <f t="shared" si="9"/>
        <v>194526.77419201302</v>
      </c>
      <c r="AD17" s="268">
        <f t="shared" si="9"/>
        <v>35403.959561378142</v>
      </c>
      <c r="AE17" s="268">
        <f t="shared" si="19"/>
        <v>262730.09892910998</v>
      </c>
      <c r="AF17" s="31"/>
      <c r="AG17" s="272">
        <v>12.264956329279965</v>
      </c>
      <c r="AH17" s="3">
        <v>39.74842313346749</v>
      </c>
      <c r="AI17" s="3">
        <v>64.491532800000002</v>
      </c>
      <c r="AJ17" s="3">
        <v>42.913308399691772</v>
      </c>
      <c r="AK17" s="1"/>
      <c r="AL17" s="221">
        <f t="shared" si="10"/>
        <v>2011.4528380019142</v>
      </c>
      <c r="AM17" s="175">
        <f t="shared" si="10"/>
        <v>34183.643894782042</v>
      </c>
      <c r="AN17" s="175">
        <f t="shared" si="10"/>
        <v>8899.8315263999993</v>
      </c>
      <c r="AO17" s="175">
        <f t="shared" si="11"/>
        <v>45094.928259183951</v>
      </c>
      <c r="AP17" s="38"/>
      <c r="AQ17" s="272">
        <f t="shared" si="3"/>
        <v>294.24148071952385</v>
      </c>
      <c r="AR17" s="3">
        <f t="shared" si="3"/>
        <v>358.66147740803319</v>
      </c>
      <c r="AS17" s="3">
        <f t="shared" si="3"/>
        <v>426.20452871041124</v>
      </c>
      <c r="AT17" s="3">
        <f t="shared" si="3"/>
        <v>357.59096245348297</v>
      </c>
      <c r="AV17" s="272">
        <f t="shared" si="12"/>
        <v>212.26108544951683</v>
      </c>
      <c r="AW17" s="3">
        <f t="shared" si="4"/>
        <v>358.66147740803319</v>
      </c>
      <c r="AX17" s="3">
        <f t="shared" si="4"/>
        <v>426.20452871041124</v>
      </c>
      <c r="AY17" s="3">
        <f t="shared" si="4"/>
        <v>357.59096245348297</v>
      </c>
      <c r="BA17" s="273">
        <f t="shared" si="20"/>
        <v>48255.602838001912</v>
      </c>
      <c r="BB17" s="159">
        <f t="shared" si="20"/>
        <v>308448.87057090853</v>
      </c>
      <c r="BC17" s="159">
        <f t="shared" si="20"/>
        <v>58816.224962036751</v>
      </c>
      <c r="BD17" s="159">
        <f t="shared" si="13"/>
        <v>415520.69837094721</v>
      </c>
      <c r="BF17" s="221">
        <f t="shared" si="14"/>
        <v>34810.81801372076</v>
      </c>
      <c r="BG17" s="175">
        <f t="shared" si="5"/>
        <v>228710.41808679508</v>
      </c>
      <c r="BH17" s="175">
        <f t="shared" si="5"/>
        <v>44303.79108777814</v>
      </c>
      <c r="BI17" s="175">
        <f t="shared" si="5"/>
        <v>307825.02718829393</v>
      </c>
      <c r="BK17" s="175">
        <f t="shared" si="15"/>
        <v>7840.2743274145851</v>
      </c>
      <c r="BL17" s="175">
        <f t="shared" si="6"/>
        <v>51511.355424953843</v>
      </c>
      <c r="BM17" s="175">
        <f t="shared" si="6"/>
        <v>9978.331326076157</v>
      </c>
      <c r="BN17" s="175">
        <f t="shared" si="6"/>
        <v>69329.961078444569</v>
      </c>
      <c r="BP17" s="269">
        <f t="shared" si="16"/>
        <v>0.72138396303085428</v>
      </c>
      <c r="BQ17" s="269">
        <f t="shared" si="7"/>
        <v>0.74148567204501215</v>
      </c>
      <c r="BR17" s="269">
        <f t="shared" si="7"/>
        <v>0.7532579847886236</v>
      </c>
      <c r="BS17" s="269">
        <f t="shared" si="7"/>
        <v>0.74081755348199219</v>
      </c>
    </row>
    <row r="18" spans="1:71">
      <c r="A18" s="1">
        <v>8</v>
      </c>
      <c r="B18" s="22"/>
      <c r="C18" s="15" t="s">
        <v>570</v>
      </c>
      <c r="D18" s="14" t="s">
        <v>571</v>
      </c>
      <c r="E18" s="1"/>
      <c r="F18" s="1"/>
      <c r="G18" s="2">
        <f>'[1](1) Homes for non-HH earners'!G22</f>
        <v>40.591306041131133</v>
      </c>
      <c r="H18" s="2">
        <f>'[1](1) Homes for non-HH earners'!H22</f>
        <v>235.94180362566135</v>
      </c>
      <c r="I18" s="2">
        <f>'[1](1) Homes for non-HH earners'!I22</f>
        <v>88.064721726642944</v>
      </c>
      <c r="J18" s="2">
        <f t="shared" si="17"/>
        <v>364.5978313934354</v>
      </c>
      <c r="K18" s="2"/>
      <c r="L18" s="31">
        <v>40.591306041131133</v>
      </c>
      <c r="M18" s="31">
        <v>235.94180362566135</v>
      </c>
      <c r="N18" s="31">
        <v>88.064721726642944</v>
      </c>
      <c r="O18" s="31">
        <f t="shared" si="0"/>
        <v>364.5978313934354</v>
      </c>
      <c r="P18" s="243"/>
      <c r="Q18" s="3">
        <f t="shared" si="1"/>
        <v>54.97</v>
      </c>
      <c r="R18" s="3">
        <f t="shared" si="1"/>
        <v>59.940000000000005</v>
      </c>
      <c r="S18" s="3">
        <f t="shared" si="1"/>
        <v>59.94</v>
      </c>
      <c r="T18" s="3">
        <f t="shared" si="1"/>
        <v>59.386681319377558</v>
      </c>
      <c r="U18" s="270">
        <f>222/313</f>
        <v>0.70926517571884984</v>
      </c>
      <c r="V18" s="2"/>
      <c r="W18" s="175">
        <v>2231.3040930809784</v>
      </c>
      <c r="X18" s="175">
        <v>14142.351709322142</v>
      </c>
      <c r="Y18" s="175">
        <v>5278.5994202949778</v>
      </c>
      <c r="Z18" s="175">
        <f t="shared" si="8"/>
        <v>21652.255222698099</v>
      </c>
      <c r="AA18" s="31"/>
      <c r="AB18" s="268">
        <f t="shared" si="18"/>
        <v>1582.5862896612691</v>
      </c>
      <c r="AC18" s="268">
        <f t="shared" si="9"/>
        <v>10030.677570190146</v>
      </c>
      <c r="AD18" s="268">
        <f t="shared" si="9"/>
        <v>3743.9267453849361</v>
      </c>
      <c r="AE18" s="268">
        <f t="shared" si="19"/>
        <v>15357.190605236352</v>
      </c>
      <c r="AF18" s="31"/>
      <c r="AG18" s="3"/>
      <c r="AH18" s="3"/>
      <c r="AI18" s="3"/>
      <c r="AJ18" s="3"/>
      <c r="AK18" s="1"/>
      <c r="AL18" s="175">
        <f t="shared" si="10"/>
        <v>0</v>
      </c>
      <c r="AM18" s="175">
        <f t="shared" si="10"/>
        <v>0</v>
      </c>
      <c r="AN18" s="175">
        <f t="shared" si="10"/>
        <v>0</v>
      </c>
      <c r="AO18" s="175">
        <f t="shared" si="11"/>
        <v>0</v>
      </c>
      <c r="AP18" s="38"/>
      <c r="AQ18" s="3">
        <f t="shared" si="3"/>
        <v>54.97</v>
      </c>
      <c r="AR18" s="3">
        <f t="shared" si="3"/>
        <v>59.940000000000005</v>
      </c>
      <c r="AS18" s="3">
        <f t="shared" si="3"/>
        <v>59.94</v>
      </c>
      <c r="AT18" s="3">
        <f t="shared" si="3"/>
        <v>59.386681319377558</v>
      </c>
      <c r="AV18" s="3">
        <f t="shared" si="12"/>
        <v>38.988306709265181</v>
      </c>
      <c r="AW18" s="3">
        <f t="shared" si="4"/>
        <v>59.940000000000005</v>
      </c>
      <c r="AX18" s="3">
        <f t="shared" si="4"/>
        <v>59.94</v>
      </c>
      <c r="AY18" s="3">
        <f t="shared" si="4"/>
        <v>59.386681319377558</v>
      </c>
      <c r="BA18" s="159">
        <f t="shared" si="20"/>
        <v>2231.3040930809784</v>
      </c>
      <c r="BB18" s="159">
        <f t="shared" si="20"/>
        <v>14142.351709322142</v>
      </c>
      <c r="BC18" s="159">
        <f t="shared" si="20"/>
        <v>5278.5994202949778</v>
      </c>
      <c r="BD18" s="159">
        <f t="shared" si="13"/>
        <v>21652.255222698099</v>
      </c>
      <c r="BF18" s="175">
        <f t="shared" si="14"/>
        <v>1582.5862896612691</v>
      </c>
      <c r="BG18" s="175">
        <f t="shared" si="5"/>
        <v>10030.677570190146</v>
      </c>
      <c r="BH18" s="175">
        <f t="shared" si="5"/>
        <v>3743.9267453849361</v>
      </c>
      <c r="BI18" s="175">
        <f t="shared" si="5"/>
        <v>15357.190605236352</v>
      </c>
      <c r="BK18" s="175">
        <f t="shared" si="15"/>
        <v>356.43835352731281</v>
      </c>
      <c r="BL18" s="175">
        <f t="shared" si="6"/>
        <v>2259.1616149076904</v>
      </c>
      <c r="BM18" s="175">
        <f t="shared" si="6"/>
        <v>843.22674445606663</v>
      </c>
      <c r="BN18" s="175">
        <f t="shared" si="6"/>
        <v>3458.8267128910697</v>
      </c>
      <c r="BP18" s="269">
        <f t="shared" si="16"/>
        <v>0.70926517571884984</v>
      </c>
      <c r="BQ18" s="269">
        <f t="shared" si="7"/>
        <v>0.70926517571884995</v>
      </c>
      <c r="BR18" s="269">
        <f t="shared" si="7"/>
        <v>0.70926517571884984</v>
      </c>
      <c r="BS18" s="269">
        <f t="shared" si="7"/>
        <v>0.70926517571884984</v>
      </c>
    </row>
    <row r="19" spans="1:71">
      <c r="A19" s="1">
        <v>9</v>
      </c>
      <c r="B19" s="22"/>
      <c r="C19" s="14" t="s">
        <v>572</v>
      </c>
      <c r="D19" s="4" t="s">
        <v>573</v>
      </c>
      <c r="E19" s="1"/>
      <c r="F19" s="1"/>
      <c r="G19" s="2">
        <f>'[1](1) Homes for non-HH earners'!G23</f>
        <v>104.9526829691517</v>
      </c>
      <c r="H19" s="2">
        <f>'[1](1) Homes for non-HH earners'!H23</f>
        <v>1139.8754213249404</v>
      </c>
      <c r="I19" s="2">
        <f>'[1](1) Homes for non-HH earners'!I23</f>
        <v>563.64255215446599</v>
      </c>
      <c r="J19" s="2">
        <f t="shared" si="17"/>
        <v>1808.4706564485582</v>
      </c>
      <c r="K19" s="2"/>
      <c r="L19" s="31">
        <v>104.9526829691517</v>
      </c>
      <c r="M19" s="31">
        <v>1139.8754213249404</v>
      </c>
      <c r="N19" s="31">
        <v>563.64255215446599</v>
      </c>
      <c r="O19" s="31">
        <f t="shared" si="0"/>
        <v>1808.4706564485582</v>
      </c>
      <c r="P19" s="243"/>
      <c r="Q19" s="3">
        <f t="shared" si="1"/>
        <v>125.36571428571428</v>
      </c>
      <c r="R19" s="3">
        <f t="shared" si="1"/>
        <v>157.16200000000001</v>
      </c>
      <c r="S19" s="3">
        <f t="shared" si="1"/>
        <v>179.68</v>
      </c>
      <c r="T19" s="3">
        <f t="shared" si="1"/>
        <v>162.33487768086732</v>
      </c>
      <c r="U19" s="147">
        <v>1</v>
      </c>
      <c r="V19" s="2"/>
      <c r="W19" s="175">
        <v>13157.468066629823</v>
      </c>
      <c r="X19" s="175">
        <v>179145.10096627029</v>
      </c>
      <c r="Y19" s="175">
        <v>101275.29377111445</v>
      </c>
      <c r="Z19" s="175">
        <f t="shared" si="8"/>
        <v>293577.86280401453</v>
      </c>
      <c r="AA19" s="31"/>
      <c r="AB19" s="268">
        <f t="shared" si="18"/>
        <v>13157.468066629823</v>
      </c>
      <c r="AC19" s="268">
        <f t="shared" si="9"/>
        <v>179145.10096627029</v>
      </c>
      <c r="AD19" s="268">
        <f t="shared" si="9"/>
        <v>101275.29377111445</v>
      </c>
      <c r="AE19" s="268">
        <f t="shared" si="19"/>
        <v>293577.86280401453</v>
      </c>
      <c r="AF19" s="31"/>
      <c r="AG19" s="3">
        <v>15.3767412</v>
      </c>
      <c r="AH19" s="3">
        <v>2.0645766074038225</v>
      </c>
      <c r="AI19" s="3">
        <v>55.019240916873322</v>
      </c>
      <c r="AJ19" s="3">
        <v>19.13056494297782</v>
      </c>
      <c r="AK19" s="1"/>
      <c r="AL19" s="175">
        <f t="shared" si="10"/>
        <v>1613.8302442622933</v>
      </c>
      <c r="AM19" s="175">
        <f t="shared" si="10"/>
        <v>2353.3601302220482</v>
      </c>
      <c r="AN19" s="175">
        <f t="shared" si="10"/>
        <v>31011.185367987902</v>
      </c>
      <c r="AO19" s="175">
        <f t="shared" si="11"/>
        <v>34978.375742472243</v>
      </c>
      <c r="AP19" s="38"/>
      <c r="AQ19" s="3">
        <f t="shared" si="3"/>
        <v>140.74245548571429</v>
      </c>
      <c r="AR19" s="3">
        <f t="shared" si="3"/>
        <v>159.22657660740384</v>
      </c>
      <c r="AS19" s="3">
        <f t="shared" si="3"/>
        <v>234.69924091687335</v>
      </c>
      <c r="AT19" s="3">
        <f t="shared" si="3"/>
        <v>181.67628950734516</v>
      </c>
      <c r="AV19" s="3">
        <f t="shared" si="12"/>
        <v>140.74245548571429</v>
      </c>
      <c r="AW19" s="3">
        <f t="shared" si="4"/>
        <v>159.22657660740384</v>
      </c>
      <c r="AX19" s="3">
        <f t="shared" si="4"/>
        <v>234.69924091687335</v>
      </c>
      <c r="AY19" s="3">
        <f t="shared" si="4"/>
        <v>181.67628950734516</v>
      </c>
      <c r="BA19" s="159">
        <f t="shared" si="20"/>
        <v>14771.298310892116</v>
      </c>
      <c r="BB19" s="159">
        <f t="shared" si="20"/>
        <v>181498.46109649233</v>
      </c>
      <c r="BC19" s="159">
        <f t="shared" si="20"/>
        <v>132286.47913910236</v>
      </c>
      <c r="BD19" s="159">
        <f t="shared" si="13"/>
        <v>328556.23854648683</v>
      </c>
      <c r="BF19" s="175">
        <f t="shared" si="14"/>
        <v>14771.298310892116</v>
      </c>
      <c r="BG19" s="175">
        <f t="shared" si="5"/>
        <v>181498.46109649233</v>
      </c>
      <c r="BH19" s="175">
        <f t="shared" si="5"/>
        <v>132286.47913910236</v>
      </c>
      <c r="BI19" s="175">
        <f t="shared" si="5"/>
        <v>328556.23854648677</v>
      </c>
      <c r="BK19" s="175">
        <f t="shared" si="15"/>
        <v>3326.8689889396655</v>
      </c>
      <c r="BL19" s="175">
        <f t="shared" si="6"/>
        <v>40878.031778489261</v>
      </c>
      <c r="BM19" s="175">
        <f t="shared" si="6"/>
        <v>29794.252058356386</v>
      </c>
      <c r="BN19" s="175">
        <f t="shared" si="6"/>
        <v>73999.152825785306</v>
      </c>
      <c r="BP19" s="269">
        <f t="shared" si="16"/>
        <v>1</v>
      </c>
      <c r="BQ19" s="269">
        <f t="shared" si="7"/>
        <v>1</v>
      </c>
      <c r="BR19" s="269">
        <f t="shared" si="7"/>
        <v>1</v>
      </c>
      <c r="BS19" s="269">
        <f t="shared" si="7"/>
        <v>0.99999999999999978</v>
      </c>
    </row>
    <row r="20" spans="1:71">
      <c r="A20" s="1">
        <v>10</v>
      </c>
      <c r="B20" s="22"/>
      <c r="C20" s="14" t="s">
        <v>574</v>
      </c>
      <c r="D20" s="4" t="s">
        <v>575</v>
      </c>
      <c r="E20" s="1"/>
      <c r="F20" s="1"/>
      <c r="G20" s="2">
        <f>'[1](1) Homes for non-HH earners'!G24</f>
        <v>69.082778663239068</v>
      </c>
      <c r="H20" s="274">
        <f>'[1](1) Homes for non-HH earners'!H24</f>
        <v>230.56324860782343</v>
      </c>
      <c r="I20" s="2">
        <f>'[1](1) Homes for non-HH earners'!I24</f>
        <v>193.24887502438833</v>
      </c>
      <c r="J20" s="2">
        <f t="shared" si="17"/>
        <v>492.89490229545083</v>
      </c>
      <c r="K20" s="2"/>
      <c r="L20" s="31">
        <v>69.082778663239068</v>
      </c>
      <c r="M20" s="271">
        <v>230.56324860782343</v>
      </c>
      <c r="N20" s="31">
        <v>193.24887502438833</v>
      </c>
      <c r="O20" s="31">
        <f t="shared" si="0"/>
        <v>492.89490229545083</v>
      </c>
      <c r="P20" s="243"/>
      <c r="Q20" s="3">
        <f t="shared" si="1"/>
        <v>125.36571428571429</v>
      </c>
      <c r="R20" s="272">
        <f t="shared" si="1"/>
        <v>157.16199999999998</v>
      </c>
      <c r="S20" s="3">
        <f t="shared" si="1"/>
        <v>179.68</v>
      </c>
      <c r="T20" s="3">
        <f t="shared" si="1"/>
        <v>161.53413367281757</v>
      </c>
      <c r="U20" s="147">
        <v>1</v>
      </c>
      <c r="V20" s="2"/>
      <c r="W20" s="175">
        <v>8660.611891958868</v>
      </c>
      <c r="X20" s="221">
        <v>36235.781277702743</v>
      </c>
      <c r="Y20" s="175">
        <v>34722.957864382093</v>
      </c>
      <c r="Z20" s="175">
        <f t="shared" si="8"/>
        <v>79619.351034043706</v>
      </c>
      <c r="AA20" s="31"/>
      <c r="AB20" s="268">
        <f t="shared" si="18"/>
        <v>8660.611891958868</v>
      </c>
      <c r="AC20" s="221">
        <f t="shared" si="9"/>
        <v>36235.781277702743</v>
      </c>
      <c r="AD20" s="268">
        <f t="shared" si="9"/>
        <v>34722.957864382093</v>
      </c>
      <c r="AE20" s="268">
        <f t="shared" si="19"/>
        <v>79619.351034043706</v>
      </c>
      <c r="AF20" s="31"/>
      <c r="AG20" s="3">
        <v>9.5142015359999998</v>
      </c>
      <c r="AH20" s="272">
        <v>46.498168403113155</v>
      </c>
      <c r="AI20" s="3">
        <v>204.19281760000001</v>
      </c>
      <c r="AJ20" s="3">
        <v>103.25218596765542</v>
      </c>
      <c r="AK20" s="1"/>
      <c r="AL20" s="175">
        <f t="shared" si="10"/>
        <v>657.26747886893713</v>
      </c>
      <c r="AM20" s="221">
        <f t="shared" si="10"/>
        <v>10720.768761335419</v>
      </c>
      <c r="AN20" s="175">
        <f t="shared" si="10"/>
        <v>39460.032289260125</v>
      </c>
      <c r="AO20" s="175">
        <f t="shared" si="11"/>
        <v>50838.068529464479</v>
      </c>
      <c r="AP20" s="38"/>
      <c r="AQ20" s="3">
        <f t="shared" si="3"/>
        <v>134.87991582171426</v>
      </c>
      <c r="AR20" s="272">
        <f t="shared" si="3"/>
        <v>203.66016840311315</v>
      </c>
      <c r="AS20" s="3">
        <f t="shared" si="3"/>
        <v>383.87281760000008</v>
      </c>
      <c r="AT20" s="3">
        <f t="shared" si="3"/>
        <v>264.67593589618718</v>
      </c>
      <c r="AV20" s="3">
        <f t="shared" si="12"/>
        <v>134.87991582171426</v>
      </c>
      <c r="AW20" s="272">
        <f t="shared" si="4"/>
        <v>203.66016840311315</v>
      </c>
      <c r="AX20" s="3">
        <f t="shared" si="4"/>
        <v>383.87281760000008</v>
      </c>
      <c r="AY20" s="3">
        <f t="shared" si="4"/>
        <v>264.67593589618718</v>
      </c>
      <c r="BA20" s="159">
        <f t="shared" si="20"/>
        <v>9317.8793708278045</v>
      </c>
      <c r="BB20" s="273">
        <f t="shared" si="20"/>
        <v>46956.550039038164</v>
      </c>
      <c r="BC20" s="159">
        <f t="shared" si="20"/>
        <v>74182.990153642226</v>
      </c>
      <c r="BD20" s="159">
        <f t="shared" si="13"/>
        <v>130457.41956350819</v>
      </c>
      <c r="BF20" s="175">
        <f t="shared" si="14"/>
        <v>9317.8793708278045</v>
      </c>
      <c r="BG20" s="221">
        <f t="shared" si="5"/>
        <v>46956.550039038164</v>
      </c>
      <c r="BH20" s="175">
        <f t="shared" si="5"/>
        <v>74182.990153642226</v>
      </c>
      <c r="BI20" s="175">
        <f t="shared" si="5"/>
        <v>130457.41956350819</v>
      </c>
      <c r="BK20" s="175">
        <f t="shared" si="15"/>
        <v>2098.6214799161721</v>
      </c>
      <c r="BL20" s="175">
        <f t="shared" si="6"/>
        <v>10575.799558341929</v>
      </c>
      <c r="BM20" s="175">
        <f t="shared" si="6"/>
        <v>16707.880665234734</v>
      </c>
      <c r="BN20" s="175">
        <f t="shared" si="6"/>
        <v>29382.301703492831</v>
      </c>
      <c r="BP20" s="269">
        <f t="shared" si="16"/>
        <v>1</v>
      </c>
      <c r="BQ20" s="269">
        <f t="shared" si="7"/>
        <v>1</v>
      </c>
      <c r="BR20" s="269">
        <f t="shared" si="7"/>
        <v>1</v>
      </c>
      <c r="BS20" s="269">
        <f t="shared" si="7"/>
        <v>1</v>
      </c>
    </row>
    <row r="21" spans="1:71">
      <c r="A21" s="1">
        <v>11</v>
      </c>
      <c r="B21" s="22" t="s">
        <v>552</v>
      </c>
      <c r="C21" s="15" t="s">
        <v>576</v>
      </c>
      <c r="D21" s="14" t="s">
        <v>577</v>
      </c>
      <c r="E21" s="1"/>
      <c r="F21" s="1"/>
      <c r="G21" s="2">
        <f>'[1](1) Homes for non-HH earners'!G25</f>
        <v>700.99480761994664</v>
      </c>
      <c r="H21" s="217">
        <f>'[1](1) Homes for non-HH earners'!H25</f>
        <v>672.59682139033032</v>
      </c>
      <c r="I21" s="2"/>
      <c r="J21" s="2">
        <f t="shared" si="17"/>
        <v>1373.5916290102768</v>
      </c>
      <c r="K21" s="2"/>
      <c r="L21" s="31">
        <v>700.99480761994664</v>
      </c>
      <c r="M21" s="31">
        <v>672.59682139033032</v>
      </c>
      <c r="N21" s="31">
        <v>0</v>
      </c>
      <c r="O21" s="31">
        <f t="shared" si="0"/>
        <v>1373.5916290102768</v>
      </c>
      <c r="P21" s="243"/>
      <c r="Q21" s="3">
        <f>W21/G21</f>
        <v>62.682857142857003</v>
      </c>
      <c r="R21" s="3">
        <f>X21/H21</f>
        <v>78.581000000000003</v>
      </c>
      <c r="S21" s="3"/>
      <c r="T21" s="3">
        <f>Z21/J21</f>
        <v>70.467587426506512</v>
      </c>
      <c r="U21" s="147">
        <f>222/313</f>
        <v>0.70926517571884984</v>
      </c>
      <c r="V21" s="2"/>
      <c r="W21" s="175">
        <v>43940.357383925642</v>
      </c>
      <c r="X21" s="175">
        <v>52853.330821673546</v>
      </c>
      <c r="Y21" s="175">
        <v>0</v>
      </c>
      <c r="Z21" s="175">
        <f t="shared" si="8"/>
        <v>96793.688205599188</v>
      </c>
      <c r="AA21" s="31"/>
      <c r="AB21" s="268">
        <f t="shared" si="18"/>
        <v>31165.365301059082</v>
      </c>
      <c r="AC21" s="268">
        <f t="shared" si="9"/>
        <v>37487.026972560787</v>
      </c>
      <c r="AD21" s="268">
        <f t="shared" si="9"/>
        <v>0</v>
      </c>
      <c r="AE21" s="268">
        <f t="shared" si="19"/>
        <v>68652.392273619873</v>
      </c>
      <c r="AF21" s="31"/>
      <c r="AG21" s="3">
        <v>0</v>
      </c>
      <c r="AH21" s="3">
        <v>0</v>
      </c>
      <c r="AI21" s="3"/>
      <c r="AJ21" s="3">
        <v>0</v>
      </c>
      <c r="AK21" s="1"/>
      <c r="AL21" s="175"/>
      <c r="AM21" s="175"/>
      <c r="AN21" s="175"/>
      <c r="AO21" s="175"/>
      <c r="AP21" s="1"/>
      <c r="AQ21" s="3">
        <f>BA21/G21</f>
        <v>62.682857142857003</v>
      </c>
      <c r="AR21" s="3">
        <f>BB21/H21</f>
        <v>78.581000000000003</v>
      </c>
      <c r="AS21" s="3"/>
      <c r="AT21" s="3">
        <f>BD21/J21</f>
        <v>70.467587426506512</v>
      </c>
      <c r="AV21" s="3">
        <f t="shared" si="12"/>
        <v>44.458767685988036</v>
      </c>
      <c r="AW21" s="3">
        <f t="shared" si="4"/>
        <v>78.581000000000003</v>
      </c>
      <c r="AX21" s="3"/>
      <c r="AY21" s="3">
        <f t="shared" si="4"/>
        <v>70.467587426506512</v>
      </c>
      <c r="BA21" s="159">
        <f t="shared" si="20"/>
        <v>43940.357383925642</v>
      </c>
      <c r="BB21" s="159">
        <f t="shared" si="20"/>
        <v>52853.330821673546</v>
      </c>
      <c r="BC21" s="159"/>
      <c r="BD21" s="159">
        <f t="shared" si="13"/>
        <v>96793.688205599188</v>
      </c>
      <c r="BF21" s="175">
        <f t="shared" si="14"/>
        <v>31165.365301059082</v>
      </c>
      <c r="BG21" s="175">
        <f t="shared" si="5"/>
        <v>37487.026972560787</v>
      </c>
      <c r="BH21" s="175"/>
      <c r="BI21" s="175">
        <f t="shared" si="5"/>
        <v>68652.392273619873</v>
      </c>
      <c r="BK21" s="175">
        <f t="shared" si="15"/>
        <v>7019.2264191574504</v>
      </c>
      <c r="BL21" s="175">
        <f t="shared" si="6"/>
        <v>8443.024092919095</v>
      </c>
      <c r="BM21" s="175">
        <f t="shared" si="6"/>
        <v>0</v>
      </c>
      <c r="BN21" s="175">
        <f t="shared" si="6"/>
        <v>15462.250512076547</v>
      </c>
      <c r="BP21" s="269">
        <f t="shared" si="16"/>
        <v>0.70926517571884984</v>
      </c>
      <c r="BQ21" s="269">
        <f t="shared" si="7"/>
        <v>0.70926517571884984</v>
      </c>
      <c r="BR21" s="269"/>
      <c r="BS21" s="269">
        <f t="shared" si="7"/>
        <v>0.70926517571884984</v>
      </c>
    </row>
    <row r="22" spans="1:71">
      <c r="A22" s="1">
        <v>12</v>
      </c>
      <c r="B22" s="23" t="s">
        <v>555</v>
      </c>
      <c r="C22" s="15" t="s">
        <v>578</v>
      </c>
      <c r="D22" s="14" t="s">
        <v>579</v>
      </c>
      <c r="E22" s="1"/>
      <c r="F22" s="1"/>
      <c r="G22" s="2"/>
      <c r="H22" s="217">
        <f>'[1](1) Homes for non-HH earners'!H26</f>
        <v>986.63250000000005</v>
      </c>
      <c r="I22" s="2"/>
      <c r="J22" s="2">
        <f t="shared" si="17"/>
        <v>986.63250000000005</v>
      </c>
      <c r="K22" s="2"/>
      <c r="L22" s="31">
        <v>0</v>
      </c>
      <c r="M22" s="31">
        <v>2537.0550000000003</v>
      </c>
      <c r="N22" s="31"/>
      <c r="O22" s="31">
        <f>L22+M22</f>
        <v>2537.0550000000003</v>
      </c>
      <c r="P22" s="243"/>
      <c r="Q22" s="2"/>
      <c r="R22" s="3">
        <f>X22/H22</f>
        <v>279.77170731428572</v>
      </c>
      <c r="S22" s="3"/>
      <c r="T22" s="3">
        <f>Z22/J22</f>
        <v>279.77170731428572</v>
      </c>
      <c r="U22" s="147">
        <v>1</v>
      </c>
      <c r="V22" s="2"/>
      <c r="W22" s="175">
        <v>0</v>
      </c>
      <c r="X22" s="175">
        <v>276031.859016762</v>
      </c>
      <c r="Y22" s="175"/>
      <c r="Z22" s="175">
        <f t="shared" si="8"/>
        <v>276031.859016762</v>
      </c>
      <c r="AA22" s="31"/>
      <c r="AB22" s="268">
        <f t="shared" si="18"/>
        <v>0</v>
      </c>
      <c r="AC22" s="268">
        <f t="shared" si="9"/>
        <v>276031.859016762</v>
      </c>
      <c r="AD22" s="268">
        <f t="shared" si="9"/>
        <v>0</v>
      </c>
      <c r="AE22" s="268">
        <f t="shared" si="19"/>
        <v>276031.859016762</v>
      </c>
      <c r="AF22" s="31"/>
      <c r="AG22" s="3"/>
      <c r="AH22" s="3">
        <v>0</v>
      </c>
      <c r="AI22" s="3"/>
      <c r="AJ22" s="3">
        <v>0</v>
      </c>
      <c r="AK22" s="1"/>
      <c r="AL22" s="175"/>
      <c r="AM22" s="175"/>
      <c r="AN22" s="175"/>
      <c r="AO22" s="175"/>
      <c r="AP22" s="1"/>
      <c r="AQ22" s="1"/>
      <c r="AR22" s="3">
        <f>BB22/H22</f>
        <v>279.77170731428572</v>
      </c>
      <c r="AS22" s="3"/>
      <c r="AT22" s="3">
        <f>BD22/J22</f>
        <v>279.77170731428572</v>
      </c>
      <c r="AW22" s="3">
        <f t="shared" si="4"/>
        <v>279.77170731428572</v>
      </c>
      <c r="AX22" s="3"/>
      <c r="AY22" s="3">
        <f t="shared" si="4"/>
        <v>279.77170731428572</v>
      </c>
      <c r="BA22" s="159"/>
      <c r="BB22" s="159">
        <f t="shared" si="20"/>
        <v>276031.859016762</v>
      </c>
      <c r="BC22" s="159"/>
      <c r="BD22" s="159">
        <f t="shared" si="13"/>
        <v>276031.859016762</v>
      </c>
      <c r="BF22" s="175"/>
      <c r="BG22" s="175">
        <f t="shared" si="5"/>
        <v>276031.859016762</v>
      </c>
      <c r="BH22" s="175"/>
      <c r="BI22" s="175">
        <f t="shared" si="5"/>
        <v>276031.859016762</v>
      </c>
      <c r="BK22" s="175">
        <f t="shared" si="15"/>
        <v>0</v>
      </c>
      <c r="BL22" s="175">
        <f t="shared" si="6"/>
        <v>62169.337616387835</v>
      </c>
      <c r="BM22" s="175">
        <f t="shared" si="6"/>
        <v>0</v>
      </c>
      <c r="BN22" s="175">
        <f t="shared" si="6"/>
        <v>62169.337616387835</v>
      </c>
      <c r="BP22" s="269"/>
      <c r="BQ22" s="269">
        <f t="shared" si="7"/>
        <v>1</v>
      </c>
      <c r="BR22" s="269"/>
      <c r="BS22" s="269">
        <f t="shared" si="7"/>
        <v>1</v>
      </c>
    </row>
    <row r="23" spans="1:71">
      <c r="A23" s="1">
        <v>13</v>
      </c>
      <c r="B23" s="20"/>
      <c r="C23" s="15" t="s">
        <v>580</v>
      </c>
      <c r="D23" s="14"/>
      <c r="E23" s="1"/>
      <c r="F23" s="1"/>
      <c r="G23" s="2"/>
      <c r="H23" s="217"/>
      <c r="I23" s="2"/>
      <c r="J23" s="2"/>
      <c r="K23" s="2"/>
      <c r="L23" s="2"/>
      <c r="M23" s="31"/>
      <c r="N23" s="2"/>
      <c r="O23" s="2"/>
      <c r="P23" s="243"/>
      <c r="Q23" s="2"/>
      <c r="R23" s="3"/>
      <c r="S23" s="3"/>
      <c r="T23" s="3"/>
      <c r="U23" s="147"/>
      <c r="V23" s="2"/>
      <c r="W23" s="175"/>
      <c r="X23" s="175"/>
      <c r="Y23" s="175"/>
      <c r="Z23" s="175"/>
      <c r="AA23" s="31"/>
      <c r="AB23" s="268"/>
      <c r="AC23" s="268"/>
      <c r="AD23" s="268"/>
      <c r="AE23" s="268"/>
      <c r="AF23" s="31"/>
      <c r="AG23" s="3"/>
      <c r="AH23" s="3"/>
      <c r="AI23" s="63"/>
      <c r="AJ23" s="63"/>
      <c r="AK23" s="1"/>
      <c r="AL23" s="275"/>
      <c r="AM23" s="275"/>
      <c r="AN23" s="275"/>
      <c r="AO23" s="275"/>
      <c r="AP23" s="63"/>
      <c r="AQ23" s="63"/>
      <c r="AR23" s="63"/>
      <c r="AS23" s="63"/>
      <c r="AT23" s="63"/>
      <c r="BA23" s="276"/>
      <c r="BB23" s="276"/>
      <c r="BC23" s="276"/>
      <c r="BD23" s="159"/>
    </row>
    <row r="24" spans="1:71">
      <c r="A24" s="1">
        <v>27</v>
      </c>
      <c r="B24" s="24" t="s">
        <v>581</v>
      </c>
      <c r="C24" s="14" t="s">
        <v>553</v>
      </c>
      <c r="D24" s="14" t="s">
        <v>582</v>
      </c>
      <c r="E24" s="1"/>
      <c r="F24" s="1"/>
      <c r="G24" s="2">
        <f>SUM(G25:G41)</f>
        <v>127732.99477882113</v>
      </c>
      <c r="H24" s="217">
        <f>SUM(H25:H41)</f>
        <v>122891.83270440683</v>
      </c>
      <c r="I24" s="2">
        <f>SUM(I25:I41)</f>
        <v>236525.54562868335</v>
      </c>
      <c r="J24" s="2">
        <f>G24+H24+I24</f>
        <v>487150.37311191129</v>
      </c>
      <c r="K24" s="2"/>
      <c r="L24" s="2">
        <f>SUM(L25:L41)</f>
        <v>184792.73827464585</v>
      </c>
      <c r="M24" s="2">
        <f>SUM(M25:M41)</f>
        <v>161859.50909360163</v>
      </c>
      <c r="N24" s="2">
        <f>SUM(N25:N41)</f>
        <v>429690.74483502645</v>
      </c>
      <c r="O24" s="31">
        <f>L24+M24+N24</f>
        <v>776342.99220327393</v>
      </c>
      <c r="P24" s="243"/>
      <c r="Q24" s="3">
        <f t="shared" ref="Q24:T28" si="21">W24/G24</f>
        <v>239.43327291837386</v>
      </c>
      <c r="R24" s="3">
        <f t="shared" si="21"/>
        <v>200.47662334609225</v>
      </c>
      <c r="S24" s="3">
        <f t="shared" si="21"/>
        <v>299.77938209231365</v>
      </c>
      <c r="T24" s="3">
        <f t="shared" si="21"/>
        <v>258.90558138932312</v>
      </c>
      <c r="U24" s="147"/>
      <c r="V24" s="2"/>
      <c r="W24" s="175">
        <f>SUM(W25:W41)</f>
        <v>30583528.999558702</v>
      </c>
      <c r="X24" s="175">
        <f>SUM(X25:X41)</f>
        <v>24636939.657392349</v>
      </c>
      <c r="Y24" s="175">
        <f>SUM(Y25:Y41)</f>
        <v>70905481.917614028</v>
      </c>
      <c r="Z24" s="175">
        <f>W24+X24+Y24</f>
        <v>126125950.57456508</v>
      </c>
      <c r="AA24" s="31"/>
      <c r="AB24" s="268">
        <f>SUM(AB25:AB41)</f>
        <v>27598133.982618615</v>
      </c>
      <c r="AC24" s="268">
        <f t="shared" ref="AC24:AE24" si="22">SUM(AC25:AC41)</f>
        <v>23150899.36634155</v>
      </c>
      <c r="AD24" s="268">
        <f t="shared" si="22"/>
        <v>66247976.718956038</v>
      </c>
      <c r="AE24" s="268">
        <f t="shared" si="22"/>
        <v>116997010.06791618</v>
      </c>
      <c r="AF24" s="31"/>
      <c r="AG24" s="3">
        <v>37.1486963243959</v>
      </c>
      <c r="AH24" s="3">
        <v>60.221047888697221</v>
      </c>
      <c r="AI24" s="3">
        <v>91.644238445273729</v>
      </c>
      <c r="AJ24" s="3">
        <v>69.4282392970469</v>
      </c>
      <c r="AK24" s="1"/>
      <c r="AL24" s="268">
        <f>SUM(AL25:AL37)</f>
        <v>4745114.2336440729</v>
      </c>
      <c r="AM24" s="175">
        <f>SUM(AM25:AM37)</f>
        <v>7400674.9424218507</v>
      </c>
      <c r="AN24" s="175">
        <f>SUM(AN25:AN37)</f>
        <v>21676203.501993529</v>
      </c>
      <c r="AO24" s="175">
        <f>AL24+AM24+AN24</f>
        <v>33821992.678059451</v>
      </c>
      <c r="AP24" s="38"/>
      <c r="AQ24" s="3">
        <f t="shared" ref="AQ24:AT39" si="23">BA24/G24</f>
        <v>276.58196924276973</v>
      </c>
      <c r="AR24" s="3">
        <f t="shared" si="23"/>
        <v>260.69767123478948</v>
      </c>
      <c r="AS24" s="3">
        <f t="shared" si="23"/>
        <v>391.4236205375874</v>
      </c>
      <c r="AT24" s="3">
        <f t="shared" si="23"/>
        <v>328.33382068636996</v>
      </c>
      <c r="AV24" s="3">
        <f t="shared" ref="AV24:AY45" si="24">BA24/G24</f>
        <v>276.58196924276973</v>
      </c>
      <c r="AW24" s="3">
        <f t="shared" si="4"/>
        <v>260.69767123478948</v>
      </c>
      <c r="AX24" s="3">
        <f t="shared" si="4"/>
        <v>391.4236205375874</v>
      </c>
      <c r="AY24" s="3">
        <f t="shared" si="4"/>
        <v>328.33382068636996</v>
      </c>
      <c r="BA24" s="159">
        <f>SUM(BA25:BA41)</f>
        <v>35328643.23320277</v>
      </c>
      <c r="BB24" s="159">
        <f>SUM(BB25:BB41)</f>
        <v>32037614.599814199</v>
      </c>
      <c r="BC24" s="159">
        <f>SUM(BC25:BC41)</f>
        <v>92581685.419607565</v>
      </c>
      <c r="BD24" s="159">
        <f t="shared" si="13"/>
        <v>159947943.25262451</v>
      </c>
      <c r="BF24" s="175">
        <f t="shared" si="14"/>
        <v>32343248.216262687</v>
      </c>
      <c r="BG24" s="175">
        <f t="shared" si="5"/>
        <v>30551574.3087634</v>
      </c>
      <c r="BH24" s="175">
        <f t="shared" si="5"/>
        <v>87924180.22094956</v>
      </c>
      <c r="BI24" s="175">
        <f>SUM(BF24:BH24)</f>
        <v>150819002.74597564</v>
      </c>
      <c r="BK24" s="175">
        <f t="shared" si="15"/>
        <v>7284515.3640231267</v>
      </c>
      <c r="BL24" s="175">
        <f t="shared" si="6"/>
        <v>6880985.2046764409</v>
      </c>
      <c r="BM24" s="175">
        <f t="shared" si="6"/>
        <v>19802743.293006655</v>
      </c>
      <c r="BN24" s="175">
        <f t="shared" si="6"/>
        <v>33968243.86170622</v>
      </c>
      <c r="BP24" s="269">
        <f t="shared" si="16"/>
        <v>0.91549647131270717</v>
      </c>
      <c r="BQ24" s="269">
        <f t="shared" si="7"/>
        <v>0.95361576354503563</v>
      </c>
      <c r="BR24" s="269">
        <f t="shared" si="7"/>
        <v>0.949693017819358</v>
      </c>
      <c r="BS24" s="269">
        <f t="shared" si="7"/>
        <v>0.94292555239531617</v>
      </c>
    </row>
    <row r="25" spans="1:71">
      <c r="A25" s="1">
        <v>28</v>
      </c>
      <c r="B25" s="25" t="s">
        <v>583</v>
      </c>
      <c r="C25" s="15" t="s">
        <v>556</v>
      </c>
      <c r="D25" s="4" t="s">
        <v>148</v>
      </c>
      <c r="E25" s="1"/>
      <c r="F25" s="1"/>
      <c r="G25" s="2">
        <v>536.22582205709273</v>
      </c>
      <c r="H25" s="217">
        <f>'[1](1) Homes for non-HH earners'!H30</f>
        <v>1352.9526393621529</v>
      </c>
      <c r="I25" s="31">
        <v>6823.2121432489412</v>
      </c>
      <c r="J25" s="2">
        <f t="shared" ref="J25:J41" si="25">G25+H25+I25</f>
        <v>8712.3906046681877</v>
      </c>
      <c r="K25" s="2"/>
      <c r="L25" s="2">
        <f>'[1](1) Homes for non-HH earners'!BN30</f>
        <v>947.87137507989212</v>
      </c>
      <c r="M25" s="2">
        <f>'[1](1) Homes for non-HH earners'!BO30</f>
        <v>1878.4235524619555</v>
      </c>
      <c r="N25" s="2">
        <f>'[1](1) Homes for non-HH earners'!BP30</f>
        <v>9827.6858739868894</v>
      </c>
      <c r="O25" s="31">
        <f t="shared" ref="O25:O41" si="26">L25+M25+N25</f>
        <v>12653.980801528738</v>
      </c>
      <c r="P25" s="243"/>
      <c r="Q25" s="3">
        <f t="shared" si="21"/>
        <v>1199.650705175477</v>
      </c>
      <c r="R25" s="3">
        <f t="shared" si="21"/>
        <v>1443.1139810639543</v>
      </c>
      <c r="S25" s="3">
        <f t="shared" si="21"/>
        <v>1770.9684235692926</v>
      </c>
      <c r="T25" s="3">
        <f t="shared" si="21"/>
        <v>1684.8925253980265</v>
      </c>
      <c r="U25" s="147">
        <v>1</v>
      </c>
      <c r="V25" s="2"/>
      <c r="W25" s="175">
        <f>'[1](1) Homes for non-HH earners'!CC30</f>
        <v>643283.6855640912</v>
      </c>
      <c r="X25" s="175">
        <f>'[1](1) Homes for non-HH earners'!CD30</f>
        <v>1952464.8695809008</v>
      </c>
      <c r="Y25" s="175">
        <f>'[1](1) Homes for non-HH earners'!CE30</f>
        <v>12083693.253008431</v>
      </c>
      <c r="Z25" s="175">
        <f t="shared" si="8"/>
        <v>14679441.808153423</v>
      </c>
      <c r="AA25" s="31"/>
      <c r="AB25" s="268">
        <f>W25*$U25</f>
        <v>643283.6855640912</v>
      </c>
      <c r="AC25" s="268">
        <f t="shared" ref="AC25:AD40" si="27">X25*$U25</f>
        <v>1952464.8695809008</v>
      </c>
      <c r="AD25" s="268">
        <f t="shared" si="27"/>
        <v>12083693.253008431</v>
      </c>
      <c r="AE25" s="268">
        <f>AB25+AC25+AD25</f>
        <v>14679441.808153423</v>
      </c>
      <c r="AF25" s="31"/>
      <c r="AG25" s="3">
        <v>147.89824143553011</v>
      </c>
      <c r="AH25" s="3">
        <v>152.73506955191178</v>
      </c>
      <c r="AI25" s="3">
        <v>545.28040882324308</v>
      </c>
      <c r="AJ25" s="3">
        <v>681.01271038105563</v>
      </c>
      <c r="AK25" s="1"/>
      <c r="AL25" s="268">
        <f t="shared" ref="AL25:AN32" si="28">G25*AG25</f>
        <v>79306.856094565504</v>
      </c>
      <c r="AM25" s="175">
        <f t="shared" si="28"/>
        <v>206643.31547342104</v>
      </c>
      <c r="AN25" s="175">
        <f t="shared" si="28"/>
        <v>3720563.9069584995</v>
      </c>
      <c r="AO25" s="175">
        <f t="shared" ref="AO25:AO37" si="29">AL25+AM25+AN25</f>
        <v>4006514.0785264862</v>
      </c>
      <c r="AP25" s="38"/>
      <c r="AQ25" s="3">
        <f t="shared" si="23"/>
        <v>1347.5489466110071</v>
      </c>
      <c r="AR25" s="3">
        <f t="shared" si="23"/>
        <v>1595.849050615866</v>
      </c>
      <c r="AS25" s="3">
        <f t="shared" si="23"/>
        <v>2316.2488323925359</v>
      </c>
      <c r="AT25" s="3">
        <f t="shared" si="23"/>
        <v>2144.7564433885441</v>
      </c>
      <c r="AV25" s="3">
        <f t="shared" si="24"/>
        <v>1347.5489466110071</v>
      </c>
      <c r="AW25" s="3">
        <f t="shared" si="4"/>
        <v>1595.849050615866</v>
      </c>
      <c r="AX25" s="3">
        <f t="shared" si="4"/>
        <v>2316.2488323925359</v>
      </c>
      <c r="AY25" s="3">
        <f t="shared" si="4"/>
        <v>2144.7564433885441</v>
      </c>
      <c r="BA25" s="159">
        <f t="shared" si="20"/>
        <v>722590.54165865667</v>
      </c>
      <c r="BB25" s="159">
        <f t="shared" si="20"/>
        <v>2159108.1850543218</v>
      </c>
      <c r="BC25" s="159">
        <f t="shared" si="20"/>
        <v>15804257.159966931</v>
      </c>
      <c r="BD25" s="159">
        <f t="shared" si="13"/>
        <v>18685955.88667991</v>
      </c>
      <c r="BF25" s="175">
        <f t="shared" si="14"/>
        <v>722590.54165865667</v>
      </c>
      <c r="BG25" s="175">
        <f t="shared" si="5"/>
        <v>2159108.1850543218</v>
      </c>
      <c r="BH25" s="175">
        <f t="shared" si="5"/>
        <v>15804257.159966931</v>
      </c>
      <c r="BI25" s="175">
        <f t="shared" ref="BI25:BI41" si="30">SUM(BF25:BH25)</f>
        <v>18685955.88667991</v>
      </c>
      <c r="BK25" s="175">
        <f t="shared" si="15"/>
        <v>162745.61749068843</v>
      </c>
      <c r="BL25" s="175">
        <f t="shared" si="6"/>
        <v>486285.62726448686</v>
      </c>
      <c r="BM25" s="175">
        <f t="shared" si="6"/>
        <v>3559517.37837093</v>
      </c>
      <c r="BN25" s="175">
        <f t="shared" si="6"/>
        <v>4208548.6231261054</v>
      </c>
      <c r="BP25" s="269">
        <f t="shared" si="16"/>
        <v>1</v>
      </c>
      <c r="BQ25" s="269">
        <f t="shared" si="7"/>
        <v>1</v>
      </c>
      <c r="BR25" s="269">
        <f t="shared" si="7"/>
        <v>1</v>
      </c>
      <c r="BS25" s="269">
        <f t="shared" si="7"/>
        <v>1</v>
      </c>
    </row>
    <row r="26" spans="1:71">
      <c r="A26" s="1">
        <v>29</v>
      </c>
      <c r="B26" s="25"/>
      <c r="C26" s="15" t="s">
        <v>557</v>
      </c>
      <c r="D26" s="4" t="s">
        <v>558</v>
      </c>
      <c r="E26" s="1"/>
      <c r="F26" s="1"/>
      <c r="G26" s="271">
        <v>2560.0967590580822</v>
      </c>
      <c r="H26" s="217">
        <f>'[1](1) Homes for non-HH earners'!H31</f>
        <v>6350.08945843726</v>
      </c>
      <c r="I26" s="31">
        <v>3133.7904367373903</v>
      </c>
      <c r="J26" s="2">
        <f t="shared" si="25"/>
        <v>12043.976654232732</v>
      </c>
      <c r="K26" s="2"/>
      <c r="L26" s="271">
        <f>'[1](1) Homes for non-HH earners'!BN31</f>
        <v>4525.4113761936505</v>
      </c>
      <c r="M26" s="2">
        <f>'[1](1) Homes for non-HH earners'!BO31</f>
        <v>8816.3896147853629</v>
      </c>
      <c r="N26" s="2">
        <f>'[1](1) Homes for non-HH earners'!BP31</f>
        <v>4513.6963882372447</v>
      </c>
      <c r="O26" s="31">
        <f t="shared" si="26"/>
        <v>17855.497379216256</v>
      </c>
      <c r="P26" s="243"/>
      <c r="Q26" s="272">
        <f t="shared" si="21"/>
        <v>391.54184256500628</v>
      </c>
      <c r="R26" s="3">
        <f t="shared" si="21"/>
        <v>252.30897460645593</v>
      </c>
      <c r="S26" s="3">
        <f t="shared" si="21"/>
        <v>419.30514454340482</v>
      </c>
      <c r="T26" s="3">
        <f t="shared" si="21"/>
        <v>325.35632761888803</v>
      </c>
      <c r="U26" s="147">
        <v>1</v>
      </c>
      <c r="V26" s="2"/>
      <c r="W26" s="221">
        <f>'[1](1) Homes for non-HH earners'!CC31</f>
        <v>1002385.0021863024</v>
      </c>
      <c r="X26" s="175">
        <f>'[1](1) Homes for non-HH earners'!CD31</f>
        <v>1602184.5599175701</v>
      </c>
      <c r="Y26" s="175">
        <f>'[1](1) Homes for non-HH earners'!CE31</f>
        <v>1314014.4520449112</v>
      </c>
      <c r="Z26" s="175">
        <f t="shared" si="8"/>
        <v>3918584.0141487839</v>
      </c>
      <c r="AA26" s="31"/>
      <c r="AB26" s="221">
        <f t="shared" ref="AB26:AD41" si="31">W26*$U26</f>
        <v>1002385.0021863024</v>
      </c>
      <c r="AC26" s="268">
        <f t="shared" si="27"/>
        <v>1602184.5599175701</v>
      </c>
      <c r="AD26" s="268">
        <f t="shared" si="27"/>
        <v>1314014.4520449112</v>
      </c>
      <c r="AE26" s="268">
        <f t="shared" ref="AE26:AE41" si="32">AB26+AC26+AD26</f>
        <v>3918584.0141487839</v>
      </c>
      <c r="AF26" s="31"/>
      <c r="AG26" s="272">
        <v>132.64103205082475</v>
      </c>
      <c r="AH26" s="3">
        <v>175.76116185987379</v>
      </c>
      <c r="AI26" s="3">
        <v>88.326184172558484</v>
      </c>
      <c r="AJ26" s="3">
        <v>160.15220341437765</v>
      </c>
      <c r="AK26" s="1"/>
      <c r="AL26" s="221">
        <f t="shared" si="28"/>
        <v>339573.87627143564</v>
      </c>
      <c r="AM26" s="175">
        <f t="shared" si="28"/>
        <v>1116099.1011290697</v>
      </c>
      <c r="AN26" s="175">
        <f t="shared" si="28"/>
        <v>276795.75127346924</v>
      </c>
      <c r="AO26" s="175">
        <f t="shared" si="29"/>
        <v>1732468.7286739748</v>
      </c>
      <c r="AP26" s="38"/>
      <c r="AQ26" s="272">
        <f t="shared" si="23"/>
        <v>524.182874615831</v>
      </c>
      <c r="AR26" s="3">
        <f t="shared" si="23"/>
        <v>428.07013646632976</v>
      </c>
      <c r="AS26" s="3">
        <f t="shared" si="23"/>
        <v>507.63132871596332</v>
      </c>
      <c r="AT26" s="3">
        <f t="shared" si="23"/>
        <v>469.20156897155346</v>
      </c>
      <c r="AV26" s="272">
        <f t="shared" si="24"/>
        <v>524.182874615831</v>
      </c>
      <c r="AW26" s="3">
        <f t="shared" si="4"/>
        <v>428.07013646632976</v>
      </c>
      <c r="AX26" s="3">
        <f t="shared" si="4"/>
        <v>507.63132871596332</v>
      </c>
      <c r="AY26" s="3">
        <f t="shared" si="4"/>
        <v>469.20156897155346</v>
      </c>
      <c r="BA26" s="273">
        <f t="shared" si="20"/>
        <v>1341958.8784577381</v>
      </c>
      <c r="BB26" s="159">
        <f t="shared" si="20"/>
        <v>2718283.66104664</v>
      </c>
      <c r="BC26" s="159">
        <f t="shared" si="20"/>
        <v>1590810.2033183805</v>
      </c>
      <c r="BD26" s="159">
        <f t="shared" si="13"/>
        <v>5651052.7428227589</v>
      </c>
      <c r="BF26" s="221">
        <f t="shared" si="14"/>
        <v>1341958.8784577381</v>
      </c>
      <c r="BG26" s="175">
        <f t="shared" si="5"/>
        <v>2718283.66104664</v>
      </c>
      <c r="BH26" s="175">
        <f t="shared" si="5"/>
        <v>1590810.2033183805</v>
      </c>
      <c r="BI26" s="175">
        <f t="shared" si="30"/>
        <v>5651052.7428227589</v>
      </c>
      <c r="BK26" s="175">
        <f t="shared" si="15"/>
        <v>302242.99064363469</v>
      </c>
      <c r="BL26" s="175">
        <f t="shared" si="6"/>
        <v>612226.0497852792</v>
      </c>
      <c r="BM26" s="175">
        <f t="shared" si="6"/>
        <v>358290.58633296855</v>
      </c>
      <c r="BN26" s="175">
        <f t="shared" si="6"/>
        <v>1272759.6267618826</v>
      </c>
      <c r="BP26" s="269">
        <f t="shared" si="16"/>
        <v>1</v>
      </c>
      <c r="BQ26" s="269">
        <f t="shared" si="7"/>
        <v>1</v>
      </c>
      <c r="BR26" s="269">
        <f t="shared" si="7"/>
        <v>1</v>
      </c>
      <c r="BS26" s="269">
        <f t="shared" si="7"/>
        <v>1</v>
      </c>
    </row>
    <row r="27" spans="1:71">
      <c r="A27" s="1">
        <v>30</v>
      </c>
      <c r="B27" s="25"/>
      <c r="C27" s="15" t="s">
        <v>560</v>
      </c>
      <c r="D27" s="14" t="s">
        <v>561</v>
      </c>
      <c r="E27" s="1"/>
      <c r="F27" s="1"/>
      <c r="G27" s="2">
        <v>6524</v>
      </c>
      <c r="H27" s="217">
        <f>'[1](1) Homes for non-HH earners'!H32</f>
        <v>17516</v>
      </c>
      <c r="I27" s="31">
        <v>4819</v>
      </c>
      <c r="J27" s="2">
        <f t="shared" si="25"/>
        <v>28859</v>
      </c>
      <c r="K27" s="2"/>
      <c r="L27" s="2">
        <f>'[1](1) Homes for non-HH earners'!BN32</f>
        <v>11532.292173655907</v>
      </c>
      <c r="M27" s="2">
        <f>'[1](1) Homes for non-HH earners'!BO32</f>
        <v>24319.008653869379</v>
      </c>
      <c r="N27" s="2">
        <f>'[1](1) Homes for non-HH earners'!BP32</f>
        <v>6940.9564340750603</v>
      </c>
      <c r="O27" s="31">
        <f t="shared" si="26"/>
        <v>42792.257261600345</v>
      </c>
      <c r="P27" s="243"/>
      <c r="Q27" s="3">
        <f t="shared" si="21"/>
        <v>336.96487184214345</v>
      </c>
      <c r="R27" s="3">
        <f t="shared" si="21"/>
        <v>206.46683820681147</v>
      </c>
      <c r="S27" s="3">
        <f t="shared" si="21"/>
        <v>282.63217356929243</v>
      </c>
      <c r="T27" s="3">
        <f t="shared" si="21"/>
        <v>248.68624714505265</v>
      </c>
      <c r="U27" s="270">
        <v>1</v>
      </c>
      <c r="V27" s="2"/>
      <c r="W27" s="175">
        <f>'[1](1) Homes for non-HH earners'!CC32</f>
        <v>2198358.8238981441</v>
      </c>
      <c r="X27" s="175">
        <f>'[1](1) Homes for non-HH earners'!CD32</f>
        <v>3616473.1380305099</v>
      </c>
      <c r="Y27" s="175">
        <f>'[1](1) Homes for non-HH earners'!CE32</f>
        <v>1362004.4444304202</v>
      </c>
      <c r="Z27" s="175">
        <f t="shared" si="8"/>
        <v>7176836.4063590746</v>
      </c>
      <c r="AA27" s="31"/>
      <c r="AB27" s="268">
        <f t="shared" si="31"/>
        <v>2198358.8238981441</v>
      </c>
      <c r="AC27" s="268">
        <f t="shared" si="27"/>
        <v>3616473.1380305099</v>
      </c>
      <c r="AD27" s="268">
        <f t="shared" si="27"/>
        <v>1362004.4444304202</v>
      </c>
      <c r="AE27" s="268">
        <f t="shared" si="32"/>
        <v>7176836.4063590746</v>
      </c>
      <c r="AF27" s="31"/>
      <c r="AG27" s="3">
        <v>39.794560065989508</v>
      </c>
      <c r="AH27" s="3">
        <v>50.560093280826621</v>
      </c>
      <c r="AI27" s="3">
        <v>38.896449405717114</v>
      </c>
      <c r="AJ27" s="3">
        <v>59.404992287614519</v>
      </c>
      <c r="AK27" s="1"/>
      <c r="AL27" s="268">
        <f t="shared" si="28"/>
        <v>259619.70987051554</v>
      </c>
      <c r="AM27" s="175">
        <f t="shared" si="28"/>
        <v>885610.59390695905</v>
      </c>
      <c r="AN27" s="175">
        <f t="shared" si="28"/>
        <v>187441.98968615077</v>
      </c>
      <c r="AO27" s="175">
        <f t="shared" si="29"/>
        <v>1332672.2934636255</v>
      </c>
      <c r="AP27" s="38"/>
      <c r="AQ27" s="3">
        <f t="shared" si="23"/>
        <v>376.75943190813297</v>
      </c>
      <c r="AR27" s="3">
        <f t="shared" si="23"/>
        <v>257.02693148763808</v>
      </c>
      <c r="AS27" s="3">
        <f t="shared" si="23"/>
        <v>321.52862297500957</v>
      </c>
      <c r="AT27" s="3">
        <f t="shared" si="23"/>
        <v>294.86498838569247</v>
      </c>
      <c r="AV27" s="3">
        <f t="shared" si="24"/>
        <v>376.75943190813297</v>
      </c>
      <c r="AW27" s="3">
        <f t="shared" si="24"/>
        <v>257.02693148763808</v>
      </c>
      <c r="AX27" s="3">
        <f t="shared" si="24"/>
        <v>321.52862297500957</v>
      </c>
      <c r="AY27" s="3">
        <f t="shared" si="24"/>
        <v>294.86498838569247</v>
      </c>
      <c r="BA27" s="159">
        <f t="shared" si="20"/>
        <v>2457978.5337686595</v>
      </c>
      <c r="BB27" s="159">
        <f t="shared" si="20"/>
        <v>4502083.731937469</v>
      </c>
      <c r="BC27" s="159">
        <f t="shared" si="20"/>
        <v>1549446.434116571</v>
      </c>
      <c r="BD27" s="159">
        <f t="shared" si="13"/>
        <v>8509508.6998226997</v>
      </c>
      <c r="BF27" s="175">
        <f t="shared" si="14"/>
        <v>2457978.5337686595</v>
      </c>
      <c r="BG27" s="175">
        <f t="shared" si="14"/>
        <v>4502083.731937469</v>
      </c>
      <c r="BH27" s="175">
        <f t="shared" si="14"/>
        <v>1549446.434116571</v>
      </c>
      <c r="BI27" s="175">
        <f t="shared" si="30"/>
        <v>8509508.6998226997</v>
      </c>
      <c r="BK27" s="175">
        <f t="shared" si="15"/>
        <v>553598.76886681514</v>
      </c>
      <c r="BL27" s="175">
        <f t="shared" si="15"/>
        <v>1013982.8225084388</v>
      </c>
      <c r="BM27" s="175">
        <f t="shared" si="15"/>
        <v>348974.42209832679</v>
      </c>
      <c r="BN27" s="175">
        <f t="shared" si="15"/>
        <v>1916556.0134735808</v>
      </c>
      <c r="BP27" s="269">
        <f t="shared" si="16"/>
        <v>1</v>
      </c>
      <c r="BQ27" s="269">
        <f t="shared" si="16"/>
        <v>1</v>
      </c>
      <c r="BR27" s="269">
        <f t="shared" si="16"/>
        <v>1</v>
      </c>
      <c r="BS27" s="269">
        <f t="shared" si="16"/>
        <v>1</v>
      </c>
    </row>
    <row r="28" spans="1:71">
      <c r="A28" s="1">
        <v>31</v>
      </c>
      <c r="B28" s="25"/>
      <c r="C28" s="15" t="s">
        <v>563</v>
      </c>
      <c r="D28" s="14" t="s">
        <v>223</v>
      </c>
      <c r="E28" s="1"/>
      <c r="F28" s="1"/>
      <c r="G28" s="2">
        <v>3640.4232384296024</v>
      </c>
      <c r="H28" s="2">
        <f>'[1](1) Homes for non-HH earners'!H33</f>
        <v>10381.402867192013</v>
      </c>
      <c r="I28" s="31">
        <v>2953.5588889558767</v>
      </c>
      <c r="J28" s="2">
        <f t="shared" si="25"/>
        <v>16975.384994577493</v>
      </c>
      <c r="K28" s="2"/>
      <c r="L28" s="2">
        <f>'[1](1) Homes for non-HH earners'!BN33</f>
        <v>6435.074252197548</v>
      </c>
      <c r="M28" s="2">
        <f>'[1](1) Homes for non-HH earners'!BO33</f>
        <v>14413.417798957922</v>
      </c>
      <c r="N28" s="2">
        <f>'[1](1) Homes for non-HH earners'!BP33</f>
        <v>4254.1032524834773</v>
      </c>
      <c r="O28" s="31">
        <f t="shared" si="26"/>
        <v>25102.595303638947</v>
      </c>
      <c r="P28" s="243"/>
      <c r="Q28" s="3">
        <f t="shared" si="21"/>
        <v>388.37487184214348</v>
      </c>
      <c r="R28" s="3">
        <f t="shared" si="21"/>
        <v>272.60683820681152</v>
      </c>
      <c r="S28" s="3">
        <f t="shared" si="21"/>
        <v>344.71217356929247</v>
      </c>
      <c r="T28" s="3">
        <f t="shared" si="21"/>
        <v>309.97930394570437</v>
      </c>
      <c r="U28" s="270">
        <f>280/313</f>
        <v>0.89456869009584661</v>
      </c>
      <c r="V28" s="2"/>
      <c r="W28" s="175">
        <f>'[1](1) Homes for non-HH earners'!CC33</f>
        <v>1413848.9086762578</v>
      </c>
      <c r="X28" s="175">
        <f>'[1](1) Homes for non-HH earners'!CD33</f>
        <v>2830041.4117763424</v>
      </c>
      <c r="Y28" s="175">
        <f>'[1](1) Homes for non-HH earners'!CE33</f>
        <v>1018127.7043768847</v>
      </c>
      <c r="Z28" s="175">
        <f t="shared" si="8"/>
        <v>5262018.0248294855</v>
      </c>
      <c r="AA28" s="31"/>
      <c r="AB28" s="268">
        <f t="shared" si="31"/>
        <v>1264784.9662279622</v>
      </c>
      <c r="AC28" s="268">
        <f t="shared" si="27"/>
        <v>2531666.4386497629</v>
      </c>
      <c r="AD28" s="268">
        <f t="shared" si="27"/>
        <v>910785.16685472114</v>
      </c>
      <c r="AE28" s="268">
        <f t="shared" si="32"/>
        <v>4707236.5717324466</v>
      </c>
      <c r="AF28" s="31"/>
      <c r="AG28" s="3">
        <v>39.794560065989508</v>
      </c>
      <c r="AH28" s="3">
        <v>50.560093280826621</v>
      </c>
      <c r="AI28" s="3">
        <v>38.896449405717114</v>
      </c>
      <c r="AJ28" s="3">
        <v>59.456608171915597</v>
      </c>
      <c r="AK28" s="1"/>
      <c r="AL28" s="268">
        <f t="shared" si="28"/>
        <v>144869.04122731087</v>
      </c>
      <c r="AM28" s="175">
        <f t="shared" si="28"/>
        <v>524884.69735106907</v>
      </c>
      <c r="AN28" s="175">
        <f t="shared" si="28"/>
        <v>114882.9538910783</v>
      </c>
      <c r="AO28" s="175">
        <f t="shared" si="29"/>
        <v>784636.69246945833</v>
      </c>
      <c r="AP28" s="38"/>
      <c r="AQ28" s="3">
        <f t="shared" si="23"/>
        <v>428.16943190813299</v>
      </c>
      <c r="AR28" s="3">
        <f t="shared" si="23"/>
        <v>323.16693148763818</v>
      </c>
      <c r="AS28" s="3">
        <f t="shared" si="23"/>
        <v>383.60862297500955</v>
      </c>
      <c r="AT28" s="3">
        <f t="shared" si="23"/>
        <v>356.20133029268243</v>
      </c>
      <c r="AV28" s="3">
        <f t="shared" si="24"/>
        <v>428.16943190813299</v>
      </c>
      <c r="AW28" s="3">
        <f t="shared" si="24"/>
        <v>323.16693148763818</v>
      </c>
      <c r="AX28" s="3">
        <f t="shared" si="24"/>
        <v>383.60862297500955</v>
      </c>
      <c r="AY28" s="3">
        <f t="shared" si="24"/>
        <v>356.20133029268243</v>
      </c>
      <c r="BA28" s="159">
        <f t="shared" si="20"/>
        <v>1558717.9499035687</v>
      </c>
      <c r="BB28" s="159">
        <f t="shared" si="20"/>
        <v>3354926.1091274116</v>
      </c>
      <c r="BC28" s="159">
        <f t="shared" si="20"/>
        <v>1133010.658267963</v>
      </c>
      <c r="BD28" s="159">
        <f t="shared" si="13"/>
        <v>6046654.7172989426</v>
      </c>
      <c r="BF28" s="175">
        <f t="shared" si="14"/>
        <v>1409654.0074552731</v>
      </c>
      <c r="BG28" s="175">
        <f t="shared" si="14"/>
        <v>3056551.1360008321</v>
      </c>
      <c r="BH28" s="175">
        <f t="shared" si="14"/>
        <v>1025668.1207457995</v>
      </c>
      <c r="BI28" s="175">
        <f t="shared" si="30"/>
        <v>5491873.2642019046</v>
      </c>
      <c r="BK28" s="175">
        <f t="shared" si="15"/>
        <v>317489.64131875517</v>
      </c>
      <c r="BL28" s="175">
        <f t="shared" si="15"/>
        <v>688412.41801820532</v>
      </c>
      <c r="BM28" s="175">
        <f t="shared" si="15"/>
        <v>231006.33350130619</v>
      </c>
      <c r="BN28" s="175">
        <f t="shared" si="15"/>
        <v>1236908.3928382667</v>
      </c>
      <c r="BP28" s="269">
        <f t="shared" si="16"/>
        <v>0.90436759744922579</v>
      </c>
      <c r="BQ28" s="269">
        <f t="shared" si="16"/>
        <v>0.91106362303634036</v>
      </c>
      <c r="BR28" s="269">
        <f t="shared" si="16"/>
        <v>0.90525902228822952</v>
      </c>
      <c r="BS28" s="269">
        <f t="shared" si="16"/>
        <v>0.90824985400442038</v>
      </c>
    </row>
    <row r="29" spans="1:71">
      <c r="A29" s="1">
        <v>32</v>
      </c>
      <c r="B29" s="25"/>
      <c r="C29" s="277" t="s">
        <v>584</v>
      </c>
      <c r="D29" s="14" t="s">
        <v>585</v>
      </c>
      <c r="E29" s="1"/>
      <c r="F29" s="1"/>
      <c r="G29" s="31">
        <v>1132.3913113228157</v>
      </c>
      <c r="H29" s="2">
        <f>0.02*21307.43275</f>
        <v>426.14865500000002</v>
      </c>
      <c r="I29" s="2">
        <f>0.02*101257.507844819</f>
        <v>2025.1501568963802</v>
      </c>
      <c r="J29" s="2">
        <f t="shared" si="25"/>
        <v>3583.6901232191958</v>
      </c>
      <c r="K29" s="278"/>
      <c r="L29" s="31">
        <v>2001.6964219932645</v>
      </c>
      <c r="M29" s="2">
        <v>509.79702240466656</v>
      </c>
      <c r="N29" s="2">
        <v>2916.8871158908632</v>
      </c>
      <c r="O29" s="31">
        <f t="shared" si="26"/>
        <v>5428.3805602887942</v>
      </c>
      <c r="P29" s="279"/>
      <c r="Q29" s="280">
        <v>356.4388718421435</v>
      </c>
      <c r="R29" s="281">
        <v>266.84600020551187</v>
      </c>
      <c r="S29" s="281">
        <v>403.90217356929315</v>
      </c>
      <c r="T29" s="281">
        <v>366.63344262313205</v>
      </c>
      <c r="U29" s="270">
        <f t="shared" ref="U29:U33" si="33">280/313</f>
        <v>0.89456869009584661</v>
      </c>
      <c r="V29" s="278"/>
      <c r="W29" s="268">
        <f t="shared" ref="W29:Y33" si="34">G29*Q29</f>
        <v>403628.28149174992</v>
      </c>
      <c r="X29" s="175">
        <f t="shared" si="34"/>
        <v>113716.06407970861</v>
      </c>
      <c r="Y29" s="175">
        <f t="shared" si="34"/>
        <v>817962.55017464305</v>
      </c>
      <c r="Z29" s="175">
        <f>SUM(W29:Y29)</f>
        <v>1335306.8957461016</v>
      </c>
      <c r="AA29" s="279"/>
      <c r="AB29" s="268">
        <f>0.89*W29</f>
        <v>359229.17052765744</v>
      </c>
      <c r="AC29" s="268">
        <f t="shared" ref="AC29:AE33" si="35">0.89*X29</f>
        <v>101207.29703094067</v>
      </c>
      <c r="AD29" s="268">
        <f t="shared" si="35"/>
        <v>727986.66965543234</v>
      </c>
      <c r="AE29" s="268">
        <f t="shared" si="35"/>
        <v>1188423.1372140304</v>
      </c>
      <c r="AF29" s="243"/>
      <c r="AG29" s="147">
        <v>312.37850720257956</v>
      </c>
      <c r="AH29" s="3">
        <v>578.61366737276012</v>
      </c>
      <c r="AI29" s="3">
        <v>1102.1634569826188</v>
      </c>
      <c r="AJ29" s="3">
        <v>2040.1991435837683</v>
      </c>
      <c r="AK29" s="1"/>
      <c r="AL29" s="268">
        <f t="shared" si="28"/>
        <v>353734.70740019268</v>
      </c>
      <c r="AM29" s="175">
        <f t="shared" si="28"/>
        <v>246575.43611551911</v>
      </c>
      <c r="AN29" s="175">
        <f t="shared" si="28"/>
        <v>2232046.497833807</v>
      </c>
      <c r="AO29" s="175">
        <f t="shared" si="29"/>
        <v>2832356.6413495187</v>
      </c>
      <c r="AP29" s="38"/>
      <c r="AQ29" s="3">
        <f t="shared" si="23"/>
        <v>668.81737904472311</v>
      </c>
      <c r="AR29" s="3">
        <f t="shared" si="23"/>
        <v>845.45966757827205</v>
      </c>
      <c r="AS29" s="3">
        <f t="shared" si="23"/>
        <v>1506.0656305519119</v>
      </c>
      <c r="AT29" s="3">
        <f t="shared" si="23"/>
        <v>1162.9530996814667</v>
      </c>
      <c r="AV29" s="3">
        <f t="shared" si="24"/>
        <v>668.81737904472311</v>
      </c>
      <c r="AW29" s="3">
        <f t="shared" si="24"/>
        <v>845.45966757827205</v>
      </c>
      <c r="AX29" s="3">
        <f t="shared" si="24"/>
        <v>1506.0656305519119</v>
      </c>
      <c r="AY29" s="3">
        <f t="shared" si="24"/>
        <v>1162.9530996814667</v>
      </c>
      <c r="BA29" s="159">
        <f>W29+AL29</f>
        <v>757362.98889194266</v>
      </c>
      <c r="BB29" s="159">
        <f t="shared" si="20"/>
        <v>360291.50019522774</v>
      </c>
      <c r="BC29" s="159">
        <f t="shared" si="20"/>
        <v>3050009.0480084503</v>
      </c>
      <c r="BD29" s="159">
        <f t="shared" si="13"/>
        <v>4167663.5370956208</v>
      </c>
      <c r="BE29" s="243"/>
      <c r="BF29" s="175">
        <f>AB29+AL29</f>
        <v>712963.87792785012</v>
      </c>
      <c r="BG29" s="175">
        <f t="shared" si="14"/>
        <v>347782.7331464598</v>
      </c>
      <c r="BH29" s="175">
        <f t="shared" si="14"/>
        <v>2960033.1674892395</v>
      </c>
      <c r="BI29" s="175">
        <f t="shared" si="30"/>
        <v>4020779.7785635493</v>
      </c>
      <c r="BK29" s="175">
        <f t="shared" si="15"/>
        <v>160577.44998375</v>
      </c>
      <c r="BL29" s="175">
        <f t="shared" si="15"/>
        <v>78329.444402355803</v>
      </c>
      <c r="BM29" s="175">
        <f t="shared" si="15"/>
        <v>666674.13682190073</v>
      </c>
      <c r="BN29" s="175">
        <f t="shared" si="15"/>
        <v>905581.03120800655</v>
      </c>
      <c r="BP29" s="269">
        <f t="shared" si="16"/>
        <v>0.94137670890275416</v>
      </c>
      <c r="BQ29" s="269">
        <f t="shared" si="16"/>
        <v>0.9652815371942165</v>
      </c>
      <c r="BR29" s="269">
        <f t="shared" si="16"/>
        <v>0.97049979881929793</v>
      </c>
      <c r="BS29" s="269">
        <f t="shared" si="16"/>
        <v>0.96475632996169536</v>
      </c>
    </row>
    <row r="30" spans="1:71">
      <c r="A30" s="1">
        <v>33</v>
      </c>
      <c r="B30" s="25"/>
      <c r="C30" s="277" t="s">
        <v>586</v>
      </c>
      <c r="D30" s="14" t="s">
        <v>587</v>
      </c>
      <c r="E30" s="1"/>
      <c r="F30" s="1"/>
      <c r="G30" s="31">
        <v>10191.521801905341</v>
      </c>
      <c r="H30" s="2">
        <f>0.18*21307.43275</f>
        <v>3835.3378949999997</v>
      </c>
      <c r="I30" s="2">
        <f>0.18*101257.507844819</f>
        <v>18226.351412067419</v>
      </c>
      <c r="J30" s="2">
        <f t="shared" si="25"/>
        <v>32253.211108972759</v>
      </c>
      <c r="K30" s="278"/>
      <c r="L30" s="31">
        <v>18015.267797939381</v>
      </c>
      <c r="M30" s="2">
        <v>4588.1732016419992</v>
      </c>
      <c r="N30" s="2">
        <v>26251.984043017768</v>
      </c>
      <c r="O30" s="31">
        <f t="shared" si="26"/>
        <v>48855.425042599149</v>
      </c>
      <c r="P30" s="279"/>
      <c r="Q30" s="280">
        <v>356.4388718421435</v>
      </c>
      <c r="R30" s="281">
        <v>266.84600020551187</v>
      </c>
      <c r="S30" s="281">
        <v>403.90217356929315</v>
      </c>
      <c r="T30" s="281">
        <v>366.63344262313205</v>
      </c>
      <c r="U30" s="270">
        <f t="shared" si="33"/>
        <v>0.89456869009584661</v>
      </c>
      <c r="V30" s="278"/>
      <c r="W30" s="268">
        <f t="shared" si="34"/>
        <v>3632654.5334257493</v>
      </c>
      <c r="X30" s="175">
        <f t="shared" si="34"/>
        <v>1023444.5767173774</v>
      </c>
      <c r="Y30" s="175">
        <f t="shared" si="34"/>
        <v>7361662.9515717858</v>
      </c>
      <c r="Z30" s="175">
        <f t="shared" ref="Z30:Z33" si="36">SUM(W30:Y30)</f>
        <v>12017762.061714914</v>
      </c>
      <c r="AA30" s="278"/>
      <c r="AB30" s="268">
        <f t="shared" ref="AB30:AB32" si="37">0.89*W30</f>
        <v>3233062.534748917</v>
      </c>
      <c r="AC30" s="268">
        <f t="shared" si="35"/>
        <v>910865.67327846587</v>
      </c>
      <c r="AD30" s="268">
        <f t="shared" si="35"/>
        <v>6551880.0268988898</v>
      </c>
      <c r="AE30" s="268">
        <f t="shared" si="35"/>
        <v>10695808.234926274</v>
      </c>
      <c r="AF30" s="31"/>
      <c r="AG30" s="147">
        <v>129.82143694461701</v>
      </c>
      <c r="AH30" s="3">
        <v>208.83483357927449</v>
      </c>
      <c r="AI30" s="3">
        <v>311.08856473974612</v>
      </c>
      <c r="AJ30" s="3">
        <v>486.5005631807739</v>
      </c>
      <c r="AK30" s="1"/>
      <c r="AL30" s="268">
        <f t="shared" si="28"/>
        <v>1323078.0049757436</v>
      </c>
      <c r="AM30" s="175">
        <f t="shared" si="28"/>
        <v>800952.15102260991</v>
      </c>
      <c r="AN30" s="175">
        <f t="shared" si="28"/>
        <v>5670009.5012222985</v>
      </c>
      <c r="AO30" s="175">
        <f t="shared" si="29"/>
        <v>7794039.6572206523</v>
      </c>
      <c r="AP30" s="38"/>
      <c r="AQ30" s="3">
        <f t="shared" si="23"/>
        <v>486.2603087867605</v>
      </c>
      <c r="AR30" s="3">
        <f t="shared" si="23"/>
        <v>475.68083378478639</v>
      </c>
      <c r="AS30" s="3">
        <f t="shared" si="23"/>
        <v>714.99073830903922</v>
      </c>
      <c r="AT30" s="3">
        <f t="shared" si="23"/>
        <v>614.25827189727386</v>
      </c>
      <c r="AV30" s="3">
        <f t="shared" si="24"/>
        <v>486.2603087867605</v>
      </c>
      <c r="AW30" s="3">
        <f t="shared" si="24"/>
        <v>475.68083378478639</v>
      </c>
      <c r="AX30" s="3">
        <f t="shared" si="24"/>
        <v>714.99073830903922</v>
      </c>
      <c r="AY30" s="3">
        <f t="shared" si="24"/>
        <v>614.25827189727386</v>
      </c>
      <c r="BA30" s="159">
        <f t="shared" ref="BA30:BA32" si="38">W30+AL30</f>
        <v>4955732.5384014929</v>
      </c>
      <c r="BB30" s="159">
        <f t="shared" si="20"/>
        <v>1824396.7277399874</v>
      </c>
      <c r="BC30" s="159">
        <f t="shared" si="20"/>
        <v>13031672.452794084</v>
      </c>
      <c r="BD30" s="159">
        <f t="shared" si="13"/>
        <v>19811801.718935564</v>
      </c>
      <c r="BF30" s="175">
        <f t="shared" ref="BF30:BF32" si="39">AB30+AL30</f>
        <v>4556140.539724661</v>
      </c>
      <c r="BG30" s="175">
        <f t="shared" si="14"/>
        <v>1711817.8243010757</v>
      </c>
      <c r="BH30" s="175">
        <f t="shared" si="14"/>
        <v>12221889.528121188</v>
      </c>
      <c r="BI30" s="175">
        <f t="shared" si="30"/>
        <v>18489847.892146923</v>
      </c>
      <c r="BK30" s="175">
        <f t="shared" si="15"/>
        <v>1026157.7792172659</v>
      </c>
      <c r="BL30" s="175">
        <f t="shared" si="15"/>
        <v>385544.55502276478</v>
      </c>
      <c r="BM30" s="175">
        <f t="shared" si="15"/>
        <v>2752677.8216489162</v>
      </c>
      <c r="BN30" s="175">
        <f t="shared" si="15"/>
        <v>4164380.1558889463</v>
      </c>
    </row>
    <row r="31" spans="1:71">
      <c r="A31" s="1">
        <v>34</v>
      </c>
      <c r="B31" s="25"/>
      <c r="C31" s="277" t="s">
        <v>588</v>
      </c>
      <c r="D31" s="14" t="s">
        <v>589</v>
      </c>
      <c r="E31" s="1"/>
      <c r="F31" s="1"/>
      <c r="G31" s="31">
        <v>22647.826226456313</v>
      </c>
      <c r="H31" s="2">
        <f>0.4*21307.43275</f>
        <v>8522.9731000000011</v>
      </c>
      <c r="I31" s="271">
        <f>0.4*101257.507844819</f>
        <v>40503.003137927604</v>
      </c>
      <c r="J31" s="2">
        <f t="shared" si="25"/>
        <v>71673.802464383916</v>
      </c>
      <c r="K31" s="278"/>
      <c r="L31" s="31">
        <v>40033.928439865296</v>
      </c>
      <c r="M31" s="2">
        <v>10195.940448093332</v>
      </c>
      <c r="N31" s="271">
        <v>58337.742317817268</v>
      </c>
      <c r="O31" s="31">
        <f t="shared" si="26"/>
        <v>108567.6112057759</v>
      </c>
      <c r="P31" s="279"/>
      <c r="Q31" s="280">
        <v>356.4388718421435</v>
      </c>
      <c r="R31" s="281">
        <v>266.84600020551187</v>
      </c>
      <c r="S31" s="282">
        <v>403.90217356929315</v>
      </c>
      <c r="T31" s="281">
        <v>366.63344262313205</v>
      </c>
      <c r="U31" s="270">
        <f t="shared" si="33"/>
        <v>0.89456869009584661</v>
      </c>
      <c r="V31" s="278"/>
      <c r="W31" s="268">
        <f t="shared" si="34"/>
        <v>8072565.6298349984</v>
      </c>
      <c r="X31" s="175">
        <f t="shared" si="34"/>
        <v>2274321.2815941726</v>
      </c>
      <c r="Y31" s="221">
        <f t="shared" si="34"/>
        <v>16359251.00349286</v>
      </c>
      <c r="Z31" s="175">
        <f t="shared" si="36"/>
        <v>26706137.914922029</v>
      </c>
      <c r="AA31" s="278"/>
      <c r="AB31" s="268">
        <f t="shared" si="37"/>
        <v>7184583.4105531489</v>
      </c>
      <c r="AC31" s="268">
        <f t="shared" si="35"/>
        <v>2024145.9406188137</v>
      </c>
      <c r="AD31" s="221">
        <f t="shared" si="35"/>
        <v>14559733.393108645</v>
      </c>
      <c r="AE31" s="268">
        <f t="shared" si="35"/>
        <v>23768462.744280607</v>
      </c>
      <c r="AF31" s="31"/>
      <c r="AG31" s="147">
        <v>62.854405086563681</v>
      </c>
      <c r="AH31" s="3">
        <v>96.410465740107426</v>
      </c>
      <c r="AI31" s="272">
        <v>182.48038697538311</v>
      </c>
      <c r="AJ31" s="3">
        <v>125.12321413504705</v>
      </c>
      <c r="AK31" s="1"/>
      <c r="AL31" s="268">
        <f t="shared" si="28"/>
        <v>1423515.6439677859</v>
      </c>
      <c r="AM31" s="175">
        <f t="shared" si="28"/>
        <v>821703.80606140732</v>
      </c>
      <c r="AN31" s="221">
        <f t="shared" si="28"/>
        <v>7391003.6862741858</v>
      </c>
      <c r="AO31" s="175">
        <f t="shared" si="29"/>
        <v>9636223.1363033801</v>
      </c>
      <c r="AP31" s="38"/>
      <c r="AQ31" s="3">
        <f t="shared" si="23"/>
        <v>419.29327692870714</v>
      </c>
      <c r="AR31" s="3">
        <f t="shared" si="23"/>
        <v>363.25646594561931</v>
      </c>
      <c r="AS31" s="272">
        <f t="shared" si="23"/>
        <v>586.38256054467627</v>
      </c>
      <c r="AT31" s="3">
        <f t="shared" si="23"/>
        <v>507.05222552249302</v>
      </c>
      <c r="AV31" s="3">
        <f t="shared" si="24"/>
        <v>419.29327692870714</v>
      </c>
      <c r="AW31" s="3">
        <f t="shared" si="24"/>
        <v>363.25646594561931</v>
      </c>
      <c r="AX31" s="272">
        <f t="shared" si="24"/>
        <v>586.38256054467627</v>
      </c>
      <c r="AY31" s="3">
        <f t="shared" si="24"/>
        <v>507.05222552249302</v>
      </c>
      <c r="BA31" s="159">
        <f t="shared" si="38"/>
        <v>9496081.2738027833</v>
      </c>
      <c r="BB31" s="159">
        <f t="shared" si="20"/>
        <v>3096025.0876555797</v>
      </c>
      <c r="BC31" s="273">
        <f t="shared" si="20"/>
        <v>23750254.689767048</v>
      </c>
      <c r="BD31" s="159">
        <f t="shared" si="13"/>
        <v>36342361.051225409</v>
      </c>
      <c r="BF31" s="175">
        <f t="shared" si="39"/>
        <v>8608099.0545209348</v>
      </c>
      <c r="BG31" s="175">
        <f t="shared" si="14"/>
        <v>2845849.7466802211</v>
      </c>
      <c r="BH31" s="221">
        <f t="shared" si="14"/>
        <v>21950737.079382829</v>
      </c>
      <c r="BI31" s="175">
        <f t="shared" si="30"/>
        <v>33404685.880583987</v>
      </c>
      <c r="BK31" s="175">
        <f t="shared" si="15"/>
        <v>1938761.0483155258</v>
      </c>
      <c r="BL31" s="175">
        <f t="shared" si="15"/>
        <v>640957.15015320294</v>
      </c>
      <c r="BM31" s="175">
        <f t="shared" si="15"/>
        <v>4943859.7025637003</v>
      </c>
      <c r="BN31" s="175">
        <f t="shared" si="15"/>
        <v>7523577.9010324292</v>
      </c>
    </row>
    <row r="32" spans="1:71">
      <c r="A32" s="1">
        <v>35</v>
      </c>
      <c r="B32" s="25"/>
      <c r="C32" s="277" t="s">
        <v>590</v>
      </c>
      <c r="D32" s="14" t="s">
        <v>591</v>
      </c>
      <c r="E32" s="1"/>
      <c r="F32" s="1"/>
      <c r="G32" s="31">
        <v>22647.826226456313</v>
      </c>
      <c r="H32" s="2">
        <f>0.4*21307.43275</f>
        <v>8522.9731000000011</v>
      </c>
      <c r="I32" s="2">
        <f>0.4*101257.507844819</f>
        <v>40503.003137927604</v>
      </c>
      <c r="J32" s="2">
        <f t="shared" si="25"/>
        <v>71673.802464383916</v>
      </c>
      <c r="K32" s="278"/>
      <c r="L32" s="31">
        <v>40033.928439865296</v>
      </c>
      <c r="M32" s="2">
        <v>10195.940448093332</v>
      </c>
      <c r="N32" s="2">
        <v>58337.742317817268</v>
      </c>
      <c r="O32" s="31">
        <f t="shared" si="26"/>
        <v>108567.6112057759</v>
      </c>
      <c r="P32" s="279"/>
      <c r="Q32" s="280">
        <v>356.4388718421435</v>
      </c>
      <c r="R32" s="281">
        <v>266.84600020551187</v>
      </c>
      <c r="S32" s="281">
        <v>403.90217356929315</v>
      </c>
      <c r="T32" s="281">
        <v>366.63344262313205</v>
      </c>
      <c r="U32" s="270">
        <f t="shared" si="33"/>
        <v>0.89456869009584661</v>
      </c>
      <c r="V32" s="278"/>
      <c r="W32" s="268">
        <f t="shared" si="34"/>
        <v>8072565.6298349984</v>
      </c>
      <c r="X32" s="175">
        <f t="shared" si="34"/>
        <v>2274321.2815941726</v>
      </c>
      <c r="Y32" s="175">
        <f t="shared" si="34"/>
        <v>16359251.00349286</v>
      </c>
      <c r="Z32" s="175">
        <f t="shared" si="36"/>
        <v>26706137.914922029</v>
      </c>
      <c r="AA32" s="278"/>
      <c r="AB32" s="268">
        <f t="shared" si="37"/>
        <v>7184583.4105531489</v>
      </c>
      <c r="AC32" s="268">
        <f t="shared" si="35"/>
        <v>2024145.9406188137</v>
      </c>
      <c r="AD32" s="268">
        <f t="shared" si="35"/>
        <v>14559733.393108645</v>
      </c>
      <c r="AE32" s="268">
        <f t="shared" si="35"/>
        <v>23768462.744280607</v>
      </c>
      <c r="AF32" s="31"/>
      <c r="AG32" s="147">
        <v>14.097666885478191</v>
      </c>
      <c r="AH32" s="3">
        <v>43.327894650701062</v>
      </c>
      <c r="AI32" s="3">
        <v>22.960371636686205</v>
      </c>
      <c r="AJ32" s="3">
        <v>38.886670926575441</v>
      </c>
      <c r="AK32" s="1"/>
      <c r="AL32" s="268">
        <f t="shared" si="28"/>
        <v>319281.50982077763</v>
      </c>
      <c r="AM32" s="175">
        <f t="shared" si="28"/>
        <v>369282.48058755911</v>
      </c>
      <c r="AN32" s="175">
        <f t="shared" si="28"/>
        <v>929964.00444868533</v>
      </c>
      <c r="AO32" s="175">
        <f t="shared" si="29"/>
        <v>1618527.9948570221</v>
      </c>
      <c r="AP32" s="38"/>
      <c r="AQ32" s="3">
        <f t="shared" si="23"/>
        <v>370.53653872762169</v>
      </c>
      <c r="AR32" s="3">
        <f t="shared" si="23"/>
        <v>310.173894856213</v>
      </c>
      <c r="AS32" s="3">
        <f t="shared" si="23"/>
        <v>426.8625452059793</v>
      </c>
      <c r="AT32" s="3">
        <f t="shared" si="23"/>
        <v>395.18854778011985</v>
      </c>
      <c r="AV32" s="3">
        <f t="shared" si="24"/>
        <v>370.53653872762169</v>
      </c>
      <c r="AW32" s="3">
        <f t="shared" si="24"/>
        <v>310.173894856213</v>
      </c>
      <c r="AX32" s="3">
        <f t="shared" si="24"/>
        <v>426.8625452059793</v>
      </c>
      <c r="AY32" s="3">
        <f t="shared" si="24"/>
        <v>395.18854778011985</v>
      </c>
      <c r="BA32" s="159">
        <f t="shared" si="38"/>
        <v>8391847.1396557763</v>
      </c>
      <c r="BB32" s="159">
        <f t="shared" si="20"/>
        <v>2643603.7621817319</v>
      </c>
      <c r="BC32" s="159">
        <f t="shared" si="20"/>
        <v>17289215.007941544</v>
      </c>
      <c r="BD32" s="159">
        <f t="shared" si="13"/>
        <v>28324665.909779053</v>
      </c>
      <c r="BF32" s="175">
        <f t="shared" si="39"/>
        <v>7503864.9203739269</v>
      </c>
      <c r="BG32" s="175">
        <f t="shared" si="14"/>
        <v>2393428.4212063728</v>
      </c>
      <c r="BH32" s="175">
        <f t="shared" si="14"/>
        <v>15489697.397557331</v>
      </c>
      <c r="BI32" s="175">
        <f t="shared" si="30"/>
        <v>25386990.739137631</v>
      </c>
      <c r="BK32" s="175">
        <f t="shared" si="15"/>
        <v>1690059.6667508844</v>
      </c>
      <c r="BL32" s="175">
        <f t="shared" si="15"/>
        <v>539060.45522666047</v>
      </c>
      <c r="BM32" s="175">
        <f t="shared" si="15"/>
        <v>3488670.5850354345</v>
      </c>
      <c r="BN32" s="175">
        <f t="shared" si="15"/>
        <v>5717790.7070129793</v>
      </c>
    </row>
    <row r="33" spans="1:72">
      <c r="A33" s="1">
        <v>36</v>
      </c>
      <c r="B33" s="25"/>
      <c r="C33" s="277" t="s">
        <v>592</v>
      </c>
      <c r="D33" s="14" t="s">
        <v>593</v>
      </c>
      <c r="E33" s="1"/>
      <c r="F33" s="1"/>
      <c r="G33" s="31"/>
      <c r="H33" s="2">
        <v>10725.923050589983</v>
      </c>
      <c r="I33" s="2"/>
      <c r="J33" s="2">
        <f t="shared" si="25"/>
        <v>10725.923050589983</v>
      </c>
      <c r="K33" s="278"/>
      <c r="L33" s="31"/>
      <c r="M33" s="2">
        <f>H33*1.77</f>
        <v>18984.88379954427</v>
      </c>
      <c r="N33" s="2"/>
      <c r="O33" s="31">
        <f t="shared" si="26"/>
        <v>18984.88379954427</v>
      </c>
      <c r="P33" s="279"/>
      <c r="Q33" s="280">
        <v>356.4388718421435</v>
      </c>
      <c r="R33" s="281">
        <v>266.84600020551187</v>
      </c>
      <c r="S33" s="281">
        <v>403.90217356929315</v>
      </c>
      <c r="T33" s="281">
        <v>366.63344262313205</v>
      </c>
      <c r="U33" s="270">
        <f t="shared" si="33"/>
        <v>0.89456869009584661</v>
      </c>
      <c r="V33" s="278"/>
      <c r="W33" s="268"/>
      <c r="X33" s="175">
        <f t="shared" si="34"/>
        <v>2862169.6645620391</v>
      </c>
      <c r="Y33" s="175"/>
      <c r="Z33" s="175">
        <f t="shared" si="36"/>
        <v>2862169.6645620391</v>
      </c>
      <c r="AA33" s="278"/>
      <c r="AB33" s="268"/>
      <c r="AC33" s="268">
        <f t="shared" si="35"/>
        <v>2547331.0014602146</v>
      </c>
      <c r="AD33" s="268"/>
      <c r="AE33" s="268">
        <f t="shared" si="35"/>
        <v>2547331.0014602146</v>
      </c>
      <c r="AF33" s="31"/>
      <c r="AG33" s="3"/>
      <c r="AH33" s="3">
        <v>152.65733536142895</v>
      </c>
      <c r="AI33" s="3"/>
      <c r="AJ33" s="3">
        <v>152.65733536142895</v>
      </c>
      <c r="AK33" s="1"/>
      <c r="AL33" s="175"/>
      <c r="AM33" s="175">
        <f>H33*AH33</f>
        <v>1637390.8321947961</v>
      </c>
      <c r="AN33" s="175"/>
      <c r="AO33" s="175">
        <f t="shared" si="29"/>
        <v>1637390.8321947961</v>
      </c>
      <c r="AP33" s="38"/>
      <c r="AQ33" s="3"/>
      <c r="AR33" s="3">
        <f t="shared" si="23"/>
        <v>419.50333556694079</v>
      </c>
      <c r="AS33" s="3"/>
      <c r="AT33" s="3">
        <f t="shared" si="23"/>
        <v>419.50333556694079</v>
      </c>
      <c r="AV33" s="3"/>
      <c r="AW33" s="3">
        <f t="shared" si="24"/>
        <v>419.50333556694079</v>
      </c>
      <c r="AX33" s="3"/>
      <c r="AY33" s="3">
        <f t="shared" si="24"/>
        <v>419.50333556694079</v>
      </c>
      <c r="BA33" s="159"/>
      <c r="BB33" s="159">
        <f t="shared" si="20"/>
        <v>4499560.4967568349</v>
      </c>
      <c r="BC33" s="159"/>
      <c r="BD33" s="159">
        <f t="shared" si="13"/>
        <v>4499560.4967568349</v>
      </c>
      <c r="BG33" s="175">
        <f t="shared" si="14"/>
        <v>4184721.8336550109</v>
      </c>
      <c r="BH33" s="175"/>
      <c r="BI33" s="175">
        <f t="shared" si="30"/>
        <v>4184721.8336550109</v>
      </c>
      <c r="BK33" s="175"/>
      <c r="BL33" s="175">
        <f t="shared" si="15"/>
        <v>942504.91748986719</v>
      </c>
      <c r="BM33" s="175"/>
      <c r="BN33" s="175">
        <f t="shared" si="15"/>
        <v>942504.91748986719</v>
      </c>
    </row>
    <row r="34" spans="1:72">
      <c r="A34" s="1">
        <v>37</v>
      </c>
      <c r="B34" s="25"/>
      <c r="C34" s="15" t="s">
        <v>568</v>
      </c>
      <c r="D34" s="14" t="s">
        <v>569</v>
      </c>
      <c r="E34" s="1"/>
      <c r="F34" s="1"/>
      <c r="G34" s="31">
        <v>2559</v>
      </c>
      <c r="H34" s="2">
        <f>'[1](1) Homes for non-HH earners'!H35</f>
        <v>7141</v>
      </c>
      <c r="I34" s="2">
        <v>2297</v>
      </c>
      <c r="J34" s="2">
        <f t="shared" si="25"/>
        <v>11997</v>
      </c>
      <c r="K34" s="2"/>
      <c r="L34" s="31">
        <f>'[1](1) Homes for non-HH earners'!BN35</f>
        <v>4523.4726659082571</v>
      </c>
      <c r="M34" s="2">
        <f>'[1](1) Homes for non-HH earners'!BO35</f>
        <v>9914.4805205116027</v>
      </c>
      <c r="N34" s="2">
        <f>'[1](1) Homes for non-HH earners'!BP35</f>
        <v>3308.4409481366288</v>
      </c>
      <c r="O34" s="31">
        <f t="shared" si="26"/>
        <v>17746.394134556489</v>
      </c>
      <c r="P34" s="243"/>
      <c r="Q34" s="3">
        <f>W34/G34</f>
        <v>307.99687184214349</v>
      </c>
      <c r="R34" s="3">
        <f t="shared" ref="R34:R38" si="40">X34/H34</f>
        <v>186.20883820681152</v>
      </c>
      <c r="S34" s="3">
        <f>Y34/I34</f>
        <v>208.74217356929245</v>
      </c>
      <c r="T34" s="3">
        <f t="shared" ref="T34:T41" si="41">Z34/J34</f>
        <v>216.50096535530136</v>
      </c>
      <c r="U34" s="270">
        <f>280/313</f>
        <v>0.89456869009584661</v>
      </c>
      <c r="V34" s="2"/>
      <c r="W34" s="268">
        <f>'[1](1) Homes for non-HH earners'!CC35</f>
        <v>788163.99504404515</v>
      </c>
      <c r="X34" s="175">
        <f>'[1](1) Homes for non-HH earners'!CD35</f>
        <v>1329717.313634841</v>
      </c>
      <c r="Y34" s="175">
        <f>'[1](1) Homes for non-HH earners'!CE35</f>
        <v>479480.77268866473</v>
      </c>
      <c r="Z34" s="175">
        <f t="shared" si="8"/>
        <v>2597362.0813675504</v>
      </c>
      <c r="AA34" s="31"/>
      <c r="AB34" s="268">
        <f t="shared" si="31"/>
        <v>705066.83262726082</v>
      </c>
      <c r="AC34" s="268">
        <f t="shared" si="27"/>
        <v>1189523.4754560879</v>
      </c>
      <c r="AD34" s="268">
        <f t="shared" si="27"/>
        <v>428928.48675024317</v>
      </c>
      <c r="AE34" s="268">
        <f t="shared" si="32"/>
        <v>2323518.7948335917</v>
      </c>
      <c r="AF34" s="31"/>
      <c r="AG34" s="3">
        <v>25.2159645257811</v>
      </c>
      <c r="AH34" s="3">
        <v>36.177270817396085</v>
      </c>
      <c r="AI34" s="3">
        <v>90.868449657060921</v>
      </c>
      <c r="AJ34" s="3">
        <v>50.163074044969541</v>
      </c>
      <c r="AK34" s="1"/>
      <c r="AL34" s="175">
        <f>G34*AG34</f>
        <v>64527.653221473833</v>
      </c>
      <c r="AM34" s="175">
        <f>H34*AH34</f>
        <v>258341.89090702543</v>
      </c>
      <c r="AN34" s="175">
        <f>I34*AI34</f>
        <v>208724.82886226894</v>
      </c>
      <c r="AO34" s="175">
        <f t="shared" si="29"/>
        <v>531594.37299076817</v>
      </c>
      <c r="AP34" s="38"/>
      <c r="AQ34" s="218">
        <f>BA34/G34</f>
        <v>333.21283636792458</v>
      </c>
      <c r="AR34" s="218">
        <f t="shared" si="23"/>
        <v>222.3861090242076</v>
      </c>
      <c r="AS34" s="218">
        <f>BC34/I34</f>
        <v>299.61062322635337</v>
      </c>
      <c r="AT34" s="218">
        <f t="shared" si="23"/>
        <v>260.81157409004908</v>
      </c>
      <c r="AV34" s="3">
        <f t="shared" si="24"/>
        <v>333.21283636792458</v>
      </c>
      <c r="AW34" s="3">
        <f t="shared" si="24"/>
        <v>222.3861090242076</v>
      </c>
      <c r="AX34" s="3">
        <f t="shared" si="24"/>
        <v>299.61062322635337</v>
      </c>
      <c r="AY34" s="3">
        <f t="shared" si="24"/>
        <v>260.81157409004908</v>
      </c>
      <c r="BA34" s="159">
        <f t="shared" si="20"/>
        <v>852691.64826551895</v>
      </c>
      <c r="BB34" s="159">
        <f t="shared" si="20"/>
        <v>1588059.2045418664</v>
      </c>
      <c r="BC34" s="159">
        <f t="shared" si="20"/>
        <v>688205.60155093367</v>
      </c>
      <c r="BD34" s="159">
        <f t="shared" si="13"/>
        <v>3128956.4543583188</v>
      </c>
      <c r="BF34" s="175">
        <f t="shared" si="14"/>
        <v>769594.48584873462</v>
      </c>
      <c r="BG34" s="175">
        <f t="shared" si="14"/>
        <v>1447865.3663631133</v>
      </c>
      <c r="BH34" s="175">
        <f t="shared" si="14"/>
        <v>637653.31561251217</v>
      </c>
      <c r="BI34" s="175">
        <f t="shared" si="30"/>
        <v>2855113.1678243601</v>
      </c>
      <c r="BK34" s="175">
        <f t="shared" si="15"/>
        <v>173332.09140737265</v>
      </c>
      <c r="BL34" s="175">
        <f t="shared" si="15"/>
        <v>326095.80323493539</v>
      </c>
      <c r="BM34" s="175">
        <f t="shared" si="15"/>
        <v>143615.61162443965</v>
      </c>
      <c r="BN34" s="175">
        <f t="shared" si="15"/>
        <v>643043.50626674772</v>
      </c>
      <c r="BP34" s="269">
        <f t="shared" si="16"/>
        <v>0.90254723077701737</v>
      </c>
      <c r="BQ34" s="269">
        <f t="shared" si="16"/>
        <v>0.91172001788233259</v>
      </c>
      <c r="BR34" s="269">
        <f t="shared" si="16"/>
        <v>0.92654479152088076</v>
      </c>
      <c r="BS34" s="269">
        <f t="shared" si="16"/>
        <v>0.91248095314572919</v>
      </c>
    </row>
    <row r="35" spans="1:72">
      <c r="A35" s="1">
        <v>38</v>
      </c>
      <c r="B35" s="25"/>
      <c r="C35" s="15" t="s">
        <v>570</v>
      </c>
      <c r="D35" s="14" t="s">
        <v>571</v>
      </c>
      <c r="E35" s="1"/>
      <c r="F35" s="1"/>
      <c r="G35" s="31">
        <v>201.631472433412</v>
      </c>
      <c r="H35" s="2">
        <f>'[1](1) Homes for non-HH earners'!H36</f>
        <v>415.55032600872619</v>
      </c>
      <c r="I35" s="2">
        <v>159.4840128206024</v>
      </c>
      <c r="J35" s="2">
        <f t="shared" si="25"/>
        <v>776.66581126274059</v>
      </c>
      <c r="K35" s="2"/>
      <c r="L35" s="2">
        <f>'[1](1) Homes for non-HH earners'!BN36</f>
        <v>201.631472433412</v>
      </c>
      <c r="M35" s="2">
        <f>'[1](1) Homes for non-HH earners'!BO36</f>
        <v>415.55032600872619</v>
      </c>
      <c r="N35" s="2">
        <f>'[1](1) Homes for non-HH earners'!BP36</f>
        <v>159.4840128206024</v>
      </c>
      <c r="O35" s="31">
        <f t="shared" si="26"/>
        <v>776.66581126274059</v>
      </c>
      <c r="P35" s="243"/>
      <c r="Q35" s="3">
        <f>W35/G35</f>
        <v>48.55</v>
      </c>
      <c r="R35" s="3">
        <f t="shared" si="40"/>
        <v>48.550000000000004</v>
      </c>
      <c r="S35" s="3">
        <f>Y35/I35</f>
        <v>48.55</v>
      </c>
      <c r="T35" s="3">
        <f t="shared" si="41"/>
        <v>48.55</v>
      </c>
      <c r="U35" s="270">
        <f>280/313</f>
        <v>0.89456869009584661</v>
      </c>
      <c r="V35" s="2"/>
      <c r="W35" s="268">
        <f>'[1](1) Homes for non-HH earners'!CC36</f>
        <v>9789.2079866421518</v>
      </c>
      <c r="X35" s="175">
        <f>'[1](1) Homes for non-HH earners'!CD36</f>
        <v>20174.968327723658</v>
      </c>
      <c r="Y35" s="175">
        <f>'[1](1) Homes for non-HH earners'!CE36</f>
        <v>7742.9488224402457</v>
      </c>
      <c r="Z35" s="175">
        <f t="shared" si="8"/>
        <v>37707.125136806055</v>
      </c>
      <c r="AA35" s="31"/>
      <c r="AB35" s="268">
        <f t="shared" si="31"/>
        <v>8757.1189656862698</v>
      </c>
      <c r="AC35" s="268">
        <f t="shared" si="27"/>
        <v>18047.894989656947</v>
      </c>
      <c r="AD35" s="268">
        <f t="shared" si="27"/>
        <v>6926.5995855695483</v>
      </c>
      <c r="AE35" s="268">
        <f t="shared" si="32"/>
        <v>33731.613540912767</v>
      </c>
      <c r="AF35" s="31"/>
      <c r="AG35" s="147"/>
      <c r="AH35" s="3"/>
      <c r="AI35" s="3"/>
      <c r="AJ35" s="3"/>
      <c r="AK35" s="1"/>
      <c r="AL35" s="1"/>
      <c r="AM35" s="1"/>
      <c r="AN35" s="1"/>
      <c r="AO35" s="1"/>
      <c r="AP35" s="38"/>
      <c r="AQ35" s="218">
        <f>BA35/G35</f>
        <v>48.55</v>
      </c>
      <c r="AR35" s="218">
        <f t="shared" si="23"/>
        <v>48.550000000000004</v>
      </c>
      <c r="AS35" s="218">
        <f>BC35/I35</f>
        <v>48.55</v>
      </c>
      <c r="AT35" s="218">
        <f t="shared" si="23"/>
        <v>48.55</v>
      </c>
      <c r="AV35" s="3">
        <f t="shared" si="24"/>
        <v>48.55</v>
      </c>
      <c r="AW35" s="3">
        <f t="shared" si="24"/>
        <v>48.550000000000004</v>
      </c>
      <c r="AX35" s="3">
        <f t="shared" si="24"/>
        <v>48.55</v>
      </c>
      <c r="AY35" s="3">
        <f t="shared" si="24"/>
        <v>48.55</v>
      </c>
      <c r="BA35" s="159">
        <f t="shared" si="20"/>
        <v>9789.2079866421518</v>
      </c>
      <c r="BB35" s="159">
        <f t="shared" si="20"/>
        <v>20174.968327723658</v>
      </c>
      <c r="BC35" s="159">
        <f t="shared" si="20"/>
        <v>7742.9488224402457</v>
      </c>
      <c r="BD35" s="159">
        <f t="shared" si="13"/>
        <v>37707.125136806055</v>
      </c>
      <c r="BF35" s="175">
        <f t="shared" si="14"/>
        <v>8757.1189656862698</v>
      </c>
      <c r="BG35" s="175">
        <f t="shared" si="14"/>
        <v>18047.894989656947</v>
      </c>
      <c r="BH35" s="175">
        <f t="shared" si="14"/>
        <v>6926.5995855695483</v>
      </c>
      <c r="BI35" s="175">
        <f t="shared" si="30"/>
        <v>33731.613540912767</v>
      </c>
      <c r="BK35" s="175">
        <f t="shared" si="15"/>
        <v>1972.3240913707814</v>
      </c>
      <c r="BL35" s="175">
        <f t="shared" si="15"/>
        <v>4064.8412138866993</v>
      </c>
      <c r="BM35" s="175">
        <f t="shared" si="15"/>
        <v>1560.044951704853</v>
      </c>
      <c r="BN35" s="175">
        <f t="shared" si="15"/>
        <v>7597.2102569623339</v>
      </c>
      <c r="BP35" s="269">
        <f t="shared" si="16"/>
        <v>0.89456869009584661</v>
      </c>
      <c r="BQ35" s="269">
        <f t="shared" si="16"/>
        <v>0.89456869009584661</v>
      </c>
      <c r="BR35" s="269">
        <f t="shared" si="16"/>
        <v>0.89456869009584661</v>
      </c>
      <c r="BS35" s="269">
        <f t="shared" si="16"/>
        <v>0.89456869009584672</v>
      </c>
    </row>
    <row r="36" spans="1:72">
      <c r="A36" s="1">
        <v>39</v>
      </c>
      <c r="B36" s="25"/>
      <c r="C36" s="14" t="s">
        <v>572</v>
      </c>
      <c r="D36" s="4" t="s">
        <v>573</v>
      </c>
      <c r="E36" s="1"/>
      <c r="F36" s="1"/>
      <c r="G36" s="2">
        <v>20644.363654471883</v>
      </c>
      <c r="H36" s="2">
        <f>'[1](1) Homes for non-HH earners'!H37</f>
        <v>32433.40982316939</v>
      </c>
      <c r="I36" s="271">
        <v>6921.9195493771931</v>
      </c>
      <c r="J36" s="2">
        <f t="shared" si="25"/>
        <v>59999.69302701846</v>
      </c>
      <c r="K36" s="2"/>
      <c r="L36" s="2">
        <f>'[1](1) Homes for non-HH earners'!BN37</f>
        <v>20644.363654471883</v>
      </c>
      <c r="M36" s="2">
        <f>'[1](1) Homes for non-HH earners'!BO37</f>
        <v>32433.40982316939</v>
      </c>
      <c r="N36" s="271">
        <f>'[1](1) Homes for non-HH earners'!BP37</f>
        <v>6921.9195493771931</v>
      </c>
      <c r="O36" s="31">
        <f t="shared" si="26"/>
        <v>59999.69302701846</v>
      </c>
      <c r="P36" s="243"/>
      <c r="Q36" s="3">
        <f>W36/G36</f>
        <v>111.34355725743856</v>
      </c>
      <c r="R36" s="3">
        <f t="shared" si="40"/>
        <v>104.4330788124533</v>
      </c>
      <c r="S36" s="272">
        <f>Y36/I36</f>
        <v>106.84</v>
      </c>
      <c r="T36" s="3">
        <f t="shared" si="41"/>
        <v>107.08847481247635</v>
      </c>
      <c r="U36" s="270">
        <v>1</v>
      </c>
      <c r="V36" s="2"/>
      <c r="W36" s="268">
        <f>'[1](1) Homes for non-HH earners'!CC37</f>
        <v>2298616.8866050737</v>
      </c>
      <c r="X36" s="268">
        <f>'[1](1) Homes for non-HH earners'!CD37</f>
        <v>3387120.844219646</v>
      </c>
      <c r="Y36" s="221">
        <f>'[1](1) Homes for non-HH earners'!CE37</f>
        <v>739537.88465545932</v>
      </c>
      <c r="Z36" s="268">
        <f t="shared" si="8"/>
        <v>6425275.615480179</v>
      </c>
      <c r="AA36" s="31"/>
      <c r="AB36" s="268">
        <f t="shared" si="31"/>
        <v>2298616.8866050737</v>
      </c>
      <c r="AC36" s="268">
        <f t="shared" si="27"/>
        <v>3387120.844219646</v>
      </c>
      <c r="AD36" s="221">
        <f t="shared" si="27"/>
        <v>739537.88465545932</v>
      </c>
      <c r="AE36" s="268">
        <f t="shared" si="32"/>
        <v>6425275.615480179</v>
      </c>
      <c r="AF36" s="31"/>
      <c r="AG36" s="3">
        <v>20.870988750313149</v>
      </c>
      <c r="AH36" s="3">
        <v>9.9736081615728729</v>
      </c>
      <c r="AI36" s="272">
        <v>18.121918392179175</v>
      </c>
      <c r="AJ36" s="3">
        <v>15.935974182579118</v>
      </c>
      <c r="AK36" s="1"/>
      <c r="AL36" s="175">
        <f t="shared" ref="AL36:AN37" si="42">G36*AG36</f>
        <v>430868.28158985631</v>
      </c>
      <c r="AM36" s="175">
        <f t="shared" si="42"/>
        <v>323478.12092000002</v>
      </c>
      <c r="AN36" s="221">
        <f t="shared" si="42"/>
        <v>125438.46119104314</v>
      </c>
      <c r="AO36" s="175">
        <f t="shared" si="29"/>
        <v>879784.86370089941</v>
      </c>
      <c r="AP36" s="38"/>
      <c r="AQ36" s="218">
        <f>BA36/G36</f>
        <v>132.21454600775172</v>
      </c>
      <c r="AR36" s="218">
        <f t="shared" si="23"/>
        <v>114.40668697402617</v>
      </c>
      <c r="AS36" s="283">
        <f>BC36/I36</f>
        <v>124.96191839217917</v>
      </c>
      <c r="AT36" s="218">
        <f t="shared" si="23"/>
        <v>121.75163089403702</v>
      </c>
      <c r="AV36" s="3">
        <f t="shared" si="24"/>
        <v>132.21454600775172</v>
      </c>
      <c r="AW36" s="3">
        <f t="shared" si="24"/>
        <v>114.40668697402617</v>
      </c>
      <c r="AX36" s="272">
        <f t="shared" si="24"/>
        <v>124.96191839217917</v>
      </c>
      <c r="AY36" s="3">
        <f t="shared" si="24"/>
        <v>121.75163089403702</v>
      </c>
      <c r="BA36" s="159">
        <f t="shared" si="20"/>
        <v>2729485.1681949301</v>
      </c>
      <c r="BB36" s="159">
        <f t="shared" si="20"/>
        <v>3710598.9651396461</v>
      </c>
      <c r="BC36" s="273">
        <f t="shared" si="20"/>
        <v>864976.34584650246</v>
      </c>
      <c r="BD36" s="159">
        <f t="shared" si="13"/>
        <v>7305060.4791810783</v>
      </c>
      <c r="BF36" s="175">
        <f t="shared" si="14"/>
        <v>2729485.1681949301</v>
      </c>
      <c r="BG36" s="175">
        <f t="shared" si="14"/>
        <v>3710598.9651396461</v>
      </c>
      <c r="BH36" s="221">
        <f t="shared" si="14"/>
        <v>864976.34584650246</v>
      </c>
      <c r="BI36" s="175">
        <f t="shared" si="30"/>
        <v>7305060.4791810783</v>
      </c>
      <c r="BK36" s="175">
        <f t="shared" si="15"/>
        <v>614748.9117556148</v>
      </c>
      <c r="BL36" s="175">
        <f t="shared" si="15"/>
        <v>835720.48764406436</v>
      </c>
      <c r="BM36" s="175">
        <f t="shared" si="15"/>
        <v>194814.49230777079</v>
      </c>
      <c r="BN36" s="175">
        <f t="shared" si="15"/>
        <v>1645283.8917074499</v>
      </c>
      <c r="BP36" s="269">
        <f t="shared" si="16"/>
        <v>1</v>
      </c>
      <c r="BQ36" s="269">
        <f t="shared" si="16"/>
        <v>1</v>
      </c>
      <c r="BR36" s="269">
        <f t="shared" si="16"/>
        <v>1</v>
      </c>
      <c r="BS36" s="269">
        <f t="shared" si="16"/>
        <v>1</v>
      </c>
    </row>
    <row r="37" spans="1:72">
      <c r="A37" s="1">
        <v>40</v>
      </c>
      <c r="B37" s="25"/>
      <c r="C37" s="14" t="s">
        <v>574</v>
      </c>
      <c r="D37" s="4" t="s">
        <v>575</v>
      </c>
      <c r="E37" s="1"/>
      <c r="F37" s="1"/>
      <c r="G37" s="2">
        <v>755.51977508935306</v>
      </c>
      <c r="H37" s="2">
        <f>'[1](1) Homes for non-HH earners'!H38</f>
        <v>2003.1246358252829</v>
      </c>
      <c r="I37" s="2">
        <v>7721.8719526795594</v>
      </c>
      <c r="J37" s="2">
        <f t="shared" si="25"/>
        <v>10480.516363594195</v>
      </c>
      <c r="K37" s="2"/>
      <c r="L37" s="2">
        <f>'[1](1) Homes for non-HH earners'!BN38</f>
        <v>755.51977508935306</v>
      </c>
      <c r="M37" s="2">
        <f>'[1](1) Homes for non-HH earners'!BO38</f>
        <v>2003.1246358252829</v>
      </c>
      <c r="N37" s="2">
        <f>'[1](1) Homes for non-HH earners'!BP38</f>
        <v>7721.8719526795594</v>
      </c>
      <c r="O37" s="31">
        <f t="shared" si="26"/>
        <v>10480.516363594195</v>
      </c>
      <c r="P37" s="243"/>
      <c r="Q37" s="3">
        <f>W37/G37</f>
        <v>112.82318494448573</v>
      </c>
      <c r="R37" s="3">
        <f t="shared" si="40"/>
        <v>104.1336143104833</v>
      </c>
      <c r="S37" s="3">
        <f>Y37/I37</f>
        <v>106.84</v>
      </c>
      <c r="T37" s="3">
        <f t="shared" si="41"/>
        <v>106.75404876688432</v>
      </c>
      <c r="U37" s="147">
        <v>1</v>
      </c>
      <c r="V37" s="2"/>
      <c r="W37" s="175">
        <f>'[1](1) Homes for non-HH earners'!CC38</f>
        <v>85240.14731412234</v>
      </c>
      <c r="X37" s="175">
        <f>'[1](1) Homes for non-HH earners'!CD38</f>
        <v>208592.60824285733</v>
      </c>
      <c r="Y37" s="175">
        <f>'[1](1) Homes for non-HH earners'!CE38</f>
        <v>825004.79942428414</v>
      </c>
      <c r="Z37" s="175">
        <f t="shared" si="8"/>
        <v>1118837.5549812638</v>
      </c>
      <c r="AA37" s="31"/>
      <c r="AB37" s="268">
        <f t="shared" si="31"/>
        <v>85240.14731412234</v>
      </c>
      <c r="AC37" s="268">
        <f t="shared" si="27"/>
        <v>208592.60824285733</v>
      </c>
      <c r="AD37" s="268">
        <f t="shared" si="27"/>
        <v>825004.79942428414</v>
      </c>
      <c r="AE37" s="268">
        <f t="shared" si="32"/>
        <v>1118837.5549812638</v>
      </c>
      <c r="AF37" s="31"/>
      <c r="AG37" s="3">
        <v>8.9196198784047311</v>
      </c>
      <c r="AH37" s="3">
        <v>104.69269510332566</v>
      </c>
      <c r="AI37" s="3">
        <v>106.10534924342122</v>
      </c>
      <c r="AJ37" s="3">
        <v>127.73556925729213</v>
      </c>
      <c r="AK37" s="1"/>
      <c r="AL37" s="175">
        <f t="shared" si="42"/>
        <v>6738.9492044148656</v>
      </c>
      <c r="AM37" s="175">
        <f t="shared" si="42"/>
        <v>209712.51675241659</v>
      </c>
      <c r="AN37" s="175">
        <f t="shared" si="42"/>
        <v>819331.92035204358</v>
      </c>
      <c r="AO37" s="175">
        <f t="shared" si="29"/>
        <v>1035783.3863088751</v>
      </c>
      <c r="AP37" s="38"/>
      <c r="AQ37" s="218">
        <f>BA37/G37</f>
        <v>121.74280482289045</v>
      </c>
      <c r="AR37" s="218">
        <f t="shared" si="23"/>
        <v>208.82630941380896</v>
      </c>
      <c r="AS37" s="218">
        <f>BC37/I37</f>
        <v>212.94534924342122</v>
      </c>
      <c r="AT37" s="218">
        <f t="shared" si="23"/>
        <v>205.58347189596216</v>
      </c>
      <c r="AV37" s="3">
        <f t="shared" si="24"/>
        <v>121.74280482289045</v>
      </c>
      <c r="AW37" s="3">
        <f t="shared" si="24"/>
        <v>208.82630941380896</v>
      </c>
      <c r="AX37" s="3">
        <f t="shared" si="24"/>
        <v>212.94534924342122</v>
      </c>
      <c r="AY37" s="3">
        <f t="shared" si="24"/>
        <v>205.58347189596216</v>
      </c>
      <c r="BA37" s="159">
        <f t="shared" si="20"/>
        <v>91979.096518537204</v>
      </c>
      <c r="BB37" s="159">
        <f t="shared" si="20"/>
        <v>418305.12499527389</v>
      </c>
      <c r="BC37" s="159">
        <f t="shared" si="20"/>
        <v>1644336.7197763277</v>
      </c>
      <c r="BD37" s="159">
        <f t="shared" si="13"/>
        <v>2154620.9412901388</v>
      </c>
      <c r="BF37" s="175">
        <f t="shared" si="14"/>
        <v>91979.096518537204</v>
      </c>
      <c r="BG37" s="175">
        <f t="shared" si="14"/>
        <v>418305.12499527389</v>
      </c>
      <c r="BH37" s="175">
        <f t="shared" si="14"/>
        <v>1644336.7197763277</v>
      </c>
      <c r="BI37" s="175">
        <f t="shared" si="30"/>
        <v>2154620.9412901388</v>
      </c>
      <c r="BK37" s="175">
        <f t="shared" si="15"/>
        <v>20716.01272940027</v>
      </c>
      <c r="BL37" s="175">
        <f t="shared" si="15"/>
        <v>94212.865989926548</v>
      </c>
      <c r="BM37" s="175">
        <f t="shared" si="15"/>
        <v>370346.10805773141</v>
      </c>
      <c r="BN37" s="175">
        <f t="shared" si="15"/>
        <v>485274.98677705822</v>
      </c>
      <c r="BP37" s="269">
        <f t="shared" si="16"/>
        <v>1</v>
      </c>
      <c r="BQ37" s="269">
        <f t="shared" si="16"/>
        <v>1</v>
      </c>
      <c r="BR37" s="269">
        <f t="shared" si="16"/>
        <v>1</v>
      </c>
      <c r="BS37" s="269">
        <f t="shared" si="16"/>
        <v>1</v>
      </c>
    </row>
    <row r="38" spans="1:72">
      <c r="A38" s="1">
        <v>41</v>
      </c>
      <c r="B38" s="25"/>
      <c r="C38" s="15" t="s">
        <v>576</v>
      </c>
      <c r="D38" s="14" t="s">
        <v>577</v>
      </c>
      <c r="E38" s="1"/>
      <c r="F38" s="1"/>
      <c r="G38" s="2">
        <v>32911.338985626855</v>
      </c>
      <c r="H38" s="2">
        <f>'[1](1) Homes for non-HH earners'!H39</f>
        <v>6948.3876391959402</v>
      </c>
      <c r="I38" s="2">
        <v>0</v>
      </c>
      <c r="J38" s="2">
        <f t="shared" si="25"/>
        <v>39859.726624822797</v>
      </c>
      <c r="K38" s="2"/>
      <c r="L38" s="2">
        <f>'[1](1) Homes for non-HH earners'!BN39</f>
        <v>32911.338985626855</v>
      </c>
      <c r="M38" s="2">
        <f>'[1](1) Homes for non-HH earners'!BO39</f>
        <v>6948.3876391959402</v>
      </c>
      <c r="N38" s="2">
        <f>'[1](1) Homes for non-HH earners'!BP39</f>
        <v>0</v>
      </c>
      <c r="O38" s="31">
        <f t="shared" si="26"/>
        <v>39859.726624822797</v>
      </c>
      <c r="P38" s="243"/>
      <c r="Q38" s="3">
        <f>W38/G38</f>
        <v>55.625</v>
      </c>
      <c r="R38" s="3">
        <f t="shared" si="40"/>
        <v>52.01</v>
      </c>
      <c r="S38" s="3"/>
      <c r="T38" s="3">
        <f t="shared" si="41"/>
        <v>54.994829563756944</v>
      </c>
      <c r="U38" s="147">
        <f>222/313</f>
        <v>0.70926517571884984</v>
      </c>
      <c r="V38" s="2"/>
      <c r="W38" s="175">
        <f>'[1](1) Homes for non-HH earners'!CC39</f>
        <v>1830693.2310754939</v>
      </c>
      <c r="X38" s="175">
        <f>'[1](1) Homes for non-HH earners'!CD39</f>
        <v>361385.64111458085</v>
      </c>
      <c r="Y38" s="175"/>
      <c r="Z38" s="175">
        <f t="shared" si="8"/>
        <v>2192078.8721900745</v>
      </c>
      <c r="AA38" s="31"/>
      <c r="AB38" s="268">
        <f t="shared" si="31"/>
        <v>1298446.956226069</v>
      </c>
      <c r="AC38" s="268">
        <f t="shared" si="27"/>
        <v>256318.25024740238</v>
      </c>
      <c r="AD38" s="268"/>
      <c r="AE38" s="268">
        <f t="shared" si="32"/>
        <v>1554765.2064734714</v>
      </c>
      <c r="AF38" s="31"/>
      <c r="AG38" s="31">
        <v>0</v>
      </c>
      <c r="AH38" s="31">
        <v>0</v>
      </c>
      <c r="AI38" s="31">
        <v>0</v>
      </c>
      <c r="AJ38" s="31">
        <v>0</v>
      </c>
      <c r="AK38" s="1"/>
      <c r="AL38" s="175">
        <v>0</v>
      </c>
      <c r="AM38" s="175">
        <v>0</v>
      </c>
      <c r="AN38" s="175">
        <v>0</v>
      </c>
      <c r="AO38" s="175">
        <v>0</v>
      </c>
      <c r="AP38" s="38"/>
      <c r="AQ38" s="218">
        <f>BA38/G38</f>
        <v>55.625</v>
      </c>
      <c r="AR38" s="218">
        <f t="shared" si="23"/>
        <v>52.01</v>
      </c>
      <c r="AS38" s="218"/>
      <c r="AT38" s="218">
        <f t="shared" si="23"/>
        <v>54.994829563756944</v>
      </c>
      <c r="AV38" s="3">
        <f t="shared" si="24"/>
        <v>55.625</v>
      </c>
      <c r="AW38" s="3">
        <f t="shared" si="24"/>
        <v>52.01</v>
      </c>
      <c r="AX38" s="3"/>
      <c r="AY38" s="3">
        <f t="shared" si="24"/>
        <v>54.994829563756944</v>
      </c>
      <c r="BA38" s="159">
        <f t="shared" si="20"/>
        <v>1830693.2310754939</v>
      </c>
      <c r="BB38" s="159">
        <f t="shared" si="20"/>
        <v>361385.64111458085</v>
      </c>
      <c r="BC38" s="159"/>
      <c r="BD38" s="159">
        <f t="shared" si="13"/>
        <v>2192078.8721900745</v>
      </c>
      <c r="BF38" s="175">
        <f t="shared" si="14"/>
        <v>1298446.956226069</v>
      </c>
      <c r="BG38" s="175">
        <f t="shared" si="14"/>
        <v>256318.25024740238</v>
      </c>
      <c r="BH38" s="175"/>
      <c r="BI38" s="175">
        <f t="shared" si="30"/>
        <v>1554765.2064734714</v>
      </c>
      <c r="BK38" s="175">
        <f t="shared" si="15"/>
        <v>292443.00815902452</v>
      </c>
      <c r="BL38" s="175">
        <f t="shared" si="15"/>
        <v>57729.33564130684</v>
      </c>
      <c r="BM38" s="175"/>
      <c r="BN38" s="175">
        <f t="shared" si="15"/>
        <v>350172.34380033135</v>
      </c>
      <c r="BP38" s="269">
        <f t="shared" si="16"/>
        <v>0.70926517571884973</v>
      </c>
      <c r="BQ38" s="269">
        <f t="shared" si="16"/>
        <v>0.70926517571884984</v>
      </c>
      <c r="BR38" s="269"/>
      <c r="BS38" s="269">
        <f t="shared" si="16"/>
        <v>0.70926517571884984</v>
      </c>
    </row>
    <row r="39" spans="1:72">
      <c r="A39" s="1">
        <v>42</v>
      </c>
      <c r="B39" s="25"/>
      <c r="C39" s="4" t="s">
        <v>594</v>
      </c>
      <c r="D39" s="4" t="s">
        <v>595</v>
      </c>
      <c r="E39" s="1"/>
      <c r="F39" s="1"/>
      <c r="G39" s="2"/>
      <c r="H39" s="2"/>
      <c r="I39" s="2">
        <v>10810</v>
      </c>
      <c r="J39" s="2">
        <f t="shared" si="25"/>
        <v>10810</v>
      </c>
      <c r="K39" s="2"/>
      <c r="L39" s="2">
        <f>'[1](1) Homes for non-HH earners'!BN40</f>
        <v>0</v>
      </c>
      <c r="M39" s="2">
        <f>'[1](1) Homes for non-HH earners'!BO40</f>
        <v>0</v>
      </c>
      <c r="N39" s="2">
        <f>'[1](1) Homes for non-HH earners'!BP40</f>
        <v>10810</v>
      </c>
      <c r="O39" s="31">
        <f t="shared" si="26"/>
        <v>10810</v>
      </c>
      <c r="P39" s="243"/>
      <c r="Q39" s="2"/>
      <c r="R39" s="2"/>
      <c r="S39" s="3">
        <f>Y39/I39</f>
        <v>153.28962840000003</v>
      </c>
      <c r="T39" s="3">
        <f t="shared" si="41"/>
        <v>153.28962840000003</v>
      </c>
      <c r="U39" s="147">
        <v>1</v>
      </c>
      <c r="V39" s="2"/>
      <c r="W39" s="175"/>
      <c r="X39" s="268"/>
      <c r="Y39" s="175">
        <f>'[1](1) Homes for non-HH earners'!CE40</f>
        <v>1657060.8830040002</v>
      </c>
      <c r="Z39" s="175">
        <f t="shared" si="8"/>
        <v>1657060.8830040002</v>
      </c>
      <c r="AA39" s="31"/>
      <c r="AB39" s="268"/>
      <c r="AC39" s="268"/>
      <c r="AD39" s="268">
        <f t="shared" si="27"/>
        <v>1657060.8830040002</v>
      </c>
      <c r="AE39" s="268">
        <f t="shared" si="32"/>
        <v>1657060.8830040002</v>
      </c>
      <c r="AF39" s="31"/>
      <c r="AG39" s="31">
        <v>0</v>
      </c>
      <c r="AH39" s="31">
        <v>0</v>
      </c>
      <c r="AI39" s="31">
        <v>0</v>
      </c>
      <c r="AJ39" s="31">
        <v>0</v>
      </c>
      <c r="AK39" s="1"/>
      <c r="AL39" s="175">
        <v>0</v>
      </c>
      <c r="AM39" s="175">
        <v>0</v>
      </c>
      <c r="AN39" s="175">
        <v>0</v>
      </c>
      <c r="AO39" s="175">
        <v>0</v>
      </c>
      <c r="AP39" s="38"/>
      <c r="AQ39" s="284"/>
      <c r="AR39" s="284"/>
      <c r="AS39" s="218">
        <f>BC39/I39</f>
        <v>153.28962840000003</v>
      </c>
      <c r="AT39" s="218">
        <f t="shared" si="23"/>
        <v>153.28962840000003</v>
      </c>
      <c r="AX39" s="3">
        <f t="shared" si="24"/>
        <v>153.28962840000003</v>
      </c>
      <c r="AY39" s="3">
        <f t="shared" si="24"/>
        <v>153.28962840000003</v>
      </c>
      <c r="BA39" s="276"/>
      <c r="BB39" s="276"/>
      <c r="BC39" s="159">
        <f t="shared" si="20"/>
        <v>1657060.8830040002</v>
      </c>
      <c r="BD39" s="159">
        <f t="shared" si="13"/>
        <v>1657060.8830040002</v>
      </c>
      <c r="BH39" s="175">
        <f t="shared" si="14"/>
        <v>1657060.8830040002</v>
      </c>
      <c r="BI39" s="175">
        <f t="shared" si="30"/>
        <v>1657060.8830040002</v>
      </c>
      <c r="BM39" s="175">
        <f t="shared" si="15"/>
        <v>373211.91058648651</v>
      </c>
      <c r="BN39" s="175">
        <f t="shared" si="15"/>
        <v>373211.91058648651</v>
      </c>
      <c r="BR39" s="269">
        <f t="shared" si="16"/>
        <v>1</v>
      </c>
      <c r="BS39" s="269">
        <f t="shared" si="16"/>
        <v>1</v>
      </c>
    </row>
    <row r="40" spans="1:72">
      <c r="A40" s="1">
        <v>43</v>
      </c>
      <c r="B40" s="25" t="s">
        <v>596</v>
      </c>
      <c r="C40" s="4" t="s">
        <v>597</v>
      </c>
      <c r="D40" s="4" t="s">
        <v>598</v>
      </c>
      <c r="E40" s="1"/>
      <c r="F40" s="1"/>
      <c r="G40" s="2"/>
      <c r="H40" s="2"/>
      <c r="I40" s="2">
        <v>690</v>
      </c>
      <c r="J40" s="2">
        <f t="shared" si="25"/>
        <v>690</v>
      </c>
      <c r="K40" s="2"/>
      <c r="L40" s="2">
        <f>'[1](1) Homes for non-HH earners'!BN41</f>
        <v>0</v>
      </c>
      <c r="M40" s="2">
        <f>'[1](1) Homes for non-HH earners'!BO41</f>
        <v>0</v>
      </c>
      <c r="N40" s="2">
        <f>'[1](1) Homes for non-HH earners'!BP41</f>
        <v>690</v>
      </c>
      <c r="O40" s="31">
        <f t="shared" si="26"/>
        <v>690</v>
      </c>
      <c r="P40" s="243"/>
      <c r="Q40" s="2"/>
      <c r="R40" s="2"/>
      <c r="S40" s="3">
        <f>Y40/I40</f>
        <v>153.28962840000003</v>
      </c>
      <c r="T40" s="3">
        <f t="shared" si="41"/>
        <v>153.28962840000003</v>
      </c>
      <c r="U40" s="147">
        <v>1</v>
      </c>
      <c r="V40" s="2"/>
      <c r="W40" s="175"/>
      <c r="X40" s="268"/>
      <c r="Y40" s="175">
        <f>'[1](1) Homes for non-HH earners'!CE41</f>
        <v>105769.84359600002</v>
      </c>
      <c r="Z40" s="175">
        <f t="shared" si="8"/>
        <v>105769.84359600002</v>
      </c>
      <c r="AA40" s="31"/>
      <c r="AB40" s="268"/>
      <c r="AC40" s="268"/>
      <c r="AD40" s="268">
        <f t="shared" si="27"/>
        <v>105769.84359600002</v>
      </c>
      <c r="AE40" s="268">
        <f t="shared" si="32"/>
        <v>105769.84359600002</v>
      </c>
      <c r="AF40" s="31"/>
      <c r="AG40" s="31">
        <v>0</v>
      </c>
      <c r="AH40" s="31">
        <v>0</v>
      </c>
      <c r="AI40" s="31">
        <v>0</v>
      </c>
      <c r="AJ40" s="31">
        <v>0</v>
      </c>
      <c r="AK40" s="1"/>
      <c r="AL40" s="175">
        <v>0</v>
      </c>
      <c r="AM40" s="175">
        <v>0</v>
      </c>
      <c r="AN40" s="175">
        <v>0</v>
      </c>
      <c r="AO40" s="175">
        <v>0</v>
      </c>
      <c r="AP40" s="38"/>
      <c r="AQ40" s="284"/>
      <c r="AR40" s="284"/>
      <c r="AS40" s="218">
        <f>BC40/I40</f>
        <v>153.28962840000003</v>
      </c>
      <c r="AT40" s="218">
        <f t="shared" ref="AT40:AT41" si="43">BD40/J40</f>
        <v>153.28962840000003</v>
      </c>
      <c r="AX40" s="3">
        <f t="shared" si="24"/>
        <v>153.28962840000003</v>
      </c>
      <c r="AY40" s="3">
        <f t="shared" si="24"/>
        <v>153.28962840000003</v>
      </c>
      <c r="BA40" s="276"/>
      <c r="BB40" s="276"/>
      <c r="BC40" s="159">
        <f t="shared" si="20"/>
        <v>105769.84359600002</v>
      </c>
      <c r="BD40" s="159">
        <f t="shared" si="13"/>
        <v>105769.84359600002</v>
      </c>
      <c r="BH40" s="175">
        <f t="shared" si="14"/>
        <v>105769.84359600002</v>
      </c>
      <c r="BI40" s="175">
        <f t="shared" si="30"/>
        <v>105769.84359600002</v>
      </c>
      <c r="BM40" s="175">
        <f t="shared" si="15"/>
        <v>23822.03684594595</v>
      </c>
      <c r="BN40" s="175">
        <f t="shared" si="15"/>
        <v>23822.03684594595</v>
      </c>
      <c r="BR40" s="269">
        <f t="shared" si="16"/>
        <v>1</v>
      </c>
      <c r="BS40" s="269">
        <f t="shared" si="16"/>
        <v>1</v>
      </c>
    </row>
    <row r="41" spans="1:72">
      <c r="A41" s="1">
        <v>44</v>
      </c>
      <c r="B41" s="26" t="s">
        <v>599</v>
      </c>
      <c r="C41" s="15" t="s">
        <v>578</v>
      </c>
      <c r="D41" s="14" t="s">
        <v>579</v>
      </c>
      <c r="E41" s="1"/>
      <c r="F41" s="1"/>
      <c r="G41" s="2">
        <v>780.82950551405679</v>
      </c>
      <c r="H41" s="217">
        <f>'[1](1) Homes for non-HH earners'!H42</f>
        <v>6316.5595146260684</v>
      </c>
      <c r="I41" s="274">
        <f>'[1](1) Homes for non-HH earners'!I42</f>
        <v>88938.200800044797</v>
      </c>
      <c r="J41" s="217">
        <f t="shared" si="25"/>
        <v>96035.58982018492</v>
      </c>
      <c r="K41" s="217"/>
      <c r="L41" s="217">
        <v>2230.9414443258765</v>
      </c>
      <c r="M41" s="217">
        <v>16242.581609038461</v>
      </c>
      <c r="N41" s="274">
        <v>228698.23062868664</v>
      </c>
      <c r="O41" s="285">
        <f t="shared" si="26"/>
        <v>247171.75368205097</v>
      </c>
      <c r="P41" s="286"/>
      <c r="Q41" s="218">
        <f>W41/G41</f>
        <v>168.71165304428573</v>
      </c>
      <c r="R41" s="218">
        <f>X41/H41</f>
        <v>123.61340571428573</v>
      </c>
      <c r="S41" s="283">
        <f>Y41/I41</f>
        <v>117.10285714285716</v>
      </c>
      <c r="T41" s="218">
        <f t="shared" si="41"/>
        <v>117.95068801743848</v>
      </c>
      <c r="U41" s="270">
        <v>1</v>
      </c>
      <c r="V41" s="217"/>
      <c r="W41" s="213">
        <f>'[1](1) Homes for non-HH earners'!CC42</f>
        <v>131735.03662102873</v>
      </c>
      <c r="X41" s="220">
        <f>'[1](1) Homes for non-HH earners'!CD42</f>
        <v>780811.43399990397</v>
      </c>
      <c r="Y41" s="287">
        <f>'[1](1) Homes for non-HH earners'!CE42</f>
        <v>10414917.42283039</v>
      </c>
      <c r="Z41" s="213">
        <v>11327463.893451322</v>
      </c>
      <c r="AA41" s="285"/>
      <c r="AB41" s="220">
        <f t="shared" si="31"/>
        <v>131735.03662102873</v>
      </c>
      <c r="AC41" s="220">
        <f t="shared" si="31"/>
        <v>780811.43399990397</v>
      </c>
      <c r="AD41" s="287">
        <f t="shared" si="31"/>
        <v>10414917.42283039</v>
      </c>
      <c r="AE41" s="268">
        <f t="shared" si="32"/>
        <v>11327463.893451322</v>
      </c>
      <c r="AF41" s="285"/>
      <c r="AG41" s="31">
        <v>0</v>
      </c>
      <c r="AH41" s="31">
        <v>0</v>
      </c>
      <c r="AI41" s="271">
        <v>0</v>
      </c>
      <c r="AJ41" s="31">
        <v>0</v>
      </c>
      <c r="AK41" s="1"/>
      <c r="AL41" s="175">
        <v>0</v>
      </c>
      <c r="AM41" s="175">
        <v>0</v>
      </c>
      <c r="AN41" s="221">
        <v>0</v>
      </c>
      <c r="AO41" s="175">
        <v>0</v>
      </c>
      <c r="AP41" s="38"/>
      <c r="AQ41" s="218">
        <f>BA41/G41</f>
        <v>168.71165304428573</v>
      </c>
      <c r="AR41" s="218">
        <f>BB41/H41</f>
        <v>123.61340571428573</v>
      </c>
      <c r="AS41" s="283">
        <f>BC41/I41</f>
        <v>117.10285714285716</v>
      </c>
      <c r="AT41" s="218">
        <f t="shared" si="43"/>
        <v>117.95068801743848</v>
      </c>
      <c r="AV41" s="3">
        <f t="shared" si="24"/>
        <v>168.71165304428573</v>
      </c>
      <c r="AW41" s="3">
        <f t="shared" si="24"/>
        <v>123.61340571428573</v>
      </c>
      <c r="AX41" s="272">
        <f t="shared" si="24"/>
        <v>117.10285714285716</v>
      </c>
      <c r="AY41" s="3">
        <f t="shared" si="24"/>
        <v>117.95068801743848</v>
      </c>
      <c r="BA41" s="159">
        <f t="shared" si="20"/>
        <v>131735.03662102873</v>
      </c>
      <c r="BB41" s="159">
        <f t="shared" si="20"/>
        <v>780811.43399990397</v>
      </c>
      <c r="BC41" s="273">
        <f t="shared" si="20"/>
        <v>10414917.42283039</v>
      </c>
      <c r="BD41" s="159">
        <f t="shared" si="13"/>
        <v>11327463.893451322</v>
      </c>
      <c r="BF41" s="175">
        <f t="shared" si="14"/>
        <v>131735.03662102873</v>
      </c>
      <c r="BG41" s="175">
        <f t="shared" si="14"/>
        <v>780811.43399990397</v>
      </c>
      <c r="BH41" s="221">
        <f t="shared" si="14"/>
        <v>10414917.42283039</v>
      </c>
      <c r="BI41" s="175">
        <f t="shared" si="30"/>
        <v>11327463.893451322</v>
      </c>
      <c r="BM41" s="175">
        <f t="shared" si="15"/>
        <v>2345702.1222590967</v>
      </c>
      <c r="BN41" s="175">
        <f t="shared" si="15"/>
        <v>2551230.6066331803</v>
      </c>
      <c r="BP41" s="269">
        <f t="shared" si="16"/>
        <v>1</v>
      </c>
      <c r="BQ41" s="269">
        <f t="shared" si="16"/>
        <v>1</v>
      </c>
      <c r="BR41" s="269">
        <f t="shared" si="16"/>
        <v>1</v>
      </c>
      <c r="BS41" s="269">
        <f t="shared" si="16"/>
        <v>1</v>
      </c>
    </row>
    <row r="42" spans="1:72">
      <c r="A42" s="1">
        <v>45</v>
      </c>
      <c r="B42" s="20"/>
      <c r="C42" s="15" t="s">
        <v>580</v>
      </c>
      <c r="D42" s="14"/>
      <c r="E42" s="1"/>
      <c r="F42" s="1"/>
      <c r="G42" s="2"/>
      <c r="H42" s="2"/>
      <c r="I42" s="2"/>
      <c r="J42" s="2"/>
      <c r="K42" s="2"/>
      <c r="L42" s="2"/>
      <c r="M42" s="2"/>
      <c r="N42" s="2"/>
      <c r="O42" s="2"/>
      <c r="P42" s="243"/>
      <c r="Q42" s="2"/>
      <c r="R42" s="2"/>
      <c r="S42" s="2"/>
      <c r="T42" s="2"/>
      <c r="U42" s="147"/>
      <c r="V42" s="2"/>
      <c r="W42" s="3"/>
      <c r="X42" s="147"/>
      <c r="Y42" s="3"/>
      <c r="Z42" s="3"/>
      <c r="AA42" s="31"/>
      <c r="AB42" s="31"/>
      <c r="AC42" s="31"/>
      <c r="AD42" s="31"/>
      <c r="AE42" s="31"/>
      <c r="AF42" s="31"/>
      <c r="AG42" s="3"/>
      <c r="AH42" s="3"/>
      <c r="AI42" s="3"/>
      <c r="AJ42" s="3"/>
      <c r="AK42" s="1"/>
      <c r="AL42" s="175"/>
      <c r="AM42" s="175"/>
      <c r="AN42" s="175"/>
      <c r="AO42" s="175"/>
      <c r="AP42" s="38"/>
      <c r="BA42" s="276"/>
      <c r="BB42" s="276"/>
      <c r="BC42" s="276"/>
      <c r="BD42" s="276"/>
    </row>
    <row r="43" spans="1:72">
      <c r="A43" s="1"/>
      <c r="B43" s="20"/>
      <c r="C43" s="15"/>
      <c r="D43" s="14"/>
      <c r="E43" s="1"/>
      <c r="F43" s="16" t="s">
        <v>600</v>
      </c>
      <c r="G43" s="159">
        <f>G45-G21-G22-SUM(G38:G41)</f>
        <v>95376.558591708759</v>
      </c>
      <c r="H43" s="159">
        <f>H45-H21-H22-SUM(H38:H41)</f>
        <v>117353.05005375562</v>
      </c>
      <c r="I43" s="159">
        <f>I45-I21-I22-SUM(I38:I41)</f>
        <v>139783.38148869621</v>
      </c>
      <c r="J43" s="159">
        <f>J45-J21-J22-SUM(J38:J41)</f>
        <v>352512.99013416062</v>
      </c>
      <c r="K43" s="2"/>
      <c r="L43" s="2"/>
      <c r="M43" s="2"/>
      <c r="N43" s="2"/>
      <c r="O43" s="2"/>
      <c r="P43" s="243"/>
      <c r="Q43" s="2"/>
      <c r="R43" s="2"/>
      <c r="S43" s="2"/>
      <c r="T43" s="2"/>
      <c r="U43" s="147"/>
      <c r="V43" s="2"/>
      <c r="W43" s="2"/>
      <c r="X43" s="2"/>
      <c r="Y43" s="2"/>
      <c r="Z43" s="2"/>
      <c r="AA43" s="31"/>
      <c r="AB43" s="31"/>
      <c r="AC43" s="31"/>
      <c r="AD43" s="31"/>
      <c r="AE43" s="31"/>
      <c r="AF43" s="31"/>
      <c r="AG43" s="3">
        <f t="shared" ref="AG43:AJ45" si="44">AL43/G43</f>
        <v>50.748600135796806</v>
      </c>
      <c r="AH43" s="3">
        <f t="shared" si="44"/>
        <v>71.337315567933317</v>
      </c>
      <c r="AI43" s="3">
        <f t="shared" si="44"/>
        <v>170.48043075890027</v>
      </c>
      <c r="AJ43" s="3">
        <f t="shared" si="44"/>
        <v>105.08040987049645</v>
      </c>
      <c r="AK43" s="1"/>
      <c r="AL43" s="175">
        <f>AL45-AL21-AL22-SUM(AL38:AL41)</f>
        <v>4840226.8342990233</v>
      </c>
      <c r="AM43" s="175">
        <f>AM45-AM21-AM22-SUM(AM38:AM41)</f>
        <v>8371651.5645442382</v>
      </c>
      <c r="AN43" s="175">
        <f>AN45-AN21-AN22-SUM(AN38:AN41)</f>
        <v>23830331.089128613</v>
      </c>
      <c r="AO43" s="175">
        <f>AO45-AO21-AO22-SUM(AO38:AO41)</f>
        <v>37042209.487971872</v>
      </c>
      <c r="AP43" s="38"/>
      <c r="BA43" s="276"/>
      <c r="BB43" s="276"/>
      <c r="BC43" s="276"/>
      <c r="BD43" s="276"/>
    </row>
    <row r="44" spans="1:72" ht="16" thickBot="1">
      <c r="A44" s="1"/>
      <c r="B44" s="288"/>
      <c r="C44" s="15"/>
      <c r="D44" s="14"/>
      <c r="E44" s="1"/>
      <c r="F44" s="16" t="s">
        <v>601</v>
      </c>
      <c r="G44" s="159">
        <f>G45-G22-SUM(G39:G41)</f>
        <v>128988.89238495556</v>
      </c>
      <c r="H44" s="159">
        <f>H45-H22-SUM(H39:H41)</f>
        <v>124974.03451434188</v>
      </c>
      <c r="I44" s="159">
        <f>I45-I22-SUM(I39:I41)</f>
        <v>139783.38148869621</v>
      </c>
      <c r="J44" s="159">
        <f>G44+H44+I44</f>
        <v>393746.30838799366</v>
      </c>
      <c r="K44" s="159"/>
      <c r="L44" s="159">
        <f>L45-L22-SUM(L39:L41)</f>
        <v>185998.95840009412</v>
      </c>
      <c r="M44" s="159">
        <f>M45-M22-SUM(M39:M41)</f>
        <v>156875.325209926</v>
      </c>
      <c r="N44" s="159">
        <f>N45-N22-SUM(N39:N41)</f>
        <v>195938.17294964768</v>
      </c>
      <c r="O44" s="159">
        <f>L44+M44+N44</f>
        <v>538812.45655966783</v>
      </c>
      <c r="P44" s="243"/>
      <c r="Q44" s="3">
        <f t="shared" ref="Q44:T45" si="45">W44/G44</f>
        <v>241.00909811248994</v>
      </c>
      <c r="R44" s="3">
        <f t="shared" si="45"/>
        <v>230.87148108367828</v>
      </c>
      <c r="S44" s="3">
        <f t="shared" si="45"/>
        <v>449.3056552049112</v>
      </c>
      <c r="T44" s="3">
        <f t="shared" si="45"/>
        <v>311.7385439742082</v>
      </c>
      <c r="U44" s="147"/>
      <c r="W44" s="175">
        <f>W45-W22-SUM(W39:W41)</f>
        <v>31087496.620227162</v>
      </c>
      <c r="X44" s="175">
        <f>X45-X22-SUM(X39:X41)</f>
        <v>28852940.445328839</v>
      </c>
      <c r="Y44" s="175">
        <f>Y45-Y22-SUM(Y39:Y41)</f>
        <v>62805463.806536704</v>
      </c>
      <c r="Z44" s="175">
        <f>W44+X44+Y44</f>
        <v>122745900.87209271</v>
      </c>
      <c r="AA44" s="268"/>
      <c r="AB44" s="175">
        <f>AB45-AB22-SUM(AB39:AB41)</f>
        <v>28066066.690154698</v>
      </c>
      <c r="AC44" s="175">
        <f>AC45-AC22-SUM(AC39:AC41)</f>
        <v>27224113.802884039</v>
      </c>
      <c r="AD44" s="175">
        <f>AD45-AD22-SUM(AD39:AD41)</f>
        <v>58087365.991595551</v>
      </c>
      <c r="AE44" s="175">
        <f>AB44+AC44+AD44</f>
        <v>113377546.48463428</v>
      </c>
      <c r="AF44" s="152"/>
      <c r="AG44" s="3">
        <f t="shared" si="44"/>
        <v>37.524369306574158</v>
      </c>
      <c r="AH44" s="3">
        <f t="shared" si="44"/>
        <v>66.987127342708277</v>
      </c>
      <c r="AI44" s="3">
        <f t="shared" si="44"/>
        <v>170.48043075890027</v>
      </c>
      <c r="AJ44" s="3">
        <f t="shared" si="44"/>
        <v>94.076334682662861</v>
      </c>
      <c r="AK44" s="1"/>
      <c r="AL44" s="175">
        <f>AL45-AL22-SUM(AL39:AL41)</f>
        <v>4840226.8342990233</v>
      </c>
      <c r="AM44" s="175">
        <f>AM45-AM22-SUM(AM39:AM41)</f>
        <v>8371651.5645442382</v>
      </c>
      <c r="AN44" s="175">
        <f>AN45-AN22-SUM(AN39:AN41)</f>
        <v>23830331.089128613</v>
      </c>
      <c r="AO44" s="175">
        <f>AO45-AO22-SUM(AO39:AO41)</f>
        <v>37042209.487971872</v>
      </c>
      <c r="AP44" s="3"/>
      <c r="AQ44" s="3">
        <f t="shared" ref="AQ44:AT45" si="46">BA44/G44</f>
        <v>278.5334674190641</v>
      </c>
      <c r="AR44" s="3">
        <f t="shared" si="46"/>
        <v>297.85860842638658</v>
      </c>
      <c r="AS44" s="3">
        <f t="shared" si="46"/>
        <v>619.7860859638115</v>
      </c>
      <c r="AT44" s="3">
        <f t="shared" si="46"/>
        <v>405.81487865687103</v>
      </c>
      <c r="AU44" s="16" t="s">
        <v>602</v>
      </c>
      <c r="AV44" s="3">
        <f t="shared" si="24"/>
        <v>278.5334674190641</v>
      </c>
      <c r="AW44" s="3">
        <f t="shared" si="24"/>
        <v>297.85860842638658</v>
      </c>
      <c r="AX44" s="3">
        <f t="shared" si="24"/>
        <v>619.7860859638115</v>
      </c>
      <c r="AY44" s="3">
        <f t="shared" si="24"/>
        <v>405.81487865687103</v>
      </c>
      <c r="AZ44" s="16"/>
      <c r="BA44" s="159">
        <f>BA45-BA22-SUM(BA39:BA41)</f>
        <v>35927723.454526186</v>
      </c>
      <c r="BB44" s="159">
        <f>BB45-BB22-SUM(BB39:BB41)</f>
        <v>37224592.009873077</v>
      </c>
      <c r="BC44" s="159">
        <f>BC45-BC22-SUM(BC39:BC41)</f>
        <v>86635794.895665318</v>
      </c>
      <c r="BD44" s="159">
        <f t="shared" si="13"/>
        <v>159788110.36006457</v>
      </c>
      <c r="BE44" s="1"/>
      <c r="BF44" s="159">
        <f>BF45-BF22-SUM(BF39:BF41)</f>
        <v>32906293.524453718</v>
      </c>
      <c r="BG44" s="159">
        <f>BG45-BG22-SUM(BG39:BG41)</f>
        <v>35595765.36742828</v>
      </c>
      <c r="BH44" s="159">
        <f>BH45-BH22-SUM(BH39:BH41)</f>
        <v>81917697.08072415</v>
      </c>
      <c r="BI44" s="159">
        <f t="shared" ref="BI44:BI45" si="47">BF44+BG44+BH44</f>
        <v>150419755.97260615</v>
      </c>
      <c r="BJ44" s="1"/>
      <c r="BK44" s="175">
        <f t="shared" si="15"/>
        <v>7411327.3703724584</v>
      </c>
      <c r="BL44" s="175">
        <f t="shared" si="15"/>
        <v>8017064.2719433056</v>
      </c>
      <c r="BM44" s="175">
        <f t="shared" si="15"/>
        <v>18449931.774937872</v>
      </c>
      <c r="BN44" s="175">
        <f t="shared" si="15"/>
        <v>33878323.417253636</v>
      </c>
      <c r="BO44" s="1"/>
      <c r="BP44" s="269">
        <f t="shared" si="16"/>
        <v>0.91590254990977371</v>
      </c>
      <c r="BQ44" s="269">
        <f t="shared" si="16"/>
        <v>0.95624326407626492</v>
      </c>
      <c r="BR44" s="269">
        <f t="shared" si="16"/>
        <v>0.9455410108417297</v>
      </c>
      <c r="BS44" s="269">
        <f t="shared" si="16"/>
        <v>0.94137014095511939</v>
      </c>
      <c r="BT44" s="1"/>
    </row>
    <row r="45" spans="1:72" ht="16" thickBot="1">
      <c r="A45" s="1"/>
      <c r="B45" s="288"/>
      <c r="C45" s="15"/>
      <c r="D45" s="14"/>
      <c r="E45" s="1"/>
      <c r="F45" s="16" t="s">
        <v>603</v>
      </c>
      <c r="G45" s="159">
        <f>G11+G24</f>
        <v>129769.72189046962</v>
      </c>
      <c r="H45" s="159">
        <f>H11+H24</f>
        <v>132277.22652896796</v>
      </c>
      <c r="I45" s="159">
        <f>I11+I24</f>
        <v>240221.58228874099</v>
      </c>
      <c r="J45" s="159">
        <f>J11+J24</f>
        <v>502268.53070817859</v>
      </c>
      <c r="K45" s="159"/>
      <c r="L45" s="159">
        <f>L11+L24</f>
        <v>188229.89984442</v>
      </c>
      <c r="M45" s="159">
        <f>M11+M24</f>
        <v>175654.96181896445</v>
      </c>
      <c r="N45" s="159">
        <f>N11+N24</f>
        <v>436136.40357833431</v>
      </c>
      <c r="O45" s="289">
        <f>L45+M45+N45</f>
        <v>800021.26524171885</v>
      </c>
      <c r="P45" s="243"/>
      <c r="Q45" s="3">
        <f t="shared" si="45"/>
        <v>240.57408155038169</v>
      </c>
      <c r="R45" s="3">
        <f t="shared" si="45"/>
        <v>226.11438509254978</v>
      </c>
      <c r="S45" s="3">
        <f t="shared" si="45"/>
        <v>312.14186186584578</v>
      </c>
      <c r="T45" s="3">
        <f t="shared" si="45"/>
        <v>270.99493404304661</v>
      </c>
      <c r="U45" s="147"/>
      <c r="W45" s="175">
        <f>W11+W24</f>
        <v>31219231.656848192</v>
      </c>
      <c r="X45" s="175">
        <f>X11+X24</f>
        <v>29909783.738345504</v>
      </c>
      <c r="Y45" s="175">
        <f>Y11+Y24</f>
        <v>74983211.955967098</v>
      </c>
      <c r="Z45" s="290">
        <f>W45+X45+Y45</f>
        <v>136112227.35116079</v>
      </c>
      <c r="AA45" s="268"/>
      <c r="AB45" s="175">
        <f>AB11+AB24</f>
        <v>28197801.726775728</v>
      </c>
      <c r="AC45" s="175">
        <f>AC11+AC24</f>
        <v>28280957.095900703</v>
      </c>
      <c r="AD45" s="175">
        <f>AD11+AD24</f>
        <v>70265114.141025946</v>
      </c>
      <c r="AE45" s="290">
        <f>AB45+AC45+AD45</f>
        <v>126743872.96370238</v>
      </c>
      <c r="AF45" s="152"/>
      <c r="AG45" s="3">
        <f t="shared" si="44"/>
        <v>37.298583704944299</v>
      </c>
      <c r="AH45" s="3">
        <f t="shared" si="44"/>
        <v>63.288683806134188</v>
      </c>
      <c r="AI45" s="3">
        <f t="shared" si="44"/>
        <v>99.20145751302681</v>
      </c>
      <c r="AJ45" s="3">
        <f t="shared" si="44"/>
        <v>73.74981155148987</v>
      </c>
      <c r="AK45" s="1"/>
      <c r="AL45" s="175">
        <f>AL11+AL24</f>
        <v>4840226.8342990233</v>
      </c>
      <c r="AM45" s="175">
        <f>AM11+AM24</f>
        <v>8371651.5645442382</v>
      </c>
      <c r="AN45" s="175">
        <f>AN11+AN24</f>
        <v>23830331.089128613</v>
      </c>
      <c r="AO45" s="290">
        <f>AL45+AM45+AN45</f>
        <v>37042209.487971872</v>
      </c>
      <c r="AP45" s="3"/>
      <c r="AQ45" s="3">
        <f t="shared" si="46"/>
        <v>277.87266525532596</v>
      </c>
      <c r="AR45" s="3">
        <f t="shared" si="46"/>
        <v>289.40306889868396</v>
      </c>
      <c r="AS45" s="3">
        <f t="shared" si="46"/>
        <v>411.34331937887259</v>
      </c>
      <c r="AT45" s="3">
        <f t="shared" si="46"/>
        <v>344.74474559453648</v>
      </c>
      <c r="AU45" s="16" t="s">
        <v>604</v>
      </c>
      <c r="AV45" s="3">
        <f t="shared" si="24"/>
        <v>277.87266525532596</v>
      </c>
      <c r="AW45" s="3">
        <f t="shared" si="24"/>
        <v>289.40306889868396</v>
      </c>
      <c r="AX45" s="3">
        <f t="shared" si="24"/>
        <v>411.34331937887259</v>
      </c>
      <c r="AY45" s="3">
        <f t="shared" si="24"/>
        <v>344.74474559453648</v>
      </c>
      <c r="AZ45" s="16"/>
      <c r="BA45" s="159">
        <f>BA11+BA24</f>
        <v>36059458.491147213</v>
      </c>
      <c r="BB45" s="159">
        <f>BB11+BB24</f>
        <v>38281435.302889742</v>
      </c>
      <c r="BC45" s="159">
        <f>BC11+BC24</f>
        <v>98813543.045095712</v>
      </c>
      <c r="BD45" s="291">
        <f t="shared" si="13"/>
        <v>173154436.83913267</v>
      </c>
      <c r="BE45" s="1"/>
      <c r="BF45" s="159">
        <f>BF11+BF24</f>
        <v>33038028.561074749</v>
      </c>
      <c r="BG45" s="159">
        <f>BG11+BG24</f>
        <v>36652608.660444945</v>
      </c>
      <c r="BH45" s="159">
        <f>BH11+BH24</f>
        <v>94095445.230154544</v>
      </c>
      <c r="BI45" s="291">
        <f t="shared" si="47"/>
        <v>163786082.45167422</v>
      </c>
      <c r="BJ45" s="1"/>
      <c r="BK45" s="175">
        <f t="shared" si="15"/>
        <v>7440997.4236654835</v>
      </c>
      <c r="BL45" s="175">
        <f t="shared" si="15"/>
        <v>8255092.0406407528</v>
      </c>
      <c r="BM45" s="175">
        <f t="shared" si="15"/>
        <v>21192667.844629399</v>
      </c>
      <c r="BN45" s="175">
        <f t="shared" si="15"/>
        <v>36888757.308935635</v>
      </c>
      <c r="BO45" s="1"/>
      <c r="BP45" s="269">
        <f t="shared" si="16"/>
        <v>0.91620978083144977</v>
      </c>
      <c r="BQ45" s="269">
        <f t="shared" si="16"/>
        <v>0.95745126509606493</v>
      </c>
      <c r="BR45" s="269">
        <f t="shared" si="16"/>
        <v>0.95225251853596671</v>
      </c>
      <c r="BS45" s="269">
        <f t="shared" si="16"/>
        <v>0.94589596109418772</v>
      </c>
      <c r="BT45" s="1"/>
    </row>
    <row r="46" spans="1:72">
      <c r="A46" s="1"/>
      <c r="B46" s="288"/>
      <c r="C46" s="15"/>
      <c r="D46" s="14"/>
      <c r="F46" s="163" t="s">
        <v>605</v>
      </c>
      <c r="G46" s="164">
        <f>G45-'[1](1) Homes for non-HH earners'!G46</f>
        <v>0</v>
      </c>
      <c r="H46" s="164">
        <f>H45-'[1](1) Homes for non-HH earners'!H46</f>
        <v>2.9688817448914051E-6</v>
      </c>
      <c r="I46" s="164">
        <f>I45-'[1](1) Homes for non-HH earners'!I46</f>
        <v>0</v>
      </c>
      <c r="J46" s="164">
        <f>J45-'[1](1) Homes for non-HH earners'!J46</f>
        <v>2.9687653295695782E-6</v>
      </c>
      <c r="K46" s="30"/>
      <c r="L46" s="164">
        <f>L45-'[1](1) Homes for non-HH earners'!BN46</f>
        <v>0</v>
      </c>
      <c r="M46" s="164">
        <f>M45-'[1](1) Homes for non-HH earners'!BO46</f>
        <v>0</v>
      </c>
      <c r="N46" s="164">
        <f>N45-'[1](1) Homes for non-HH earners'!BP46</f>
        <v>0</v>
      </c>
      <c r="O46" s="164">
        <f>O45-'[1](1) Homes for non-HH earners'!BQ46</f>
        <v>0</v>
      </c>
      <c r="P46" s="243"/>
      <c r="Q46" s="164" t="s">
        <v>606</v>
      </c>
      <c r="T46" s="3"/>
      <c r="U46" s="147"/>
      <c r="W46" s="2"/>
      <c r="X46" s="2"/>
      <c r="Y46" s="2"/>
      <c r="Z46" s="2"/>
      <c r="AA46" s="222"/>
      <c r="AB46" s="222"/>
      <c r="AC46" s="222"/>
      <c r="AD46" s="222"/>
      <c r="AE46" s="222"/>
      <c r="AF46" s="222"/>
      <c r="AG46" s="3"/>
      <c r="AH46" s="3"/>
      <c r="AI46" s="3"/>
      <c r="AJ46" s="3"/>
      <c r="AK46" s="1"/>
      <c r="AL46" s="175"/>
      <c r="AM46" s="175"/>
      <c r="AN46" s="175"/>
      <c r="AO46" s="175"/>
      <c r="AP46" s="38"/>
      <c r="BD46" s="292">
        <f>(Z45+AO45)-BD45</f>
        <v>0</v>
      </c>
      <c r="BI46" s="292">
        <f>(AE45+AO45)-BI45</f>
        <v>0</v>
      </c>
    </row>
    <row r="47" spans="1:72">
      <c r="A47" s="1"/>
      <c r="B47" s="288"/>
      <c r="C47" s="15"/>
      <c r="D47" s="14"/>
      <c r="G47" s="293" t="s">
        <v>607</v>
      </c>
      <c r="H47" s="30">
        <v>21307.4327470311</v>
      </c>
      <c r="K47" s="30"/>
      <c r="L47" s="293" t="s">
        <v>608</v>
      </c>
      <c r="M47" s="30">
        <f>41284.45*H47/H$49</f>
        <v>27460.926898532911</v>
      </c>
      <c r="N47" s="30"/>
      <c r="O47" s="30"/>
      <c r="P47" s="243"/>
      <c r="T47" s="3"/>
      <c r="U47" s="147"/>
      <c r="W47" s="164">
        <v>31223842.345073033</v>
      </c>
      <c r="X47" s="164">
        <v>29909783.738345496</v>
      </c>
      <c r="Y47" s="294">
        <v>74983211.955967098</v>
      </c>
      <c r="Z47" s="295">
        <v>136116838.03938562</v>
      </c>
      <c r="AA47" s="1"/>
      <c r="AB47" s="1" t="s">
        <v>609</v>
      </c>
      <c r="AC47" s="1"/>
      <c r="AD47" s="1"/>
      <c r="AE47" s="1"/>
      <c r="AF47" s="222"/>
      <c r="AG47" s="3"/>
      <c r="AH47" s="3"/>
      <c r="AI47" s="3"/>
      <c r="AJ47" s="3"/>
      <c r="AK47" s="3"/>
      <c r="AL47" s="296" t="s">
        <v>610</v>
      </c>
      <c r="AM47" s="175"/>
      <c r="AN47" s="175"/>
      <c r="AO47" s="175"/>
      <c r="AP47" s="38"/>
      <c r="BE47" s="1"/>
      <c r="BF47" s="1" t="s">
        <v>609</v>
      </c>
      <c r="BG47" s="1"/>
      <c r="BH47" s="1"/>
      <c r="BI47" s="1"/>
    </row>
    <row r="48" spans="1:72">
      <c r="A48" s="1"/>
      <c r="B48" s="288"/>
      <c r="C48" s="15"/>
      <c r="D48" s="14"/>
      <c r="G48" s="297" t="s">
        <v>611</v>
      </c>
      <c r="H48" s="30">
        <v>10725.923050589983</v>
      </c>
      <c r="I48"/>
      <c r="K48" s="30"/>
      <c r="L48" s="293" t="s">
        <v>612</v>
      </c>
      <c r="M48" s="30">
        <f>41284.45*H48/H$49</f>
        <v>13823.523101467084</v>
      </c>
      <c r="N48" s="30"/>
      <c r="O48" s="30"/>
      <c r="P48" s="243"/>
      <c r="T48" s="3"/>
      <c r="U48" s="147"/>
      <c r="W48" s="298">
        <f>100*(W45-W47)/W47</f>
        <v>-1.4766562596254118E-2</v>
      </c>
      <c r="X48" s="298">
        <f>100*(X45-X47)/X47</f>
        <v>2.4910178763251625E-14</v>
      </c>
      <c r="Y48" s="298">
        <f>100*(Y45-Y47)/Y47</f>
        <v>0</v>
      </c>
      <c r="Z48" s="298">
        <f>100*(Z45-Z47)/Z47</f>
        <v>-3.3873018880207703E-3</v>
      </c>
      <c r="AA48" s="1"/>
      <c r="AB48" s="5" t="s">
        <v>613</v>
      </c>
      <c r="AC48" s="1"/>
      <c r="AD48" s="1"/>
      <c r="AE48" s="1"/>
      <c r="AF48" s="299"/>
      <c r="AG48" s="3"/>
      <c r="AH48" s="3"/>
      <c r="AI48" s="3"/>
      <c r="AJ48" s="3"/>
      <c r="AK48" s="16" t="s">
        <v>601</v>
      </c>
      <c r="AL48" s="175">
        <f t="shared" ref="AL48:AO49" si="48">100*AL44/BA44</f>
        <v>13.472122274669896</v>
      </c>
      <c r="AM48" s="175">
        <f t="shared" si="48"/>
        <v>22.489572383557153</v>
      </c>
      <c r="AN48" s="175">
        <f t="shared" si="48"/>
        <v>27.506333978729298</v>
      </c>
      <c r="AO48" s="300">
        <f t="shared" si="48"/>
        <v>23.182081197719537</v>
      </c>
      <c r="AP48" s="38"/>
      <c r="BE48" s="1"/>
      <c r="BF48" s="5" t="s">
        <v>613</v>
      </c>
      <c r="BG48" s="1"/>
      <c r="BH48" s="1"/>
      <c r="BI48" s="1"/>
    </row>
    <row r="49" spans="1:61">
      <c r="A49" s="13" t="s">
        <v>614</v>
      </c>
      <c r="G49" s="293" t="s">
        <v>615</v>
      </c>
      <c r="H49" s="30">
        <f>H47+H48</f>
        <v>32033.355797621083</v>
      </c>
      <c r="I49"/>
      <c r="K49" s="30"/>
      <c r="L49" s="293" t="s">
        <v>616</v>
      </c>
      <c r="M49" s="30">
        <f>M47+M48</f>
        <v>41284.449999999997</v>
      </c>
      <c r="N49" s="30">
        <v>128140.17808232605</v>
      </c>
      <c r="O49" s="30"/>
      <c r="P49" s="301"/>
      <c r="Q49" s="2" t="s">
        <v>617</v>
      </c>
      <c r="R49" s="3"/>
      <c r="S49" s="2"/>
      <c r="T49" s="3"/>
      <c r="U49" s="147"/>
      <c r="W49" s="2"/>
      <c r="X49" s="2"/>
      <c r="Y49" s="2"/>
      <c r="Z49" s="2"/>
      <c r="AA49" s="16" t="s">
        <v>602</v>
      </c>
      <c r="AB49" s="302">
        <f>AB44/W44</f>
        <v>0.90280883768213871</v>
      </c>
      <c r="AC49" s="302">
        <f t="shared" ref="AC49:AE50" si="49">AC44/X44</f>
        <v>0.94354729128800108</v>
      </c>
      <c r="AD49" s="302">
        <f t="shared" si="49"/>
        <v>0.92487758979896106</v>
      </c>
      <c r="AE49" s="302">
        <f t="shared" si="49"/>
        <v>0.92367684524780413</v>
      </c>
      <c r="AF49" s="152"/>
      <c r="AG49" s="3"/>
      <c r="AH49" s="3"/>
      <c r="AI49" s="3"/>
      <c r="AJ49" s="3"/>
      <c r="AK49" s="16" t="s">
        <v>603</v>
      </c>
      <c r="AL49" s="175">
        <f t="shared" si="48"/>
        <v>13.422904937652694</v>
      </c>
      <c r="AM49" s="175">
        <f t="shared" si="48"/>
        <v>21.868698230111264</v>
      </c>
      <c r="AN49" s="175">
        <f t="shared" si="48"/>
        <v>24.116462536165841</v>
      </c>
      <c r="AO49" s="300">
        <f t="shared" si="48"/>
        <v>21.392584656889593</v>
      </c>
      <c r="AP49" s="38"/>
      <c r="BE49" s="16" t="s">
        <v>618</v>
      </c>
      <c r="BF49" s="302">
        <f>BF44/BA44</f>
        <v>0.91590254990977371</v>
      </c>
      <c r="BG49" s="302">
        <f t="shared" ref="BG49:BI50" si="50">BG44/BB44</f>
        <v>0.95624326407626492</v>
      </c>
      <c r="BH49" s="302">
        <f t="shared" si="50"/>
        <v>0.9455410108417297</v>
      </c>
      <c r="BI49" s="302">
        <f t="shared" si="50"/>
        <v>0.94137014095511939</v>
      </c>
    </row>
    <row r="50" spans="1:61">
      <c r="A50" s="13"/>
      <c r="G50"/>
      <c r="H50"/>
      <c r="I50"/>
      <c r="K50" s="30"/>
      <c r="O50" s="30"/>
      <c r="P50" s="301"/>
      <c r="Q50" s="2" t="s">
        <v>619</v>
      </c>
      <c r="R50" s="2"/>
      <c r="S50" s="2"/>
      <c r="T50" s="3"/>
      <c r="U50" s="3"/>
      <c r="W50" s="2"/>
      <c r="X50" s="2"/>
      <c r="Y50" s="2"/>
      <c r="Z50" s="2"/>
      <c r="AA50" s="16" t="s">
        <v>553</v>
      </c>
      <c r="AB50" s="302">
        <f>AB45/W45</f>
        <v>0.90321895287869169</v>
      </c>
      <c r="AC50" s="302">
        <f t="shared" si="49"/>
        <v>0.94554201204883404</v>
      </c>
      <c r="AD50" s="302">
        <f t="shared" si="49"/>
        <v>0.93707794462430083</v>
      </c>
      <c r="AE50" s="303">
        <f t="shared" si="49"/>
        <v>0.93117183834418737</v>
      </c>
      <c r="AF50" s="152"/>
      <c r="AG50" s="13" t="s">
        <v>620</v>
      </c>
      <c r="AH50" s="3"/>
      <c r="AI50" s="3"/>
      <c r="AJ50" s="3"/>
      <c r="AK50" s="1"/>
      <c r="AL50" s="175"/>
      <c r="AM50" s="175"/>
      <c r="AN50" s="175"/>
      <c r="AO50" s="175" t="s">
        <v>621</v>
      </c>
      <c r="AP50" s="38"/>
      <c r="BE50" s="16" t="s">
        <v>553</v>
      </c>
      <c r="BF50" s="302">
        <f>BF45/BA45</f>
        <v>0.91620978083144977</v>
      </c>
      <c r="BG50" s="302">
        <f t="shared" si="50"/>
        <v>0.95745126509606493</v>
      </c>
      <c r="BH50" s="302">
        <f t="shared" si="50"/>
        <v>0.95225251853596671</v>
      </c>
      <c r="BI50" s="304">
        <f t="shared" si="50"/>
        <v>0.94589596109418772</v>
      </c>
    </row>
    <row r="51" spans="1:61">
      <c r="A51" s="3" t="s">
        <v>622</v>
      </c>
      <c r="K51" s="30"/>
      <c r="L51" s="30"/>
      <c r="M51" s="30"/>
      <c r="N51" s="30"/>
      <c r="O51" s="30"/>
      <c r="P51" s="305" t="s">
        <v>623</v>
      </c>
      <c r="Q51" s="3">
        <v>71.103999999999999</v>
      </c>
      <c r="R51" s="3">
        <v>85.577817054232185</v>
      </c>
      <c r="S51" s="3">
        <v>200</v>
      </c>
      <c r="T51" s="3"/>
      <c r="U51" s="3"/>
      <c r="W51" s="2"/>
      <c r="X51" s="2"/>
      <c r="Y51" s="2"/>
      <c r="Z51" s="2"/>
      <c r="AA51" s="170"/>
      <c r="AB51" s="306"/>
      <c r="AC51" s="306"/>
      <c r="AD51" s="306"/>
      <c r="AE51" s="306"/>
      <c r="AF51" s="152"/>
      <c r="AG51" s="1" t="s">
        <v>624</v>
      </c>
      <c r="AH51" s="3"/>
      <c r="AI51" s="3"/>
      <c r="AJ51" s="3"/>
      <c r="AK51" s="1"/>
      <c r="AL51" s="175"/>
      <c r="AM51" s="175"/>
      <c r="AN51" s="175"/>
      <c r="AO51" s="175"/>
      <c r="AP51" s="38"/>
    </row>
    <row r="52" spans="1:61">
      <c r="A52" s="1" t="s">
        <v>625</v>
      </c>
      <c r="K52" s="30"/>
      <c r="L52" s="30"/>
      <c r="M52" s="30"/>
      <c r="N52" s="30"/>
      <c r="O52" s="30"/>
      <c r="P52" s="301"/>
      <c r="Q52" s="2"/>
      <c r="R52" s="2"/>
      <c r="S52" s="2"/>
      <c r="T52" s="3"/>
      <c r="U52" s="3"/>
      <c r="W52" s="2"/>
      <c r="X52" s="2"/>
      <c r="Y52" s="2"/>
      <c r="Z52" s="2"/>
      <c r="AA52" s="170"/>
      <c r="AB52" s="306"/>
      <c r="AC52" s="306"/>
      <c r="AD52" s="306"/>
      <c r="AE52" s="306"/>
      <c r="AF52" s="152"/>
      <c r="AG52" s="1" t="s">
        <v>626</v>
      </c>
      <c r="AH52" s="3"/>
      <c r="AI52" s="3"/>
      <c r="AJ52" s="3"/>
      <c r="AK52" s="1"/>
      <c r="AL52" s="175"/>
      <c r="AM52" s="175"/>
      <c r="AN52" s="175"/>
      <c r="AO52" s="175"/>
      <c r="AP52" s="38"/>
      <c r="BF52" s="5" t="s">
        <v>627</v>
      </c>
    </row>
    <row r="53" spans="1:61">
      <c r="A53" s="1" t="s">
        <v>628</v>
      </c>
      <c r="L53"/>
      <c r="M53"/>
      <c r="N53"/>
      <c r="O53"/>
      <c r="P53" s="301"/>
      <c r="Q53" s="3"/>
      <c r="R53" s="3"/>
      <c r="S53" s="3"/>
      <c r="T53" s="3"/>
      <c r="U53" s="3"/>
      <c r="W53" s="2"/>
      <c r="X53" s="2"/>
      <c r="Y53" s="2"/>
      <c r="Z53" s="2"/>
      <c r="AA53" s="170"/>
      <c r="AB53" s="306"/>
      <c r="AC53" s="306"/>
      <c r="AD53" s="306"/>
      <c r="AE53" s="306"/>
      <c r="AF53" s="152"/>
      <c r="AG53" s="1" t="s">
        <v>629</v>
      </c>
      <c r="AH53" s="3"/>
      <c r="AI53" s="3"/>
      <c r="AJ53" s="3"/>
      <c r="AK53" s="1"/>
      <c r="AL53" s="175"/>
      <c r="AM53" s="175"/>
      <c r="AN53" s="175"/>
      <c r="AO53" s="175"/>
      <c r="AP53" s="38"/>
      <c r="BE53" s="16" t="s">
        <v>630</v>
      </c>
      <c r="BF53" s="307">
        <v>0.97726743970542729</v>
      </c>
      <c r="BG53" s="307">
        <v>0.98403898232011622</v>
      </c>
      <c r="BH53" s="307">
        <v>0.99811290850325141</v>
      </c>
      <c r="BI53" s="307">
        <v>0.99054727710522594</v>
      </c>
    </row>
    <row r="54" spans="1:61">
      <c r="A54" s="13"/>
      <c r="B54" s="1" t="s">
        <v>631</v>
      </c>
      <c r="L54"/>
      <c r="M54"/>
      <c r="N54"/>
      <c r="O54"/>
      <c r="P54" s="301"/>
      <c r="Q54" s="3"/>
      <c r="R54" s="3"/>
      <c r="S54" s="3"/>
      <c r="T54" s="3"/>
      <c r="U54" s="3"/>
      <c r="W54" s="2"/>
      <c r="X54" s="2"/>
      <c r="Y54" s="2"/>
      <c r="Z54" s="2"/>
      <c r="AA54" s="170"/>
      <c r="AB54" s="306"/>
      <c r="AC54" s="306"/>
      <c r="AD54" s="306"/>
      <c r="AE54" s="306"/>
      <c r="AF54" s="152"/>
      <c r="AG54" s="1" t="s">
        <v>632</v>
      </c>
      <c r="AH54" s="3"/>
      <c r="AI54" s="3"/>
      <c r="AJ54" s="3"/>
      <c r="AK54" s="1"/>
      <c r="AL54" s="175"/>
      <c r="AM54" s="175"/>
      <c r="AN54" s="175"/>
      <c r="AO54" s="175"/>
      <c r="AP54" s="38"/>
      <c r="BE54" s="16" t="s">
        <v>512</v>
      </c>
      <c r="BF54" s="307">
        <v>0.97735195344783443</v>
      </c>
      <c r="BG54" s="307">
        <v>0.98442605180264098</v>
      </c>
      <c r="BH54" s="307">
        <v>0.99832045731130692</v>
      </c>
      <c r="BI54" s="307">
        <v>0.99121318877230358</v>
      </c>
    </row>
    <row r="55" spans="1:61">
      <c r="A55" s="1" t="s">
        <v>633</v>
      </c>
      <c r="L55"/>
      <c r="M55"/>
      <c r="N55"/>
      <c r="O55"/>
      <c r="P55" s="225"/>
      <c r="Q55" s="3"/>
      <c r="R55" s="3"/>
      <c r="S55" s="3"/>
      <c r="T55" s="3"/>
      <c r="U55" s="3"/>
      <c r="W55" s="2"/>
      <c r="X55" s="2"/>
      <c r="Y55" s="2"/>
      <c r="Z55" s="2"/>
      <c r="AA55" s="170"/>
      <c r="AB55" s="306"/>
      <c r="AC55" s="306"/>
      <c r="AD55" s="306"/>
      <c r="AE55" s="306"/>
      <c r="AF55" s="152"/>
      <c r="AG55" s="1" t="s">
        <v>634</v>
      </c>
      <c r="AH55" s="3"/>
      <c r="AI55" s="3"/>
      <c r="AJ55" s="3"/>
      <c r="AK55" s="1"/>
      <c r="AL55" s="175"/>
      <c r="AM55" s="175"/>
      <c r="AN55" s="175"/>
      <c r="AO55" s="175"/>
      <c r="AP55" s="38"/>
    </row>
    <row r="56" spans="1:61">
      <c r="A56" s="13"/>
      <c r="B56" s="1" t="s">
        <v>635</v>
      </c>
      <c r="L56"/>
      <c r="M56"/>
      <c r="N56"/>
      <c r="O56"/>
      <c r="P56" s="224"/>
      <c r="Q56" s="38"/>
      <c r="R56" s="38"/>
      <c r="S56" s="38"/>
      <c r="T56" s="3"/>
      <c r="U56" s="3"/>
      <c r="W56" s="2"/>
      <c r="X56" s="2"/>
      <c r="Y56" s="2"/>
      <c r="Z56" s="2"/>
      <c r="AA56" s="170"/>
      <c r="AB56" s="306"/>
      <c r="AC56" s="306"/>
      <c r="AD56" s="306"/>
      <c r="AE56" s="306"/>
      <c r="AF56" s="152"/>
      <c r="AG56" s="1" t="s">
        <v>636</v>
      </c>
      <c r="AH56" s="3"/>
      <c r="AI56" s="3"/>
      <c r="AJ56" s="3"/>
      <c r="AK56" s="1"/>
      <c r="AL56" s="175"/>
      <c r="AM56" s="175"/>
      <c r="AN56" s="175"/>
      <c r="AO56" s="175"/>
      <c r="AP56" s="38"/>
      <c r="BF56" s="5" t="s">
        <v>637</v>
      </c>
    </row>
    <row r="57" spans="1:61">
      <c r="G57" s="164" t="s">
        <v>638</v>
      </c>
      <c r="H57" s="308"/>
      <c r="I57" s="308"/>
      <c r="J57" s="2"/>
      <c r="K57" s="1"/>
      <c r="L57" s="164" t="s">
        <v>639</v>
      </c>
      <c r="M57" s="2"/>
      <c r="N57" s="2"/>
      <c r="O57" s="2"/>
      <c r="P57" s="225"/>
      <c r="Q57" s="3"/>
      <c r="R57" s="3"/>
      <c r="S57" s="3"/>
      <c r="T57" s="3"/>
      <c r="U57" s="3"/>
      <c r="W57" s="164" t="s">
        <v>640</v>
      </c>
      <c r="X57" s="2"/>
      <c r="Y57" s="2"/>
      <c r="Z57" s="2"/>
      <c r="AA57" s="170"/>
      <c r="AB57" s="164" t="s">
        <v>640</v>
      </c>
      <c r="AC57" s="152"/>
      <c r="AD57" s="152"/>
      <c r="AE57" s="152"/>
      <c r="AF57" s="152"/>
      <c r="AG57" s="1" t="s">
        <v>641</v>
      </c>
      <c r="AH57" s="3"/>
      <c r="AI57" s="3"/>
      <c r="AJ57" s="3"/>
      <c r="AK57" s="1"/>
      <c r="AL57" s="175"/>
      <c r="AM57" s="175"/>
      <c r="AN57" s="175"/>
      <c r="AO57" s="175"/>
      <c r="AP57" s="38"/>
      <c r="BE57" s="16" t="s">
        <v>630</v>
      </c>
      <c r="BF57" s="124">
        <f>100*AL44/BF44</f>
        <v>14.709121921319081</v>
      </c>
      <c r="BG57" s="124">
        <f t="shared" ref="BG57:BI58" si="51">100*AM44/BG44</f>
        <v>23.518672735731297</v>
      </c>
      <c r="BH57" s="124">
        <f t="shared" si="51"/>
        <v>29.090577418998354</v>
      </c>
      <c r="BI57" s="124">
        <f t="shared" si="51"/>
        <v>24.62589388505447</v>
      </c>
    </row>
    <row r="58" spans="1:61">
      <c r="A58" s="1"/>
      <c r="B58" s="1"/>
      <c r="C58" s="1"/>
      <c r="D58" s="1"/>
      <c r="E58" s="1"/>
      <c r="F58" s="309" t="s">
        <v>642</v>
      </c>
      <c r="G58" s="174">
        <f>G16+SUM(G29:G33)</f>
        <v>56627.580004860851</v>
      </c>
      <c r="H58" s="174">
        <f>H16+SUM(H29:H33)</f>
        <v>32288.035954781852</v>
      </c>
      <c r="I58" s="174">
        <f>I16+SUM(I29:I33)</f>
        <v>101642.1824922732</v>
      </c>
      <c r="J58" s="174">
        <f>SUM(G58:I58)</f>
        <v>190557.79845191591</v>
      </c>
      <c r="K58" s="1"/>
      <c r="L58" s="174">
        <f>L16+SUM(L29:L33)</f>
        <v>100102.84681366665</v>
      </c>
      <c r="M58" s="174">
        <f>M16+SUM(M29:M33)</f>
        <v>44848.421338890716</v>
      </c>
      <c r="N58" s="174">
        <f>N16+SUM(N29:N33)</f>
        <v>146600.01607406538</v>
      </c>
      <c r="O58" s="174">
        <f>SUM(L58:N58)</f>
        <v>291551.28422662278</v>
      </c>
      <c r="P58" s="225"/>
      <c r="Q58" s="310">
        <f>W58/G58</f>
        <v>356.43868150757913</v>
      </c>
      <c r="R58" s="310">
        <f t="shared" ref="R58:S59" si="52">X58/H58</f>
        <v>267.63315264728578</v>
      </c>
      <c r="S58" s="310">
        <f t="shared" si="52"/>
        <v>405.48463001335892</v>
      </c>
      <c r="T58" s="3"/>
      <c r="U58" s="3"/>
      <c r="V58" s="309" t="s">
        <v>642</v>
      </c>
      <c r="W58" s="311">
        <f>W16+SUM(W29:W33)</f>
        <v>20184259.953897554</v>
      </c>
      <c r="X58" s="312">
        <f>X16+SUM(X29:X33)</f>
        <v>8641348.8553671837</v>
      </c>
      <c r="Y58" s="312">
        <f>Y16+SUM(Y29:Y33)</f>
        <v>41214342.761629708</v>
      </c>
      <c r="Z58" s="312">
        <f>SUM(W58:Y58)</f>
        <v>70039951.57089445</v>
      </c>
      <c r="AA58" s="170"/>
      <c r="AB58" s="313">
        <f>AB16+SUM(AB29:AB33)</f>
        <v>17964004.360909443</v>
      </c>
      <c r="AC58" s="313">
        <f>AC16+SUM(AC29:AC33)</f>
        <v>7691227.0872229682</v>
      </c>
      <c r="AD58" s="313">
        <f>AD16+SUM(AD29:AD33)</f>
        <v>36682209.747344509</v>
      </c>
      <c r="AE58" s="313">
        <f>SUM(AB58:AD58)</f>
        <v>62337441.195476919</v>
      </c>
      <c r="AF58" s="152"/>
      <c r="AG58" s="1" t="s">
        <v>643</v>
      </c>
      <c r="AH58" s="3"/>
      <c r="AI58" s="3"/>
      <c r="AJ58" s="3"/>
      <c r="AK58" s="1"/>
      <c r="AL58" s="175"/>
      <c r="AM58" s="175"/>
      <c r="AN58" s="175"/>
      <c r="AO58" s="175"/>
      <c r="AP58" s="38"/>
      <c r="BE58" s="16" t="s">
        <v>512</v>
      </c>
      <c r="BF58" s="124">
        <f>100*AL45/BF45</f>
        <v>14.650471124060216</v>
      </c>
      <c r="BG58" s="124">
        <f t="shared" si="51"/>
        <v>22.840534058845378</v>
      </c>
      <c r="BH58" s="124">
        <f t="shared" si="51"/>
        <v>25.325700973984834</v>
      </c>
      <c r="BI58" s="124">
        <f t="shared" si="51"/>
        <v>22.616213132090351</v>
      </c>
    </row>
    <row r="59" spans="1:61">
      <c r="A59" s="1"/>
      <c r="B59" s="1"/>
      <c r="C59" s="1"/>
      <c r="D59" s="1"/>
      <c r="E59" s="1"/>
      <c r="F59" s="314" t="s">
        <v>644</v>
      </c>
      <c r="G59" s="174">
        <f>SUM(G29:G33)</f>
        <v>56619.56556614078</v>
      </c>
      <c r="H59" s="174">
        <f t="shared" ref="H59:J59" si="53">SUM(H29:H33)</f>
        <v>32033.355800589983</v>
      </c>
      <c r="I59" s="174">
        <f t="shared" si="53"/>
        <v>101257.507844819</v>
      </c>
      <c r="J59" s="174">
        <f t="shared" si="53"/>
        <v>189910.42921154975</v>
      </c>
      <c r="K59" s="1"/>
      <c r="L59" s="174">
        <f>SUM(L29:L33)</f>
        <v>100084.82109966324</v>
      </c>
      <c r="M59" s="174">
        <f t="shared" ref="M59:O59" si="54">SUM(M29:M33)</f>
        <v>44474.734919777606</v>
      </c>
      <c r="N59" s="174">
        <f t="shared" si="54"/>
        <v>145844.35579454317</v>
      </c>
      <c r="O59" s="174">
        <f t="shared" si="54"/>
        <v>290403.91181398398</v>
      </c>
      <c r="P59" s="225"/>
      <c r="Q59" s="310">
        <f>W59/G59</f>
        <v>356.4388718421435</v>
      </c>
      <c r="R59" s="310">
        <f t="shared" si="52"/>
        <v>266.84600020551187</v>
      </c>
      <c r="S59" s="310">
        <f t="shared" si="52"/>
        <v>403.90217356929315</v>
      </c>
      <c r="T59" s="3"/>
      <c r="U59" s="3"/>
      <c r="V59" s="309" t="s">
        <v>645</v>
      </c>
      <c r="W59" s="174">
        <f>SUM(W29:W33)</f>
        <v>20181414.074587494</v>
      </c>
      <c r="X59" s="315">
        <f t="shared" ref="X59:Y59" si="55">SUM(X29:X33)</f>
        <v>8547972.8685474694</v>
      </c>
      <c r="Y59" s="315">
        <f t="shared" si="55"/>
        <v>40898127.508732148</v>
      </c>
      <c r="Z59" s="315">
        <f>SUM(W59:Y59)</f>
        <v>69627514.451867104</v>
      </c>
      <c r="AA59" s="152"/>
      <c r="AB59" s="315">
        <f>SUM(AB29:AB33)</f>
        <v>17961458.526382871</v>
      </c>
      <c r="AC59" s="315">
        <f t="shared" ref="AC59:AD59" si="56">SUM(AC29:AC33)</f>
        <v>7607695.8530072495</v>
      </c>
      <c r="AD59" s="315">
        <f t="shared" si="56"/>
        <v>36399333.482771613</v>
      </c>
      <c r="AE59" s="315">
        <f>SUM(AB59:AD59)</f>
        <v>61968487.862161733</v>
      </c>
      <c r="AF59" s="152"/>
      <c r="AG59" s="3"/>
      <c r="AH59" s="3"/>
      <c r="AI59" s="3"/>
      <c r="AJ59" s="3"/>
      <c r="AK59" s="1"/>
      <c r="AL59" s="175"/>
      <c r="AM59" s="175"/>
      <c r="AN59" s="175"/>
      <c r="AO59" s="175"/>
      <c r="AP59" s="38"/>
    </row>
    <row r="60" spans="1:61">
      <c r="L60"/>
      <c r="M60"/>
      <c r="N60"/>
      <c r="O60"/>
      <c r="P60" s="224"/>
      <c r="Q60" s="38"/>
      <c r="R60" s="38"/>
      <c r="S60" s="38"/>
      <c r="T60" s="3"/>
      <c r="U60" s="3"/>
      <c r="W60" s="2"/>
      <c r="X60" s="2"/>
      <c r="Y60" s="2"/>
      <c r="Z60" s="2"/>
      <c r="AA60" s="152"/>
      <c r="AB60" s="152"/>
      <c r="AC60" s="152"/>
      <c r="AD60" s="152"/>
      <c r="AE60" s="152"/>
      <c r="AF60" s="152"/>
      <c r="AG60" s="3"/>
      <c r="AH60" s="3"/>
      <c r="AI60" s="3"/>
      <c r="AJ60" s="3"/>
      <c r="AK60" s="1"/>
      <c r="AL60" s="175"/>
      <c r="AM60" s="175"/>
      <c r="AN60" s="175"/>
      <c r="AO60" s="175"/>
      <c r="AP60" s="38"/>
    </row>
    <row r="61" spans="1:61">
      <c r="L61"/>
      <c r="M61"/>
      <c r="N61"/>
      <c r="O61"/>
      <c r="P61" s="224"/>
      <c r="Q61" s="38"/>
      <c r="R61" s="38"/>
      <c r="S61" s="38"/>
      <c r="T61" s="3"/>
      <c r="U61" s="3"/>
      <c r="W61" s="2"/>
      <c r="X61" s="2"/>
      <c r="Y61" s="2"/>
      <c r="Z61" s="2"/>
      <c r="AA61" s="152"/>
      <c r="AB61" s="152"/>
      <c r="AC61" s="152"/>
      <c r="AD61" s="152"/>
      <c r="AE61" s="152"/>
      <c r="AF61" s="152"/>
      <c r="AG61" s="3"/>
      <c r="AH61" s="3"/>
      <c r="AI61" s="3"/>
      <c r="AJ61" s="3"/>
      <c r="AK61" s="1"/>
      <c r="AL61" s="175"/>
      <c r="AM61" s="175"/>
      <c r="AN61" s="175"/>
      <c r="AO61" s="175"/>
      <c r="AP61" s="38"/>
    </row>
    <row r="62" spans="1:61">
      <c r="O62" s="3"/>
      <c r="P62" s="1"/>
      <c r="Q62" s="2"/>
      <c r="R62" s="2"/>
      <c r="S62" s="2"/>
      <c r="T62" s="2"/>
      <c r="U62" s="1"/>
    </row>
    <row r="63" spans="1:61">
      <c r="O63" s="3"/>
      <c r="P63" s="1"/>
      <c r="Q63" s="2"/>
      <c r="R63" s="2"/>
      <c r="S63" s="2"/>
      <c r="T63" s="2"/>
      <c r="U63" s="1"/>
    </row>
    <row r="64" spans="1:61">
      <c r="O64" s="3"/>
      <c r="P64" s="1"/>
      <c r="Q64" s="2"/>
      <c r="R64" s="2"/>
      <c r="S64" s="2"/>
      <c r="T64" s="2"/>
      <c r="U64" s="1"/>
    </row>
    <row r="65" spans="15:21">
      <c r="O65" s="3"/>
      <c r="P65" s="1"/>
      <c r="Q65" s="2"/>
      <c r="R65" s="2"/>
      <c r="S65" s="2"/>
      <c r="T65" s="2"/>
      <c r="U65" s="1"/>
    </row>
    <row r="66" spans="15:21">
      <c r="O66" s="3"/>
      <c r="P66" s="1"/>
      <c r="Q66" s="2"/>
      <c r="R66" s="2"/>
      <c r="S66" s="2"/>
      <c r="T66" s="2"/>
      <c r="U66" s="1"/>
    </row>
    <row r="67" spans="15:21">
      <c r="O67" s="3"/>
      <c r="P67" s="1"/>
      <c r="Q67" s="2"/>
      <c r="R67" s="2"/>
      <c r="S67" s="2"/>
      <c r="T67" s="2"/>
      <c r="U67" s="1"/>
    </row>
    <row r="68" spans="15:21">
      <c r="O68" s="3"/>
      <c r="P68" s="1"/>
      <c r="Q68" s="2"/>
      <c r="R68" s="2"/>
      <c r="S68" s="2"/>
      <c r="T68" s="2"/>
      <c r="U68" s="1"/>
    </row>
    <row r="69" spans="15:21">
      <c r="O69" s="3"/>
      <c r="P69" s="1"/>
      <c r="Q69" s="2"/>
      <c r="R69" s="2"/>
      <c r="S69" s="2"/>
      <c r="T69" s="2"/>
      <c r="U69" s="1"/>
    </row>
    <row r="70" spans="15:21">
      <c r="O70" s="3"/>
      <c r="P70" s="1"/>
      <c r="Q70" s="2"/>
      <c r="R70" s="2"/>
      <c r="S70" s="2"/>
      <c r="T70" s="2"/>
      <c r="U70" s="1"/>
    </row>
    <row r="71" spans="15:21">
      <c r="O71" s="3"/>
      <c r="P71" s="1"/>
      <c r="Q71" s="2"/>
      <c r="R71" s="2"/>
      <c r="S71" s="2"/>
      <c r="T71" s="2"/>
      <c r="U71" s="1"/>
    </row>
    <row r="72" spans="15:21">
      <c r="O72" s="3"/>
      <c r="P72" s="1"/>
      <c r="Q72" s="2"/>
      <c r="R72" s="2"/>
      <c r="S72" s="2"/>
      <c r="T72" s="2"/>
      <c r="U72" s="1"/>
    </row>
    <row r="73" spans="15:21">
      <c r="O73" s="3"/>
      <c r="P73" s="1"/>
      <c r="Q73" s="2"/>
      <c r="R73" s="2"/>
      <c r="S73" s="2"/>
      <c r="T73" s="2"/>
      <c r="U73" s="1"/>
    </row>
    <row r="74" spans="15:21">
      <c r="O74" s="3"/>
      <c r="P74" s="1"/>
      <c r="Q74" s="2"/>
      <c r="R74" s="2"/>
      <c r="S74" s="2"/>
      <c r="T74" s="2"/>
      <c r="U74" s="1"/>
    </row>
    <row r="75" spans="15:21">
      <c r="O75" s="3"/>
      <c r="P75" s="1"/>
      <c r="Q75" s="2"/>
      <c r="R75" s="2"/>
      <c r="S75" s="2"/>
      <c r="T75" s="2"/>
      <c r="U75" s="1"/>
    </row>
    <row r="76" spans="15:21">
      <c r="O76" s="3"/>
      <c r="P76" s="1"/>
      <c r="Q76" s="2"/>
      <c r="R76" s="2"/>
      <c r="S76" s="2"/>
      <c r="T76" s="2"/>
      <c r="U76" s="1"/>
    </row>
    <row r="77" spans="15:21">
      <c r="O77" s="3"/>
      <c r="P77" s="1"/>
      <c r="Q77" s="2"/>
      <c r="R77" s="2"/>
      <c r="S77" s="2"/>
      <c r="T77" s="2"/>
      <c r="U77" s="1"/>
    </row>
    <row r="78" spans="15:21">
      <c r="O78" s="3"/>
      <c r="P78" s="1"/>
      <c r="Q78" s="2"/>
      <c r="R78" s="2"/>
      <c r="S78" s="2"/>
      <c r="T78" s="2"/>
      <c r="U78" s="1"/>
    </row>
    <row r="79" spans="15:21">
      <c r="O79" s="3"/>
      <c r="P79" s="1"/>
      <c r="Q79" s="2"/>
      <c r="R79" s="2"/>
      <c r="S79" s="2"/>
      <c r="T79" s="2"/>
      <c r="U79" s="1"/>
    </row>
    <row r="80" spans="15:21">
      <c r="O80" s="3"/>
      <c r="P80" s="1"/>
      <c r="Q80" s="2"/>
      <c r="R80" s="2"/>
      <c r="S80" s="2"/>
      <c r="T80" s="2"/>
      <c r="U80" s="1"/>
    </row>
    <row r="81" spans="15:21">
      <c r="O81" s="3"/>
      <c r="P81" s="1"/>
      <c r="Q81" s="2"/>
      <c r="R81" s="2"/>
      <c r="S81" s="2"/>
      <c r="T81" s="2"/>
      <c r="U81" s="1"/>
    </row>
    <row r="82" spans="15:21">
      <c r="O82" s="3"/>
      <c r="P82" s="1"/>
      <c r="Q82" s="2"/>
      <c r="R82" s="2"/>
      <c r="S82" s="2"/>
      <c r="T82" s="2"/>
      <c r="U82" s="1"/>
    </row>
    <row r="83" spans="15:21">
      <c r="O83" s="3"/>
      <c r="P83" s="1"/>
      <c r="Q83" s="2"/>
      <c r="R83" s="2"/>
      <c r="S83" s="2"/>
      <c r="T83" s="2"/>
      <c r="U83" s="1"/>
    </row>
    <row r="84" spans="15:21">
      <c r="O84" s="3"/>
      <c r="P84" s="1"/>
      <c r="Q84" s="2"/>
      <c r="R84" s="2"/>
      <c r="S84" s="2"/>
      <c r="T84" s="2"/>
      <c r="U84" s="1"/>
    </row>
    <row r="85" spans="15:21">
      <c r="O85" s="3"/>
      <c r="P85" s="1"/>
      <c r="Q85" s="2"/>
      <c r="R85" s="2"/>
      <c r="S85" s="2"/>
      <c r="T85" s="2"/>
      <c r="U85" s="1"/>
    </row>
    <row r="86" spans="15:21">
      <c r="O86" s="3"/>
      <c r="P86" s="1"/>
      <c r="Q86" s="2"/>
      <c r="R86" s="2"/>
      <c r="S86" s="2"/>
      <c r="T86" s="2"/>
      <c r="U86" s="1"/>
    </row>
    <row r="87" spans="15:21">
      <c r="O87" s="3"/>
      <c r="P87" s="1"/>
      <c r="Q87" s="2"/>
      <c r="R87" s="2"/>
      <c r="S87" s="2"/>
      <c r="T87" s="2"/>
      <c r="U87" s="1"/>
    </row>
    <row r="88" spans="15:21">
      <c r="O88" s="3"/>
      <c r="P88" s="1"/>
      <c r="Q88" s="2"/>
      <c r="R88" s="2"/>
      <c r="S88" s="2"/>
      <c r="T88" s="2"/>
      <c r="U88" s="1"/>
    </row>
    <row r="89" spans="15:21">
      <c r="O89" s="3"/>
      <c r="P89" s="1"/>
      <c r="Q89" s="2"/>
      <c r="R89" s="2"/>
      <c r="S89" s="2"/>
      <c r="T89" s="2"/>
      <c r="U89" s="1"/>
    </row>
    <row r="90" spans="15:21">
      <c r="O90" s="3"/>
      <c r="P90" s="1"/>
      <c r="Q90" s="2"/>
      <c r="R90" s="2"/>
      <c r="S90" s="2"/>
      <c r="T90" s="2"/>
      <c r="U90" s="1"/>
    </row>
  </sheetData>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Sources &amp; notes</vt:lpstr>
      <vt:lpstr>(1) Commercial time</vt:lpstr>
      <vt:lpstr>(2) Farm incomes</vt:lpstr>
      <vt:lpstr>(2.5) Farm income, Table A-2</vt:lpstr>
      <vt:lpstr>(3) Indentured LF earnings</vt:lpstr>
      <vt:lpstr>(4) Slave earnings divided</vt:lpstr>
      <vt:lpstr>(5) Own-labor income RESULTS</vt:lpstr>
    </vt:vector>
  </TitlesOfParts>
  <Company>Harvard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2014-04-30T17:00:13Z</dcterms:modified>
</cp:coreProperties>
</file>