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alcChain.xml" ContentType="application/vnd.openxmlformats-officedocument.spreadsheetml.calcChain+xml"/>
  <Override PartName="/xl/worksheets/sheet2.xml" ContentType="application/vnd.openxmlformats-officedocument.spreadsheetml.worksheet+xml"/>
  <Default Extension="rels" ContentType="application/vnd.openxmlformats-package.relationships+xml"/>
  <Override PartName="/xl/worksheets/sheet5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5280" yWindow="240" windowWidth="22900" windowHeight="14540" tabRatio="654"/>
  </bookViews>
  <sheets>
    <sheet name="Sources &amp; notes" sheetId="16" r:id="rId1"/>
    <sheet name="(1) Labor force by colony" sheetId="11" r:id="rId2"/>
    <sheet name="(2) HH occ's by region" sheetId="12" r:id="rId3"/>
    <sheet name="(3) Giving occ's to non-heads" sheetId="13" r:id="rId4"/>
    <sheet name="(4) Summary LF totals" sheetId="17" r:id="rId5"/>
  </sheets>
  <calcPr calcId="130404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W37" i="11"/>
  <c r="V37"/>
  <c r="U37"/>
  <c r="S37"/>
  <c r="R37"/>
  <c r="Q37"/>
  <c r="P37"/>
  <c r="O37"/>
  <c r="N37"/>
  <c r="M37"/>
  <c r="L37"/>
  <c r="K37"/>
  <c r="J37"/>
  <c r="H37"/>
  <c r="G37"/>
  <c r="F37"/>
  <c r="E37"/>
  <c r="D37"/>
  <c r="C37"/>
  <c r="B37"/>
  <c r="W35"/>
  <c r="V35"/>
  <c r="U35"/>
  <c r="S35"/>
  <c r="R35"/>
  <c r="Q35"/>
  <c r="P35"/>
  <c r="O35"/>
  <c r="M35"/>
  <c r="L35"/>
  <c r="K35"/>
  <c r="J35"/>
  <c r="H35"/>
  <c r="G35"/>
  <c r="F35"/>
  <c r="E35"/>
  <c r="D35"/>
  <c r="C35"/>
  <c r="B35"/>
  <c r="W34"/>
  <c r="V34"/>
  <c r="U34"/>
  <c r="S34"/>
  <c r="R34"/>
  <c r="Q34"/>
  <c r="P34"/>
  <c r="O34"/>
  <c r="M34"/>
  <c r="L34"/>
  <c r="K34"/>
  <c r="J34"/>
  <c r="H34"/>
  <c r="G34"/>
  <c r="F34"/>
  <c r="E34"/>
  <c r="D34"/>
  <c r="C34"/>
  <c r="B34"/>
  <c r="U32"/>
  <c r="S32"/>
  <c r="Q32"/>
  <c r="P32"/>
  <c r="D32"/>
  <c r="C32"/>
  <c r="U31"/>
  <c r="S31"/>
  <c r="Q31"/>
  <c r="P31"/>
  <c r="D31"/>
  <c r="C31"/>
  <c r="U30"/>
  <c r="S30"/>
  <c r="Q30"/>
  <c r="P30"/>
  <c r="D30"/>
  <c r="C30"/>
  <c r="U29"/>
  <c r="S29"/>
  <c r="Q29"/>
  <c r="P29"/>
  <c r="D29"/>
  <c r="C29"/>
  <c r="U28"/>
  <c r="S28"/>
  <c r="Q28"/>
  <c r="P28"/>
  <c r="D28"/>
  <c r="C28"/>
  <c r="B28"/>
  <c r="W26"/>
  <c r="V26"/>
  <c r="U26"/>
  <c r="S26"/>
  <c r="R26"/>
  <c r="Q26"/>
  <c r="P26"/>
  <c r="O26"/>
  <c r="M26"/>
  <c r="L26"/>
  <c r="K26"/>
  <c r="J26"/>
  <c r="H26"/>
  <c r="G26"/>
  <c r="F26"/>
  <c r="E26"/>
  <c r="D26"/>
  <c r="C26"/>
  <c r="B26"/>
  <c r="W25"/>
  <c r="V25"/>
  <c r="U25"/>
  <c r="S25"/>
  <c r="R25"/>
  <c r="Q25"/>
  <c r="P25"/>
  <c r="O25"/>
  <c r="M25"/>
  <c r="L25"/>
  <c r="K25"/>
  <c r="J25"/>
  <c r="H25"/>
  <c r="G25"/>
  <c r="F25"/>
  <c r="E25"/>
  <c r="D25"/>
  <c r="C25"/>
  <c r="B25"/>
  <c r="W24"/>
  <c r="V24"/>
  <c r="U24"/>
  <c r="S24"/>
  <c r="R24"/>
  <c r="Q24"/>
  <c r="P24"/>
  <c r="O24"/>
  <c r="M24"/>
  <c r="L24"/>
  <c r="K24"/>
  <c r="J24"/>
  <c r="H24"/>
  <c r="G24"/>
  <c r="F24"/>
  <c r="E24"/>
  <c r="D24"/>
  <c r="C24"/>
  <c r="B24"/>
  <c r="U22"/>
  <c r="S22"/>
  <c r="Q22"/>
  <c r="P22"/>
  <c r="D22"/>
  <c r="C22"/>
  <c r="U21"/>
  <c r="S21"/>
  <c r="Q21"/>
  <c r="P21"/>
  <c r="D21"/>
  <c r="C21"/>
  <c r="U20"/>
  <c r="S20"/>
  <c r="Q20"/>
  <c r="P20"/>
  <c r="D20"/>
  <c r="C20"/>
  <c r="U19"/>
  <c r="S19"/>
  <c r="Q19"/>
  <c r="P19"/>
  <c r="D19"/>
  <c r="C19"/>
  <c r="S17"/>
  <c r="R17"/>
  <c r="Q17"/>
  <c r="P17"/>
  <c r="O17"/>
  <c r="M17"/>
  <c r="L17"/>
  <c r="K17"/>
  <c r="J17"/>
  <c r="H17"/>
  <c r="G17"/>
  <c r="F17"/>
  <c r="E17"/>
  <c r="D17"/>
  <c r="C17"/>
  <c r="B17"/>
  <c r="S16"/>
  <c r="Q16"/>
  <c r="P16"/>
  <c r="D16"/>
  <c r="C16"/>
  <c r="S15"/>
  <c r="Q15"/>
  <c r="P15"/>
  <c r="D15"/>
  <c r="C15"/>
  <c r="S14"/>
  <c r="Q14"/>
  <c r="P14"/>
  <c r="D14"/>
  <c r="C14"/>
  <c r="S13"/>
  <c r="Q13"/>
  <c r="P13"/>
  <c r="D13"/>
  <c r="C13"/>
  <c r="S12"/>
  <c r="Q12"/>
  <c r="P12"/>
  <c r="D12"/>
  <c r="C12"/>
  <c r="S11"/>
  <c r="Q11"/>
  <c r="P11"/>
  <c r="D11"/>
  <c r="C11"/>
  <c r="AJ69" i="12"/>
  <c r="AF69"/>
  <c r="AA69"/>
  <c r="W69"/>
  <c r="V69"/>
  <c r="R69"/>
  <c r="M69"/>
  <c r="H69"/>
  <c r="AF67"/>
  <c r="AA67"/>
  <c r="V67"/>
  <c r="R67"/>
  <c r="M67"/>
  <c r="H67"/>
  <c r="AF66"/>
  <c r="AF65"/>
  <c r="AA65"/>
  <c r="V65"/>
  <c r="R65"/>
  <c r="M65"/>
  <c r="H65"/>
  <c r="AF64"/>
  <c r="AA64"/>
  <c r="V64"/>
  <c r="R64"/>
  <c r="M64"/>
  <c r="H64"/>
  <c r="AF63"/>
  <c r="AA63"/>
  <c r="V63"/>
  <c r="R63"/>
  <c r="M63"/>
  <c r="H63"/>
  <c r="AF62"/>
  <c r="AA62"/>
  <c r="V62"/>
  <c r="R62"/>
  <c r="M62"/>
  <c r="H62"/>
  <c r="AF61"/>
  <c r="AA61"/>
  <c r="V61"/>
  <c r="R61"/>
  <c r="M61"/>
  <c r="H61"/>
  <c r="AF60"/>
  <c r="AA60"/>
  <c r="V60"/>
  <c r="R60"/>
  <c r="M60"/>
  <c r="H60"/>
  <c r="AF59"/>
  <c r="AA59"/>
  <c r="V59"/>
  <c r="R59"/>
  <c r="M59"/>
  <c r="H59"/>
  <c r="AF58"/>
  <c r="AA58"/>
  <c r="V58"/>
  <c r="R58"/>
  <c r="M58"/>
  <c r="H58"/>
  <c r="AF55"/>
  <c r="AA55"/>
  <c r="V55"/>
  <c r="R55"/>
  <c r="M55"/>
  <c r="H55"/>
  <c r="AF54"/>
  <c r="R54"/>
  <c r="AF53"/>
  <c r="AF52"/>
  <c r="V52"/>
  <c r="AF51"/>
  <c r="V51"/>
  <c r="AF50"/>
  <c r="V50"/>
  <c r="AF49"/>
  <c r="V49"/>
  <c r="AF48"/>
  <c r="V48"/>
  <c r="AF47"/>
  <c r="V47"/>
  <c r="AF46"/>
  <c r="V46"/>
  <c r="AF45"/>
  <c r="V45"/>
  <c r="AF44"/>
  <c r="AA44"/>
  <c r="V44"/>
  <c r="R44"/>
  <c r="M44"/>
  <c r="H44"/>
  <c r="AF39"/>
  <c r="AE39"/>
  <c r="AD39"/>
  <c r="AC39"/>
  <c r="AA39"/>
  <c r="Z39"/>
  <c r="X39"/>
  <c r="W39"/>
  <c r="V39"/>
  <c r="U39"/>
  <c r="T39"/>
  <c r="R39"/>
  <c r="Q39"/>
  <c r="O39"/>
  <c r="M39"/>
  <c r="L39"/>
  <c r="K39"/>
  <c r="J39"/>
  <c r="H39"/>
  <c r="G39"/>
  <c r="F39"/>
  <c r="E39"/>
  <c r="AF36"/>
  <c r="AE36"/>
  <c r="AD36"/>
  <c r="AC36"/>
  <c r="W36"/>
  <c r="V36"/>
  <c r="U36"/>
  <c r="T36"/>
  <c r="R36"/>
  <c r="Q36"/>
  <c r="O36"/>
  <c r="M36"/>
  <c r="L36"/>
  <c r="K36"/>
  <c r="J36"/>
  <c r="H36"/>
  <c r="G36"/>
  <c r="E36"/>
  <c r="AF35"/>
  <c r="AE35"/>
  <c r="AD35"/>
  <c r="AC35"/>
  <c r="AA35"/>
  <c r="Z35"/>
  <c r="X35"/>
  <c r="W35"/>
  <c r="V35"/>
  <c r="U35"/>
  <c r="T35"/>
  <c r="R35"/>
  <c r="Q35"/>
  <c r="O35"/>
  <c r="M35"/>
  <c r="L35"/>
  <c r="K35"/>
  <c r="J35"/>
  <c r="H35"/>
  <c r="G35"/>
  <c r="F35"/>
  <c r="E35"/>
  <c r="AF34"/>
  <c r="AE34"/>
  <c r="AD34"/>
  <c r="AC34"/>
  <c r="AA34"/>
  <c r="Z34"/>
  <c r="X34"/>
  <c r="W34"/>
  <c r="V34"/>
  <c r="U34"/>
  <c r="T34"/>
  <c r="R34"/>
  <c r="Q34"/>
  <c r="O34"/>
  <c r="M34"/>
  <c r="L34"/>
  <c r="K34"/>
  <c r="J34"/>
  <c r="H34"/>
  <c r="G34"/>
  <c r="F34"/>
  <c r="E34"/>
  <c r="AF33"/>
  <c r="AE33"/>
  <c r="AD33"/>
  <c r="AC33"/>
  <c r="AA33"/>
  <c r="Z33"/>
  <c r="X33"/>
  <c r="W33"/>
  <c r="V33"/>
  <c r="U33"/>
  <c r="T33"/>
  <c r="R33"/>
  <c r="Q33"/>
  <c r="O33"/>
  <c r="M33"/>
  <c r="L33"/>
  <c r="K33"/>
  <c r="J33"/>
  <c r="H33"/>
  <c r="G33"/>
  <c r="F33"/>
  <c r="E33"/>
  <c r="AF32"/>
  <c r="AE32"/>
  <c r="AD32"/>
  <c r="AC32"/>
  <c r="AA32"/>
  <c r="Z32"/>
  <c r="X32"/>
  <c r="W32"/>
  <c r="V32"/>
  <c r="U32"/>
  <c r="T32"/>
  <c r="R32"/>
  <c r="Q32"/>
  <c r="O32"/>
  <c r="M32"/>
  <c r="L32"/>
  <c r="K32"/>
  <c r="J32"/>
  <c r="H32"/>
  <c r="G32"/>
  <c r="E32"/>
  <c r="AF31"/>
  <c r="AE31"/>
  <c r="AD31"/>
  <c r="AC31"/>
  <c r="AA31"/>
  <c r="Z31"/>
  <c r="X31"/>
  <c r="W31"/>
  <c r="V31"/>
  <c r="U31"/>
  <c r="T31"/>
  <c r="R31"/>
  <c r="Q31"/>
  <c r="O31"/>
  <c r="M31"/>
  <c r="L31"/>
  <c r="K31"/>
  <c r="J31"/>
  <c r="H31"/>
  <c r="G31"/>
  <c r="F31"/>
  <c r="E31"/>
  <c r="AF30"/>
  <c r="AE30"/>
  <c r="AD30"/>
  <c r="AA30"/>
  <c r="Z30"/>
  <c r="W30"/>
  <c r="V30"/>
  <c r="U30"/>
  <c r="T30"/>
  <c r="R30"/>
  <c r="Q30"/>
  <c r="O30"/>
  <c r="M30"/>
  <c r="L30"/>
  <c r="K30"/>
  <c r="J30"/>
  <c r="H30"/>
  <c r="G30"/>
  <c r="F30"/>
  <c r="AF29"/>
  <c r="AC29"/>
  <c r="AA29"/>
  <c r="X29"/>
  <c r="W29"/>
  <c r="V29"/>
  <c r="U29"/>
  <c r="T29"/>
  <c r="R29"/>
  <c r="Q29"/>
  <c r="O29"/>
  <c r="M29"/>
  <c r="L29"/>
  <c r="K29"/>
  <c r="J29"/>
  <c r="H29"/>
  <c r="E29"/>
  <c r="AF28"/>
  <c r="AE28"/>
  <c r="AD28"/>
  <c r="AC28"/>
  <c r="AA28"/>
  <c r="Z28"/>
  <c r="X28"/>
  <c r="W28"/>
  <c r="V28"/>
  <c r="U28"/>
  <c r="T28"/>
  <c r="R28"/>
  <c r="Q28"/>
  <c r="O28"/>
  <c r="M28"/>
  <c r="L28"/>
  <c r="K28"/>
  <c r="J28"/>
  <c r="H28"/>
  <c r="G28"/>
  <c r="F28"/>
  <c r="E28"/>
  <c r="AF23"/>
  <c r="AF22"/>
  <c r="AF21"/>
  <c r="M16"/>
  <c r="M15"/>
  <c r="M14"/>
  <c r="M13"/>
  <c r="M12"/>
  <c r="H12"/>
  <c r="M11"/>
  <c r="M10"/>
  <c r="H10"/>
  <c r="M9"/>
  <c r="H9"/>
  <c r="M8"/>
  <c r="H8"/>
  <c r="M7"/>
  <c r="H7"/>
  <c r="AA161" i="13"/>
  <c r="V161"/>
  <c r="U161"/>
  <c r="T161"/>
  <c r="Q161"/>
  <c r="P161"/>
  <c r="O161"/>
  <c r="L161"/>
  <c r="K161"/>
  <c r="J161"/>
  <c r="H161"/>
  <c r="G161"/>
  <c r="F161"/>
  <c r="AA160"/>
  <c r="V160"/>
  <c r="U160"/>
  <c r="T160"/>
  <c r="Q160"/>
  <c r="P160"/>
  <c r="O160"/>
  <c r="L160"/>
  <c r="K160"/>
  <c r="J160"/>
  <c r="H160"/>
  <c r="G160"/>
  <c r="F160"/>
  <c r="AA159"/>
  <c r="V159"/>
  <c r="U159"/>
  <c r="T159"/>
  <c r="Q159"/>
  <c r="P159"/>
  <c r="O159"/>
  <c r="L159"/>
  <c r="K159"/>
  <c r="J159"/>
  <c r="H159"/>
  <c r="G159"/>
  <c r="F159"/>
  <c r="AG154"/>
  <c r="AF154"/>
  <c r="AD154"/>
  <c r="AB154"/>
  <c r="AA154"/>
  <c r="Y154"/>
  <c r="W154"/>
  <c r="V154"/>
  <c r="U154"/>
  <c r="T154"/>
  <c r="R154"/>
  <c r="Q154"/>
  <c r="P154"/>
  <c r="O154"/>
  <c r="M154"/>
  <c r="L154"/>
  <c r="K154"/>
  <c r="J154"/>
  <c r="H154"/>
  <c r="G154"/>
  <c r="F154"/>
  <c r="E154"/>
  <c r="AG152"/>
  <c r="AF152"/>
  <c r="AE152"/>
  <c r="AD152"/>
  <c r="AB152"/>
  <c r="AA152"/>
  <c r="Y152"/>
  <c r="W152"/>
  <c r="V152"/>
  <c r="U152"/>
  <c r="T152"/>
  <c r="R152"/>
  <c r="Q152"/>
  <c r="O152"/>
  <c r="M152"/>
  <c r="L152"/>
  <c r="K152"/>
  <c r="J152"/>
  <c r="H152"/>
  <c r="G152"/>
  <c r="F152"/>
  <c r="E152"/>
  <c r="AG151"/>
  <c r="AF151"/>
  <c r="AE151"/>
  <c r="AD151"/>
  <c r="AB151"/>
  <c r="AA151"/>
  <c r="Y151"/>
  <c r="W151"/>
  <c r="V151"/>
  <c r="U151"/>
  <c r="T151"/>
  <c r="R151"/>
  <c r="Q151"/>
  <c r="O151"/>
  <c r="M151"/>
  <c r="L151"/>
  <c r="K151"/>
  <c r="J151"/>
  <c r="H151"/>
  <c r="G151"/>
  <c r="F151"/>
  <c r="AG150"/>
  <c r="AF150"/>
  <c r="AB150"/>
  <c r="AA150"/>
  <c r="AG149"/>
  <c r="AF149"/>
  <c r="AB149"/>
  <c r="AA149"/>
  <c r="AG148"/>
  <c r="AF148"/>
  <c r="AB148"/>
  <c r="AA148"/>
  <c r="AG147"/>
  <c r="AF147"/>
  <c r="AE147"/>
  <c r="AD147"/>
  <c r="AB147"/>
  <c r="AA147"/>
  <c r="Y147"/>
  <c r="X147"/>
  <c r="W147"/>
  <c r="V147"/>
  <c r="U147"/>
  <c r="T147"/>
  <c r="S147"/>
  <c r="R147"/>
  <c r="Q147"/>
  <c r="P147"/>
  <c r="O147"/>
  <c r="N147"/>
  <c r="M147"/>
  <c r="L147"/>
  <c r="K147"/>
  <c r="J147"/>
  <c r="I147"/>
  <c r="H147"/>
  <c r="G147"/>
  <c r="F147"/>
  <c r="E147"/>
  <c r="AG146"/>
  <c r="AF146"/>
  <c r="AE146"/>
  <c r="AD146"/>
  <c r="AB146"/>
  <c r="Y146"/>
  <c r="W146"/>
  <c r="V146"/>
  <c r="U146"/>
  <c r="T146"/>
  <c r="R146"/>
  <c r="Q146"/>
  <c r="O146"/>
  <c r="M146"/>
  <c r="L146"/>
  <c r="K146"/>
  <c r="J146"/>
  <c r="I146"/>
  <c r="H146"/>
  <c r="G146"/>
  <c r="F146"/>
  <c r="E146"/>
  <c r="AG145"/>
  <c r="AF145"/>
  <c r="AE145"/>
  <c r="AD145"/>
  <c r="AB145"/>
  <c r="AA145"/>
  <c r="Y145"/>
  <c r="W145"/>
  <c r="V145"/>
  <c r="U145"/>
  <c r="T145"/>
  <c r="R145"/>
  <c r="Q145"/>
  <c r="O145"/>
  <c r="M145"/>
  <c r="L145"/>
  <c r="K145"/>
  <c r="J145"/>
  <c r="I145"/>
  <c r="H145"/>
  <c r="G145"/>
  <c r="F145"/>
  <c r="E145"/>
  <c r="AG144"/>
  <c r="AF144"/>
  <c r="AE144"/>
  <c r="AD144"/>
  <c r="AB144"/>
  <c r="AA144"/>
  <c r="Y144"/>
  <c r="W144"/>
  <c r="V144"/>
  <c r="U144"/>
  <c r="T144"/>
  <c r="R144"/>
  <c r="Q144"/>
  <c r="O144"/>
  <c r="M144"/>
  <c r="L144"/>
  <c r="K144"/>
  <c r="J144"/>
  <c r="I144"/>
  <c r="H144"/>
  <c r="G144"/>
  <c r="F144"/>
  <c r="E144"/>
  <c r="AG143"/>
  <c r="AF143"/>
  <c r="AE143"/>
  <c r="AD143"/>
  <c r="AB143"/>
  <c r="AA143"/>
  <c r="Y143"/>
  <c r="W143"/>
  <c r="V143"/>
  <c r="U143"/>
  <c r="T143"/>
  <c r="R143"/>
  <c r="Q143"/>
  <c r="O143"/>
  <c r="M143"/>
  <c r="L143"/>
  <c r="K143"/>
  <c r="J143"/>
  <c r="I143"/>
  <c r="H143"/>
  <c r="G143"/>
  <c r="F143"/>
  <c r="E143"/>
  <c r="AG142"/>
  <c r="AF142"/>
  <c r="AE142"/>
  <c r="AD142"/>
  <c r="AB142"/>
  <c r="AA142"/>
  <c r="Y142"/>
  <c r="W142"/>
  <c r="V142"/>
  <c r="U142"/>
  <c r="T142"/>
  <c r="R142"/>
  <c r="Q142"/>
  <c r="O142"/>
  <c r="M142"/>
  <c r="L142"/>
  <c r="K142"/>
  <c r="J142"/>
  <c r="I142"/>
  <c r="H142"/>
  <c r="G142"/>
  <c r="F142"/>
  <c r="E142"/>
  <c r="AG141"/>
  <c r="AF141"/>
  <c r="AE141"/>
  <c r="AD141"/>
  <c r="AB141"/>
  <c r="AA141"/>
  <c r="Y141"/>
  <c r="W141"/>
  <c r="V141"/>
  <c r="U141"/>
  <c r="T141"/>
  <c r="R141"/>
  <c r="Q141"/>
  <c r="O141"/>
  <c r="M141"/>
  <c r="L141"/>
  <c r="K141"/>
  <c r="J141"/>
  <c r="I141"/>
  <c r="H141"/>
  <c r="G141"/>
  <c r="F141"/>
  <c r="E141"/>
  <c r="AG140"/>
  <c r="AF140"/>
  <c r="AE140"/>
  <c r="AD140"/>
  <c r="AB140"/>
  <c r="AA140"/>
  <c r="Y140"/>
  <c r="W140"/>
  <c r="V140"/>
  <c r="U140"/>
  <c r="T140"/>
  <c r="R140"/>
  <c r="Q140"/>
  <c r="O140"/>
  <c r="M140"/>
  <c r="L140"/>
  <c r="K140"/>
  <c r="J140"/>
  <c r="I140"/>
  <c r="H140"/>
  <c r="G140"/>
  <c r="F140"/>
  <c r="E140"/>
  <c r="AG139"/>
  <c r="AF139"/>
  <c r="AE139"/>
  <c r="AD139"/>
  <c r="AB139"/>
  <c r="AA139"/>
  <c r="Y139"/>
  <c r="W139"/>
  <c r="V139"/>
  <c r="U139"/>
  <c r="T139"/>
  <c r="R139"/>
  <c r="Q139"/>
  <c r="O139"/>
  <c r="M139"/>
  <c r="L139"/>
  <c r="K139"/>
  <c r="J139"/>
  <c r="I139"/>
  <c r="H139"/>
  <c r="G139"/>
  <c r="F139"/>
  <c r="E139"/>
  <c r="AG138"/>
  <c r="AF138"/>
  <c r="AE138"/>
  <c r="AD138"/>
  <c r="AB138"/>
  <c r="AA138"/>
  <c r="Y138"/>
  <c r="W138"/>
  <c r="V138"/>
  <c r="U138"/>
  <c r="T138"/>
  <c r="R138"/>
  <c r="Q138"/>
  <c r="O138"/>
  <c r="M138"/>
  <c r="L138"/>
  <c r="K138"/>
  <c r="J138"/>
  <c r="I138"/>
  <c r="H138"/>
  <c r="G138"/>
  <c r="F138"/>
  <c r="E138"/>
  <c r="AG137"/>
  <c r="AF137"/>
  <c r="AE137"/>
  <c r="AD137"/>
  <c r="AB137"/>
  <c r="AA137"/>
  <c r="Y137"/>
  <c r="W137"/>
  <c r="V137"/>
  <c r="U137"/>
  <c r="T137"/>
  <c r="R137"/>
  <c r="Q137"/>
  <c r="O137"/>
  <c r="M137"/>
  <c r="L137"/>
  <c r="K137"/>
  <c r="J137"/>
  <c r="I137"/>
  <c r="H137"/>
  <c r="G137"/>
  <c r="F137"/>
  <c r="E137"/>
  <c r="AG136"/>
  <c r="AF136"/>
  <c r="AE136"/>
  <c r="AD136"/>
  <c r="AB136"/>
  <c r="AA136"/>
  <c r="Y136"/>
  <c r="W136"/>
  <c r="V136"/>
  <c r="U136"/>
  <c r="T136"/>
  <c r="R136"/>
  <c r="Q136"/>
  <c r="O136"/>
  <c r="M136"/>
  <c r="L136"/>
  <c r="K136"/>
  <c r="J136"/>
  <c r="I136"/>
  <c r="H136"/>
  <c r="G136"/>
  <c r="F136"/>
  <c r="E136"/>
  <c r="AG135"/>
  <c r="AF135"/>
  <c r="AE135"/>
  <c r="AD135"/>
  <c r="AB135"/>
  <c r="AA135"/>
  <c r="Y135"/>
  <c r="W135"/>
  <c r="V135"/>
  <c r="U135"/>
  <c r="T135"/>
  <c r="R135"/>
  <c r="Q135"/>
  <c r="O135"/>
  <c r="M135"/>
  <c r="L135"/>
  <c r="K135"/>
  <c r="J135"/>
  <c r="H135"/>
  <c r="G135"/>
  <c r="F135"/>
  <c r="E135"/>
  <c r="AG134"/>
  <c r="AF134"/>
  <c r="AE134"/>
  <c r="AD134"/>
  <c r="AB134"/>
  <c r="AA134"/>
  <c r="Y134"/>
  <c r="W134"/>
  <c r="V134"/>
  <c r="U134"/>
  <c r="T134"/>
  <c r="R134"/>
  <c r="Q134"/>
  <c r="O134"/>
  <c r="M134"/>
  <c r="L134"/>
  <c r="K134"/>
  <c r="J134"/>
  <c r="I134"/>
  <c r="H134"/>
  <c r="G134"/>
  <c r="F134"/>
  <c r="E134"/>
  <c r="AG127"/>
  <c r="AB127"/>
  <c r="M127"/>
  <c r="H127"/>
  <c r="AG126"/>
  <c r="AF126"/>
  <c r="AE126"/>
  <c r="AD126"/>
  <c r="AB126"/>
  <c r="AA126"/>
  <c r="Y126"/>
  <c r="W126"/>
  <c r="V126"/>
  <c r="T126"/>
  <c r="R126"/>
  <c r="Q126"/>
  <c r="O126"/>
  <c r="M126"/>
  <c r="L126"/>
  <c r="K126"/>
  <c r="J126"/>
  <c r="H126"/>
  <c r="G126"/>
  <c r="F126"/>
  <c r="E126"/>
  <c r="AF125"/>
  <c r="AE125"/>
  <c r="AD125"/>
  <c r="V125"/>
  <c r="T125"/>
  <c r="Q125"/>
  <c r="O125"/>
  <c r="L125"/>
  <c r="J125"/>
  <c r="H125"/>
  <c r="G125"/>
  <c r="F125"/>
  <c r="AG124"/>
  <c r="AF124"/>
  <c r="AG123"/>
  <c r="AF123"/>
  <c r="AG122"/>
  <c r="AF122"/>
  <c r="AG118"/>
  <c r="AF118"/>
  <c r="AE118"/>
  <c r="AD118"/>
  <c r="AB118"/>
  <c r="AA118"/>
  <c r="Y118"/>
  <c r="W118"/>
  <c r="V118"/>
  <c r="U118"/>
  <c r="T118"/>
  <c r="R118"/>
  <c r="Q118"/>
  <c r="O118"/>
  <c r="M118"/>
  <c r="L118"/>
  <c r="K118"/>
  <c r="J118"/>
  <c r="H118"/>
  <c r="G118"/>
  <c r="F118"/>
  <c r="E118"/>
  <c r="AG117"/>
  <c r="AF117"/>
  <c r="AE117"/>
  <c r="AD117"/>
  <c r="AB117"/>
  <c r="AA117"/>
  <c r="Y117"/>
  <c r="W117"/>
  <c r="V117"/>
  <c r="U117"/>
  <c r="T117"/>
  <c r="R117"/>
  <c r="Q117"/>
  <c r="O117"/>
  <c r="M117"/>
  <c r="L117"/>
  <c r="K117"/>
  <c r="J117"/>
  <c r="H117"/>
  <c r="G117"/>
  <c r="F117"/>
  <c r="E117"/>
  <c r="AG116"/>
  <c r="AF116"/>
  <c r="AE116"/>
  <c r="AD116"/>
  <c r="AB116"/>
  <c r="AA116"/>
  <c r="Y116"/>
  <c r="W116"/>
  <c r="V116"/>
  <c r="U116"/>
  <c r="T116"/>
  <c r="R116"/>
  <c r="Q116"/>
  <c r="O116"/>
  <c r="M116"/>
  <c r="L116"/>
  <c r="K116"/>
  <c r="J116"/>
  <c r="H116"/>
  <c r="G116"/>
  <c r="F116"/>
  <c r="E116"/>
  <c r="AG115"/>
  <c r="AF115"/>
  <c r="AE115"/>
  <c r="AD115"/>
  <c r="AB115"/>
  <c r="AA115"/>
  <c r="Y115"/>
  <c r="W115"/>
  <c r="V115"/>
  <c r="U115"/>
  <c r="T115"/>
  <c r="R115"/>
  <c r="Q115"/>
  <c r="O115"/>
  <c r="M115"/>
  <c r="L115"/>
  <c r="K115"/>
  <c r="J115"/>
  <c r="H115"/>
  <c r="G115"/>
  <c r="F115"/>
  <c r="E115"/>
  <c r="AG114"/>
  <c r="AF114"/>
  <c r="AE114"/>
  <c r="AD114"/>
  <c r="AB114"/>
  <c r="AA114"/>
  <c r="Y114"/>
  <c r="W114"/>
  <c r="V114"/>
  <c r="U114"/>
  <c r="T114"/>
  <c r="R114"/>
  <c r="Q114"/>
  <c r="O114"/>
  <c r="M114"/>
  <c r="L114"/>
  <c r="K114"/>
  <c r="J114"/>
  <c r="H114"/>
  <c r="G114"/>
  <c r="F114"/>
  <c r="E114"/>
  <c r="AG113"/>
  <c r="AF113"/>
  <c r="AE113"/>
  <c r="AD113"/>
  <c r="AB113"/>
  <c r="AA113"/>
  <c r="Y113"/>
  <c r="W113"/>
  <c r="V113"/>
  <c r="U113"/>
  <c r="T113"/>
  <c r="R113"/>
  <c r="Q113"/>
  <c r="O113"/>
  <c r="M113"/>
  <c r="L113"/>
  <c r="K113"/>
  <c r="J113"/>
  <c r="H113"/>
  <c r="G113"/>
  <c r="F113"/>
  <c r="E113"/>
  <c r="AG112"/>
  <c r="AF112"/>
  <c r="AE112"/>
  <c r="AD112"/>
  <c r="AB112"/>
  <c r="AA112"/>
  <c r="Y112"/>
  <c r="W112"/>
  <c r="V112"/>
  <c r="U112"/>
  <c r="T112"/>
  <c r="R112"/>
  <c r="Q112"/>
  <c r="O112"/>
  <c r="M112"/>
  <c r="L112"/>
  <c r="K112"/>
  <c r="J112"/>
  <c r="H112"/>
  <c r="G112"/>
  <c r="F112"/>
  <c r="E112"/>
  <c r="AG111"/>
  <c r="AF111"/>
  <c r="AE111"/>
  <c r="AD111"/>
  <c r="AB111"/>
  <c r="AA111"/>
  <c r="Y111"/>
  <c r="W111"/>
  <c r="V111"/>
  <c r="U111"/>
  <c r="T111"/>
  <c r="R111"/>
  <c r="Q111"/>
  <c r="O111"/>
  <c r="M111"/>
  <c r="L111"/>
  <c r="K111"/>
  <c r="J111"/>
  <c r="H111"/>
  <c r="G111"/>
  <c r="F111"/>
  <c r="E111"/>
  <c r="AG110"/>
  <c r="AF110"/>
  <c r="AE110"/>
  <c r="AD110"/>
  <c r="AB110"/>
  <c r="AA110"/>
  <c r="Y110"/>
  <c r="W110"/>
  <c r="V110"/>
  <c r="U110"/>
  <c r="T110"/>
  <c r="R110"/>
  <c r="Q110"/>
  <c r="O110"/>
  <c r="M110"/>
  <c r="L110"/>
  <c r="K110"/>
  <c r="J110"/>
  <c r="H110"/>
  <c r="G110"/>
  <c r="F110"/>
  <c r="E110"/>
  <c r="AH107"/>
  <c r="AG107"/>
  <c r="AB107"/>
  <c r="W107"/>
  <c r="R107"/>
  <c r="M107"/>
  <c r="H107"/>
  <c r="AH106"/>
  <c r="AG106"/>
  <c r="AB106"/>
  <c r="W106"/>
  <c r="R106"/>
  <c r="M106"/>
  <c r="H106"/>
  <c r="AB86"/>
  <c r="AG85"/>
  <c r="AF85"/>
  <c r="AE85"/>
  <c r="AD85"/>
  <c r="AB85"/>
  <c r="AA85"/>
  <c r="Y85"/>
  <c r="W85"/>
  <c r="V85"/>
  <c r="U85"/>
  <c r="T85"/>
  <c r="R85"/>
  <c r="Q85"/>
  <c r="O85"/>
  <c r="M85"/>
  <c r="L85"/>
  <c r="K85"/>
  <c r="J85"/>
  <c r="H85"/>
  <c r="G85"/>
  <c r="F85"/>
  <c r="E85"/>
  <c r="AG84"/>
  <c r="AF84"/>
  <c r="AE84"/>
  <c r="AD84"/>
  <c r="H84"/>
  <c r="AG83"/>
  <c r="AB83"/>
  <c r="AG82"/>
  <c r="AB82"/>
  <c r="AG81"/>
  <c r="AB81"/>
  <c r="AG80"/>
  <c r="AF80"/>
  <c r="AE80"/>
  <c r="AD80"/>
  <c r="AB80"/>
  <c r="AA80"/>
  <c r="Y80"/>
  <c r="W80"/>
  <c r="V80"/>
  <c r="U80"/>
  <c r="T80"/>
  <c r="R80"/>
  <c r="Q80"/>
  <c r="O80"/>
  <c r="M80"/>
  <c r="L80"/>
  <c r="K80"/>
  <c r="J80"/>
  <c r="H80"/>
  <c r="G80"/>
  <c r="F80"/>
  <c r="E80"/>
  <c r="AG79"/>
  <c r="AF79"/>
  <c r="AE79"/>
  <c r="AD79"/>
  <c r="W79"/>
  <c r="V79"/>
  <c r="U79"/>
  <c r="T79"/>
  <c r="R79"/>
  <c r="Q79"/>
  <c r="O79"/>
  <c r="M79"/>
  <c r="L79"/>
  <c r="K79"/>
  <c r="J79"/>
  <c r="H79"/>
  <c r="G79"/>
  <c r="F79"/>
  <c r="E79"/>
  <c r="AG78"/>
  <c r="AF78"/>
  <c r="AE78"/>
  <c r="AD78"/>
  <c r="AB78"/>
  <c r="AA78"/>
  <c r="Y78"/>
  <c r="W78"/>
  <c r="V78"/>
  <c r="U78"/>
  <c r="T78"/>
  <c r="R78"/>
  <c r="Q78"/>
  <c r="O78"/>
  <c r="M78"/>
  <c r="L78"/>
  <c r="K78"/>
  <c r="J78"/>
  <c r="H78"/>
  <c r="G78"/>
  <c r="F78"/>
  <c r="E78"/>
  <c r="AG77"/>
  <c r="AF77"/>
  <c r="AE77"/>
  <c r="AD77"/>
  <c r="AB77"/>
  <c r="AA77"/>
  <c r="Y77"/>
  <c r="W77"/>
  <c r="V77"/>
  <c r="U77"/>
  <c r="T77"/>
  <c r="R77"/>
  <c r="Q77"/>
  <c r="O77"/>
  <c r="M77"/>
  <c r="L77"/>
  <c r="K77"/>
  <c r="J77"/>
  <c r="H77"/>
  <c r="G77"/>
  <c r="F77"/>
  <c r="E77"/>
  <c r="AG76"/>
  <c r="AF76"/>
  <c r="AE76"/>
  <c r="AD76"/>
  <c r="AB76"/>
  <c r="AA76"/>
  <c r="Y76"/>
  <c r="W76"/>
  <c r="V76"/>
  <c r="U76"/>
  <c r="T76"/>
  <c r="R76"/>
  <c r="Q76"/>
  <c r="O76"/>
  <c r="M76"/>
  <c r="L76"/>
  <c r="K76"/>
  <c r="J76"/>
  <c r="H76"/>
  <c r="G76"/>
  <c r="F76"/>
  <c r="E76"/>
  <c r="AG75"/>
  <c r="AF75"/>
  <c r="AE75"/>
  <c r="AD75"/>
  <c r="AB75"/>
  <c r="AA75"/>
  <c r="Y75"/>
  <c r="W75"/>
  <c r="V75"/>
  <c r="U75"/>
  <c r="T75"/>
  <c r="R75"/>
  <c r="Q75"/>
  <c r="O75"/>
  <c r="M75"/>
  <c r="L75"/>
  <c r="K75"/>
  <c r="J75"/>
  <c r="H75"/>
  <c r="G75"/>
  <c r="F75"/>
  <c r="E75"/>
  <c r="AG74"/>
  <c r="AF74"/>
  <c r="AE74"/>
  <c r="AD74"/>
  <c r="AB74"/>
  <c r="AA74"/>
  <c r="Y74"/>
  <c r="W74"/>
  <c r="V74"/>
  <c r="U74"/>
  <c r="T74"/>
  <c r="R74"/>
  <c r="Q74"/>
  <c r="O74"/>
  <c r="M74"/>
  <c r="L74"/>
  <c r="K74"/>
  <c r="J74"/>
  <c r="H74"/>
  <c r="G74"/>
  <c r="F74"/>
  <c r="E74"/>
  <c r="AG73"/>
  <c r="AF73"/>
  <c r="AE73"/>
  <c r="AD73"/>
  <c r="AB73"/>
  <c r="AA73"/>
  <c r="Y73"/>
  <c r="W73"/>
  <c r="V73"/>
  <c r="U73"/>
  <c r="T73"/>
  <c r="R73"/>
  <c r="Q73"/>
  <c r="O73"/>
  <c r="M73"/>
  <c r="L73"/>
  <c r="K73"/>
  <c r="J73"/>
  <c r="H73"/>
  <c r="G73"/>
  <c r="F73"/>
  <c r="E73"/>
  <c r="AG72"/>
  <c r="AF72"/>
  <c r="AE72"/>
  <c r="AD72"/>
  <c r="AB72"/>
  <c r="AA72"/>
  <c r="Y72"/>
  <c r="W72"/>
  <c r="V72"/>
  <c r="U72"/>
  <c r="T72"/>
  <c r="R72"/>
  <c r="Q72"/>
  <c r="O72"/>
  <c r="M72"/>
  <c r="L72"/>
  <c r="K72"/>
  <c r="J72"/>
  <c r="H72"/>
  <c r="G72"/>
  <c r="F72"/>
  <c r="E72"/>
  <c r="AG71"/>
  <c r="AF71"/>
  <c r="AE71"/>
  <c r="AD71"/>
  <c r="AB71"/>
  <c r="AA71"/>
  <c r="Y71"/>
  <c r="W71"/>
  <c r="V71"/>
  <c r="U71"/>
  <c r="T71"/>
  <c r="R71"/>
  <c r="Q71"/>
  <c r="O71"/>
  <c r="M71"/>
  <c r="L71"/>
  <c r="K71"/>
  <c r="J71"/>
  <c r="H71"/>
  <c r="G71"/>
  <c r="F71"/>
  <c r="E71"/>
  <c r="AG70"/>
  <c r="AF70"/>
  <c r="AE70"/>
  <c r="AD70"/>
  <c r="AB70"/>
  <c r="AA70"/>
  <c r="Y70"/>
  <c r="W70"/>
  <c r="V70"/>
  <c r="U70"/>
  <c r="T70"/>
  <c r="R70"/>
  <c r="Q70"/>
  <c r="O70"/>
  <c r="M70"/>
  <c r="L70"/>
  <c r="K70"/>
  <c r="J70"/>
  <c r="H70"/>
  <c r="G70"/>
  <c r="F70"/>
  <c r="E70"/>
  <c r="AG69"/>
  <c r="AF69"/>
  <c r="AE69"/>
  <c r="AD69"/>
  <c r="AB69"/>
  <c r="AA69"/>
  <c r="Y69"/>
  <c r="W69"/>
  <c r="V69"/>
  <c r="U69"/>
  <c r="T69"/>
  <c r="R69"/>
  <c r="Q69"/>
  <c r="O69"/>
  <c r="M69"/>
  <c r="L69"/>
  <c r="K69"/>
  <c r="J69"/>
  <c r="H69"/>
  <c r="G69"/>
  <c r="F69"/>
  <c r="E69"/>
  <c r="AG68"/>
  <c r="AF68"/>
  <c r="AE68"/>
  <c r="AD68"/>
  <c r="AB68"/>
  <c r="AA68"/>
  <c r="Y68"/>
  <c r="W68"/>
  <c r="V68"/>
  <c r="U68"/>
  <c r="T68"/>
  <c r="R68"/>
  <c r="Q68"/>
  <c r="O68"/>
  <c r="M68"/>
  <c r="L68"/>
  <c r="K68"/>
  <c r="J68"/>
  <c r="H68"/>
  <c r="G68"/>
  <c r="F68"/>
  <c r="E68"/>
  <c r="AG67"/>
  <c r="AF67"/>
  <c r="AE67"/>
  <c r="AD67"/>
  <c r="AB67"/>
  <c r="AA67"/>
  <c r="Y67"/>
  <c r="W67"/>
  <c r="V67"/>
  <c r="U67"/>
  <c r="T67"/>
  <c r="R67"/>
  <c r="Q67"/>
  <c r="O67"/>
  <c r="M67"/>
  <c r="L67"/>
  <c r="K67"/>
  <c r="J67"/>
  <c r="H67"/>
  <c r="G67"/>
  <c r="F67"/>
  <c r="E67"/>
  <c r="AG56"/>
  <c r="AB56"/>
  <c r="W56"/>
  <c r="R56"/>
  <c r="M56"/>
  <c r="H56"/>
  <c r="AG55"/>
  <c r="AB55"/>
  <c r="W55"/>
  <c r="R55"/>
  <c r="M55"/>
  <c r="H55"/>
  <c r="AG54"/>
  <c r="AB54"/>
  <c r="W54"/>
  <c r="R54"/>
  <c r="M54"/>
  <c r="H54"/>
  <c r="AG53"/>
  <c r="AB53"/>
  <c r="W53"/>
  <c r="R53"/>
  <c r="M53"/>
  <c r="H53"/>
  <c r="AG51"/>
  <c r="AB51"/>
  <c r="W51"/>
  <c r="R51"/>
  <c r="M51"/>
  <c r="H51"/>
  <c r="AG50"/>
  <c r="AB50"/>
  <c r="W50"/>
  <c r="R50"/>
  <c r="M50"/>
  <c r="H50"/>
  <c r="AG49"/>
  <c r="W49"/>
  <c r="AH48"/>
  <c r="AG48"/>
  <c r="AB48"/>
  <c r="W48"/>
  <c r="R48"/>
  <c r="M48"/>
  <c r="H48"/>
  <c r="AG47"/>
  <c r="AB47"/>
  <c r="W47"/>
  <c r="R47"/>
  <c r="M47"/>
  <c r="H47"/>
  <c r="AG45"/>
  <c r="AB45"/>
  <c r="W45"/>
  <c r="R45"/>
  <c r="M45"/>
  <c r="H45"/>
  <c r="AG44"/>
  <c r="AB44"/>
  <c r="V44"/>
  <c r="T44"/>
  <c r="R44"/>
  <c r="M44"/>
  <c r="H44"/>
  <c r="AG43"/>
  <c r="AB43"/>
  <c r="AG42"/>
  <c r="AB42"/>
  <c r="AG41"/>
  <c r="AB41"/>
  <c r="AG40"/>
  <c r="AB40"/>
  <c r="W40"/>
  <c r="R40"/>
  <c r="M40"/>
  <c r="H40"/>
  <c r="AG39"/>
  <c r="AB39"/>
  <c r="W39"/>
  <c r="R39"/>
  <c r="M39"/>
  <c r="H39"/>
  <c r="AG38"/>
  <c r="AB38"/>
  <c r="W38"/>
  <c r="R38"/>
  <c r="M38"/>
  <c r="H38"/>
  <c r="AG37"/>
  <c r="AB37"/>
  <c r="W37"/>
  <c r="R37"/>
  <c r="M37"/>
  <c r="H37"/>
  <c r="AG36"/>
  <c r="AB36"/>
  <c r="W36"/>
  <c r="R36"/>
  <c r="M36"/>
  <c r="H36"/>
  <c r="AG35"/>
  <c r="AB35"/>
  <c r="W35"/>
  <c r="R35"/>
  <c r="M35"/>
  <c r="H35"/>
  <c r="AG34"/>
  <c r="AB34"/>
  <c r="W34"/>
  <c r="R34"/>
  <c r="M34"/>
  <c r="H34"/>
  <c r="AG33"/>
  <c r="AB33"/>
  <c r="W33"/>
  <c r="R33"/>
  <c r="M33"/>
  <c r="H33"/>
  <c r="AG32"/>
  <c r="AB32"/>
  <c r="W32"/>
  <c r="R32"/>
  <c r="M32"/>
  <c r="H32"/>
  <c r="AG31"/>
  <c r="AB31"/>
  <c r="W31"/>
  <c r="R31"/>
  <c r="M31"/>
  <c r="H31"/>
  <c r="AB26"/>
  <c r="M26"/>
  <c r="L26"/>
  <c r="K26"/>
  <c r="J26"/>
  <c r="AG25"/>
  <c r="AF25"/>
  <c r="AE25"/>
  <c r="AD25"/>
  <c r="AB25"/>
  <c r="AA25"/>
  <c r="Y25"/>
  <c r="W25"/>
  <c r="V25"/>
  <c r="U25"/>
  <c r="T25"/>
  <c r="R25"/>
  <c r="Q25"/>
  <c r="O25"/>
  <c r="M25"/>
  <c r="L25"/>
  <c r="K25"/>
  <c r="J25"/>
  <c r="H25"/>
  <c r="G25"/>
  <c r="F25"/>
  <c r="E25"/>
  <c r="AG23"/>
  <c r="AF23"/>
  <c r="AE23"/>
  <c r="AD23"/>
  <c r="W23"/>
  <c r="V23"/>
  <c r="T23"/>
  <c r="R23"/>
  <c r="Q23"/>
  <c r="O23"/>
  <c r="H23"/>
  <c r="G23"/>
  <c r="F23"/>
  <c r="E23"/>
  <c r="AG22"/>
  <c r="AF22"/>
  <c r="AE22"/>
  <c r="AD22"/>
  <c r="AB22"/>
  <c r="AA22"/>
  <c r="Y22"/>
  <c r="W22"/>
  <c r="V22"/>
  <c r="T22"/>
  <c r="R22"/>
  <c r="Q22"/>
  <c r="O22"/>
  <c r="H22"/>
  <c r="G22"/>
  <c r="F22"/>
  <c r="E22"/>
  <c r="AG21"/>
  <c r="AF21"/>
  <c r="AE21"/>
  <c r="AD21"/>
  <c r="AB21"/>
  <c r="AA21"/>
  <c r="Y21"/>
  <c r="W21"/>
  <c r="V21"/>
  <c r="T21"/>
  <c r="R21"/>
  <c r="Q21"/>
  <c r="O21"/>
  <c r="H21"/>
  <c r="G21"/>
  <c r="F21"/>
  <c r="E21"/>
  <c r="AG19"/>
  <c r="AF19"/>
  <c r="AE19"/>
  <c r="AD19"/>
  <c r="AB19"/>
  <c r="W19"/>
  <c r="V19"/>
  <c r="T19"/>
  <c r="R19"/>
  <c r="M19"/>
  <c r="H19"/>
  <c r="AG18"/>
  <c r="AF18"/>
  <c r="AE18"/>
  <c r="AD18"/>
  <c r="AB18"/>
  <c r="AA18"/>
  <c r="Y18"/>
  <c r="W18"/>
  <c r="V18"/>
  <c r="T18"/>
  <c r="R18"/>
  <c r="Q18"/>
  <c r="O18"/>
  <c r="M18"/>
  <c r="H18"/>
  <c r="G18"/>
  <c r="F18"/>
  <c r="E18"/>
  <c r="AG17"/>
  <c r="AF17"/>
  <c r="AE17"/>
  <c r="AD17"/>
  <c r="AB17"/>
  <c r="AA17"/>
  <c r="Y17"/>
  <c r="W17"/>
  <c r="V17"/>
  <c r="T17"/>
  <c r="R17"/>
  <c r="Q17"/>
  <c r="O17"/>
  <c r="H17"/>
  <c r="G17"/>
  <c r="F17"/>
  <c r="E17"/>
  <c r="AG15"/>
  <c r="AF15"/>
  <c r="AE15"/>
  <c r="AD15"/>
  <c r="AB15"/>
  <c r="W15"/>
  <c r="V15"/>
  <c r="T15"/>
  <c r="R15"/>
  <c r="M15"/>
  <c r="H15"/>
  <c r="AG14"/>
  <c r="AF14"/>
  <c r="AE14"/>
  <c r="AD14"/>
  <c r="AB14"/>
  <c r="AA14"/>
  <c r="Y14"/>
  <c r="W14"/>
  <c r="V14"/>
  <c r="T14"/>
  <c r="R14"/>
  <c r="Q14"/>
  <c r="O14"/>
  <c r="H14"/>
  <c r="G14"/>
  <c r="F14"/>
  <c r="E14"/>
  <c r="AG13"/>
  <c r="AF13"/>
  <c r="AE13"/>
  <c r="AD13"/>
  <c r="AB13"/>
  <c r="AA13"/>
  <c r="W13"/>
  <c r="V13"/>
  <c r="T13"/>
  <c r="R13"/>
  <c r="Q13"/>
  <c r="O13"/>
  <c r="H13"/>
  <c r="G13"/>
  <c r="F13"/>
  <c r="E13"/>
  <c r="AG12"/>
  <c r="AF12"/>
  <c r="AE12"/>
  <c r="AD12"/>
  <c r="AB12"/>
  <c r="Y12"/>
  <c r="W12"/>
  <c r="V12"/>
  <c r="T12"/>
  <c r="R12"/>
  <c r="O12"/>
  <c r="H12"/>
  <c r="G12"/>
  <c r="F12"/>
  <c r="E12"/>
  <c r="AG11"/>
  <c r="AF11"/>
  <c r="AE11"/>
  <c r="AD11"/>
  <c r="AB11"/>
  <c r="AA11"/>
  <c r="Y11"/>
  <c r="W11"/>
  <c r="V11"/>
  <c r="U11"/>
  <c r="T11"/>
  <c r="R11"/>
  <c r="Q11"/>
  <c r="O11"/>
  <c r="H11"/>
  <c r="G11"/>
  <c r="F11"/>
  <c r="E11"/>
  <c r="AB74" i="17"/>
  <c r="AB73"/>
  <c r="AB70"/>
  <c r="W63"/>
  <c r="AG60"/>
  <c r="AF60"/>
  <c r="AE60"/>
  <c r="AD60"/>
  <c r="AB60"/>
  <c r="AA60"/>
  <c r="Y60"/>
  <c r="W60"/>
  <c r="V60"/>
  <c r="U60"/>
  <c r="T60"/>
  <c r="R60"/>
  <c r="Q60"/>
  <c r="O60"/>
  <c r="M60"/>
  <c r="L60"/>
  <c r="K60"/>
  <c r="J60"/>
  <c r="H60"/>
  <c r="G60"/>
  <c r="F60"/>
  <c r="E60"/>
  <c r="AG58"/>
  <c r="AF58"/>
  <c r="AE58"/>
  <c r="AD58"/>
  <c r="AB58"/>
  <c r="AA58"/>
  <c r="W58"/>
  <c r="V58"/>
  <c r="H58"/>
  <c r="G58"/>
  <c r="F58"/>
  <c r="E58"/>
  <c r="AG57"/>
  <c r="AF57"/>
  <c r="AE57"/>
  <c r="AD57"/>
  <c r="AB57"/>
  <c r="V57"/>
  <c r="AB56"/>
  <c r="AB55"/>
  <c r="AB54"/>
  <c r="AG53"/>
  <c r="AF53"/>
  <c r="AE53"/>
  <c r="AD53"/>
  <c r="AB53"/>
  <c r="AA53"/>
  <c r="Y53"/>
  <c r="W53"/>
  <c r="V53"/>
  <c r="U53"/>
  <c r="T53"/>
  <c r="R53"/>
  <c r="Q53"/>
  <c r="O53"/>
  <c r="M53"/>
  <c r="L53"/>
  <c r="K53"/>
  <c r="J53"/>
  <c r="H53"/>
  <c r="G53"/>
  <c r="F53"/>
  <c r="E53"/>
  <c r="AF52"/>
  <c r="AE52"/>
  <c r="AD52"/>
  <c r="W52"/>
  <c r="V52"/>
  <c r="U52"/>
  <c r="T52"/>
  <c r="R52"/>
  <c r="M52"/>
  <c r="H52"/>
  <c r="AF51"/>
  <c r="AE51"/>
  <c r="AD51"/>
  <c r="AB51"/>
  <c r="W51"/>
  <c r="V51"/>
  <c r="U51"/>
  <c r="T51"/>
  <c r="R51"/>
  <c r="M51"/>
  <c r="H51"/>
  <c r="AF50"/>
  <c r="AE50"/>
  <c r="AD50"/>
  <c r="AB50"/>
  <c r="W50"/>
  <c r="V50"/>
  <c r="U50"/>
  <c r="T50"/>
  <c r="R50"/>
  <c r="M50"/>
  <c r="H50"/>
  <c r="AF49"/>
  <c r="AE49"/>
  <c r="AD49"/>
  <c r="AB49"/>
  <c r="W49"/>
  <c r="V49"/>
  <c r="U49"/>
  <c r="T49"/>
  <c r="R49"/>
  <c r="M49"/>
  <c r="H49"/>
  <c r="AF48"/>
  <c r="AE48"/>
  <c r="AD48"/>
  <c r="AB48"/>
  <c r="W48"/>
  <c r="V48"/>
  <c r="U48"/>
  <c r="T48"/>
  <c r="R48"/>
  <c r="M48"/>
  <c r="H48"/>
  <c r="AF47"/>
  <c r="AE47"/>
  <c r="AD47"/>
  <c r="AB47"/>
  <c r="W47"/>
  <c r="V47"/>
  <c r="U47"/>
  <c r="T47"/>
  <c r="R47"/>
  <c r="M47"/>
  <c r="H47"/>
  <c r="AF46"/>
  <c r="AE46"/>
  <c r="AD46"/>
  <c r="AB46"/>
  <c r="W46"/>
  <c r="V46"/>
  <c r="U46"/>
  <c r="T46"/>
  <c r="R46"/>
  <c r="M46"/>
  <c r="H46"/>
  <c r="AF45"/>
  <c r="AE45"/>
  <c r="AD45"/>
  <c r="AB45"/>
  <c r="W45"/>
  <c r="V45"/>
  <c r="U45"/>
  <c r="T45"/>
  <c r="R45"/>
  <c r="M45"/>
  <c r="H45"/>
  <c r="AF44"/>
  <c r="AE44"/>
  <c r="AD44"/>
  <c r="AB44"/>
  <c r="W44"/>
  <c r="V44"/>
  <c r="U44"/>
  <c r="T44"/>
  <c r="R44"/>
  <c r="M44"/>
  <c r="H44"/>
  <c r="AF43"/>
  <c r="AE43"/>
  <c r="AD43"/>
  <c r="AB43"/>
  <c r="W43"/>
  <c r="V43"/>
  <c r="U43"/>
  <c r="T43"/>
  <c r="R43"/>
  <c r="M43"/>
  <c r="H43"/>
  <c r="AF42"/>
  <c r="AE42"/>
  <c r="AD42"/>
  <c r="AB42"/>
  <c r="W42"/>
  <c r="V42"/>
  <c r="U42"/>
  <c r="T42"/>
  <c r="R42"/>
  <c r="M42"/>
  <c r="H42"/>
  <c r="AF41"/>
  <c r="AE41"/>
  <c r="AD41"/>
  <c r="AB41"/>
  <c r="W41"/>
  <c r="V41"/>
  <c r="U41"/>
  <c r="T41"/>
  <c r="R41"/>
  <c r="M41"/>
  <c r="H41"/>
  <c r="AF40"/>
  <c r="AE40"/>
  <c r="AD40"/>
  <c r="AB40"/>
  <c r="W40"/>
  <c r="V40"/>
  <c r="U40"/>
  <c r="T40"/>
  <c r="R40"/>
  <c r="M40"/>
  <c r="H40"/>
  <c r="H31"/>
  <c r="G31"/>
  <c r="F31"/>
  <c r="E31"/>
  <c r="E27"/>
  <c r="H26"/>
  <c r="G26"/>
  <c r="F26"/>
  <c r="E26"/>
  <c r="F36" i="16"/>
  <c r="E36"/>
  <c r="D36"/>
  <c r="C36"/>
  <c r="B36"/>
</calcChain>
</file>

<file path=xl/sharedStrings.xml><?xml version="1.0" encoding="utf-8"?>
<sst xmlns="http://schemas.openxmlformats.org/spreadsheetml/2006/main" count="1322" uniqueCount="549">
  <si>
    <t>South 1774</t>
    <phoneticPr fontId="1" type="noConversion"/>
  </si>
  <si>
    <t>[Not including Delaware]</t>
    <phoneticPr fontId="1" type="noConversion"/>
  </si>
  <si>
    <t>All Thirteen Colonies</t>
    <phoneticPr fontId="1" type="noConversion"/>
  </si>
  <si>
    <t>[15 future states]</t>
    <phoneticPr fontId="1" type="noConversion"/>
  </si>
  <si>
    <t>(2C.) Estimated numbers of free household heads (HHs) by occupational group</t>
    <phoneticPr fontId="1" type="noConversion"/>
  </si>
  <si>
    <t>Labor force members who are not free household heads</t>
    <phoneticPr fontId="1" type="noConversion"/>
  </si>
  <si>
    <t>Free non-white</t>
    <phoneticPr fontId="1" type="noConversion"/>
  </si>
  <si>
    <t>New England 1774</t>
    <phoneticPr fontId="1" type="noConversion"/>
  </si>
  <si>
    <t>New York State 1774</t>
    <phoneticPr fontId="1" type="noConversion"/>
  </si>
  <si>
    <t>[The Alice Hanson Jones hybrid]</t>
    <phoneticPr fontId="1" type="noConversion"/>
  </si>
  <si>
    <t>Middle Colonies (NJ, PA, DE) 1774</t>
    <phoneticPr fontId="1" type="noConversion"/>
  </si>
  <si>
    <t>4 Middle Colonies, 1774</t>
    <phoneticPr fontId="1" type="noConversion"/>
  </si>
  <si>
    <t>South 1774</t>
    <phoneticPr fontId="1" type="noConversion"/>
  </si>
  <si>
    <t>[Not including Delaware]</t>
    <phoneticPr fontId="1" type="noConversion"/>
  </si>
  <si>
    <t>All Thirteen Colonies</t>
    <phoneticPr fontId="1" type="noConversion"/>
  </si>
  <si>
    <t>[15 future states]</t>
    <phoneticPr fontId="1" type="noConversion"/>
  </si>
  <si>
    <t>[Later these are assumed to be household heads. For measuring the inequality of household incomes.]</t>
    <phoneticPr fontId="1" type="noConversion"/>
  </si>
  <si>
    <t xml:space="preserve">[* For 6 colonies, these "free blacks" totals are based on the category "all other free </t>
    <phoneticPr fontId="1" type="noConversion"/>
  </si>
  <si>
    <t>Grand sum of the 19 Groups</t>
    <phoneticPr fontId="1" type="noConversion"/>
  </si>
  <si>
    <t xml:space="preserve">persons" from the 1790 US census, extrapolated back to 1774, on the basis </t>
    <phoneticPr fontId="1" type="noConversion"/>
  </si>
  <si>
    <t>of estimated total populations. These six are the colonies for which no near-1774</t>
    <phoneticPr fontId="1" type="noConversion"/>
  </si>
  <si>
    <r>
      <t xml:space="preserve">age-sex counts are given in </t>
    </r>
    <r>
      <rPr>
        <i/>
        <sz val="12"/>
        <rFont val="Calibri"/>
      </rPr>
      <t>HSUS Millennial Edition,</t>
    </r>
    <r>
      <rPr>
        <sz val="12"/>
        <rFont val="Calibri"/>
      </rPr>
      <t xml:space="preserve"> namely Pennsylvania</t>
    </r>
    <phoneticPr fontId="1" type="noConversion"/>
  </si>
  <si>
    <t>Delaware, Virginia, North Carolina, South Carolina, and Georgia.]</t>
    <phoneticPr fontId="1" type="noConversion"/>
  </si>
  <si>
    <t>Worksheet (2) The aggregate occupational structure for free household heads (HHs) in 1774</t>
    <phoneticPr fontId="1" type="noConversion"/>
  </si>
  <si>
    <t>(2D.) Labor force, after adding non-free-household heads</t>
    <phoneticPr fontId="1" type="noConversion"/>
  </si>
  <si>
    <t>[This part is repeated in Worksheet (3), where it is developed further.]</t>
    <phoneticPr fontId="1" type="noConversion"/>
  </si>
  <si>
    <t>All Thirteen Colonies</t>
    <phoneticPr fontId="1" type="noConversion"/>
  </si>
  <si>
    <t>[15 future states]</t>
    <phoneticPr fontId="1" type="noConversion"/>
  </si>
  <si>
    <t>Labor Force</t>
    <phoneticPr fontId="1" type="noConversion"/>
  </si>
  <si>
    <t>(2A.) Occupational shares for free HH's within regions</t>
    <phoneticPr fontId="1" type="noConversion"/>
  </si>
  <si>
    <t>New England 1774</t>
    <phoneticPr fontId="1" type="noConversion"/>
  </si>
  <si>
    <t>New York State 1774</t>
    <phoneticPr fontId="1" type="noConversion"/>
  </si>
  <si>
    <t>[The Alice Hanson Jones hybrid]</t>
    <phoneticPr fontId="1" type="noConversion"/>
  </si>
  <si>
    <t>Middle Colonies (NJ, PA, DE) 1774</t>
    <phoneticPr fontId="1" type="noConversion"/>
  </si>
  <si>
    <t>4 Middle Colonies, 1774</t>
    <phoneticPr fontId="1" type="noConversion"/>
  </si>
  <si>
    <t>(2B.) Estimated free household heads (HHs)</t>
    <phoneticPr fontId="1" type="noConversion"/>
  </si>
  <si>
    <t>Labor force [Based on censuses + Weiss]</t>
    <phoneticPr fontId="1" type="noConversion"/>
  </si>
  <si>
    <t>Total LF</t>
    <phoneticPr fontId="1" type="noConversion"/>
  </si>
  <si>
    <t>c.f. the grand sum of the 19 groups, shown below.</t>
    <phoneticPr fontId="1" type="noConversion"/>
  </si>
  <si>
    <t>White servants in Maryland</t>
    <phoneticPr fontId="1" type="noConversion"/>
  </si>
  <si>
    <t>[Later considered household heads for inequality analysis.]</t>
    <phoneticPr fontId="1" type="noConversion"/>
  </si>
  <si>
    <t>Slave LFs:</t>
    <phoneticPr fontId="1" type="noConversion"/>
  </si>
  <si>
    <t>[Rev May 2011]</t>
    <phoneticPr fontId="1" type="noConversion"/>
  </si>
  <si>
    <t>Implied free total LF</t>
    <phoneticPr fontId="1" type="noConversion"/>
  </si>
  <si>
    <t>New Jersey</t>
    <phoneticPr fontId="1" type="noConversion"/>
  </si>
  <si>
    <t>Labor force members who are not household heads</t>
    <phoneticPr fontId="1" type="noConversion"/>
  </si>
  <si>
    <t>Total</t>
    <phoneticPr fontId="1" type="noConversion"/>
  </si>
  <si>
    <t>Group 10 =</t>
    <phoneticPr fontId="1" type="noConversion"/>
  </si>
  <si>
    <t>Group 11 =</t>
    <phoneticPr fontId="1" type="noConversion"/>
  </si>
  <si>
    <t>Group 11 =</t>
    <phoneticPr fontId="1" type="noConversion"/>
  </si>
  <si>
    <t>Group 12 =</t>
    <phoneticPr fontId="1" type="noConversion"/>
  </si>
  <si>
    <t>Males [fwm lab force 16-up - (fw HHs - female Group 8)]</t>
    <phoneticPr fontId="1" type="noConversion"/>
  </si>
  <si>
    <t>Group 13 =</t>
    <phoneticPr fontId="1" type="noConversion"/>
  </si>
  <si>
    <t>Females [females 16 and up minus Group 8]</t>
    <phoneticPr fontId="1" type="noConversion"/>
  </si>
  <si>
    <t>Group 14 =</t>
    <phoneticPr fontId="1" type="noConversion"/>
  </si>
  <si>
    <t>Group 14 =</t>
    <phoneticPr fontId="1" type="noConversion"/>
  </si>
  <si>
    <t>Group 15 =</t>
    <phoneticPr fontId="1" type="noConversion"/>
  </si>
  <si>
    <t>Group 15 =</t>
    <phoneticPr fontId="1" type="noConversion"/>
  </si>
  <si>
    <t>Group 16 =</t>
    <phoneticPr fontId="1" type="noConversion"/>
  </si>
  <si>
    <t>Group 16 =</t>
    <phoneticPr fontId="1" type="noConversion"/>
  </si>
  <si>
    <t>Group 17 =</t>
    <phoneticPr fontId="1" type="noConversion"/>
  </si>
  <si>
    <t>Group 17 =</t>
    <phoneticPr fontId="1" type="noConversion"/>
  </si>
  <si>
    <t>Group 18 =</t>
    <phoneticPr fontId="1" type="noConversion"/>
  </si>
  <si>
    <t>Group 19 =</t>
    <phoneticPr fontId="1" type="noConversion"/>
  </si>
  <si>
    <t>Discrepancy =</t>
    <phoneticPr fontId="1" type="noConversion"/>
  </si>
  <si>
    <t>Presented here for both for household heads (HH's) and for the overall labor force, as defined in "Notes".</t>
    <phoneticPr fontId="1" type="noConversion"/>
  </si>
  <si>
    <t>[Note: Baltimore not included as a big city</t>
    <phoneticPr fontId="1" type="noConversion"/>
  </si>
  <si>
    <t>Merchant &amp; shopkeepers, outside big city</t>
    <phoneticPr fontId="1" type="noConversion"/>
  </si>
  <si>
    <t>Males with wealth, no occ stated</t>
    <phoneticPr fontId="1" type="noConversion"/>
  </si>
  <si>
    <t xml:space="preserve">Females with wealth, no occ stated </t>
    <phoneticPr fontId="1" type="noConversion"/>
  </si>
  <si>
    <t>Zero-wealth free household heads [M or F]</t>
    <phoneticPr fontId="1" type="noConversion"/>
  </si>
  <si>
    <t>Total (Groups 1-9) occupational shares within region</t>
    <phoneticPr fontId="1" type="noConversion"/>
  </si>
  <si>
    <t>plus some</t>
    <phoneticPr fontId="1" type="noConversion"/>
  </si>
  <si>
    <t>minus the</t>
    <phoneticPr fontId="1" type="noConversion"/>
  </si>
  <si>
    <t xml:space="preserve"> </t>
    <phoneticPr fontId="1" type="noConversion"/>
  </si>
  <si>
    <t>South 1774</t>
    <phoneticPr fontId="1" type="noConversion"/>
  </si>
  <si>
    <t>[Not including Delaware]</t>
    <phoneticPr fontId="1" type="noConversion"/>
  </si>
  <si>
    <t>Big city HH</t>
    <phoneticPr fontId="1" type="noConversion"/>
  </si>
  <si>
    <t>Lesser-city HH</t>
    <phoneticPr fontId="1" type="noConversion"/>
  </si>
  <si>
    <t>Rural HH</t>
    <phoneticPr fontId="1" type="noConversion"/>
  </si>
  <si>
    <t>Total HH</t>
    <phoneticPr fontId="1" type="noConversion"/>
  </si>
  <si>
    <t>Total household heads</t>
    <phoneticPr fontId="1" type="noConversion"/>
  </si>
  <si>
    <t>White (estimated by the no. of free white males over 21)</t>
    <phoneticPr fontId="1" type="noConversion"/>
  </si>
  <si>
    <t>Rural</t>
    <phoneticPr fontId="1" type="noConversion"/>
  </si>
  <si>
    <t xml:space="preserve">Females with wealth, no occ </t>
    <phoneticPr fontId="1" type="noConversion"/>
  </si>
  <si>
    <t>{Reminder: some lesser-city persons allocated to rural.]</t>
    <phoneticPr fontId="1" type="noConversion"/>
  </si>
  <si>
    <t>Big city</t>
    <phoneticPr fontId="1" type="noConversion"/>
  </si>
  <si>
    <t>Lesser-city</t>
    <phoneticPr fontId="1" type="noConversion"/>
  </si>
  <si>
    <t>Rural</t>
    <phoneticPr fontId="1" type="noConversion"/>
  </si>
  <si>
    <t>Direct total</t>
    <phoneticPr fontId="1" type="noConversion"/>
  </si>
  <si>
    <t xml:space="preserve">widely used population unit for tracking wealthy inequality, as evidenced long ago by the "social tables" authors (Gregory King and others) and </t>
    <phoneticPr fontId="1" type="noConversion"/>
  </si>
  <si>
    <t xml:space="preserve">NY colony total LF = </t>
    <phoneticPr fontId="1" type="noConversion"/>
  </si>
  <si>
    <t>3 Middle Colonies (NJ, PA, DE) 1774</t>
    <phoneticPr fontId="1" type="noConversion"/>
  </si>
  <si>
    <t>slave LFP rate =</t>
  </si>
  <si>
    <t>Pennsylvania</t>
  </si>
  <si>
    <t>Delaware</t>
  </si>
  <si>
    <t>[Rev May 2011]</t>
    <phoneticPr fontId="1" type="noConversion"/>
  </si>
  <si>
    <t>All Thirteen Colonies, non-heads,Variant B</t>
    <phoneticPr fontId="1" type="noConversion"/>
  </si>
  <si>
    <t>Big city LF</t>
    <phoneticPr fontId="1" type="noConversion"/>
  </si>
  <si>
    <t>The earliest census to break down "free colored persons" by age and sex was the 1820 census.  It yielded:</t>
    <phoneticPr fontId="1" type="noConversion"/>
  </si>
  <si>
    <r>
      <t xml:space="preserve">Sources: The colonial censuses in </t>
    </r>
    <r>
      <rPr>
        <i/>
        <sz val="12"/>
        <rFont val="Arial"/>
      </rPr>
      <t>Historical Statistics, Millennial Edition</t>
    </r>
    <r>
      <rPr>
        <sz val="12"/>
        <rFont val="Arial"/>
      </rPr>
      <t xml:space="preserve"> (2006), the US censuses of 1790 and 1800, and Thomas Weiss's estimates of labor force participation rates.</t>
    </r>
    <phoneticPr fontId="1" type="noConversion"/>
  </si>
  <si>
    <t>New England 1774</t>
    <phoneticPr fontId="1" type="noConversion"/>
  </si>
  <si>
    <t>New York State 1774</t>
    <phoneticPr fontId="1" type="noConversion"/>
  </si>
  <si>
    <t>[The Alice Hanson Jones hybrid]</t>
    <phoneticPr fontId="1" type="noConversion"/>
  </si>
  <si>
    <t>Middle Colonies (NJ, PA, DE) 1774</t>
    <phoneticPr fontId="1" type="noConversion"/>
  </si>
  <si>
    <t>4 Middle Colonies, 1774</t>
    <phoneticPr fontId="1" type="noConversion"/>
  </si>
  <si>
    <t>South 1774</t>
    <phoneticPr fontId="1" type="noConversion"/>
  </si>
  <si>
    <t>[Not including Delaware]</t>
    <phoneticPr fontId="1" type="noConversion"/>
  </si>
  <si>
    <t>Lesser cities</t>
    <phoneticPr fontId="1" type="noConversion"/>
  </si>
  <si>
    <t>Total</t>
    <phoneticPr fontId="1" type="noConversion"/>
  </si>
  <si>
    <t>NY city</t>
    <phoneticPr fontId="1" type="noConversion"/>
  </si>
  <si>
    <t>Lesser cities</t>
    <phoneticPr fontId="1" type="noConversion"/>
  </si>
  <si>
    <t>Rural</t>
    <phoneticPr fontId="1" type="noConversion"/>
  </si>
  <si>
    <t>All non-Philadelphia</t>
    <phoneticPr fontId="1" type="noConversion"/>
  </si>
  <si>
    <t>NYC+Philly</t>
    <phoneticPr fontId="1" type="noConversion"/>
  </si>
  <si>
    <t>Towns + rural</t>
    <phoneticPr fontId="1" type="noConversion"/>
  </si>
  <si>
    <t>Total</t>
    <phoneticPr fontId="1" type="noConversion"/>
  </si>
  <si>
    <t>Charleston</t>
    <phoneticPr fontId="1" type="noConversion"/>
  </si>
  <si>
    <t>All non-Charleston</t>
    <phoneticPr fontId="1" type="noConversion"/>
  </si>
  <si>
    <t>Officials, titled, professions</t>
    <phoneticPr fontId="1" type="noConversion"/>
  </si>
  <si>
    <t>[Totals below.]</t>
    <phoneticPr fontId="1" type="noConversion"/>
  </si>
  <si>
    <t>Merchant &amp; shopkeepers, big city only</t>
    <phoneticPr fontId="1" type="noConversion"/>
  </si>
  <si>
    <r>
      <t>Assumption</t>
    </r>
    <r>
      <rPr>
        <sz val="12"/>
        <rFont val="Arial"/>
      </rPr>
      <t xml:space="preserve">: The 4A and 4B breakdown is assumed to replicate the region-specific total LF distribution between the two in the year 1800.  </t>
    </r>
    <phoneticPr fontId="1" type="noConversion"/>
  </si>
  <si>
    <t>Under 14 yrs</t>
    <phoneticPr fontId="1" type="noConversion"/>
  </si>
  <si>
    <t>14-25 years</t>
    <phoneticPr fontId="1" type="noConversion"/>
  </si>
  <si>
    <t>26-44 years</t>
    <phoneticPr fontId="1" type="noConversion"/>
  </si>
  <si>
    <t>45 &amp; older</t>
    <phoneticPr fontId="1" type="noConversion"/>
  </si>
  <si>
    <t>Worksheet (3) Assigning likely occupations to non-household-heads, using occupational patterns among free household heads</t>
    <phoneticPr fontId="1" type="noConversion"/>
  </si>
  <si>
    <t>Free</t>
    <phoneticPr fontId="1" type="noConversion"/>
  </si>
  <si>
    <t>total</t>
    <phoneticPr fontId="1" type="noConversion"/>
  </si>
  <si>
    <t>population</t>
    <phoneticPr fontId="1" type="noConversion"/>
  </si>
  <si>
    <t>Worksheet (1) Estimated 1774 labor force -- summary by colonies and regions</t>
    <phoneticPr fontId="1" type="noConversion"/>
  </si>
  <si>
    <t xml:space="preserve">If the number of free household heads equaled the number of males 21 and over, this would be about 56,385, or </t>
    <phoneticPr fontId="1" type="noConversion"/>
  </si>
  <si>
    <t>24.3% of the total free colored population. We believe that the headship rate would have been lower in 1774,</t>
    <phoneticPr fontId="1" type="noConversion"/>
  </si>
  <si>
    <t>would have been able to establish separate households then.  Hence we choose 16.7 percent, or 1/6, as the headship rate for 1774.</t>
    <phoneticPr fontId="1" type="noConversion"/>
  </si>
  <si>
    <r>
      <t>For free non-whites</t>
    </r>
    <r>
      <rPr>
        <sz val="12"/>
        <rFont val="Arial"/>
      </rPr>
      <t>, we assume that 1/6 of the total population of free non-whites consisted of household heads.</t>
    </r>
    <phoneticPr fontId="1" type="noConversion"/>
  </si>
  <si>
    <t>Implied</t>
    <phoneticPr fontId="1" type="noConversion"/>
  </si>
  <si>
    <t>Free LF</t>
    <phoneticPr fontId="1" type="noConversion"/>
  </si>
  <si>
    <t>Implied free total LF</t>
  </si>
  <si>
    <t>Free whites' labor force (LF)</t>
    <phoneticPr fontId="1" type="noConversion"/>
  </si>
  <si>
    <t>Total LF</t>
    <phoneticPr fontId="1" type="noConversion"/>
  </si>
  <si>
    <t>Implied</t>
    <phoneticPr fontId="1" type="noConversion"/>
  </si>
  <si>
    <t>SUMMED</t>
    <phoneticPr fontId="1" type="noConversion"/>
  </si>
  <si>
    <t xml:space="preserve">HERE, updated </t>
    <phoneticPr fontId="1" type="noConversion"/>
  </si>
  <si>
    <t>Males</t>
    <phoneticPr fontId="1" type="noConversion"/>
  </si>
  <si>
    <t>Total</t>
    <phoneticPr fontId="1" type="noConversion"/>
  </si>
  <si>
    <t>Females</t>
    <phoneticPr fontId="1" type="noConversion"/>
  </si>
  <si>
    <t>Grand total</t>
    <phoneticPr fontId="1" type="noConversion"/>
  </si>
  <si>
    <t>IN</t>
    <phoneticPr fontId="1" type="noConversion"/>
  </si>
  <si>
    <t>ESTIMATES</t>
    <phoneticPr fontId="1" type="noConversion"/>
  </si>
  <si>
    <t>NOT</t>
    <phoneticPr fontId="1" type="noConversion"/>
  </si>
  <si>
    <t>USED</t>
    <phoneticPr fontId="1" type="noConversion"/>
  </si>
  <si>
    <t>Feb 2011; then 22apr'11:</t>
    <phoneticPr fontId="1" type="noConversion"/>
  </si>
  <si>
    <t>Same numbers, with further</t>
    <phoneticPr fontId="1" type="noConversion"/>
  </si>
  <si>
    <t>explanations. Slight editing, jan'13.</t>
    <phoneticPr fontId="1" type="noConversion"/>
  </si>
  <si>
    <t>Lindert &amp; Williamson</t>
    <phoneticPr fontId="1" type="noConversion"/>
  </si>
  <si>
    <r>
      <t>NOT USED</t>
    </r>
    <r>
      <rPr>
        <sz val="12"/>
        <color indexed="10"/>
        <rFont val="Arial"/>
      </rPr>
      <t xml:space="preserve"> in the final version of the "American Incomes 1774" file.</t>
    </r>
    <phoneticPr fontId="1" type="noConversion"/>
  </si>
  <si>
    <t xml:space="preserve">Free whites </t>
  </si>
  <si>
    <t>Males</t>
  </si>
  <si>
    <t>Females</t>
  </si>
  <si>
    <t>Free blacks *</t>
  </si>
  <si>
    <t>Total population</t>
    <phoneticPr fontId="1" type="noConversion"/>
  </si>
  <si>
    <t>Vermont</t>
    <phoneticPr fontId="1" type="noConversion"/>
  </si>
  <si>
    <t>Massachusetts</t>
    <phoneticPr fontId="1" type="noConversion"/>
  </si>
  <si>
    <t>Maryland</t>
    <phoneticPr fontId="1" type="noConversion"/>
  </si>
  <si>
    <t>Southern colonies</t>
    <phoneticPr fontId="1" type="noConversion"/>
  </si>
  <si>
    <t>Household headship rates among slaves</t>
    <phoneticPr fontId="1" type="noConversion"/>
  </si>
  <si>
    <t>Assumed household heads</t>
    <phoneticPr fontId="1" type="noConversion"/>
  </si>
  <si>
    <t>All non-Phi.</t>
    <phoneticPr fontId="1" type="noConversion"/>
  </si>
  <si>
    <t>HHs: Likely free household heads, imitating Jones's "potential wealthholders"</t>
    <phoneticPr fontId="1" type="noConversion"/>
  </si>
  <si>
    <r>
      <t>For free white HHs</t>
    </r>
    <r>
      <rPr>
        <sz val="12"/>
        <rFont val="Arial"/>
      </rPr>
      <t>, we use the number of free white males 21 and older as a proxy for the number of free white household heads.  This implicitly assumes</t>
    </r>
    <phoneticPr fontId="1" type="noConversion"/>
  </si>
  <si>
    <t>Different summations, to check for discrepancies.</t>
    <phoneticPr fontId="1" type="noConversion"/>
  </si>
  <si>
    <t>both for household heads (HH's) and for the overall labor force, as defined elsewhere in these notes.</t>
    <phoneticPr fontId="1" type="noConversion"/>
  </si>
  <si>
    <t>Groups 13 and 17 allocated across Groups 2-6 in same region-specific %'s as Groups 2-6.</t>
    <phoneticPr fontId="1" type="noConversion"/>
  </si>
  <si>
    <t xml:space="preserve">Females with wealth, no occ </t>
  </si>
  <si>
    <t>Totals, free labor force (Groups 1-9)</t>
  </si>
  <si>
    <t>Group 18 were kept as their own individual types of household head and labor force members.</t>
    <phoneticPr fontId="1" type="noConversion"/>
  </si>
  <si>
    <t>Lindert-Williamson estimates, 11 November 2010; corrected for slave labor force in 6 colonies May-June 2011.</t>
    <phoneticPr fontId="1" type="noConversion"/>
  </si>
  <si>
    <t>[15 future states + DC]</t>
    <phoneticPr fontId="1" type="noConversion"/>
  </si>
  <si>
    <t xml:space="preserve">Variant B: Labor force members = HH heads + non-HH heads: assumes detailed occupation allocative decision rules </t>
    <phoneticPr fontId="1" type="noConversion"/>
  </si>
  <si>
    <t>The purpose is to be able to apply other sources' wage rates, which are specific to either manufacturing trades or building trades.</t>
    <phoneticPr fontId="1" type="noConversion"/>
  </si>
  <si>
    <t>(c.f. gray total below)</t>
    <phoneticPr fontId="1" type="noConversion"/>
  </si>
  <si>
    <t xml:space="preserve">4 Middle Colonies: NY, NJ, PA, DE 1774 </t>
    <phoneticPr fontId="1" type="noConversion"/>
  </si>
  <si>
    <t>Rural</t>
    <phoneticPr fontId="1" type="noConversion"/>
  </si>
  <si>
    <t xml:space="preserve">Region's (slave + MD servant) LF= </t>
    <phoneticPr fontId="1" type="noConversion"/>
  </si>
  <si>
    <t>(slave pop + MD servants) =</t>
    <phoneticPr fontId="1" type="noConversion"/>
  </si>
  <si>
    <t>[&lt;-- White servants in Maryland. Earlier estimations had considered them unskilled, but this assumption has been dropped.]</t>
    <phoneticPr fontId="1" type="noConversion"/>
  </si>
  <si>
    <t>Slave headship rate: We assume that of the slave population over age 10, which is also used as the slave labor force, 40 percent were household heads.</t>
    <phoneticPr fontId="1" type="noConversion"/>
  </si>
  <si>
    <t xml:space="preserve">The narrower definition of LF is used, however, when we import labor force estimates from Thomas Weiss.  </t>
    <phoneticPr fontId="1" type="noConversion"/>
  </si>
  <si>
    <t>Worksheet (1) Estimated 1774 labor force -- summary by colonies and regions</t>
    <phoneticPr fontId="1" type="noConversion"/>
  </si>
  <si>
    <t>Big city</t>
    <phoneticPr fontId="1" type="noConversion"/>
  </si>
  <si>
    <t xml:space="preserve">Manufacturing trades (4A) and construction trades (4B) are now separated from each other, unlike in Worksheets (1) and (2). </t>
    <phoneticPr fontId="1" type="noConversion"/>
  </si>
  <si>
    <t>Females [females 16 and up minus Group 8]</t>
    <phoneticPr fontId="1" type="noConversion"/>
  </si>
  <si>
    <t>Males [fwm lab force 16-up - (fw HHs - female Group 8)]</t>
    <phoneticPr fontId="1" type="noConversion"/>
  </si>
  <si>
    <t>AHJ Middle Colonies</t>
    <phoneticPr fontId="1" type="noConversion"/>
  </si>
  <si>
    <t xml:space="preserve"> with NY and DE</t>
    <phoneticPr fontId="1" type="noConversion"/>
  </si>
  <si>
    <t>given separately</t>
    <phoneticPr fontId="1" type="noConversion"/>
  </si>
  <si>
    <t>from "free whites"</t>
    <phoneticPr fontId="1" type="noConversion"/>
  </si>
  <si>
    <t>in the Maryland</t>
    <phoneticPr fontId="1" type="noConversion"/>
  </si>
  <si>
    <t>are the colonies for which no near-1774</t>
    <phoneticPr fontId="1" type="noConversion"/>
  </si>
  <si>
    <r>
      <t xml:space="preserve">age-sex counts are given in </t>
    </r>
    <r>
      <rPr>
        <i/>
        <sz val="12"/>
        <rFont val="Arial"/>
      </rPr>
      <t xml:space="preserve">HSUS </t>
    </r>
    <phoneticPr fontId="1" type="noConversion"/>
  </si>
  <si>
    <r>
      <t>Millennial Edition</t>
    </r>
    <r>
      <rPr>
        <sz val="12"/>
        <rFont val="Arial"/>
      </rPr>
      <t>, namely Pennsylvania</t>
    </r>
    <phoneticPr fontId="1" type="noConversion"/>
  </si>
  <si>
    <t>Variant B, Stage 1 = Numbers of Non-Household Heads Implied by these assumptions</t>
    <phoneticPr fontId="1" type="noConversion"/>
  </si>
  <si>
    <t>[&lt;-- These are free females, ages 10-15.]</t>
    <phoneticPr fontId="1" type="noConversion"/>
  </si>
  <si>
    <t>Re-check with different sums</t>
    <phoneticPr fontId="1" type="noConversion"/>
  </si>
  <si>
    <r>
      <t>Definition of labor force</t>
    </r>
    <r>
      <rPr>
        <sz val="12"/>
        <rFont val="Arial"/>
      </rPr>
      <t xml:space="preserve"> (LF):</t>
    </r>
    <phoneticPr fontId="1" type="noConversion"/>
  </si>
  <si>
    <t>Males</t>
    <phoneticPr fontId="1" type="noConversion"/>
  </si>
  <si>
    <t>Assumptions for Variant B:</t>
    <phoneticPr fontId="1" type="noConversion"/>
  </si>
  <si>
    <t>Ave slave Hhold LF =</t>
  </si>
  <si>
    <t>[*These were</t>
    <phoneticPr fontId="1" type="noConversion"/>
  </si>
  <si>
    <t>Lesser-city LF</t>
    <phoneticPr fontId="1" type="noConversion"/>
  </si>
  <si>
    <t>Rural LF</t>
    <phoneticPr fontId="1" type="noConversion"/>
  </si>
  <si>
    <t>rural + town</t>
    <phoneticPr fontId="1" type="noConversion"/>
  </si>
  <si>
    <t>Re-check sums</t>
    <phoneticPr fontId="1" type="noConversion"/>
  </si>
  <si>
    <r>
      <t xml:space="preserve">This guess seems consistent with the age and sex distributions given for slves in Maryland, New Jersey, and New York around 1774 (in </t>
    </r>
    <r>
      <rPr>
        <i/>
        <sz val="12"/>
        <rFont val="Arial"/>
      </rPr>
      <t>HSUS Millennial</t>
    </r>
    <r>
      <rPr>
        <sz val="12"/>
        <rFont val="Arial"/>
      </rPr>
      <t>).</t>
    </r>
    <phoneticPr fontId="1" type="noConversion"/>
  </si>
  <si>
    <t>numbers of positive wealtholders per free household tend to be only a bit above one, suggesting the pooling of assets at the household level.</t>
    <phoneticPr fontId="1" type="noConversion"/>
  </si>
  <si>
    <t>They are displayed here to aid in explaining the flow of assumptions and derivations from sheet to sheet.</t>
    <phoneticPr fontId="1" type="noConversion"/>
  </si>
  <si>
    <t xml:space="preserve">in somebody else's household.  </t>
  </si>
  <si>
    <t>Group 5 =</t>
  </si>
  <si>
    <t>Labor force (LF)</t>
    <phoneticPr fontId="1" type="noConversion"/>
  </si>
  <si>
    <t>Thirteen colonies</t>
    <phoneticPr fontId="1" type="noConversion"/>
  </si>
  <si>
    <t>Labor force members who are not household heads</t>
  </si>
  <si>
    <t>Group 10 =</t>
  </si>
  <si>
    <t>Group 11 =</t>
  </si>
  <si>
    <t>Group 12 =</t>
  </si>
  <si>
    <t>Group 13 =</t>
  </si>
  <si>
    <t>[&lt;-- Free females 16-up, not household heads.]</t>
    <phoneticPr fontId="1" type="noConversion"/>
  </si>
  <si>
    <t>Males with wealth, no occ stated</t>
  </si>
  <si>
    <t xml:space="preserve">We consulted the first US census, the census of 1790.  </t>
    <phoneticPr fontId="1" type="noConversion"/>
  </si>
  <si>
    <t>[Free menial = 9.2% of labor force]</t>
    <phoneticPr fontId="1" type="noConversion"/>
  </si>
  <si>
    <t>[Free menial = 2.7% of labor force]</t>
    <phoneticPr fontId="1" type="noConversion"/>
  </si>
  <si>
    <t>Zero-wealth free household heads [M or F]</t>
  </si>
  <si>
    <t>Total LF not free HHs</t>
    <phoneticPr fontId="1" type="noConversion"/>
  </si>
  <si>
    <t>Lesser cities</t>
  </si>
  <si>
    <t>NY city</t>
  </si>
  <si>
    <t>Charleston</t>
  </si>
  <si>
    <t>All non-Charleston</t>
  </si>
  <si>
    <r>
      <t>Definition of "occupation</t>
    </r>
    <r>
      <rPr>
        <sz val="12"/>
        <rFont val="Arial"/>
      </rPr>
      <t>":</t>
    </r>
    <phoneticPr fontId="1" type="noConversion"/>
  </si>
  <si>
    <t>both because children were a higher population share of whites and slaves then and because fewer free colored adults</t>
    <phoneticPr fontId="1" type="noConversion"/>
  </si>
  <si>
    <t>[See the note below these columns.]</t>
    <phoneticPr fontId="1" type="noConversion"/>
  </si>
  <si>
    <t>Labor force participation rate, overall population</t>
    <phoneticPr fontId="1" type="noConversion"/>
  </si>
  <si>
    <t>Maine</t>
    <phoneticPr fontId="1" type="noConversion"/>
  </si>
  <si>
    <t>Labor force members who are not free household heads</t>
    <phoneticPr fontId="1" type="noConversion"/>
  </si>
  <si>
    <t>Worksheet (2) The aggregate occupational structure for free household heads (HHs) in 1774</t>
    <phoneticPr fontId="1" type="noConversion"/>
  </si>
  <si>
    <t>In what follows, the "labor force" means all persons generating product sold in significant part (or, for slaves, demanded in significant part) outside the household.</t>
    <phoneticPr fontId="1" type="noConversion"/>
  </si>
  <si>
    <t>We follow our primary sources' choices of how to label people.  In most cases, our sources used occupational labels that described a person's way of earning</t>
    <phoneticPr fontId="1" type="noConversion"/>
  </si>
  <si>
    <t>demographic group for non-HH members of labor force.</t>
    <phoneticPr fontId="1" type="noConversion"/>
  </si>
  <si>
    <t>Total pop =</t>
    <phoneticPr fontId="1" type="noConversion"/>
  </si>
  <si>
    <t>suggesting the pooling of assets at the household level.</t>
    <phoneticPr fontId="1" type="noConversion"/>
  </si>
  <si>
    <t>the number of houses or the number of families.  Households are the most</t>
    <phoneticPr fontId="1" type="noConversion"/>
  </si>
  <si>
    <t>New Jersey</t>
    <phoneticPr fontId="1" type="noConversion"/>
  </si>
  <si>
    <t>New England</t>
    <phoneticPr fontId="1" type="noConversion"/>
  </si>
  <si>
    <t>with NY, no DE</t>
    <phoneticPr fontId="1" type="noConversion"/>
  </si>
  <si>
    <t xml:space="preserve">Females with wealth, no occ </t>
    <phoneticPr fontId="1" type="noConversion"/>
  </si>
  <si>
    <t>Other free</t>
    <phoneticPr fontId="1" type="noConversion"/>
  </si>
  <si>
    <t>proxy for the number of free white household heads.  This implicitly assumes</t>
    <phoneticPr fontId="1" type="noConversion"/>
  </si>
  <si>
    <t>Merchant &amp; shopkeepers, big city only</t>
    <phoneticPr fontId="1" type="noConversion"/>
  </si>
  <si>
    <r>
      <t>Allocating a region's slaves to urban versus rural</t>
    </r>
    <r>
      <rPr>
        <b/>
        <sz val="12"/>
        <rFont val="Arial"/>
        <family val="2"/>
      </rPr>
      <t>:</t>
    </r>
    <phoneticPr fontId="1" type="noConversion"/>
  </si>
  <si>
    <t>Members of the free LF who were not household heads were distributed only among occupation groups 2-6, using assumptions detailed in the "Notes" worksheet and in Worksheet (3).</t>
    <phoneticPr fontId="1" type="noConversion"/>
  </si>
  <si>
    <t>Females</t>
    <phoneticPr fontId="1" type="noConversion"/>
  </si>
  <si>
    <t>(  "  )</t>
  </si>
  <si>
    <t>Totals, labor force</t>
  </si>
  <si>
    <t>widely used population unit for tracking wealthy inequality, as evidenced</t>
    <phoneticPr fontId="1" type="noConversion"/>
  </si>
  <si>
    <t>South Carolina</t>
    <phoneticPr fontId="1" type="noConversion"/>
  </si>
  <si>
    <t>Accordingly, we allocate all of the South's slaves to rural areas.</t>
    <phoneticPr fontId="1" type="noConversion"/>
  </si>
  <si>
    <t>Rural</t>
  </si>
  <si>
    <t>of estimated total populations. These six</t>
    <phoneticPr fontId="1" type="noConversion"/>
  </si>
  <si>
    <t>(  "  )</t>
    <phoneticPr fontId="1" type="noConversion"/>
  </si>
  <si>
    <r>
      <t>Free household headship</t>
    </r>
    <r>
      <rPr>
        <sz val="12"/>
        <rFont val="Arial"/>
      </rPr>
      <t xml:space="preserve"> -- estimation motives and assumptions:</t>
    </r>
    <phoneticPr fontId="1" type="noConversion"/>
  </si>
  <si>
    <t xml:space="preserve">Region's 3-colony LF = </t>
    <phoneticPr fontId="1" type="noConversion"/>
  </si>
  <si>
    <t>Region's free non-servant, non-head LF</t>
    <phoneticPr fontId="1" type="noConversion"/>
  </si>
  <si>
    <t>colonial censuses.]</t>
    <phoneticPr fontId="1" type="noConversion"/>
  </si>
  <si>
    <t>more recently by Alice Hanson Jones's study.  Her "potential wealthholders" resemble free households.  Similarly, in the US censuses of 1856-1870 the</t>
    <phoneticPr fontId="1" type="noConversion"/>
  </si>
  <si>
    <t>(All South)</t>
    <phoneticPr fontId="1" type="noConversion"/>
  </si>
  <si>
    <t>Repeat total</t>
    <phoneticPr fontId="1" type="noConversion"/>
  </si>
  <si>
    <t>a net cancelation of two opposing errors:  the failure to include female household heads, versus the inclusion of free adult white males who were non-heads</t>
    <phoneticPr fontId="1" type="noConversion"/>
  </si>
  <si>
    <t>Towns</t>
    <phoneticPr fontId="1" type="noConversion"/>
  </si>
  <si>
    <t>Free men, positive wealth but no stated occupation</t>
  </si>
  <si>
    <t>[&lt;-- White female servants in Maryland.]</t>
    <phoneticPr fontId="1" type="noConversion"/>
  </si>
  <si>
    <t>[&lt;-- White male servants in Maryland.]</t>
    <phoneticPr fontId="1" type="noConversion"/>
  </si>
  <si>
    <t>[&lt;-- Free males 16-up, not household heads.]</t>
    <phoneticPr fontId="1" type="noConversion"/>
  </si>
  <si>
    <t>Group 9 =</t>
  </si>
  <si>
    <t>6A=</t>
  </si>
  <si>
    <t>Free blacks' LF *</t>
    <phoneticPr fontId="1" type="noConversion"/>
  </si>
  <si>
    <t>Slaves' LF</t>
    <phoneticPr fontId="1" type="noConversion"/>
  </si>
  <si>
    <t>[15 future states]</t>
  </si>
  <si>
    <t>Rural HH</t>
  </si>
  <si>
    <t>Officials, titled, professions</t>
  </si>
  <si>
    <t>Grand totals</t>
    <phoneticPr fontId="1" type="noConversion"/>
  </si>
  <si>
    <t>Totals, labor force</t>
    <phoneticPr fontId="1" type="noConversion"/>
  </si>
  <si>
    <t>Pennsylvania</t>
    <phoneticPr fontId="1" type="noConversion"/>
  </si>
  <si>
    <t>Delaware</t>
    <phoneticPr fontId="1" type="noConversion"/>
  </si>
  <si>
    <t>Virginia</t>
    <phoneticPr fontId="1" type="noConversion"/>
  </si>
  <si>
    <t>North Carolina</t>
    <phoneticPr fontId="1" type="noConversion"/>
  </si>
  <si>
    <t>All Thirteen Colonies</t>
  </si>
  <si>
    <t>Total</t>
    <phoneticPr fontId="1" type="noConversion"/>
  </si>
  <si>
    <t>Free white</t>
    <phoneticPr fontId="1" type="noConversion"/>
  </si>
  <si>
    <t>Manufacturing artisans</t>
  </si>
  <si>
    <t>South 1774</t>
  </si>
  <si>
    <t>Subtotals, free labor force (Groups 1-9)</t>
    <phoneticPr fontId="1" type="noConversion"/>
  </si>
  <si>
    <t>3 Middle Colonies (NJ, PA, DE) 1774</t>
    <phoneticPr fontId="1" type="noConversion"/>
  </si>
  <si>
    <t>Groups 12 and 16 allocated across Groups 2-6 in same region-specific %'s as Groups 2-6.</t>
    <phoneticPr fontId="1" type="noConversion"/>
  </si>
  <si>
    <t>servants</t>
    <phoneticPr fontId="1" type="noConversion"/>
  </si>
  <si>
    <t>New England 1774</t>
  </si>
  <si>
    <t xml:space="preserve">In 1790, New England had 3,886 slaves, including 16 in Vermont, but with zero slaves reported for Boston. </t>
    <phoneticPr fontId="1" type="noConversion"/>
  </si>
  <si>
    <t xml:space="preserve">To estimate urban and rural non-heads separately for free persons over 16, </t>
    <phoneticPr fontId="1" type="noConversion"/>
  </si>
  <si>
    <t>more recently by Alice Hanson Jones's study.  Her "potential wealthholders"</t>
    <phoneticPr fontId="1" type="noConversion"/>
  </si>
  <si>
    <t>resemble households.  Similarly, in the US censuses of 1856-1870 the</t>
    <phoneticPr fontId="1" type="noConversion"/>
  </si>
  <si>
    <t>he visited.  The number of households, as economic units, would exceed either</t>
    <phoneticPr fontId="1" type="noConversion"/>
  </si>
  <si>
    <t>Group 14 =</t>
  </si>
  <si>
    <t>Total LF</t>
    <phoneticPr fontId="1" type="noConversion"/>
  </si>
  <si>
    <t>(N.Eng, NY only)</t>
    <phoneticPr fontId="1" type="noConversion"/>
  </si>
  <si>
    <t>All non-Philly</t>
    <phoneticPr fontId="1" type="noConversion"/>
  </si>
  <si>
    <t>[&lt;-- These are free males, ages 10-15.]</t>
    <phoneticPr fontId="1" type="noConversion"/>
  </si>
  <si>
    <t>Ages 10-15</t>
  </si>
  <si>
    <t>Ages 16-up</t>
  </si>
  <si>
    <r>
      <t xml:space="preserve">Sources: The colonial censuses in </t>
    </r>
    <r>
      <rPr>
        <i/>
        <sz val="12"/>
        <rFont val="Arial"/>
      </rPr>
      <t>Historical Statistics, Millenial Edition</t>
    </r>
    <r>
      <rPr>
        <sz val="12"/>
        <rFont val="Arial"/>
      </rPr>
      <t xml:space="preserve"> (2006), the US censuses of 1790 and 1800, and Thomas Weiss's estimats of labor force participation rates.</t>
    </r>
    <phoneticPr fontId="1" type="noConversion"/>
  </si>
  <si>
    <t xml:space="preserve">[* For 6 colonies, these "free blacks" totals </t>
    <phoneticPr fontId="1" type="noConversion"/>
  </si>
  <si>
    <t xml:space="preserve">Group 11 and 15 allocated to Group 6B, female menial or unskilled. </t>
    <phoneticPr fontId="1" type="noConversion"/>
  </si>
  <si>
    <t>Only with a census could one get a breakdown of the slave population between big cities, lesser cities, and rural areas.</t>
    <phoneticPr fontId="1" type="noConversion"/>
  </si>
  <si>
    <t>Grand totals</t>
    <phoneticPr fontId="1" type="noConversion"/>
  </si>
  <si>
    <t>All non-Philly</t>
    <phoneticPr fontId="1" type="noConversion"/>
  </si>
  <si>
    <t>for non-HH heads listed below.</t>
  </si>
  <si>
    <t>4 Middle Col's</t>
    <phoneticPr fontId="1" type="noConversion"/>
  </si>
  <si>
    <t>South</t>
    <phoneticPr fontId="1" type="noConversion"/>
  </si>
  <si>
    <t xml:space="preserve"> ", male</t>
    <phoneticPr fontId="1" type="noConversion"/>
  </si>
  <si>
    <t xml:space="preserve"> ", female</t>
    <phoneticPr fontId="1" type="noConversion"/>
  </si>
  <si>
    <t xml:space="preserve">All Thirteen Colonies, HHs </t>
    <phoneticPr fontId="1" type="noConversion"/>
  </si>
  <si>
    <t>Variant B: Assume that non-household-heads are distributed according to detailed occupation allocative decision rules for non-HH heads listed below.</t>
    <phoneticPr fontId="1" type="noConversion"/>
  </si>
  <si>
    <t>Georgia</t>
    <phoneticPr fontId="1" type="noConversion"/>
  </si>
  <si>
    <t>NYC+Philly</t>
    <phoneticPr fontId="1" type="noConversion"/>
  </si>
  <si>
    <t>Big city LF</t>
    <phoneticPr fontId="1" type="noConversion"/>
  </si>
  <si>
    <t>Lesser-city LF</t>
    <phoneticPr fontId="1" type="noConversion"/>
  </si>
  <si>
    <t>Total population</t>
  </si>
  <si>
    <t>Region's free non-servant LF</t>
    <phoneticPr fontId="1" type="noConversion"/>
  </si>
  <si>
    <t>For regions and urban/rural, not for individual colonies</t>
    <phoneticPr fontId="1" type="noConversion"/>
  </si>
  <si>
    <t>Not broken down by urban-rural</t>
    <phoneticPr fontId="1" type="noConversion"/>
  </si>
  <si>
    <t>Free pop =</t>
    <phoneticPr fontId="1" type="noConversion"/>
  </si>
  <si>
    <t>Free LFP rate =</t>
  </si>
  <si>
    <t>Free LFP rate =</t>
    <phoneticPr fontId="1" type="noConversion"/>
  </si>
  <si>
    <t>Ave free Hhold LF =</t>
  </si>
  <si>
    <t>Ave free Hhold LF =</t>
    <phoneticPr fontId="1" type="noConversion"/>
  </si>
  <si>
    <t xml:space="preserve">13 colonies' total LF = </t>
  </si>
  <si>
    <t>represented only 0.2 percent of the region's slave population, and again we lack data either for Charleston or for lesser cities.</t>
    <phoneticPr fontId="1" type="noConversion"/>
  </si>
  <si>
    <t>Delaware, Virginia, North Carolina,</t>
    <phoneticPr fontId="1" type="noConversion"/>
  </si>
  <si>
    <t>South Carolina, and Georgia.]</t>
    <phoneticPr fontId="1" type="noConversion"/>
  </si>
  <si>
    <t>Non-heads ages 10-up</t>
    <phoneticPr fontId="1" type="noConversion"/>
  </si>
  <si>
    <t xml:space="preserve">Region's 4-colony LF = </t>
    <phoneticPr fontId="1" type="noConversion"/>
  </si>
  <si>
    <t>Assumed slave household heads</t>
    <phoneticPr fontId="1" type="noConversion"/>
  </si>
  <si>
    <t>Slave non-heads, ages 10-up</t>
    <phoneticPr fontId="1" type="noConversion"/>
  </si>
  <si>
    <t>Repeat total slave LF (= slave population ages 10-up)</t>
    <phoneticPr fontId="1" type="noConversion"/>
  </si>
  <si>
    <t>a net cancelation of two opposing errors:  the failure to include female household</t>
    <phoneticPr fontId="1" type="noConversion"/>
  </si>
  <si>
    <t>Rural LF</t>
    <phoneticPr fontId="1" type="noConversion"/>
  </si>
  <si>
    <t>We have not been able to work out the lesser cities' share of the regional slave population, so they are included with the rural slaves.</t>
    <phoneticPr fontId="1" type="noConversion"/>
  </si>
  <si>
    <t>Variant B is used in the Excel file "Own-labor Incomes 1774".</t>
    <phoneticPr fontId="1" type="noConversion"/>
  </si>
  <si>
    <t>Totals, free household heads (Groups 1-9)</t>
    <phoneticPr fontId="1" type="noConversion"/>
  </si>
  <si>
    <t>Free household heads</t>
    <phoneticPr fontId="1" type="noConversion"/>
  </si>
  <si>
    <t>[Not including Delaware]</t>
  </si>
  <si>
    <t>Group 15 =</t>
  </si>
  <si>
    <t>Group 16 =</t>
  </si>
  <si>
    <t>Group 17 =</t>
  </si>
  <si>
    <t>Group 18 =</t>
  </si>
  <si>
    <t>without DE</t>
    <phoneticPr fontId="1" type="noConversion"/>
  </si>
  <si>
    <t>with DE</t>
    <phoneticPr fontId="1" type="noConversion"/>
  </si>
  <si>
    <t xml:space="preserve">For 6 colonies, the "free blacks" totals are based on the category "all other free persons" from the 1790 US census, extrapolated back to 1774 on the basis </t>
    <phoneticPr fontId="1" type="noConversion"/>
  </si>
  <si>
    <t>Delaware, Virginia, North Carolina,South Carolina, and Georgia.</t>
    <phoneticPr fontId="1" type="noConversion"/>
  </si>
  <si>
    <t>The region's lesser cities had 486 slaves, or 12.5 percent -- but this excludes CT, which did not give sub-county data.</t>
    <phoneticPr fontId="1" type="noConversion"/>
  </si>
  <si>
    <r>
      <t xml:space="preserve">of estimated total populations. These six are the colonies for which no near-1774 age-sex counts are given in </t>
    </r>
    <r>
      <rPr>
        <i/>
        <sz val="12"/>
        <rFont val="Arial"/>
      </rPr>
      <t>HSUS Millennial Edition</t>
    </r>
    <r>
      <rPr>
        <sz val="12"/>
        <rFont val="Arial"/>
      </rPr>
      <t>, namely Pennsylvania</t>
    </r>
    <phoneticPr fontId="1" type="noConversion"/>
  </si>
  <si>
    <t>Females</t>
    <phoneticPr fontId="1" type="noConversion"/>
  </si>
  <si>
    <t xml:space="preserve">in somebody else's household.  </t>
    <phoneticPr fontId="1" type="noConversion"/>
  </si>
  <si>
    <t>Slaves 10-up</t>
  </si>
  <si>
    <t>assume (non-heads in a certain occupation, rural or urban) = (heads in that occ, rural or urban) * (region-wide non-heads)/(region-wide HHs)</t>
    <phoneticPr fontId="1" type="noConversion"/>
  </si>
  <si>
    <t>Non-head LF persons in Groups 12-13, 16-17 (free and over 16, but not HHs)</t>
    <phoneticPr fontId="1" type="noConversion"/>
  </si>
  <si>
    <t>Total labor force =</t>
    <phoneticPr fontId="1" type="noConversion"/>
  </si>
  <si>
    <t xml:space="preserve">numbers of positive wealtholders per household tend to be only a bit above one, </t>
    <phoneticPr fontId="1" type="noConversion"/>
  </si>
  <si>
    <t xml:space="preserve">It is assumed to equal "economically active persons", even though a narrower definition of labor force would recipients of property income who sell no labor.  </t>
    <phoneticPr fontId="1" type="noConversion"/>
  </si>
  <si>
    <t>Lesser cities, NY</t>
    <phoneticPr fontId="1" type="noConversion"/>
  </si>
  <si>
    <t>[No non-heads]</t>
    <phoneticPr fontId="1" type="noConversion"/>
  </si>
  <si>
    <t xml:space="preserve"> that might not sell any labor.</t>
    <phoneticPr fontId="1" type="noConversion"/>
  </si>
  <si>
    <t>NYC+Philly</t>
    <phoneticPr fontId="1" type="noConversion"/>
  </si>
  <si>
    <t xml:space="preserve">Region's total LF = </t>
    <phoneticPr fontId="1" type="noConversion"/>
  </si>
  <si>
    <t>For the South, we have no data on urban slavery for the Carolinas or Georgia.  We know only that Baltimore's 1,255 slaves</t>
    <phoneticPr fontId="1" type="noConversion"/>
  </si>
  <si>
    <r>
      <rPr>
        <b/>
        <sz val="12"/>
        <rFont val="Arial"/>
        <family val="2"/>
      </rPr>
      <t>Note</t>
    </r>
    <r>
      <rPr>
        <sz val="12"/>
        <rFont val="Arial"/>
      </rPr>
      <t>: White servants in MD distributed between male and female as 1774 white free population 16-up.</t>
    </r>
    <phoneticPr fontId="1" type="noConversion"/>
  </si>
  <si>
    <t xml:space="preserve">Group 9 = </t>
  </si>
  <si>
    <t>Manuf &amp; construct'n trades</t>
  </si>
  <si>
    <t>Menial labor</t>
  </si>
  <si>
    <t>Farm operators</t>
  </si>
  <si>
    <t>Group 18 females allocated to Group 6B, female menial or unskilled.</t>
    <phoneticPr fontId="1" type="noConversion"/>
  </si>
  <si>
    <t xml:space="preserve">Group 18 males allocated to Group 6A, male menial or unskilled. </t>
    <phoneticPr fontId="1" type="noConversion"/>
  </si>
  <si>
    <t>New York Colony 1774</t>
    <phoneticPr fontId="1" type="noConversion"/>
  </si>
  <si>
    <t>New Eng</t>
    <phoneticPr fontId="1" type="noConversion"/>
  </si>
  <si>
    <t>"    , females</t>
    <phoneticPr fontId="1" type="noConversion"/>
  </si>
  <si>
    <t>While this file shows some implications of this assumption, we do not use it in what follow.</t>
    <phoneticPr fontId="1" type="noConversion"/>
  </si>
  <si>
    <t>The menial labor force is broken down between males (6A) and females (6B) to allow us to apply other sources' separate earnings rates for males and females.</t>
    <phoneticPr fontId="1" type="noConversion"/>
  </si>
  <si>
    <t>(2C.) Estimated numbers of free household heads (HHs) by occupational group</t>
    <phoneticPr fontId="1" type="noConversion"/>
  </si>
  <si>
    <t>(3B.) Assigning occupational groups to non-HH members of the labor force -- two variants</t>
    <phoneticPr fontId="1" type="noConversion"/>
  </si>
  <si>
    <t xml:space="preserve">Together these two cities had 13.5 percent of the slaves in the Middle Colonies, a share we apply to 1774. </t>
    <phoneticPr fontId="1" type="noConversion"/>
  </si>
  <si>
    <t>Total LF</t>
    <phoneticPr fontId="1" type="noConversion"/>
  </si>
  <si>
    <t>[Derived in the Excel file "Labor force colonial 1774"]</t>
    <phoneticPr fontId="1" type="noConversion"/>
  </si>
  <si>
    <t>Boston</t>
  </si>
  <si>
    <t>Women household heads</t>
  </si>
  <si>
    <t>For Variant A, assume that every occupational group's labor force numbers are augmented by the ratio [free LF HH heads + non-HH heads]/free LF HH heads.</t>
    <phoneticPr fontId="1" type="noConversion"/>
  </si>
  <si>
    <t>Agriculture, forestry, fisheries</t>
  </si>
  <si>
    <t>Group 6 =</t>
  </si>
  <si>
    <t>Laborers &amp; menial</t>
  </si>
  <si>
    <t>Group 7 =</t>
  </si>
  <si>
    <t>Some of these notes are repeated in the worksheets.</t>
    <phoneticPr fontId="1" type="noConversion"/>
  </si>
  <si>
    <t>(4) Summary: The labor force by occupational groups, 1774</t>
    <phoneticPr fontId="1" type="noConversion"/>
  </si>
  <si>
    <t>Towns</t>
  </si>
  <si>
    <t>Towns</t>
    <phoneticPr fontId="1" type="noConversion"/>
  </si>
  <si>
    <t>Big city HH</t>
  </si>
  <si>
    <t xml:space="preserve">(3A.) Labor force in 1774, by occupational group for household heads (HH), and by </t>
    <phoneticPr fontId="1" type="noConversion"/>
  </si>
  <si>
    <t>Group 19 =</t>
  </si>
  <si>
    <t>Overall</t>
  </si>
  <si>
    <r>
      <t>Free household headship -- estimation motives and assumptions</t>
    </r>
    <r>
      <rPr>
        <sz val="12"/>
        <rFont val="Arial"/>
      </rPr>
      <t>:</t>
    </r>
    <phoneticPr fontId="1" type="noConversion"/>
  </si>
  <si>
    <t>Ages 10-up</t>
  </si>
  <si>
    <t>Zero-wealth free household heads [M or F]</t>
    <phoneticPr fontId="1" type="noConversion"/>
  </si>
  <si>
    <r>
      <rPr>
        <b/>
        <sz val="12"/>
        <rFont val="Arial"/>
        <family val="2"/>
      </rPr>
      <t>Note</t>
    </r>
    <r>
      <rPr>
        <sz val="12"/>
        <rFont val="Arial"/>
      </rPr>
      <t>: The 4A and 4B breakdown is assumed to replicate the region-specific 1800 total LF distribution between the two.</t>
    </r>
    <phoneticPr fontId="1" type="noConversion"/>
  </si>
  <si>
    <t xml:space="preserve">in </t>
    <phoneticPr fontId="1" type="noConversion"/>
  </si>
  <si>
    <t>Maryland **</t>
    <phoneticPr fontId="1" type="noConversion"/>
  </si>
  <si>
    <t>DE, no NY</t>
    <phoneticPr fontId="1" type="noConversion"/>
  </si>
  <si>
    <t>Total</t>
  </si>
  <si>
    <t>participants</t>
  </si>
  <si>
    <t>LFP rate</t>
  </si>
  <si>
    <t>Merchant &amp; shopkeepers, outside big city</t>
    <phoneticPr fontId="1" type="noConversion"/>
  </si>
  <si>
    <t>NOTE: Variant B is more useful for allocating the labor force by occupation than for comparing household incomes.</t>
    <phoneticPr fontId="1" type="noConversion"/>
  </si>
  <si>
    <t>For the Middle Atlantic and the South, we lack sufficient eighteenth-century data on the urban shares of the slave population.</t>
    <phoneticPr fontId="1" type="noConversion"/>
  </si>
  <si>
    <t>New Hampshire</t>
    <phoneticPr fontId="1" type="noConversion"/>
  </si>
  <si>
    <t>Philadelphia</t>
  </si>
  <si>
    <t>Group 1 =</t>
  </si>
  <si>
    <t>Total</t>
    <phoneticPr fontId="1" type="noConversion"/>
  </si>
  <si>
    <t>population</t>
    <phoneticPr fontId="1" type="noConversion"/>
  </si>
  <si>
    <t>Males</t>
    <phoneticPr fontId="1" type="noConversion"/>
  </si>
  <si>
    <t>from their own labor, such as carpenter or farmer.  Yet the concept of "occupations" has to be broaden to include "widow" and high-status persons</t>
    <phoneticPr fontId="1" type="noConversion"/>
  </si>
  <si>
    <t xml:space="preserve">long ago by the "social tables" authors (Gregory King and others) and </t>
    <phoneticPr fontId="1" type="noConversion"/>
  </si>
  <si>
    <t>in the Alice Hanson Jones estimates.]</t>
    <phoneticPr fontId="1" type="noConversion"/>
  </si>
  <si>
    <t xml:space="preserve">are based on the category "all other free </t>
    <phoneticPr fontId="1" type="noConversion"/>
  </si>
  <si>
    <t>Construction trades</t>
  </si>
  <si>
    <t xml:space="preserve">Females </t>
  </si>
  <si>
    <t>Connecticut</t>
    <phoneticPr fontId="1" type="noConversion"/>
  </si>
  <si>
    <t>Rhode Island</t>
    <phoneticPr fontId="1" type="noConversion"/>
  </si>
  <si>
    <t xml:space="preserve">extrapolated back to 1774, on the basis </t>
    <phoneticPr fontId="1" type="noConversion"/>
  </si>
  <si>
    <t>MD serv's</t>
    <phoneticPr fontId="1" type="noConversion"/>
  </si>
  <si>
    <t>New York</t>
    <phoneticPr fontId="1" type="noConversion"/>
  </si>
  <si>
    <t>The purpose of estimating household heads (HHs) is to gain an impression of how many households a census taker or assessor might find in the houses</t>
    <phoneticPr fontId="1" type="noConversion"/>
  </si>
  <si>
    <t>White MD servants, total</t>
    <phoneticPr fontId="1" type="noConversion"/>
  </si>
  <si>
    <t>Ave Hhold LF =</t>
    <phoneticPr fontId="1" type="noConversion"/>
  </si>
  <si>
    <t>Labor force participation rate, overall population</t>
  </si>
  <si>
    <t>versus</t>
    <phoneticPr fontId="1" type="noConversion"/>
  </si>
  <si>
    <t>(2A.) Occupational shares for HH's within regions</t>
    <phoneticPr fontId="1" type="noConversion"/>
  </si>
  <si>
    <t>Total</t>
    <phoneticPr fontId="1" type="noConversion"/>
  </si>
  <si>
    <t>[The AHJ hybrid NY]</t>
    <phoneticPr fontId="1" type="noConversion"/>
  </si>
  <si>
    <t>he visited.  The number of households, as economic units, would exceed either the number of houses or the number of families.  Households are the most</t>
    <phoneticPr fontId="1" type="noConversion"/>
  </si>
  <si>
    <t>Slave</t>
    <phoneticPr fontId="1" type="noConversion"/>
  </si>
  <si>
    <t>total</t>
    <phoneticPr fontId="1" type="noConversion"/>
  </si>
  <si>
    <t>population</t>
    <phoneticPr fontId="1" type="noConversion"/>
  </si>
  <si>
    <t xml:space="preserve">persons" from the 1790 US census, </t>
    <phoneticPr fontId="1" type="noConversion"/>
  </si>
  <si>
    <t xml:space="preserve">Assume the same net cancellation of male and female headship errors as for free whites.  </t>
    <phoneticPr fontId="1" type="noConversion"/>
  </si>
  <si>
    <t>Rather, it just estimates their own individual occupations.  For non-heads' being exported to other households, see the "Own-labor Incomes 1774" file.</t>
    <phoneticPr fontId="1" type="noConversion"/>
  </si>
  <si>
    <t>NB: Variant A was not used.</t>
    <phoneticPr fontId="1" type="noConversion"/>
  </si>
  <si>
    <t xml:space="preserve">Region's free LF = </t>
    <phoneticPr fontId="1" type="noConversion"/>
  </si>
  <si>
    <t>Free pop =</t>
  </si>
  <si>
    <t>(2B.) Estimated free household heads (HHs)</t>
    <phoneticPr fontId="1" type="noConversion"/>
  </si>
  <si>
    <t xml:space="preserve">Region's free LF = </t>
  </si>
  <si>
    <t>[The AHJ hybrid NY]</t>
    <phoneticPr fontId="1" type="noConversion"/>
  </si>
  <si>
    <t xml:space="preserve">Group 10 and 14 allocated to Group 6A, male menial or unskilled. </t>
    <phoneticPr fontId="1" type="noConversion"/>
  </si>
  <si>
    <t>Group 8 =</t>
  </si>
  <si>
    <r>
      <rPr>
        <b/>
        <sz val="12"/>
        <rFont val="Arial"/>
        <family val="2"/>
      </rPr>
      <t>Note</t>
    </r>
    <r>
      <rPr>
        <sz val="12"/>
        <rFont val="Arial"/>
      </rPr>
      <t>: The 6A and 6B gender breakdown is assumed to replicate the region-specific 1800 total LF distribution between the two.</t>
    </r>
  </si>
  <si>
    <t>Big Cities</t>
  </si>
  <si>
    <t>See Variant B below.</t>
    <phoneticPr fontId="1" type="noConversion"/>
  </si>
  <si>
    <t>Variant A: Amplify each occupation's free household heads in proportion to that occupation's regional (free LF/free HH), add servants and slaves</t>
    <phoneticPr fontId="1" type="noConversion"/>
  </si>
  <si>
    <t>Total labor force</t>
    <phoneticPr fontId="1" type="noConversion"/>
  </si>
  <si>
    <t>Variant B seems more realistic. See below.</t>
    <phoneticPr fontId="1" type="noConversion"/>
  </si>
  <si>
    <t>Assuming 2.5% of the region's slaves lived in Connecticut's 6 secondary cities allocates 15% of New England's slaves to the lesser cities.</t>
    <phoneticPr fontId="1" type="noConversion"/>
  </si>
  <si>
    <t>White servants in Maryland</t>
  </si>
  <si>
    <t>Worksheet (3) Assigning likely individual occupations to non-household-heads, using occupational patterns among free household heads</t>
    <phoneticPr fontId="1" type="noConversion"/>
  </si>
  <si>
    <t>Note:  This file does not yet assign the non-household heads to a household defined by head's occupation.</t>
    <phoneticPr fontId="1" type="noConversion"/>
  </si>
  <si>
    <t>(See the "Colonial</t>
    <phoneticPr fontId="1" type="noConversion"/>
  </si>
  <si>
    <t>labor force 1774" file)</t>
    <phoneticPr fontId="1" type="noConversion"/>
  </si>
  <si>
    <t>For slaves,</t>
    <phoneticPr fontId="1" type="noConversion"/>
  </si>
  <si>
    <t>Labor force (LF)</t>
  </si>
  <si>
    <t>(Summing Groups 1-19)</t>
  </si>
  <si>
    <t xml:space="preserve">Region's total LF = </t>
  </si>
  <si>
    <t>See 4-Middle-Colony totals ==&gt;</t>
    <phoneticPr fontId="1" type="noConversion"/>
  </si>
  <si>
    <t>Group 2 =</t>
  </si>
  <si>
    <t>Group 3 =</t>
  </si>
  <si>
    <t>Group 4 =</t>
  </si>
  <si>
    <t>Manufacturing and building trades</t>
  </si>
  <si>
    <t>6B=</t>
  </si>
  <si>
    <t>4A=</t>
  </si>
  <si>
    <t>Total LFP rate =</t>
    <phoneticPr fontId="1" type="noConversion"/>
  </si>
  <si>
    <t>Free men, zero assessments</t>
  </si>
  <si>
    <t>how many households a census taker or assessor might find in the houses</t>
    <phoneticPr fontId="1" type="noConversion"/>
  </si>
  <si>
    <t>Official &amp; professional males</t>
  </si>
  <si>
    <r>
      <t>For free whites</t>
    </r>
    <r>
      <rPr>
        <sz val="12"/>
        <rFont val="Arial"/>
      </rPr>
      <t>, we use the number of free white males 21 and older as a</t>
    </r>
    <phoneticPr fontId="1" type="noConversion"/>
  </si>
  <si>
    <t>White</t>
    <phoneticPr fontId="1" type="noConversion"/>
  </si>
  <si>
    <t>NOTE again: Variant B is more useful for allocating the labor force by occupation.</t>
    <phoneticPr fontId="1" type="noConversion"/>
  </si>
  <si>
    <t>It counts non-HHs by their own occupations, not by the occupations of the HHs with which they reside.</t>
    <phoneticPr fontId="1" type="noConversion"/>
  </si>
  <si>
    <t>(3A.) Labor force in 1774, by occupational group for household heads (HH), and by demographic group for non-HH members of labor force.</t>
    <phoneticPr fontId="1" type="noConversion"/>
  </si>
  <si>
    <t>"    , males</t>
    <phoneticPr fontId="1" type="noConversion"/>
  </si>
  <si>
    <t>All 13 col's</t>
    <phoneticPr fontId="1" type="noConversion"/>
  </si>
  <si>
    <t>Ratio of HHs in Occupation Groups 2-6 to non-HHs:</t>
    <phoneticPr fontId="1" type="noConversion"/>
  </si>
  <si>
    <t>HHs in Groups 2-6, used in the assumptions about Groups 12-13, 16-17</t>
    <phoneticPr fontId="1" type="noConversion"/>
  </si>
  <si>
    <t>Zero-wealth free household heads [M or F]</t>
    <phoneticPr fontId="1" type="noConversion"/>
  </si>
  <si>
    <t>Total HH</t>
  </si>
  <si>
    <t>(Summing Groups 1-19)</t>
    <phoneticPr fontId="1" type="noConversion"/>
  </si>
  <si>
    <t>Ave Hhold size =</t>
    <phoneticPr fontId="1" type="noConversion"/>
  </si>
  <si>
    <t>much, since the alternative 13-colony total population of 2,352,348 is only 1.0% lower.]</t>
    <phoneticPr fontId="1" type="noConversion"/>
  </si>
  <si>
    <t>[** The population totals are based on one of two conflicting sets of series in the</t>
    <phoneticPr fontId="1" type="noConversion"/>
  </si>
  <si>
    <t xml:space="preserve">we have used the pre-Revolutionary censuses by individual colony, </t>
    <phoneticPr fontId="1" type="noConversion"/>
  </si>
  <si>
    <t>in order to exploit the age and race detail given in all but 6 colonies.</t>
    <phoneticPr fontId="1" type="noConversion"/>
  </si>
  <si>
    <t>Variant B, Stage 2 = Total Labor Force, assigned to Occupational Groups as Fully as Possible</t>
    <phoneticPr fontId="1" type="noConversion"/>
  </si>
  <si>
    <t xml:space="preserve">This procedure focuses on the distribution of household incomes.  However, </t>
    <phoneticPr fontId="1" type="noConversion"/>
  </si>
  <si>
    <t>4B=</t>
  </si>
  <si>
    <t xml:space="preserve">NY colony total LF = </t>
  </si>
  <si>
    <t xml:space="preserve">Region's 3-colony LF = </t>
  </si>
  <si>
    <t xml:space="preserve">Region's 4-colony LF = </t>
  </si>
  <si>
    <t>Total pop =</t>
  </si>
  <si>
    <t>Average size of household workforce = LF/HH =</t>
  </si>
  <si>
    <t>Ave Hhold LF =</t>
  </si>
  <si>
    <t>Ave Hhold size =</t>
  </si>
  <si>
    <t xml:space="preserve">13 colonies' total LF = </t>
    <phoneticPr fontId="1" type="noConversion"/>
  </si>
  <si>
    <t>The gender breakdown is assumed to replicate the region-specific 1800 total LF distribution between the two.</t>
    <phoneticPr fontId="1" type="noConversion"/>
  </si>
  <si>
    <t>consisted of household heads. See the indirect evidence in the "Sources &amp; notes" worksheet.</t>
    <phoneticPr fontId="1" type="noConversion"/>
  </si>
  <si>
    <t>Note: Towns and rural areas are listed separately here.  Later, in the "Own Labor Incomes 1774" file, we combine them to reduce the thinness in the wage data coverage.</t>
    <phoneticPr fontId="1" type="noConversion"/>
  </si>
  <si>
    <t>The purpose of estimating household heads is to gain an impression of</t>
    <phoneticPr fontId="1" type="noConversion"/>
  </si>
  <si>
    <t>Note that for the free population over 16 years of age, the ratio of (HHs in Occupation Groups 2-6 / non-HHs) is lower for New England than for other regions:</t>
    <phoneticPr fontId="1" type="noConversion"/>
  </si>
  <si>
    <t>Lesser-city</t>
    <phoneticPr fontId="1" type="noConversion"/>
  </si>
  <si>
    <t>For Variant A, assume that every occupational group's free-labor-force numbers are augmented by the ratio [free LF HH heads + non-HH heads]/free LF HH heads.</t>
    <phoneticPr fontId="1" type="noConversion"/>
  </si>
  <si>
    <t>Of the 45,371 slaves living in the Middle Colonies in 1790, New York City recorded 5,869 and Philadelphia recorded only 273.</t>
    <phoneticPr fontId="1" type="noConversion"/>
  </si>
  <si>
    <t>(see ** below)</t>
    <phoneticPr fontId="1" type="noConversion"/>
  </si>
  <si>
    <t>What little we know suggests that slaves lived overwhelmingly in the countryside.  For example, in the Middle Colonies,</t>
    <phoneticPr fontId="1" type="noConversion"/>
  </si>
  <si>
    <t>Source = the Lindert-Williamson Excel file "Occupations 1774a by region.xlsx" November 21, 2010</t>
    <phoneticPr fontId="1" type="noConversion"/>
  </si>
  <si>
    <t>Note repeated from worksheet (3):  This file does not yet assign the non-household heads to a household defined by head's occupation.</t>
    <phoneticPr fontId="1" type="noConversion"/>
  </si>
  <si>
    <t>Notes to the Excel file "Occs 1774 by region"</t>
    <phoneticPr fontId="1" type="noConversion"/>
  </si>
  <si>
    <t>[This equals the gpih file "1774 occs by region f", with only minor cosmetic changes.]</t>
    <phoneticPr fontId="1" type="noConversion"/>
  </si>
  <si>
    <t>NOTE: Variant B is more useful for allocating the labor force by the individual's own occupation.</t>
    <phoneticPr fontId="1" type="noConversion"/>
  </si>
  <si>
    <t>Total LFP rate =</t>
  </si>
  <si>
    <t>NOTE: Variant A allocates LF members to households according to the HH's occupation, not the individual LF member's occupation.</t>
    <phoneticPr fontId="1" type="noConversion"/>
  </si>
  <si>
    <t>% share of</t>
    <phoneticPr fontId="1" type="noConversion"/>
  </si>
  <si>
    <t>heads, versus the inclusion of free adult white males who were non-heads</t>
    <phoneticPr fontId="1" type="noConversion"/>
  </si>
  <si>
    <t>Average size of household workforce = LF/HH =</t>
    <phoneticPr fontId="1" type="noConversion"/>
  </si>
  <si>
    <r>
      <t>Historical Statistics of the United States</t>
    </r>
    <r>
      <rPr>
        <sz val="12"/>
        <rFont val="Arial"/>
      </rPr>
      <t xml:space="preserve"> (2006).  Here, and in the file "labor force by colony 1774",</t>
    </r>
    <phoneticPr fontId="1" type="noConversion"/>
  </si>
  <si>
    <r>
      <t>For free non-whites</t>
    </r>
    <r>
      <rPr>
        <sz val="12"/>
        <rFont val="Arial"/>
      </rPr>
      <t>, we assume that 1/6 of the total population of free non-whites</t>
    </r>
    <phoneticPr fontId="1" type="noConversion"/>
  </si>
  <si>
    <t xml:space="preserve">Females with wealth, no occ </t>
    <phoneticPr fontId="1" type="noConversion"/>
  </si>
  <si>
    <t>(3B.) Assigning occupational groups to non-HH members of the labor force -- three variants</t>
    <phoneticPr fontId="1" type="noConversion"/>
  </si>
  <si>
    <t>It counts non-HHs by their own occupations, not by the occupations of the HHs with which they reside.</t>
    <phoneticPr fontId="1" type="noConversion"/>
  </si>
  <si>
    <t>Figures pasted from the bottom of Worksheet (3).  For household heads, see worksheet (2).</t>
    <phoneticPr fontId="1" type="noConversion"/>
  </si>
  <si>
    <t>We did not used the colonial totals available as Series Eg 1-59. This did not matter</t>
    <phoneticPr fontId="1" type="noConversion"/>
  </si>
</sst>
</file>

<file path=xl/styles.xml><?xml version="1.0" encoding="utf-8"?>
<styleSheet xmlns="http://schemas.openxmlformats.org/spreadsheetml/2006/main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"/>
    <numFmt numFmtId="169" formatCode="0.000"/>
    <numFmt numFmtId="170" formatCode="0.00000"/>
    <numFmt numFmtId="171" formatCode="0,000"/>
    <numFmt numFmtId="172" formatCode="#,##0"/>
    <numFmt numFmtId="173" formatCode="#,##0"/>
  </numFmts>
  <fonts count="37">
    <font>
      <sz val="10"/>
      <name val="Verdana"/>
    </font>
    <font>
      <sz val="8"/>
      <name val="Verdana"/>
    </font>
    <font>
      <sz val="12"/>
      <name val="Arial"/>
    </font>
    <font>
      <b/>
      <sz val="12"/>
      <name val="Arial"/>
      <family val="2"/>
    </font>
    <font>
      <i/>
      <sz val="12"/>
      <name val="Arial"/>
    </font>
    <font>
      <sz val="12"/>
      <color indexed="10"/>
      <name val="Arial"/>
    </font>
    <font>
      <sz val="12"/>
      <color indexed="8"/>
      <name val="Arial"/>
    </font>
    <font>
      <sz val="14"/>
      <name val="Arial"/>
    </font>
    <font>
      <sz val="14"/>
      <color indexed="10"/>
      <name val="Arial"/>
    </font>
    <font>
      <b/>
      <sz val="14"/>
      <name val="Arial"/>
      <family val="2"/>
    </font>
    <font>
      <b/>
      <sz val="14"/>
      <color indexed="10"/>
      <name val="Arial"/>
    </font>
    <font>
      <u/>
      <sz val="12"/>
      <name val="Arial"/>
    </font>
    <font>
      <b/>
      <i/>
      <sz val="12"/>
      <name val="Arial"/>
    </font>
    <font>
      <b/>
      <i/>
      <sz val="14"/>
      <name val="Arial"/>
    </font>
    <font>
      <sz val="12"/>
      <color indexed="17"/>
      <name val="Arial"/>
    </font>
    <font>
      <sz val="16"/>
      <color indexed="10"/>
      <name val="Arial"/>
    </font>
    <font>
      <i/>
      <sz val="14"/>
      <name val="Arial"/>
    </font>
    <font>
      <b/>
      <u/>
      <sz val="12"/>
      <name val="Arial"/>
    </font>
    <font>
      <b/>
      <u/>
      <sz val="14"/>
      <name val="Arial"/>
    </font>
    <font>
      <b/>
      <sz val="12"/>
      <color indexed="10"/>
      <name val="Arial"/>
    </font>
    <font>
      <b/>
      <sz val="12"/>
      <color indexed="8"/>
      <name val="Arial"/>
      <family val="2"/>
    </font>
    <font>
      <b/>
      <sz val="16"/>
      <color indexed="10"/>
      <name val="Arial"/>
    </font>
    <font>
      <i/>
      <sz val="10"/>
      <color indexed="17"/>
      <name val="Arial"/>
    </font>
    <font>
      <sz val="12"/>
      <name val="Calibri"/>
    </font>
    <font>
      <b/>
      <sz val="12"/>
      <name val="Calibri"/>
    </font>
    <font>
      <u/>
      <sz val="14"/>
      <color indexed="10"/>
      <name val="Calibri"/>
    </font>
    <font>
      <b/>
      <sz val="14"/>
      <color indexed="8"/>
      <name val="Calibri"/>
    </font>
    <font>
      <b/>
      <sz val="14"/>
      <name val="Calibri"/>
    </font>
    <font>
      <b/>
      <i/>
      <sz val="12"/>
      <name val="Calibri"/>
    </font>
    <font>
      <sz val="12"/>
      <color indexed="10"/>
      <name val="Calibri"/>
    </font>
    <font>
      <sz val="12"/>
      <color indexed="8"/>
      <name val="Calibri"/>
    </font>
    <font>
      <i/>
      <sz val="12"/>
      <name val="Calibri"/>
    </font>
    <font>
      <u/>
      <sz val="12"/>
      <color indexed="10"/>
      <name val="Calibri"/>
    </font>
    <font>
      <b/>
      <sz val="12"/>
      <color indexed="8"/>
      <name val="Calibri"/>
    </font>
    <font>
      <b/>
      <sz val="14"/>
      <color indexed="10"/>
      <name val="Calibri"/>
    </font>
    <font>
      <sz val="14"/>
      <name val="Calibri"/>
    </font>
    <font>
      <sz val="14"/>
      <color indexed="10"/>
      <name val="Calibri"/>
    </font>
  </fonts>
  <fills count="11">
    <fill>
      <patternFill patternType="none"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0">
    <xf numFmtId="0" fontId="0" fillId="0" borderId="0" xfId="0"/>
    <xf numFmtId="0" fontId="2" fillId="0" borderId="0" xfId="0" applyFont="1"/>
    <xf numFmtId="0" fontId="4" fillId="0" borderId="0" xfId="0" applyFont="1"/>
    <xf numFmtId="0" fontId="2" fillId="0" borderId="0" xfId="0" applyFont="1" applyFill="1" applyAlignment="1">
      <alignment horizontal="right"/>
    </xf>
    <xf numFmtId="1" fontId="6" fillId="0" borderId="0" xfId="0" applyNumberFormat="1" applyFont="1"/>
    <xf numFmtId="0" fontId="2" fillId="0" borderId="0" xfId="0" applyFont="1" applyFill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7" fillId="0" borderId="0" xfId="0" applyNumberFormat="1" applyFont="1"/>
    <xf numFmtId="1" fontId="2" fillId="2" borderId="0" xfId="0" applyNumberFormat="1" applyFont="1" applyFill="1"/>
    <xf numFmtId="1" fontId="2" fillId="0" borderId="3" xfId="0" applyNumberFormat="1" applyFont="1" applyBorder="1"/>
    <xf numFmtId="1" fontId="2" fillId="0" borderId="0" xfId="0" applyNumberFormat="1" applyFont="1" applyBorder="1" applyAlignment="1">
      <alignment horizontal="right"/>
    </xf>
    <xf numFmtId="1" fontId="4" fillId="0" borderId="0" xfId="0" applyNumberFormat="1" applyFont="1"/>
    <xf numFmtId="1" fontId="2" fillId="0" borderId="0" xfId="0" applyNumberFormat="1" applyFont="1"/>
    <xf numFmtId="1" fontId="2" fillId="0" borderId="2" xfId="0" applyNumberFormat="1" applyFont="1" applyBorder="1"/>
    <xf numFmtId="168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2" borderId="0" xfId="0" applyNumberFormat="1" applyFont="1" applyFill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68" fontId="2" fillId="0" borderId="0" xfId="0" applyNumberFormat="1" applyFont="1"/>
    <xf numFmtId="1" fontId="2" fillId="0" borderId="0" xfId="0" applyNumberFormat="1" applyFont="1"/>
    <xf numFmtId="1" fontId="2" fillId="0" borderId="1" xfId="0" applyNumberFormat="1" applyFont="1" applyBorder="1"/>
    <xf numFmtId="1" fontId="2" fillId="0" borderId="2" xfId="0" applyNumberFormat="1" applyFont="1" applyBorder="1" applyAlignment="1">
      <alignment horizontal="right"/>
    </xf>
    <xf numFmtId="1" fontId="2" fillId="0" borderId="3" xfId="0" applyNumberFormat="1" applyFont="1" applyBorder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/>
    <xf numFmtId="1" fontId="2" fillId="0" borderId="0" xfId="0" applyNumberFormat="1" applyFont="1"/>
    <xf numFmtId="1" fontId="2" fillId="0" borderId="0" xfId="0" applyNumberFormat="1" applyFont="1" applyFill="1"/>
    <xf numFmtId="1" fontId="8" fillId="0" borderId="0" xfId="0" applyNumberFormat="1" applyFont="1"/>
    <xf numFmtId="1" fontId="5" fillId="0" borderId="0" xfId="0" applyNumberFormat="1" applyFont="1"/>
    <xf numFmtId="0" fontId="2" fillId="0" borderId="0" xfId="0" applyFont="1" applyAlignment="1"/>
    <xf numFmtId="170" fontId="2" fillId="0" borderId="0" xfId="0" applyNumberFormat="1" applyFont="1" applyAlignment="1"/>
    <xf numFmtId="0" fontId="10" fillId="0" borderId="0" xfId="0" applyFont="1" applyAlignment="1"/>
    <xf numFmtId="1" fontId="2" fillId="0" borderId="0" xfId="0" applyNumberFormat="1" applyFont="1" applyAlignment="1"/>
    <xf numFmtId="1" fontId="11" fillId="0" borderId="0" xfId="0" applyNumberFormat="1" applyFont="1"/>
    <xf numFmtId="1" fontId="2" fillId="0" borderId="0" xfId="0" applyNumberFormat="1" applyFont="1" applyAlignment="1">
      <alignment horizontal="left"/>
    </xf>
    <xf numFmtId="0" fontId="10" fillId="0" borderId="0" xfId="0" applyFont="1"/>
    <xf numFmtId="0" fontId="12" fillId="0" borderId="0" xfId="0" applyFont="1"/>
    <xf numFmtId="0" fontId="2" fillId="0" borderId="0" xfId="0" applyFont="1" applyAlignment="1">
      <alignment horizontal="right"/>
    </xf>
    <xf numFmtId="1" fontId="2" fillId="0" borderId="0" xfId="0" applyNumberFormat="1" applyFont="1"/>
    <xf numFmtId="1" fontId="2" fillId="0" borderId="0" xfId="0" applyNumberFormat="1" applyFont="1"/>
    <xf numFmtId="1" fontId="12" fillId="0" borderId="0" xfId="0" applyNumberFormat="1" applyFont="1"/>
    <xf numFmtId="0" fontId="9" fillId="0" borderId="0" xfId="0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Border="1"/>
    <xf numFmtId="0" fontId="2" fillId="0" borderId="0" xfId="0" applyFont="1" applyBorder="1"/>
    <xf numFmtId="1" fontId="2" fillId="0" borderId="4" xfId="0" applyNumberFormat="1" applyFont="1" applyBorder="1"/>
    <xf numFmtId="169" fontId="2" fillId="0" borderId="0" xfId="0" applyNumberFormat="1" applyFont="1"/>
    <xf numFmtId="1" fontId="2" fillId="0" borderId="0" xfId="0" quotePrefix="1" applyNumberFormat="1" applyFont="1" applyAlignment="1">
      <alignment horizontal="center"/>
    </xf>
    <xf numFmtId="0" fontId="13" fillId="0" borderId="0" xfId="0" applyFont="1"/>
    <xf numFmtId="1" fontId="2" fillId="0" borderId="0" xfId="0" applyNumberFormat="1" applyFont="1"/>
    <xf numFmtId="1" fontId="2" fillId="0" borderId="15" xfId="0" applyNumberFormat="1" applyFont="1" applyBorder="1"/>
    <xf numFmtId="1" fontId="2" fillId="0" borderId="16" xfId="0" applyNumberFormat="1" applyFont="1" applyBorder="1"/>
    <xf numFmtId="0" fontId="11" fillId="0" borderId="0" xfId="0" applyFont="1"/>
    <xf numFmtId="0" fontId="15" fillId="0" borderId="0" xfId="0" applyFont="1"/>
    <xf numFmtId="1" fontId="10" fillId="0" borderId="0" xfId="0" applyNumberFormat="1" applyFont="1"/>
    <xf numFmtId="0" fontId="16" fillId="0" borderId="0" xfId="0" applyFont="1"/>
    <xf numFmtId="0" fontId="8" fillId="0" borderId="0" xfId="0" applyFont="1" applyAlignment="1"/>
    <xf numFmtId="170" fontId="8" fillId="0" borderId="0" xfId="0" applyNumberFormat="1" applyFont="1" applyBorder="1" applyAlignment="1">
      <alignment horizontal="left"/>
    </xf>
    <xf numFmtId="0" fontId="8" fillId="0" borderId="0" xfId="0" applyFont="1"/>
    <xf numFmtId="0" fontId="8" fillId="0" borderId="0" xfId="0" applyFont="1" applyAlignment="1">
      <alignment horizontal="left"/>
    </xf>
    <xf numFmtId="1" fontId="2" fillId="0" borderId="0" xfId="0" applyNumberFormat="1" applyFont="1"/>
    <xf numFmtId="1" fontId="2" fillId="0" borderId="0" xfId="0" applyNumberFormat="1" applyFont="1"/>
    <xf numFmtId="0" fontId="16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right"/>
    </xf>
    <xf numFmtId="0" fontId="17" fillId="0" borderId="0" xfId="0" applyFont="1" applyFill="1"/>
    <xf numFmtId="0" fontId="17" fillId="0" borderId="0" xfId="0" applyFont="1"/>
    <xf numFmtId="0" fontId="9" fillId="3" borderId="1" xfId="0" applyFont="1" applyFill="1" applyBorder="1"/>
    <xf numFmtId="0" fontId="9" fillId="3" borderId="2" xfId="0" applyFont="1" applyFill="1" applyBorder="1"/>
    <xf numFmtId="0" fontId="9" fillId="3" borderId="3" xfId="0" applyFont="1" applyFill="1" applyBorder="1"/>
    <xf numFmtId="0" fontId="9" fillId="5" borderId="1" xfId="0" applyFont="1" applyFill="1" applyBorder="1"/>
    <xf numFmtId="0" fontId="9" fillId="5" borderId="2" xfId="0" applyFont="1" applyFill="1" applyBorder="1"/>
    <xf numFmtId="0" fontId="2" fillId="5" borderId="2" xfId="0" applyFont="1" applyFill="1" applyBorder="1"/>
    <xf numFmtId="0" fontId="9" fillId="5" borderId="3" xfId="0" applyFont="1" applyFill="1" applyBorder="1"/>
    <xf numFmtId="0" fontId="9" fillId="6" borderId="1" xfId="0" applyFont="1" applyFill="1" applyBorder="1"/>
    <xf numFmtId="0" fontId="9" fillId="6" borderId="2" xfId="0" applyFont="1" applyFill="1" applyBorder="1"/>
    <xf numFmtId="0" fontId="9" fillId="6" borderId="3" xfId="0" applyFont="1" applyFill="1" applyBorder="1"/>
    <xf numFmtId="0" fontId="11" fillId="0" borderId="0" xfId="0" applyFont="1" applyAlignment="1">
      <alignment horizontal="right"/>
    </xf>
    <xf numFmtId="2" fontId="2" fillId="0" borderId="0" xfId="0" applyNumberFormat="1" applyFont="1"/>
    <xf numFmtId="0" fontId="9" fillId="7" borderId="1" xfId="0" applyFont="1" applyFill="1" applyBorder="1"/>
    <xf numFmtId="0" fontId="9" fillId="7" borderId="2" xfId="0" applyFont="1" applyFill="1" applyBorder="1"/>
    <xf numFmtId="0" fontId="9" fillId="7" borderId="3" xfId="0" applyFont="1" applyFill="1" applyBorder="1"/>
    <xf numFmtId="0" fontId="9" fillId="4" borderId="1" xfId="0" applyFont="1" applyFill="1" applyBorder="1"/>
    <xf numFmtId="0" fontId="2" fillId="4" borderId="2" xfId="0" applyFont="1" applyFill="1" applyBorder="1"/>
    <xf numFmtId="0" fontId="9" fillId="4" borderId="3" xfId="0" applyFont="1" applyFill="1" applyBorder="1"/>
    <xf numFmtId="0" fontId="9" fillId="0" borderId="12" xfId="0" applyFont="1" applyBorder="1"/>
    <xf numFmtId="0" fontId="2" fillId="0" borderId="13" xfId="0" applyFont="1" applyBorder="1"/>
    <xf numFmtId="0" fontId="2" fillId="0" borderId="13" xfId="0" applyFont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/>
    <xf numFmtId="0" fontId="9" fillId="0" borderId="13" xfId="0" applyFont="1" applyBorder="1"/>
    <xf numFmtId="0" fontId="9" fillId="4" borderId="2" xfId="0" applyFont="1" applyFill="1" applyBorder="1"/>
    <xf numFmtId="1" fontId="2" fillId="10" borderId="0" xfId="0" applyNumberFormat="1" applyFont="1" applyFill="1"/>
    <xf numFmtId="0" fontId="2" fillId="10" borderId="0" xfId="0" applyFont="1" applyFill="1"/>
    <xf numFmtId="0" fontId="17" fillId="0" borderId="0" xfId="0" applyFont="1" applyFill="1" applyAlignment="1">
      <alignment horizontal="right"/>
    </xf>
    <xf numFmtId="2" fontId="2" fillId="0" borderId="0" xfId="0" applyNumberFormat="1" applyFont="1"/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right"/>
    </xf>
    <xf numFmtId="0" fontId="6" fillId="0" borderId="0" xfId="0" applyFont="1" applyFill="1"/>
    <xf numFmtId="1" fontId="6" fillId="0" borderId="0" xfId="0" applyNumberFormat="1" applyFont="1" applyFill="1" applyAlignment="1">
      <alignment horizontal="right"/>
    </xf>
    <xf numFmtId="1" fontId="2" fillId="0" borderId="0" xfId="0" applyNumberFormat="1" applyFont="1" applyAlignment="1">
      <alignment horizontal="right"/>
    </xf>
    <xf numFmtId="1" fontId="6" fillId="0" borderId="0" xfId="0" applyNumberFormat="1" applyFont="1" applyFill="1"/>
    <xf numFmtId="1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 applyFill="1"/>
    <xf numFmtId="1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168" fontId="6" fillId="0" borderId="0" xfId="0" applyNumberFormat="1" applyFont="1" applyFill="1"/>
    <xf numFmtId="1" fontId="2" fillId="0" borderId="0" xfId="0" applyNumberFormat="1" applyFont="1"/>
    <xf numFmtId="1" fontId="2" fillId="9" borderId="4" xfId="0" applyNumberFormat="1" applyFont="1" applyFill="1" applyBorder="1"/>
    <xf numFmtId="1" fontId="6" fillId="0" borderId="0" xfId="0" applyNumberFormat="1" applyFont="1" applyFill="1"/>
    <xf numFmtId="1" fontId="2" fillId="0" borderId="0" xfId="0" applyNumberFormat="1" applyFont="1" applyFill="1" applyBorder="1"/>
    <xf numFmtId="1" fontId="2" fillId="0" borderId="0" xfId="0" applyNumberFormat="1" applyFont="1" applyFill="1" applyBorder="1" applyAlignment="1">
      <alignment horizontal="right"/>
    </xf>
    <xf numFmtId="1" fontId="2" fillId="10" borderId="4" xfId="0" applyNumberFormat="1" applyFont="1" applyFill="1" applyBorder="1"/>
    <xf numFmtId="1" fontId="2" fillId="0" borderId="0" xfId="0" applyNumberFormat="1" applyFont="1"/>
    <xf numFmtId="1" fontId="2" fillId="5" borderId="2" xfId="0" applyNumberFormat="1" applyFont="1" applyFill="1" applyBorder="1"/>
    <xf numFmtId="1" fontId="2" fillId="4" borderId="2" xfId="0" applyNumberFormat="1" applyFont="1" applyFill="1" applyBorder="1"/>
    <xf numFmtId="1" fontId="2" fillId="0" borderId="13" xfId="0" applyNumberFormat="1" applyFont="1" applyBorder="1"/>
    <xf numFmtId="1" fontId="2" fillId="0" borderId="14" xfId="0" applyNumberFormat="1" applyFont="1" applyBorder="1"/>
    <xf numFmtId="1" fontId="2" fillId="0" borderId="0" xfId="0" applyNumberFormat="1" applyFont="1" applyAlignment="1">
      <alignment horizontal="right"/>
    </xf>
    <xf numFmtId="1" fontId="3" fillId="3" borderId="1" xfId="0" applyNumberFormat="1" applyFont="1" applyFill="1" applyBorder="1"/>
    <xf numFmtId="1" fontId="3" fillId="3" borderId="2" xfId="0" applyNumberFormat="1" applyFont="1" applyFill="1" applyBorder="1"/>
    <xf numFmtId="1" fontId="3" fillId="3" borderId="3" xfId="0" applyNumberFormat="1" applyFont="1" applyFill="1" applyBorder="1"/>
    <xf numFmtId="1" fontId="3" fillId="0" borderId="0" xfId="0" applyNumberFormat="1" applyFont="1"/>
    <xf numFmtId="1" fontId="3" fillId="5" borderId="1" xfId="0" applyNumberFormat="1" applyFont="1" applyFill="1" applyBorder="1"/>
    <xf numFmtId="1" fontId="3" fillId="5" borderId="2" xfId="0" applyNumberFormat="1" applyFont="1" applyFill="1" applyBorder="1"/>
    <xf numFmtId="1" fontId="3" fillId="5" borderId="3" xfId="0" applyNumberFormat="1" applyFont="1" applyFill="1" applyBorder="1"/>
    <xf numFmtId="1" fontId="3" fillId="6" borderId="1" xfId="0" applyNumberFormat="1" applyFont="1" applyFill="1" applyBorder="1"/>
    <xf numFmtId="1" fontId="3" fillId="6" borderId="2" xfId="0" applyNumberFormat="1" applyFont="1" applyFill="1" applyBorder="1"/>
    <xf numFmtId="1" fontId="3" fillId="6" borderId="3" xfId="0" applyNumberFormat="1" applyFont="1" applyFill="1" applyBorder="1"/>
    <xf numFmtId="1" fontId="3" fillId="7" borderId="1" xfId="0" applyNumberFormat="1" applyFont="1" applyFill="1" applyBorder="1"/>
    <xf numFmtId="1" fontId="3" fillId="7" borderId="2" xfId="0" applyNumberFormat="1" applyFont="1" applyFill="1" applyBorder="1"/>
    <xf numFmtId="1" fontId="3" fillId="7" borderId="3" xfId="0" applyNumberFormat="1" applyFont="1" applyFill="1" applyBorder="1"/>
    <xf numFmtId="1" fontId="3" fillId="4" borderId="1" xfId="0" applyNumberFormat="1" applyFont="1" applyFill="1" applyBorder="1"/>
    <xf numFmtId="1" fontId="3" fillId="4" borderId="2" xfId="0" applyNumberFormat="1" applyFont="1" applyFill="1" applyBorder="1"/>
    <xf numFmtId="1" fontId="3" fillId="4" borderId="3" xfId="0" applyNumberFormat="1" applyFont="1" applyFill="1" applyBorder="1"/>
    <xf numFmtId="1" fontId="3" fillId="0" borderId="12" xfId="0" applyNumberFormat="1" applyFont="1" applyBorder="1"/>
    <xf numFmtId="1" fontId="3" fillId="0" borderId="13" xfId="0" applyNumberFormat="1" applyFont="1" applyBorder="1"/>
    <xf numFmtId="1" fontId="2" fillId="10" borderId="5" xfId="0" applyNumberFormat="1" applyFont="1" applyFill="1" applyBorder="1"/>
    <xf numFmtId="1" fontId="2" fillId="8" borderId="0" xfId="0" applyNumberFormat="1" applyFont="1" applyFill="1" applyBorder="1"/>
    <xf numFmtId="1" fontId="2" fillId="0" borderId="0" xfId="0" applyNumberFormat="1" applyFont="1"/>
    <xf numFmtId="1" fontId="2" fillId="0" borderId="4" xfId="0" applyNumberFormat="1" applyFont="1" applyBorder="1"/>
    <xf numFmtId="1" fontId="2" fillId="8" borderId="0" xfId="0" applyNumberFormat="1" applyFont="1" applyFill="1" applyBorder="1"/>
    <xf numFmtId="1" fontId="2" fillId="0" borderId="4" xfId="0" applyNumberFormat="1" applyFont="1" applyBorder="1"/>
    <xf numFmtId="1" fontId="2" fillId="8" borderId="0" xfId="0" applyNumberFormat="1" applyFont="1" applyFill="1" applyBorder="1"/>
    <xf numFmtId="1" fontId="2" fillId="0" borderId="0" xfId="0" applyNumberFormat="1" applyFont="1"/>
    <xf numFmtId="1" fontId="2" fillId="8" borderId="0" xfId="0" applyNumberFormat="1" applyFont="1" applyFill="1" applyBorder="1"/>
    <xf numFmtId="169" fontId="2" fillId="0" borderId="0" xfId="0" applyNumberFormat="1" applyFont="1"/>
    <xf numFmtId="1" fontId="13" fillId="0" borderId="0" xfId="0" applyNumberFormat="1" applyFont="1"/>
    <xf numFmtId="169" fontId="2" fillId="0" borderId="0" xfId="0" applyNumberFormat="1" applyFont="1"/>
    <xf numFmtId="1" fontId="3" fillId="0" borderId="0" xfId="0" applyNumberFormat="1" applyFont="1" applyAlignment="1">
      <alignment horizontal="right"/>
    </xf>
    <xf numFmtId="1" fontId="3" fillId="10" borderId="5" xfId="0" applyNumberFormat="1" applyFont="1" applyFill="1" applyBorder="1"/>
    <xf numFmtId="1" fontId="3" fillId="0" borderId="0" xfId="0" applyNumberFormat="1" applyFont="1" applyAlignment="1">
      <alignment horizontal="left"/>
    </xf>
    <xf numFmtId="0" fontId="3" fillId="0" borderId="0" xfId="0" applyFont="1"/>
    <xf numFmtId="1" fontId="3" fillId="0" borderId="0" xfId="0" applyNumberFormat="1" applyFont="1" applyAlignment="1">
      <alignment horizontal="left"/>
    </xf>
    <xf numFmtId="169" fontId="2" fillId="0" borderId="0" xfId="0" applyNumberFormat="1" applyFont="1" applyAlignment="1">
      <alignment horizontal="right"/>
    </xf>
    <xf numFmtId="169" fontId="2" fillId="0" borderId="0" xfId="0" applyNumberFormat="1" applyFont="1"/>
    <xf numFmtId="1" fontId="2" fillId="0" borderId="0" xfId="0" applyNumberFormat="1" applyFont="1" applyAlignment="1">
      <alignment horizontal="right"/>
    </xf>
    <xf numFmtId="1" fontId="2" fillId="0" borderId="0" xfId="0" applyNumberFormat="1" applyFont="1"/>
    <xf numFmtId="0" fontId="14" fillId="0" borderId="0" xfId="0" applyFont="1"/>
    <xf numFmtId="0" fontId="14" fillId="0" borderId="0" xfId="0" applyFont="1" applyAlignment="1">
      <alignment horizontal="right"/>
    </xf>
    <xf numFmtId="1" fontId="14" fillId="0" borderId="0" xfId="0" applyNumberFormat="1" applyFont="1"/>
    <xf numFmtId="0" fontId="18" fillId="0" borderId="0" xfId="0" applyFont="1" applyFill="1"/>
    <xf numFmtId="0" fontId="19" fillId="0" borderId="0" xfId="0" applyFont="1" applyFill="1"/>
    <xf numFmtId="0" fontId="5" fillId="0" borderId="0" xfId="0" applyFont="1" applyFill="1"/>
    <xf numFmtId="0" fontId="19" fillId="0" borderId="0" xfId="0" applyFont="1"/>
    <xf numFmtId="1" fontId="2" fillId="0" borderId="0" xfId="0" applyNumberFormat="1" applyFont="1"/>
    <xf numFmtId="1" fontId="2" fillId="0" borderId="4" xfId="0" applyNumberFormat="1" applyFont="1" applyBorder="1"/>
    <xf numFmtId="1" fontId="2" fillId="0" borderId="0" xfId="0" applyNumberFormat="1" applyFont="1"/>
    <xf numFmtId="1" fontId="2" fillId="0" borderId="0" xfId="0" applyNumberFormat="1" applyFont="1"/>
    <xf numFmtId="0" fontId="2" fillId="0" borderId="0" xfId="0" applyFont="1" applyAlignment="1">
      <alignment horizontal="left"/>
    </xf>
    <xf numFmtId="1" fontId="20" fillId="0" borderId="0" xfId="0" applyNumberFormat="1" applyFont="1"/>
    <xf numFmtId="0" fontId="2" fillId="9" borderId="0" xfId="0" applyFont="1" applyFill="1"/>
    <xf numFmtId="169" fontId="2" fillId="9" borderId="0" xfId="0" applyNumberFormat="1" applyFont="1" applyFill="1"/>
    <xf numFmtId="1" fontId="2" fillId="9" borderId="0" xfId="0" applyNumberFormat="1" applyFont="1" applyFill="1"/>
    <xf numFmtId="1" fontId="2" fillId="9" borderId="0" xfId="0" quotePrefix="1" applyNumberFormat="1" applyFont="1" applyFill="1" applyAlignment="1">
      <alignment horizontal="center"/>
    </xf>
    <xf numFmtId="1" fontId="4" fillId="9" borderId="0" xfId="0" applyNumberFormat="1" applyFont="1" applyFill="1"/>
    <xf numFmtId="1" fontId="2" fillId="9" borderId="0" xfId="0" applyNumberFormat="1" applyFont="1" applyFill="1" applyBorder="1"/>
    <xf numFmtId="1" fontId="3" fillId="9" borderId="0" xfId="0" applyNumberFormat="1" applyFont="1" applyFill="1" applyAlignment="1">
      <alignment horizontal="left"/>
    </xf>
    <xf numFmtId="1" fontId="2" fillId="9" borderId="0" xfId="0" applyNumberFormat="1" applyFont="1" applyFill="1" applyAlignment="1">
      <alignment horizontal="right"/>
    </xf>
    <xf numFmtId="1" fontId="2" fillId="9" borderId="0" xfId="0" applyNumberFormat="1" applyFont="1" applyFill="1" applyAlignment="1">
      <alignment horizontal="center"/>
    </xf>
    <xf numFmtId="1" fontId="3" fillId="9" borderId="0" xfId="0" applyNumberFormat="1" applyFont="1" applyFill="1" applyAlignment="1">
      <alignment horizontal="right"/>
    </xf>
    <xf numFmtId="169" fontId="2" fillId="9" borderId="0" xfId="0" applyNumberFormat="1" applyFont="1" applyFill="1" applyAlignment="1">
      <alignment horizontal="right"/>
    </xf>
    <xf numFmtId="1" fontId="3" fillId="9" borderId="0" xfId="0" applyNumberFormat="1" applyFont="1" applyFill="1"/>
    <xf numFmtId="1" fontId="3" fillId="9" borderId="5" xfId="0" applyNumberFormat="1" applyFont="1" applyFill="1" applyBorder="1"/>
    <xf numFmtId="1" fontId="13" fillId="9" borderId="0" xfId="0" applyNumberFormat="1" applyFont="1" applyFill="1"/>
    <xf numFmtId="0" fontId="2" fillId="9" borderId="0" xfId="0" applyFont="1" applyFill="1" applyAlignment="1">
      <alignment horizontal="right"/>
    </xf>
    <xf numFmtId="1" fontId="21" fillId="0" borderId="0" xfId="0" applyNumberFormat="1" applyFont="1"/>
    <xf numFmtId="1" fontId="5" fillId="9" borderId="0" xfId="0" applyNumberFormat="1" applyFont="1" applyFill="1" applyAlignment="1">
      <alignment horizontal="left"/>
    </xf>
    <xf numFmtId="2" fontId="2" fillId="0" borderId="0" xfId="0" applyNumberFormat="1" applyFont="1"/>
    <xf numFmtId="1" fontId="2" fillId="0" borderId="0" xfId="0" applyNumberFormat="1" applyFont="1"/>
    <xf numFmtId="169" fontId="2" fillId="0" borderId="0" xfId="0" applyNumberFormat="1" applyFont="1"/>
    <xf numFmtId="2" fontId="2" fillId="0" borderId="0" xfId="0" applyNumberFormat="1" applyFont="1"/>
    <xf numFmtId="169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168" fontId="2" fillId="0" borderId="0" xfId="0" applyNumberFormat="1" applyFont="1"/>
    <xf numFmtId="0" fontId="13" fillId="9" borderId="0" xfId="0" applyFont="1" applyFill="1"/>
    <xf numFmtId="0" fontId="20" fillId="0" borderId="0" xfId="0" applyFont="1"/>
    <xf numFmtId="1" fontId="10" fillId="9" borderId="0" xfId="0" applyNumberFormat="1" applyFont="1" applyFill="1"/>
    <xf numFmtId="0" fontId="6" fillId="0" borderId="0" xfId="0" applyFont="1"/>
    <xf numFmtId="171" fontId="2" fillId="0" borderId="0" xfId="0" applyNumberFormat="1" applyFont="1"/>
    <xf numFmtId="171" fontId="2" fillId="0" borderId="5" xfId="0" applyNumberFormat="1" applyFont="1" applyBorder="1"/>
    <xf numFmtId="171" fontId="2" fillId="0" borderId="0" xfId="0" applyNumberFormat="1" applyFont="1" applyBorder="1"/>
    <xf numFmtId="1" fontId="2" fillId="0" borderId="0" xfId="0" applyNumberFormat="1" applyFont="1"/>
    <xf numFmtId="1" fontId="2" fillId="0" borderId="4" xfId="0" applyNumberFormat="1" applyFont="1" applyBorder="1" applyAlignment="1">
      <alignment horizontal="right"/>
    </xf>
    <xf numFmtId="1" fontId="19" fillId="0" borderId="0" xfId="0" applyNumberFormat="1" applyFont="1"/>
    <xf numFmtId="1" fontId="5" fillId="0" borderId="0" xfId="0" applyNumberFormat="1" applyFont="1" applyAlignment="1"/>
    <xf numFmtId="170" fontId="2" fillId="0" borderId="0" xfId="0" applyNumberFormat="1" applyFont="1"/>
    <xf numFmtId="171" fontId="2" fillId="0" borderId="0" xfId="0" applyNumberFormat="1" applyFont="1" applyAlignment="1">
      <alignment horizontal="right"/>
    </xf>
    <xf numFmtId="171" fontId="2" fillId="0" borderId="0" xfId="0" applyNumberFormat="1" applyFont="1"/>
    <xf numFmtId="171" fontId="2" fillId="0" borderId="0" xfId="0" applyNumberFormat="1" applyFont="1" applyBorder="1" applyAlignment="1">
      <alignment horizontal="right"/>
    </xf>
    <xf numFmtId="171" fontId="4" fillId="0" borderId="0" xfId="0" applyNumberFormat="1" applyFont="1" applyAlignment="1">
      <alignment horizontal="right"/>
    </xf>
    <xf numFmtId="171" fontId="4" fillId="0" borderId="0" xfId="0" applyNumberFormat="1" applyFont="1"/>
    <xf numFmtId="171" fontId="2" fillId="3" borderId="5" xfId="0" applyNumberFormat="1" applyFont="1" applyFill="1" applyBorder="1"/>
    <xf numFmtId="171" fontId="2" fillId="0" borderId="0" xfId="0" applyNumberFormat="1" applyFont="1" applyAlignment="1">
      <alignment horizontal="right"/>
    </xf>
    <xf numFmtId="0" fontId="3" fillId="9" borderId="0" xfId="0" applyFont="1" applyFill="1"/>
    <xf numFmtId="0" fontId="22" fillId="0" borderId="0" xfId="0" applyFont="1"/>
    <xf numFmtId="17" fontId="22" fillId="0" borderId="0" xfId="0" applyNumberFormat="1" applyFont="1"/>
    <xf numFmtId="0" fontId="19" fillId="9" borderId="0" xfId="0" applyFont="1" applyFill="1"/>
    <xf numFmtId="0" fontId="23" fillId="0" borderId="0" xfId="0" applyFont="1" applyAlignment="1"/>
    <xf numFmtId="170" fontId="23" fillId="0" borderId="0" xfId="0" applyNumberFormat="1" applyFont="1" applyAlignment="1"/>
    <xf numFmtId="0" fontId="23" fillId="9" borderId="0" xfId="0" applyFont="1" applyFill="1" applyAlignment="1"/>
    <xf numFmtId="0" fontId="24" fillId="9" borderId="0" xfId="0" applyFont="1" applyFill="1" applyAlignment="1"/>
    <xf numFmtId="0" fontId="23" fillId="0" borderId="0" xfId="0" applyFont="1" applyBorder="1" applyAlignment="1"/>
    <xf numFmtId="170" fontId="23" fillId="0" borderId="0" xfId="0" applyNumberFormat="1" applyFont="1" applyBorder="1" applyAlignment="1"/>
    <xf numFmtId="170" fontId="25" fillId="0" borderId="0" xfId="0" applyNumberFormat="1" applyFont="1" applyBorder="1" applyAlignment="1">
      <alignment horizontal="left"/>
    </xf>
    <xf numFmtId="0" fontId="26" fillId="5" borderId="0" xfId="0" applyFont="1" applyFill="1" applyBorder="1" applyAlignment="1"/>
    <xf numFmtId="170" fontId="27" fillId="9" borderId="0" xfId="0" applyNumberFormat="1" applyFont="1" applyFill="1" applyAlignment="1"/>
    <xf numFmtId="170" fontId="23" fillId="9" borderId="0" xfId="0" applyNumberFormat="1" applyFont="1" applyFill="1" applyAlignment="1"/>
    <xf numFmtId="0" fontId="27" fillId="9" borderId="0" xfId="0" applyFont="1" applyFill="1" applyAlignment="1"/>
    <xf numFmtId="0" fontId="27" fillId="7" borderId="0" xfId="0" applyFont="1" applyFill="1" applyAlignment="1"/>
    <xf numFmtId="0" fontId="26" fillId="4" borderId="0" xfId="0" applyFont="1" applyFill="1" applyAlignment="1"/>
    <xf numFmtId="0" fontId="28" fillId="0" borderId="0" xfId="0" applyFont="1" applyBorder="1" applyAlignment="1"/>
    <xf numFmtId="170" fontId="23" fillId="0" borderId="0" xfId="0" applyNumberFormat="1" applyFont="1" applyBorder="1" applyAlignment="1">
      <alignment horizontal="right"/>
    </xf>
    <xf numFmtId="170" fontId="23" fillId="9" borderId="0" xfId="0" applyNumberFormat="1" applyFont="1" applyFill="1" applyAlignment="1">
      <alignment horizontal="right"/>
    </xf>
    <xf numFmtId="0" fontId="23" fillId="0" borderId="0" xfId="0" applyFont="1" applyAlignment="1">
      <alignment horizontal="right"/>
    </xf>
    <xf numFmtId="170" fontId="24" fillId="0" borderId="0" xfId="0" applyNumberFormat="1" applyFont="1" applyBorder="1" applyAlignment="1"/>
    <xf numFmtId="170" fontId="23" fillId="9" borderId="6" xfId="0" applyNumberFormat="1" applyFont="1" applyFill="1" applyBorder="1" applyAlignment="1"/>
    <xf numFmtId="170" fontId="23" fillId="9" borderId="7" xfId="0" applyNumberFormat="1" applyFont="1" applyFill="1" applyBorder="1" applyAlignment="1"/>
    <xf numFmtId="170" fontId="23" fillId="0" borderId="6" xfId="0" applyNumberFormat="1" applyFont="1" applyBorder="1" applyAlignment="1"/>
    <xf numFmtId="170" fontId="23" fillId="0" borderId="7" xfId="0" applyNumberFormat="1" applyFont="1" applyBorder="1" applyAlignment="1"/>
    <xf numFmtId="1" fontId="23" fillId="0" borderId="0" xfId="0" applyNumberFormat="1" applyFont="1"/>
    <xf numFmtId="170" fontId="23" fillId="9" borderId="8" xfId="0" applyNumberFormat="1" applyFont="1" applyFill="1" applyBorder="1" applyAlignment="1"/>
    <xf numFmtId="1" fontId="23" fillId="9" borderId="9" xfId="0" applyNumberFormat="1" applyFont="1" applyFill="1" applyBorder="1" applyAlignment="1"/>
    <xf numFmtId="170" fontId="23" fillId="0" borderId="8" xfId="0" applyNumberFormat="1" applyFont="1" applyBorder="1" applyAlignment="1"/>
    <xf numFmtId="170" fontId="23" fillId="0" borderId="9" xfId="0" applyNumberFormat="1" applyFont="1" applyBorder="1" applyAlignment="1"/>
    <xf numFmtId="1" fontId="23" fillId="9" borderId="0" xfId="0" applyNumberFormat="1" applyFont="1" applyFill="1" applyAlignment="1"/>
    <xf numFmtId="170" fontId="23" fillId="9" borderId="9" xfId="0" applyNumberFormat="1" applyFont="1" applyFill="1" applyBorder="1" applyAlignment="1"/>
    <xf numFmtId="170" fontId="24" fillId="0" borderId="0" xfId="0" applyNumberFormat="1" applyFont="1" applyFill="1" applyBorder="1" applyAlignment="1"/>
    <xf numFmtId="170" fontId="24" fillId="0" borderId="1" xfId="0" applyNumberFormat="1" applyFont="1" applyBorder="1" applyAlignment="1"/>
    <xf numFmtId="170" fontId="24" fillId="0" borderId="3" xfId="0" applyNumberFormat="1" applyFont="1" applyBorder="1" applyAlignment="1"/>
    <xf numFmtId="1" fontId="23" fillId="0" borderId="0" xfId="0" applyNumberFormat="1" applyFont="1" applyBorder="1" applyAlignment="1"/>
    <xf numFmtId="170" fontId="23" fillId="9" borderId="10" xfId="0" applyNumberFormat="1" applyFont="1" applyFill="1" applyBorder="1" applyAlignment="1"/>
    <xf numFmtId="170" fontId="23" fillId="9" borderId="11" xfId="0" applyNumberFormat="1" applyFont="1" applyFill="1" applyBorder="1" applyAlignment="1"/>
    <xf numFmtId="170" fontId="23" fillId="0" borderId="10" xfId="0" applyNumberFormat="1" applyFont="1" applyBorder="1" applyAlignment="1"/>
    <xf numFmtId="170" fontId="23" fillId="0" borderId="11" xfId="0" applyNumberFormat="1" applyFont="1" applyBorder="1" applyAlignment="1"/>
    <xf numFmtId="0" fontId="23" fillId="0" borderId="0" xfId="0" applyFont="1" applyBorder="1" applyAlignment="1">
      <alignment horizontal="right"/>
    </xf>
    <xf numFmtId="170" fontId="23" fillId="0" borderId="4" xfId="0" applyNumberFormat="1" applyFont="1" applyBorder="1" applyAlignment="1"/>
    <xf numFmtId="170" fontId="23" fillId="9" borderId="4" xfId="0" applyNumberFormat="1" applyFont="1" applyFill="1" applyBorder="1" applyAlignment="1"/>
    <xf numFmtId="0" fontId="25" fillId="0" borderId="0" xfId="0" applyFont="1" applyAlignment="1"/>
    <xf numFmtId="0" fontId="27" fillId="3" borderId="0" xfId="0" applyFont="1" applyFill="1" applyAlignment="1"/>
    <xf numFmtId="170" fontId="23" fillId="0" borderId="0" xfId="0" applyNumberFormat="1" applyFont="1" applyAlignment="1">
      <alignment horizontal="right"/>
    </xf>
    <xf numFmtId="1" fontId="23" fillId="0" borderId="0" xfId="0" applyNumberFormat="1" applyFont="1" applyAlignment="1"/>
    <xf numFmtId="1" fontId="23" fillId="0" borderId="4" xfId="0" applyNumberFormat="1" applyFont="1" applyBorder="1" applyAlignment="1"/>
    <xf numFmtId="1" fontId="23" fillId="9" borderId="4" xfId="0" applyNumberFormat="1" applyFont="1" applyFill="1" applyBorder="1" applyAlignment="1"/>
    <xf numFmtId="0" fontId="25" fillId="0" borderId="0" xfId="0" applyFont="1" applyAlignment="1">
      <alignment horizontal="left"/>
    </xf>
    <xf numFmtId="1" fontId="29" fillId="0" borderId="0" xfId="0" applyNumberFormat="1" applyFont="1" applyAlignment="1">
      <alignment horizontal="left"/>
    </xf>
    <xf numFmtId="0" fontId="29" fillId="0" borderId="0" xfId="0" applyFont="1" applyAlignment="1"/>
    <xf numFmtId="1" fontId="24" fillId="0" borderId="0" xfId="0" applyNumberFormat="1" applyFont="1" applyAlignment="1"/>
    <xf numFmtId="1" fontId="23" fillId="3" borderId="5" xfId="0" applyNumberFormat="1" applyFont="1" applyFill="1" applyBorder="1" applyAlignment="1"/>
    <xf numFmtId="1" fontId="29" fillId="0" borderId="0" xfId="0" applyNumberFormat="1" applyFont="1" applyAlignment="1"/>
    <xf numFmtId="1" fontId="23" fillId="9" borderId="0" xfId="0" applyNumberFormat="1" applyFont="1" applyFill="1" applyAlignment="1">
      <alignment horizontal="right"/>
    </xf>
    <xf numFmtId="1" fontId="23" fillId="0" borderId="0" xfId="0" applyNumberFormat="1" applyFont="1" applyFill="1" applyAlignment="1"/>
    <xf numFmtId="1" fontId="30" fillId="0" borderId="0" xfId="0" applyNumberFormat="1" applyFont="1"/>
    <xf numFmtId="1" fontId="23" fillId="0" borderId="5" xfId="0" applyNumberFormat="1" applyFont="1" applyBorder="1" applyAlignment="1"/>
    <xf numFmtId="1" fontId="23" fillId="0" borderId="5" xfId="0" applyNumberFormat="1" applyFont="1" applyFill="1" applyBorder="1" applyAlignment="1"/>
    <xf numFmtId="1" fontId="23" fillId="3" borderId="4" xfId="0" applyNumberFormat="1" applyFont="1" applyFill="1" applyBorder="1" applyAlignment="1"/>
    <xf numFmtId="0" fontId="32" fillId="0" borderId="0" xfId="0" applyFont="1" applyAlignment="1"/>
    <xf numFmtId="0" fontId="34" fillId="0" borderId="0" xfId="0" applyFont="1" applyAlignment="1"/>
    <xf numFmtId="0" fontId="35" fillId="0" borderId="0" xfId="0" applyFont="1" applyAlignment="1"/>
    <xf numFmtId="170" fontId="35" fillId="0" borderId="0" xfId="0" applyNumberFormat="1" applyFont="1" applyAlignment="1"/>
    <xf numFmtId="0" fontId="35" fillId="9" borderId="0" xfId="0" applyFont="1" applyFill="1" applyAlignment="1"/>
    <xf numFmtId="0" fontId="36" fillId="0" borderId="0" xfId="0" applyFont="1" applyAlignment="1"/>
    <xf numFmtId="170" fontId="35" fillId="5" borderId="0" xfId="0" applyNumberFormat="1" applyFont="1" applyFill="1" applyBorder="1" applyAlignment="1">
      <alignment horizontal="right"/>
    </xf>
    <xf numFmtId="170" fontId="35" fillId="5" borderId="0" xfId="0" applyNumberFormat="1" applyFont="1" applyFill="1" applyBorder="1" applyAlignment="1"/>
    <xf numFmtId="170" fontId="35" fillId="9" borderId="0" xfId="0" applyNumberFormat="1" applyFont="1" applyFill="1" applyAlignment="1"/>
    <xf numFmtId="0" fontId="35" fillId="7" borderId="0" xfId="0" applyFont="1" applyFill="1" applyAlignment="1"/>
    <xf numFmtId="0" fontId="35" fillId="4" borderId="0" xfId="0" applyFont="1" applyFill="1" applyAlignment="1"/>
    <xf numFmtId="170" fontId="35" fillId="4" borderId="0" xfId="0" applyNumberFormat="1" applyFont="1" applyFill="1" applyAlignment="1"/>
    <xf numFmtId="0" fontId="35" fillId="3" borderId="0" xfId="0" applyFont="1" applyFill="1" applyAlignment="1"/>
    <xf numFmtId="0" fontId="35" fillId="0" borderId="5" xfId="0" applyFont="1" applyBorder="1" applyAlignment="1"/>
    <xf numFmtId="0" fontId="35" fillId="0" borderId="0" xfId="0" applyFont="1" applyBorder="1" applyAlignment="1"/>
    <xf numFmtId="1" fontId="35" fillId="0" borderId="0" xfId="0" applyNumberFormat="1" applyFont="1" applyAlignment="1"/>
    <xf numFmtId="173" fontId="23" fillId="0" borderId="0" xfId="0" applyNumberFormat="1" applyFont="1" applyAlignment="1"/>
    <xf numFmtId="173" fontId="23" fillId="0" borderId="4" xfId="0" applyNumberFormat="1" applyFont="1" applyBorder="1" applyAlignment="1"/>
    <xf numFmtId="173" fontId="23" fillId="9" borderId="0" xfId="0" applyNumberFormat="1" applyFont="1" applyFill="1" applyAlignment="1"/>
    <xf numFmtId="173" fontId="23" fillId="9" borderId="4" xfId="0" applyNumberFormat="1" applyFont="1" applyFill="1" applyBorder="1" applyAlignment="1"/>
    <xf numFmtId="173" fontId="35" fillId="0" borderId="0" xfId="0" applyNumberFormat="1" applyFont="1" applyAlignment="1"/>
    <xf numFmtId="173" fontId="35" fillId="9" borderId="0" xfId="0" applyNumberFormat="1" applyFont="1" applyFill="1" applyAlignment="1"/>
    <xf numFmtId="173" fontId="33" fillId="5" borderId="0" xfId="0" applyNumberFormat="1" applyFont="1" applyFill="1" applyBorder="1" applyAlignment="1"/>
    <xf numFmtId="173" fontId="23" fillId="5" borderId="0" xfId="0" applyNumberFormat="1" applyFont="1" applyFill="1" applyBorder="1" applyAlignment="1">
      <alignment horizontal="right"/>
    </xf>
    <xf numFmtId="173" fontId="23" fillId="5" borderId="0" xfId="0" applyNumberFormat="1" applyFont="1" applyFill="1" applyBorder="1" applyAlignment="1"/>
    <xf numFmtId="173" fontId="24" fillId="9" borderId="0" xfId="0" applyNumberFormat="1" applyFont="1" applyFill="1" applyAlignment="1"/>
    <xf numFmtId="173" fontId="24" fillId="7" borderId="0" xfId="0" applyNumberFormat="1" applyFont="1" applyFill="1" applyAlignment="1"/>
    <xf numFmtId="173" fontId="23" fillId="7" borderId="0" xfId="0" applyNumberFormat="1" applyFont="1" applyFill="1" applyAlignment="1"/>
    <xf numFmtId="173" fontId="33" fillId="4" borderId="0" xfId="0" applyNumberFormat="1" applyFont="1" applyFill="1" applyAlignment="1"/>
    <xf numFmtId="173" fontId="23" fillId="4" borderId="0" xfId="0" applyNumberFormat="1" applyFont="1" applyFill="1" applyAlignment="1"/>
    <xf numFmtId="173" fontId="24" fillId="3" borderId="0" xfId="0" applyNumberFormat="1" applyFont="1" applyFill="1" applyAlignment="1"/>
    <xf numFmtId="173" fontId="23" fillId="3" borderId="0" xfId="0" applyNumberFormat="1" applyFont="1" applyFill="1" applyAlignment="1"/>
    <xf numFmtId="173" fontId="23" fillId="0" borderId="0" xfId="0" applyNumberFormat="1" applyFont="1" applyBorder="1" applyAlignment="1">
      <alignment horizontal="right"/>
    </xf>
    <xf numFmtId="173" fontId="23" fillId="0" borderId="0" xfId="0" applyNumberFormat="1" applyFont="1" applyAlignment="1">
      <alignment horizontal="right"/>
    </xf>
    <xf numFmtId="173" fontId="23" fillId="9" borderId="0" xfId="0" applyNumberFormat="1" applyFont="1" applyFill="1" applyAlignment="1">
      <alignment horizontal="right"/>
    </xf>
    <xf numFmtId="173" fontId="23" fillId="9" borderId="6" xfId="0" applyNumberFormat="1" applyFont="1" applyFill="1" applyBorder="1" applyAlignment="1"/>
    <xf numFmtId="173" fontId="23" fillId="9" borderId="7" xfId="0" applyNumberFormat="1" applyFont="1" applyFill="1" applyBorder="1" applyAlignment="1"/>
    <xf numFmtId="173" fontId="29" fillId="0" borderId="0" xfId="0" applyNumberFormat="1" applyFont="1" applyAlignment="1">
      <alignment horizontal="left"/>
    </xf>
    <xf numFmtId="173" fontId="23" fillId="9" borderId="8" xfId="0" applyNumberFormat="1" applyFont="1" applyFill="1" applyBorder="1" applyAlignment="1"/>
    <xf numFmtId="173" fontId="23" fillId="9" borderId="9" xfId="0" applyNumberFormat="1" applyFont="1" applyFill="1" applyBorder="1" applyAlignment="1"/>
    <xf numFmtId="173" fontId="23" fillId="9" borderId="10" xfId="0" applyNumberFormat="1" applyFont="1" applyFill="1" applyBorder="1" applyAlignment="1"/>
    <xf numFmtId="173" fontId="23" fillId="9" borderId="11" xfId="0" applyNumberFormat="1" applyFont="1" applyFill="1" applyBorder="1" applyAlignment="1"/>
    <xf numFmtId="173" fontId="23" fillId="9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K108"/>
  <sheetViews>
    <sheetView tabSelected="1" topLeftCell="A30" zoomScale="125" workbookViewId="0">
      <selection activeCell="J50" sqref="J50"/>
    </sheetView>
  </sheetViews>
  <sheetFormatPr baseColWidth="10" defaultRowHeight="15"/>
  <cols>
    <col min="1" max="3" width="10.7109375" style="34"/>
    <col min="4" max="4" width="13.85546875" style="34" customWidth="1"/>
    <col min="5" max="5" width="10" style="34" customWidth="1"/>
    <col min="6" max="6" width="12.7109375" style="34" customWidth="1"/>
    <col min="7" max="16384" width="10.7109375" style="34"/>
  </cols>
  <sheetData>
    <row r="1" spans="1:7" ht="18">
      <c r="A1" s="226" t="s">
        <v>155</v>
      </c>
      <c r="C1" s="63" t="s">
        <v>534</v>
      </c>
      <c r="G1" s="34" t="s">
        <v>535</v>
      </c>
    </row>
    <row r="2" spans="1:7">
      <c r="A2" s="227" t="s">
        <v>152</v>
      </c>
      <c r="C2" s="34" t="s">
        <v>406</v>
      </c>
    </row>
    <row r="3" spans="1:7">
      <c r="A3" s="226" t="s">
        <v>153</v>
      </c>
      <c r="C3" s="34" t="s">
        <v>216</v>
      </c>
    </row>
    <row r="4" spans="1:7">
      <c r="A4" s="226" t="s">
        <v>154</v>
      </c>
    </row>
    <row r="6" spans="1:7">
      <c r="A6" s="62" t="s">
        <v>205</v>
      </c>
    </row>
    <row r="7" spans="1:7">
      <c r="A7" s="34" t="s">
        <v>244</v>
      </c>
    </row>
    <row r="8" spans="1:7">
      <c r="A8" s="34" t="s">
        <v>375</v>
      </c>
    </row>
    <row r="9" spans="1:7">
      <c r="A9" s="34" t="s">
        <v>188</v>
      </c>
    </row>
    <row r="11" spans="1:7">
      <c r="A11" s="62" t="s">
        <v>237</v>
      </c>
    </row>
    <row r="12" spans="1:7">
      <c r="A12" s="34" t="s">
        <v>245</v>
      </c>
    </row>
    <row r="13" spans="1:7">
      <c r="A13" s="34" t="s">
        <v>433</v>
      </c>
    </row>
    <row r="14" spans="1:7">
      <c r="B14" s="34" t="s">
        <v>378</v>
      </c>
    </row>
    <row r="16" spans="1:7" ht="17">
      <c r="A16" s="64" t="s">
        <v>189</v>
      </c>
    </row>
    <row r="17" spans="1:2" ht="17">
      <c r="A17" s="37"/>
      <c r="B17" s="4" t="s">
        <v>336</v>
      </c>
    </row>
    <row r="18" spans="1:2" ht="17">
      <c r="A18" s="37"/>
      <c r="B18" s="59" t="s">
        <v>316</v>
      </c>
    </row>
    <row r="19" spans="1:2" ht="17">
      <c r="A19" s="37"/>
      <c r="B19" s="59"/>
    </row>
    <row r="20" spans="1:2">
      <c r="A20" s="62" t="s">
        <v>268</v>
      </c>
    </row>
    <row r="21" spans="1:2">
      <c r="A21" s="34" t="s">
        <v>444</v>
      </c>
    </row>
    <row r="22" spans="1:2">
      <c r="A22" s="34" t="s">
        <v>452</v>
      </c>
    </row>
    <row r="23" spans="1:2">
      <c r="A23" s="34" t="s">
        <v>90</v>
      </c>
    </row>
    <row r="24" spans="1:2">
      <c r="A24" s="34" t="s">
        <v>272</v>
      </c>
    </row>
    <row r="25" spans="1:2">
      <c r="A25" s="34" t="s">
        <v>215</v>
      </c>
    </row>
    <row r="27" spans="1:2">
      <c r="A27" s="62" t="s">
        <v>170</v>
      </c>
    </row>
    <row r="28" spans="1:2">
      <c r="A28" s="34" t="s">
        <v>275</v>
      </c>
    </row>
    <row r="29" spans="1:2">
      <c r="A29" s="34" t="s">
        <v>217</v>
      </c>
    </row>
    <row r="31" spans="1:2">
      <c r="A31" s="62" t="s">
        <v>135</v>
      </c>
    </row>
    <row r="32" spans="1:2">
      <c r="A32" s="34" t="s">
        <v>99</v>
      </c>
    </row>
    <row r="33" spans="1:11">
      <c r="B33" s="34" t="s">
        <v>123</v>
      </c>
      <c r="C33" s="34" t="s">
        <v>124</v>
      </c>
      <c r="D33" s="34" t="s">
        <v>125</v>
      </c>
      <c r="E33" s="34" t="s">
        <v>126</v>
      </c>
    </row>
    <row r="34" spans="1:11">
      <c r="A34" s="34" t="s">
        <v>144</v>
      </c>
      <c r="B34" s="210">
        <v>47460</v>
      </c>
      <c r="C34" s="210">
        <v>23035</v>
      </c>
      <c r="D34" s="210">
        <v>23442</v>
      </c>
      <c r="E34" s="210">
        <v>17586</v>
      </c>
      <c r="F34" s="210"/>
    </row>
    <row r="35" spans="1:11" ht="16" thickBot="1">
      <c r="A35" s="34" t="s">
        <v>146</v>
      </c>
      <c r="B35" s="210">
        <v>45869</v>
      </c>
      <c r="C35" s="210">
        <v>28784</v>
      </c>
      <c r="D35" s="210">
        <v>27169</v>
      </c>
      <c r="E35" s="210">
        <v>18873</v>
      </c>
      <c r="F35" s="210"/>
    </row>
    <row r="36" spans="1:11" ht="16" thickBot="1">
      <c r="A36" s="34" t="s">
        <v>145</v>
      </c>
      <c r="B36" s="210">
        <f>B34+B35</f>
        <v>93329</v>
      </c>
      <c r="C36" s="210">
        <f t="shared" ref="C36:E36" si="0">C34+C35</f>
        <v>51819</v>
      </c>
      <c r="D36" s="210">
        <f t="shared" si="0"/>
        <v>50611</v>
      </c>
      <c r="E36" s="210">
        <f t="shared" si="0"/>
        <v>36459</v>
      </c>
      <c r="F36" s="211">
        <f>SUM(B36:E36)</f>
        <v>232218</v>
      </c>
      <c r="G36" s="34" t="s">
        <v>147</v>
      </c>
    </row>
    <row r="37" spans="1:11">
      <c r="B37" s="210" t="s">
        <v>457</v>
      </c>
      <c r="C37" s="210"/>
      <c r="D37" s="210"/>
      <c r="E37" s="210"/>
      <c r="F37" s="212"/>
    </row>
    <row r="38" spans="1:11">
      <c r="A38" s="210" t="s">
        <v>132</v>
      </c>
      <c r="C38" s="210"/>
      <c r="D38" s="210"/>
      <c r="E38" s="210"/>
      <c r="F38" s="212"/>
    </row>
    <row r="39" spans="1:11">
      <c r="A39" s="34" t="s">
        <v>133</v>
      </c>
      <c r="B39" s="210"/>
      <c r="C39" s="210"/>
      <c r="D39" s="210"/>
      <c r="E39" s="210"/>
      <c r="F39" s="212"/>
    </row>
    <row r="40" spans="1:11">
      <c r="A40" s="34" t="s">
        <v>238</v>
      </c>
    </row>
    <row r="41" spans="1:11">
      <c r="A41" s="34" t="s">
        <v>134</v>
      </c>
    </row>
    <row r="43" spans="1:11" ht="17">
      <c r="A43" s="41" t="s">
        <v>243</v>
      </c>
    </row>
    <row r="44" spans="1:11">
      <c r="A44" s="39" t="s">
        <v>172</v>
      </c>
    </row>
    <row r="45" spans="1:11">
      <c r="A45" s="40" t="s">
        <v>532</v>
      </c>
      <c r="K45" s="59"/>
    </row>
    <row r="46" spans="1:11">
      <c r="A46" s="62"/>
      <c r="K46" s="59"/>
    </row>
    <row r="47" spans="1:11" ht="17">
      <c r="A47" s="67" t="s">
        <v>449</v>
      </c>
      <c r="K47" s="59"/>
    </row>
    <row r="48" spans="1:11">
      <c r="A48" s="62"/>
      <c r="K48" s="59"/>
    </row>
    <row r="49" spans="1:11" ht="17">
      <c r="A49" s="66" t="s">
        <v>462</v>
      </c>
      <c r="K49" s="59"/>
    </row>
    <row r="50" spans="1:11">
      <c r="A50" s="62"/>
      <c r="J50" s="59"/>
      <c r="K50" s="59"/>
    </row>
    <row r="51" spans="1:11" ht="17">
      <c r="A51" s="69" t="s">
        <v>394</v>
      </c>
      <c r="K51" s="59"/>
    </row>
    <row r="52" spans="1:11">
      <c r="A52" s="4" t="s">
        <v>364</v>
      </c>
      <c r="J52" s="14"/>
      <c r="K52" s="59"/>
    </row>
    <row r="53" spans="1:11">
      <c r="A53" s="176" t="s">
        <v>367</v>
      </c>
      <c r="J53" s="59"/>
      <c r="K53" s="59"/>
    </row>
    <row r="54" spans="1:11">
      <c r="A54" s="59" t="s">
        <v>365</v>
      </c>
    </row>
    <row r="57" spans="1:11" ht="17">
      <c r="A57" s="45" t="s">
        <v>127</v>
      </c>
    </row>
    <row r="58" spans="1:11">
      <c r="B58" s="34" t="s">
        <v>335</v>
      </c>
    </row>
    <row r="60" spans="1:11" ht="17">
      <c r="A60" s="68" t="s">
        <v>411</v>
      </c>
    </row>
    <row r="61" spans="1:11" ht="17">
      <c r="A61" s="68"/>
      <c r="B61" s="68" t="s">
        <v>246</v>
      </c>
    </row>
    <row r="62" spans="1:11">
      <c r="A62" s="34" t="s">
        <v>191</v>
      </c>
    </row>
    <row r="63" spans="1:11">
      <c r="A63" s="34" t="s">
        <v>180</v>
      </c>
    </row>
    <row r="64" spans="1:11">
      <c r="A64" s="62" t="s">
        <v>122</v>
      </c>
    </row>
    <row r="65" spans="1:8">
      <c r="A65" s="59" t="s">
        <v>393</v>
      </c>
    </row>
    <row r="66" spans="1:8">
      <c r="A66" s="176" t="s">
        <v>522</v>
      </c>
    </row>
    <row r="67" spans="1:8">
      <c r="B67" s="59"/>
    </row>
    <row r="68" spans="1:8" ht="17">
      <c r="A68" s="68" t="s">
        <v>545</v>
      </c>
    </row>
    <row r="69" spans="1:8" s="182" customFormat="1" ht="17">
      <c r="B69" s="195" t="s">
        <v>470</v>
      </c>
    </row>
    <row r="70" spans="1:8" s="182" customFormat="1" ht="17">
      <c r="A70" s="182" t="s">
        <v>528</v>
      </c>
      <c r="B70" s="206"/>
    </row>
    <row r="71" spans="1:8" s="182" customFormat="1">
      <c r="A71" s="182" t="s">
        <v>392</v>
      </c>
    </row>
    <row r="72" spans="1:8" s="182" customFormat="1">
      <c r="B72" s="228" t="s">
        <v>156</v>
      </c>
    </row>
    <row r="73" spans="1:8" s="5" customFormat="1">
      <c r="B73" s="174"/>
    </row>
    <row r="74" spans="1:8" ht="17">
      <c r="B74" s="58" t="s">
        <v>179</v>
      </c>
    </row>
    <row r="75" spans="1:8" ht="17">
      <c r="B75" s="58" t="s">
        <v>322</v>
      </c>
    </row>
    <row r="76" spans="1:8">
      <c r="B76" s="174" t="s">
        <v>536</v>
      </c>
    </row>
    <row r="77" spans="1:8">
      <c r="B77" s="174" t="s">
        <v>546</v>
      </c>
    </row>
    <row r="78" spans="1:8" ht="17">
      <c r="C78" s="65"/>
    </row>
    <row r="79" spans="1:8">
      <c r="A79" s="76" t="s">
        <v>207</v>
      </c>
    </row>
    <row r="80" spans="1:8">
      <c r="A80" s="34" t="s">
        <v>301</v>
      </c>
      <c r="H80" s="34" t="s">
        <v>280</v>
      </c>
    </row>
    <row r="81" spans="1:8">
      <c r="A81" s="34" t="s">
        <v>173</v>
      </c>
      <c r="H81" s="34" t="s">
        <v>226</v>
      </c>
    </row>
    <row r="82" spans="1:8" ht="17">
      <c r="A82" s="5"/>
      <c r="B82" s="5" t="s">
        <v>305</v>
      </c>
      <c r="C82" s="72"/>
      <c r="D82" s="73"/>
      <c r="E82" s="74"/>
      <c r="H82" s="5"/>
    </row>
    <row r="83" spans="1:8" ht="17">
      <c r="A83" s="5"/>
      <c r="B83" s="5" t="s">
        <v>371</v>
      </c>
      <c r="C83" s="72"/>
      <c r="D83" s="73"/>
      <c r="E83" s="74"/>
      <c r="H83" s="5"/>
    </row>
    <row r="84" spans="1:8" ht="17">
      <c r="A84" s="5"/>
      <c r="B84" s="5"/>
      <c r="C84" s="72"/>
      <c r="D84" s="73"/>
      <c r="E84" s="74"/>
      <c r="H84" s="5"/>
    </row>
    <row r="85" spans="1:8">
      <c r="A85" s="34" t="s">
        <v>526</v>
      </c>
    </row>
    <row r="86" spans="1:8">
      <c r="E86" s="87" t="s">
        <v>390</v>
      </c>
      <c r="F86" s="87" t="s">
        <v>323</v>
      </c>
      <c r="G86" s="87" t="s">
        <v>324</v>
      </c>
      <c r="H86" s="87" t="s">
        <v>500</v>
      </c>
    </row>
    <row r="87" spans="1:8">
      <c r="A87" s="34" t="s">
        <v>501</v>
      </c>
      <c r="E87" s="88">
        <v>1.5452639302880635</v>
      </c>
      <c r="F87" s="88">
        <v>3.4975106693109312</v>
      </c>
      <c r="G87" s="105">
        <v>3.766629392041509</v>
      </c>
      <c r="H87" s="105">
        <v>2.6661055689821263</v>
      </c>
    </row>
    <row r="88" spans="1:8" ht="17">
      <c r="A88" s="5"/>
      <c r="B88" s="5"/>
      <c r="C88" s="72"/>
      <c r="D88" s="73"/>
      <c r="E88" s="74"/>
      <c r="H88" s="5"/>
    </row>
    <row r="89" spans="1:8">
      <c r="A89" s="34" t="s">
        <v>465</v>
      </c>
      <c r="H89" s="34" t="s">
        <v>313</v>
      </c>
    </row>
    <row r="90" spans="1:8">
      <c r="A90" s="34" t="s">
        <v>318</v>
      </c>
      <c r="H90" s="34" t="s">
        <v>203</v>
      </c>
    </row>
    <row r="91" spans="1:8">
      <c r="A91" s="34" t="s">
        <v>176</v>
      </c>
      <c r="H91" s="34" t="s">
        <v>186</v>
      </c>
    </row>
    <row r="92" spans="1:8">
      <c r="B92" s="5"/>
    </row>
    <row r="93" spans="1:8">
      <c r="B93" s="5"/>
    </row>
    <row r="94" spans="1:8">
      <c r="A94" s="76" t="s">
        <v>257</v>
      </c>
      <c r="B94" s="5"/>
    </row>
    <row r="95" spans="1:8">
      <c r="A95" s="34" t="s">
        <v>319</v>
      </c>
    </row>
    <row r="96" spans="1:8">
      <c r="A96" s="34" t="s">
        <v>228</v>
      </c>
    </row>
    <row r="97" spans="1:1">
      <c r="A97" s="34" t="s">
        <v>304</v>
      </c>
    </row>
    <row r="98" spans="1:1">
      <c r="A98" s="34" t="s">
        <v>366</v>
      </c>
    </row>
    <row r="99" spans="1:1">
      <c r="A99" s="34" t="s">
        <v>473</v>
      </c>
    </row>
    <row r="101" spans="1:1">
      <c r="A101" s="34" t="s">
        <v>426</v>
      </c>
    </row>
    <row r="102" spans="1:1">
      <c r="A102" s="34" t="s">
        <v>531</v>
      </c>
    </row>
    <row r="103" spans="1:1">
      <c r="A103" s="34" t="s">
        <v>529</v>
      </c>
    </row>
    <row r="104" spans="1:1">
      <c r="A104" s="34" t="s">
        <v>396</v>
      </c>
    </row>
    <row r="105" spans="1:1">
      <c r="A105" s="34" t="s">
        <v>353</v>
      </c>
    </row>
    <row r="106" spans="1:1">
      <c r="A106" s="34" t="s">
        <v>381</v>
      </c>
    </row>
    <row r="107" spans="1:1">
      <c r="A107" s="34" t="s">
        <v>343</v>
      </c>
    </row>
    <row r="108" spans="1:1">
      <c r="A108" s="34" t="s">
        <v>264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A68"/>
  <sheetViews>
    <sheetView workbookViewId="0">
      <pane xSplit="13260" ySplit="4000" topLeftCell="S18"/>
      <selection activeCell="B4" sqref="B4"/>
      <selection pane="topRight" activeCell="U1" sqref="U1:U1048576"/>
      <selection pane="bottomLeft" activeCell="D19" sqref="D19"/>
      <selection pane="bottomRight" activeCell="T7" sqref="T7"/>
    </sheetView>
  </sheetViews>
  <sheetFormatPr baseColWidth="10" defaultColWidth="10.7109375" defaultRowHeight="15"/>
  <cols>
    <col min="1" max="1" width="15.5703125" style="1" customWidth="1"/>
    <col min="2" max="2" width="11" style="8" customWidth="1"/>
    <col min="3" max="3" width="13.28515625" style="213" customWidth="1"/>
    <col min="4" max="4" width="9.5703125" style="213" customWidth="1"/>
    <col min="5" max="8" width="10.7109375" style="8"/>
    <col min="9" max="9" width="10.7109375" style="49"/>
    <col min="10" max="13" width="10.7109375" style="8"/>
    <col min="14" max="14" width="14.140625" style="8" customWidth="1"/>
    <col min="15" max="15" width="10.7109375" style="168" customWidth="1"/>
    <col min="16" max="17" width="10.7109375" style="200" customWidth="1"/>
    <col min="18" max="18" width="11" style="8" customWidth="1"/>
    <col min="19" max="19" width="11" style="213" customWidth="1"/>
    <col min="20" max="20" width="12.28515625" style="1" customWidth="1"/>
    <col min="21" max="23" width="9.140625" style="18" customWidth="1"/>
    <col min="24" max="16384" width="10.7109375" style="1"/>
  </cols>
  <sheetData>
    <row r="1" spans="1:26" ht="18">
      <c r="B1" s="197" t="s">
        <v>131</v>
      </c>
      <c r="I1" s="38" t="s">
        <v>398</v>
      </c>
      <c r="J1" s="33"/>
    </row>
    <row r="2" spans="1:26" s="34" customFormat="1">
      <c r="B2" s="4" t="s">
        <v>336</v>
      </c>
      <c r="C2" s="213"/>
      <c r="D2" s="213"/>
      <c r="E2" s="59"/>
      <c r="F2" s="59"/>
      <c r="G2" s="59"/>
      <c r="H2" s="38"/>
      <c r="I2" s="38"/>
      <c r="J2" s="59"/>
      <c r="K2" s="59"/>
      <c r="L2" s="59"/>
      <c r="M2" s="59"/>
      <c r="N2" s="59"/>
      <c r="O2" s="168"/>
      <c r="P2" s="200"/>
      <c r="Q2" s="200"/>
      <c r="R2" s="59"/>
      <c r="S2" s="213"/>
      <c r="U2" s="59"/>
      <c r="V2" s="59"/>
      <c r="W2" s="59"/>
    </row>
    <row r="3" spans="1:26" ht="17">
      <c r="B3" s="213" t="s">
        <v>177</v>
      </c>
      <c r="C3" s="10"/>
      <c r="J3" s="33"/>
    </row>
    <row r="4" spans="1:26" s="34" customFormat="1" ht="17">
      <c r="B4" s="176" t="s">
        <v>100</v>
      </c>
      <c r="C4" s="10"/>
      <c r="D4" s="213"/>
      <c r="E4" s="35"/>
      <c r="F4" s="35"/>
      <c r="G4" s="35"/>
      <c r="H4" s="35"/>
      <c r="I4" s="49"/>
      <c r="J4" s="35"/>
      <c r="K4" s="35"/>
      <c r="L4" s="35"/>
      <c r="M4" s="35"/>
      <c r="N4" s="35"/>
      <c r="O4" s="168"/>
      <c r="P4" s="200"/>
      <c r="Q4" s="200"/>
      <c r="R4" s="35"/>
      <c r="S4" s="213"/>
      <c r="U4" s="35"/>
      <c r="V4" s="35"/>
      <c r="W4" s="35"/>
    </row>
    <row r="6" spans="1:26">
      <c r="B6" s="11">
        <v>1774</v>
      </c>
      <c r="C6" s="19">
        <v>1774</v>
      </c>
      <c r="D6" s="19">
        <v>1774</v>
      </c>
      <c r="E6" s="11">
        <v>1774</v>
      </c>
      <c r="F6" s="11">
        <v>1774</v>
      </c>
      <c r="G6" s="11">
        <v>1774</v>
      </c>
      <c r="H6" s="11">
        <v>1774</v>
      </c>
      <c r="I6" s="19"/>
      <c r="J6" s="11">
        <v>1774</v>
      </c>
      <c r="K6" s="11">
        <v>1774</v>
      </c>
      <c r="L6" s="11">
        <v>1774</v>
      </c>
      <c r="M6" s="11">
        <v>1774</v>
      </c>
      <c r="N6" s="11">
        <v>1774</v>
      </c>
      <c r="O6" s="19">
        <v>1774</v>
      </c>
      <c r="P6" s="19">
        <v>1774</v>
      </c>
      <c r="Q6" s="19">
        <v>1774</v>
      </c>
      <c r="R6" s="19">
        <v>1774</v>
      </c>
      <c r="S6" s="19"/>
      <c r="U6" s="19">
        <v>1774</v>
      </c>
      <c r="V6" s="19">
        <v>1774</v>
      </c>
      <c r="W6" s="19">
        <v>1774</v>
      </c>
    </row>
    <row r="7" spans="1:26">
      <c r="C7" s="133" t="s">
        <v>142</v>
      </c>
      <c r="E7" s="25" t="s">
        <v>139</v>
      </c>
      <c r="F7" s="16"/>
      <c r="G7" s="16"/>
      <c r="H7" s="12"/>
      <c r="I7" s="16"/>
      <c r="J7" s="16" t="s">
        <v>283</v>
      </c>
      <c r="K7" s="16"/>
      <c r="L7" s="16"/>
      <c r="M7" s="12"/>
      <c r="N7" s="20" t="s">
        <v>495</v>
      </c>
      <c r="O7" s="167" t="s">
        <v>453</v>
      </c>
      <c r="P7" s="167" t="s">
        <v>128</v>
      </c>
      <c r="Q7" s="167" t="s">
        <v>479</v>
      </c>
      <c r="R7" s="53"/>
      <c r="S7" s="53"/>
    </row>
    <row r="8" spans="1:26">
      <c r="B8" s="9" t="s">
        <v>430</v>
      </c>
      <c r="C8" s="164" t="s">
        <v>143</v>
      </c>
      <c r="D8" s="167" t="s">
        <v>141</v>
      </c>
      <c r="N8" s="20" t="s">
        <v>302</v>
      </c>
      <c r="Q8" s="167" t="s">
        <v>539</v>
      </c>
      <c r="U8" s="44" t="s">
        <v>356</v>
      </c>
      <c r="V8" s="20"/>
      <c r="W8" s="20"/>
    </row>
    <row r="9" spans="1:26">
      <c r="B9" s="9" t="s">
        <v>431</v>
      </c>
      <c r="C9" s="167" t="s">
        <v>140</v>
      </c>
      <c r="D9" s="167" t="s">
        <v>413</v>
      </c>
      <c r="E9" s="9" t="s">
        <v>314</v>
      </c>
      <c r="F9" s="9" t="s">
        <v>314</v>
      </c>
      <c r="G9" s="9" t="s">
        <v>315</v>
      </c>
      <c r="H9" s="9" t="s">
        <v>315</v>
      </c>
      <c r="I9" s="52" t="s">
        <v>415</v>
      </c>
      <c r="J9" s="9" t="s">
        <v>314</v>
      </c>
      <c r="K9" s="9" t="s">
        <v>314</v>
      </c>
      <c r="L9" s="9" t="s">
        <v>315</v>
      </c>
      <c r="M9" s="9" t="s">
        <v>315</v>
      </c>
      <c r="N9" s="20" t="s">
        <v>418</v>
      </c>
      <c r="O9" s="167" t="s">
        <v>454</v>
      </c>
      <c r="P9" s="167" t="s">
        <v>129</v>
      </c>
      <c r="Q9" s="167" t="s">
        <v>454</v>
      </c>
      <c r="S9" s="167" t="s">
        <v>136</v>
      </c>
      <c r="U9" s="44" t="s">
        <v>239</v>
      </c>
      <c r="V9" s="20"/>
      <c r="W9" s="20"/>
    </row>
    <row r="10" spans="1:26">
      <c r="B10" s="213" t="s">
        <v>530</v>
      </c>
      <c r="C10" s="167" t="s">
        <v>422</v>
      </c>
      <c r="D10" s="167" t="s">
        <v>423</v>
      </c>
      <c r="E10" s="9" t="s">
        <v>432</v>
      </c>
      <c r="F10" s="9" t="s">
        <v>368</v>
      </c>
      <c r="G10" s="9" t="s">
        <v>432</v>
      </c>
      <c r="H10" s="9" t="s">
        <v>368</v>
      </c>
      <c r="I10" s="52" t="s">
        <v>159</v>
      </c>
      <c r="J10" s="9" t="s">
        <v>432</v>
      </c>
      <c r="K10" s="9" t="s">
        <v>368</v>
      </c>
      <c r="L10" s="9" t="s">
        <v>432</v>
      </c>
      <c r="M10" s="9" t="s">
        <v>368</v>
      </c>
      <c r="N10" s="20" t="s">
        <v>419</v>
      </c>
      <c r="O10" s="167" t="s">
        <v>455</v>
      </c>
      <c r="P10" s="167" t="s">
        <v>130</v>
      </c>
      <c r="Q10" s="167" t="s">
        <v>431</v>
      </c>
      <c r="R10" s="214" t="s">
        <v>284</v>
      </c>
      <c r="S10" s="214" t="s">
        <v>137</v>
      </c>
      <c r="U10" s="20" t="s">
        <v>295</v>
      </c>
      <c r="V10" s="20" t="s">
        <v>296</v>
      </c>
      <c r="W10" s="20" t="s">
        <v>254</v>
      </c>
    </row>
    <row r="11" spans="1:26">
      <c r="A11" s="1" t="s">
        <v>241</v>
      </c>
      <c r="B11" s="218">
        <v>41694.424264445166</v>
      </c>
      <c r="C11" s="218">
        <f>SUM(E11:H11)+SUM(J11:N11)+R11</f>
        <v>10161.479340476122</v>
      </c>
      <c r="D11" s="203">
        <f>C11/B11</f>
        <v>0.24371314677539035</v>
      </c>
      <c r="E11" s="15">
        <v>283.60642262060657</v>
      </c>
      <c r="F11" s="15">
        <v>95.644190056364934</v>
      </c>
      <c r="G11" s="9">
        <v>9144.4581144766689</v>
      </c>
      <c r="H11" s="9">
        <v>515.94324283399374</v>
      </c>
      <c r="I11" s="52"/>
      <c r="J11" s="15">
        <v>3.4810514388309102</v>
      </c>
      <c r="K11" s="15">
        <v>0.95475778080694906</v>
      </c>
      <c r="L11" s="15">
        <v>112.24121366007145</v>
      </c>
      <c r="M11" s="15">
        <v>5.1503476087802689</v>
      </c>
      <c r="N11" s="9"/>
      <c r="O11" s="167">
        <v>0</v>
      </c>
      <c r="P11" s="167">
        <f t="shared" ref="P11:P17" si="0">B11-O11</f>
        <v>41694.424264445166</v>
      </c>
      <c r="Q11" s="17">
        <f t="shared" ref="Q11:Q17" si="1">100*O11/B11</f>
        <v>0</v>
      </c>
      <c r="R11" s="9">
        <v>0</v>
      </c>
      <c r="S11" s="224">
        <f>C11-R11</f>
        <v>10161.479340476122</v>
      </c>
      <c r="T11" s="1" t="s">
        <v>241</v>
      </c>
      <c r="U11" s="18">
        <v>8414</v>
      </c>
      <c r="V11" s="18">
        <v>8337</v>
      </c>
      <c r="W11" s="18">
        <v>77</v>
      </c>
    </row>
    <row r="12" spans="1:26">
      <c r="A12" s="1" t="s">
        <v>427</v>
      </c>
      <c r="B12" s="218">
        <v>77089.468152270972</v>
      </c>
      <c r="C12" s="218">
        <f t="shared" ref="C12:C35" si="2">SUM(E12:H12)+SUM(J12:N12)+R12</f>
        <v>20481.03351882823</v>
      </c>
      <c r="D12" s="203">
        <f t="shared" ref="D12:D37" si="3">C12/B12</f>
        <v>0.26567874976609085</v>
      </c>
      <c r="E12" s="21">
        <v>583.31045474445523</v>
      </c>
      <c r="F12" s="21">
        <v>308.98612202026078</v>
      </c>
      <c r="G12" s="21">
        <v>17362.662022795957</v>
      </c>
      <c r="H12" s="21">
        <v>1994.5893551748038</v>
      </c>
      <c r="J12" s="21">
        <v>4.4945029051992949</v>
      </c>
      <c r="K12" s="21">
        <v>1.9136528126955232</v>
      </c>
      <c r="L12" s="21">
        <v>133.78428137322828</v>
      </c>
      <c r="M12" s="21">
        <v>12.344346256324735</v>
      </c>
      <c r="N12" s="9"/>
      <c r="O12" s="167">
        <v>664.93909495532</v>
      </c>
      <c r="P12" s="167">
        <f t="shared" si="0"/>
        <v>76424.529057315653</v>
      </c>
      <c r="Q12" s="17">
        <f t="shared" si="1"/>
        <v>0.86255504272243655</v>
      </c>
      <c r="R12" s="9">
        <v>78.948780745304276</v>
      </c>
      <c r="S12" s="224">
        <f t="shared" ref="S12:S37" si="4">C12-R12</f>
        <v>20402.084738082925</v>
      </c>
      <c r="T12" s="1" t="s">
        <v>427</v>
      </c>
      <c r="U12" s="35">
        <v>15712</v>
      </c>
      <c r="V12" s="18">
        <v>15601</v>
      </c>
      <c r="W12" s="18">
        <v>111</v>
      </c>
    </row>
    <row r="13" spans="1:26">
      <c r="A13" s="1" t="s">
        <v>162</v>
      </c>
      <c r="B13" s="218">
        <v>7389.8478953183685</v>
      </c>
      <c r="C13" s="218">
        <f t="shared" si="2"/>
        <v>1931.8180971139557</v>
      </c>
      <c r="D13" s="203">
        <f t="shared" si="3"/>
        <v>0.26141513661435506</v>
      </c>
      <c r="E13" s="22">
        <v>62.700713832240602</v>
      </c>
      <c r="F13" s="22">
        <v>22.629421258088374</v>
      </c>
      <c r="G13" s="22">
        <v>1756.3719495350185</v>
      </c>
      <c r="H13" s="22">
        <v>74.073050734632687</v>
      </c>
      <c r="J13" s="23">
        <v>9.4473760908863266E-2</v>
      </c>
      <c r="K13" s="23">
        <v>7.5108924963001172E-2</v>
      </c>
      <c r="L13" s="9">
        <v>14.49715569854799</v>
      </c>
      <c r="M13" s="17">
        <v>0.1376106176095952</v>
      </c>
      <c r="N13" s="9"/>
      <c r="O13" s="167">
        <v>2</v>
      </c>
      <c r="P13" s="167">
        <f t="shared" si="0"/>
        <v>7387.8478953183685</v>
      </c>
      <c r="Q13" s="17">
        <f t="shared" si="1"/>
        <v>2.7064156506753596E-2</v>
      </c>
      <c r="R13" s="9">
        <v>1.2386127519459929</v>
      </c>
      <c r="S13" s="224">
        <f t="shared" si="4"/>
        <v>1930.5794843620097</v>
      </c>
      <c r="T13" s="1" t="s">
        <v>162</v>
      </c>
      <c r="U13" s="35">
        <v>1626</v>
      </c>
      <c r="V13" s="18">
        <v>1617</v>
      </c>
      <c r="W13" s="18">
        <v>9</v>
      </c>
      <c r="Y13" s="34"/>
      <c r="Z13" s="34"/>
    </row>
    <row r="14" spans="1:26">
      <c r="A14" s="1" t="s">
        <v>163</v>
      </c>
      <c r="B14" s="218">
        <v>277940.41821196565</v>
      </c>
      <c r="C14" s="218">
        <f t="shared" si="2"/>
        <v>76718.802876380112</v>
      </c>
      <c r="D14" s="203">
        <f t="shared" si="3"/>
        <v>0.27602607555217845</v>
      </c>
      <c r="E14" s="24">
        <v>2511.2982414712933</v>
      </c>
      <c r="F14" s="24">
        <v>1434.3523522908756</v>
      </c>
      <c r="G14" s="24">
        <v>61536.76310307227</v>
      </c>
      <c r="H14" s="24">
        <v>9866.5054232984185</v>
      </c>
      <c r="J14" s="25">
        <v>55.796807557459466</v>
      </c>
      <c r="K14" s="26">
        <v>24.948224574215111</v>
      </c>
      <c r="L14" s="26">
        <v>1168.6089079419448</v>
      </c>
      <c r="M14" s="27">
        <v>120.52981617362312</v>
      </c>
      <c r="N14" s="9"/>
      <c r="O14" s="167">
        <v>0</v>
      </c>
      <c r="P14" s="167">
        <f t="shared" si="0"/>
        <v>277940.41821196565</v>
      </c>
      <c r="Q14" s="17">
        <f t="shared" si="1"/>
        <v>0</v>
      </c>
      <c r="R14" s="9">
        <v>0</v>
      </c>
      <c r="S14" s="224">
        <f t="shared" si="4"/>
        <v>76718.802876380112</v>
      </c>
      <c r="T14" s="1" t="s">
        <v>163</v>
      </c>
      <c r="U14" s="35">
        <v>44640</v>
      </c>
      <c r="V14" s="18">
        <v>43843</v>
      </c>
      <c r="W14" s="18">
        <v>797</v>
      </c>
      <c r="Y14" s="34"/>
      <c r="Z14" s="34"/>
    </row>
    <row r="15" spans="1:26">
      <c r="A15" s="1" t="s">
        <v>440</v>
      </c>
      <c r="B15" s="218">
        <v>59607</v>
      </c>
      <c r="C15" s="218">
        <f t="shared" si="2"/>
        <v>18126.996862463417</v>
      </c>
      <c r="D15" s="203">
        <f t="shared" si="3"/>
        <v>0.30410852521454557</v>
      </c>
      <c r="E15" s="28">
        <v>937.10536915112732</v>
      </c>
      <c r="F15" s="28">
        <v>610.50204303911062</v>
      </c>
      <c r="G15" s="28">
        <v>12925.717119999999</v>
      </c>
      <c r="H15" s="28">
        <v>2369.8856000000001</v>
      </c>
      <c r="J15" s="28">
        <v>57.426116821985055</v>
      </c>
      <c r="K15" s="28">
        <v>38.209703806721201</v>
      </c>
      <c r="L15" s="28">
        <v>624.67006529667003</v>
      </c>
      <c r="M15" s="28">
        <v>98.572604396852469</v>
      </c>
      <c r="N15" s="9"/>
      <c r="O15" s="167">
        <v>798.45390800000018</v>
      </c>
      <c r="P15" s="167">
        <f t="shared" si="0"/>
        <v>58808.546091999997</v>
      </c>
      <c r="Q15" s="17">
        <f t="shared" si="1"/>
        <v>1.3395304377002706</v>
      </c>
      <c r="R15" s="9">
        <v>464.90823995094888</v>
      </c>
      <c r="S15" s="224">
        <f t="shared" si="4"/>
        <v>17662.088622512467</v>
      </c>
      <c r="T15" s="1" t="s">
        <v>440</v>
      </c>
      <c r="U15" s="35">
        <v>11865</v>
      </c>
      <c r="V15" s="35">
        <v>11387</v>
      </c>
      <c r="W15" s="35">
        <v>478</v>
      </c>
      <c r="Y15" s="34"/>
      <c r="Z15" s="34"/>
    </row>
    <row r="16" spans="1:26">
      <c r="A16" s="1" t="s">
        <v>439</v>
      </c>
      <c r="B16" s="220">
        <v>197842</v>
      </c>
      <c r="C16" s="218">
        <f t="shared" si="2"/>
        <v>60804.826012525802</v>
      </c>
      <c r="D16" s="203">
        <f t="shared" si="3"/>
        <v>0.30734033224758039</v>
      </c>
      <c r="E16" s="29">
        <v>1694.4754389175439</v>
      </c>
      <c r="F16" s="29">
        <v>1016.0470092615642</v>
      </c>
      <c r="G16" s="29">
        <v>50346.798555900008</v>
      </c>
      <c r="H16" s="29">
        <v>4620.9702200000002</v>
      </c>
      <c r="J16" s="9">
        <v>22.394729455029694</v>
      </c>
      <c r="K16" s="9">
        <v>12.510640245977546</v>
      </c>
      <c r="L16" s="9">
        <v>827.79808744799982</v>
      </c>
      <c r="M16" s="9">
        <v>577.98552041999994</v>
      </c>
      <c r="N16" s="9"/>
      <c r="O16" s="167">
        <v>2530.3612520000001</v>
      </c>
      <c r="P16" s="167">
        <f t="shared" si="0"/>
        <v>195311.638748</v>
      </c>
      <c r="Q16" s="17">
        <f t="shared" si="1"/>
        <v>1.2789808291464906</v>
      </c>
      <c r="R16" s="9">
        <v>1685.8458108776772</v>
      </c>
      <c r="S16" s="224">
        <f t="shared" si="4"/>
        <v>59118.980201648126</v>
      </c>
      <c r="T16" s="1" t="s">
        <v>439</v>
      </c>
      <c r="U16" s="35">
        <v>46643</v>
      </c>
      <c r="V16" s="18">
        <v>45793</v>
      </c>
      <c r="W16" s="18">
        <v>850</v>
      </c>
      <c r="Y16" s="34"/>
      <c r="Z16" s="34"/>
    </row>
    <row r="17" spans="1:26">
      <c r="A17" s="6" t="s">
        <v>251</v>
      </c>
      <c r="B17" s="221">
        <f>SUM(B11:B16)</f>
        <v>661563.15852400009</v>
      </c>
      <c r="C17" s="218">
        <f t="shared" si="2"/>
        <v>188224.95670778761</v>
      </c>
      <c r="D17" s="203">
        <f t="shared" si="3"/>
        <v>0.28451547563158208</v>
      </c>
      <c r="E17" s="7">
        <f t="shared" ref="E17:R17" si="5">SUM(E11:E16)</f>
        <v>6072.4966407372667</v>
      </c>
      <c r="F17" s="7">
        <f t="shared" si="5"/>
        <v>3488.1611379262645</v>
      </c>
      <c r="G17" s="7">
        <f t="shared" si="5"/>
        <v>153072.77086577992</v>
      </c>
      <c r="H17" s="7">
        <f t="shared" si="5"/>
        <v>19441.966892041848</v>
      </c>
      <c r="I17" s="7"/>
      <c r="J17" s="7">
        <f t="shared" si="5"/>
        <v>143.6876819394133</v>
      </c>
      <c r="K17" s="7">
        <f t="shared" si="5"/>
        <v>78.612088145379332</v>
      </c>
      <c r="L17" s="7">
        <f t="shared" si="5"/>
        <v>2881.5997114184624</v>
      </c>
      <c r="M17" s="7">
        <f t="shared" si="5"/>
        <v>814.72024547319006</v>
      </c>
      <c r="N17" s="7"/>
      <c r="O17" s="7">
        <f t="shared" si="5"/>
        <v>3995.7542549553204</v>
      </c>
      <c r="P17" s="167">
        <f t="shared" si="0"/>
        <v>657567.40426904475</v>
      </c>
      <c r="Q17" s="17">
        <f t="shared" si="1"/>
        <v>0.60398681569121315</v>
      </c>
      <c r="R17" s="7">
        <f t="shared" si="5"/>
        <v>2230.9414443258765</v>
      </c>
      <c r="S17" s="224">
        <f t="shared" si="4"/>
        <v>185994.01526346174</v>
      </c>
      <c r="T17" s="6" t="s">
        <v>251</v>
      </c>
      <c r="U17" s="14">
        <v>128900</v>
      </c>
      <c r="V17" s="14">
        <v>126578</v>
      </c>
      <c r="W17" s="14">
        <v>2322</v>
      </c>
      <c r="Y17" s="34"/>
      <c r="Z17" s="34"/>
    </row>
    <row r="18" spans="1:26">
      <c r="B18" s="219"/>
      <c r="C18" s="218"/>
      <c r="D18" s="203"/>
      <c r="E18" s="9"/>
      <c r="F18" s="9"/>
      <c r="G18" s="9"/>
      <c r="H18" s="9"/>
      <c r="I18" s="52"/>
      <c r="J18" s="9"/>
      <c r="K18" s="9"/>
      <c r="L18" s="9"/>
      <c r="M18" s="9"/>
      <c r="N18" s="9"/>
      <c r="O18" s="167"/>
      <c r="P18" s="167"/>
      <c r="Q18" s="17"/>
      <c r="R18" s="9"/>
      <c r="S18" s="224"/>
      <c r="Y18" s="34"/>
      <c r="Z18" s="34"/>
    </row>
    <row r="19" spans="1:26">
      <c r="A19" s="1" t="s">
        <v>443</v>
      </c>
      <c r="B19" s="220">
        <v>176251.65201766195</v>
      </c>
      <c r="C19" s="218">
        <f t="shared" si="2"/>
        <v>54908.433866190375</v>
      </c>
      <c r="D19" s="203">
        <f t="shared" si="3"/>
        <v>0.31153429336757688</v>
      </c>
      <c r="E19" s="9">
        <v>1331.9354260572961</v>
      </c>
      <c r="F19" s="9">
        <v>698.85123512257678</v>
      </c>
      <c r="G19" s="9">
        <v>39364.607610738378</v>
      </c>
      <c r="H19" s="9">
        <v>2964.3089430053319</v>
      </c>
      <c r="I19" s="52"/>
      <c r="J19" s="30">
        <v>27.779462054874813</v>
      </c>
      <c r="K19" s="30">
        <v>14.320632701503728</v>
      </c>
      <c r="L19" s="30">
        <v>853.21448179176207</v>
      </c>
      <c r="M19" s="30">
        <v>68.671363871826372</v>
      </c>
      <c r="N19" s="9"/>
      <c r="O19" s="167">
        <v>16148.529570103217</v>
      </c>
      <c r="P19" s="167">
        <f>B19-O19</f>
        <v>160103.12244755874</v>
      </c>
      <c r="Q19" s="17">
        <f>100*O19/B19</f>
        <v>9.162200402232255</v>
      </c>
      <c r="R19" s="9">
        <v>9584.7447108468223</v>
      </c>
      <c r="S19" s="224">
        <f t="shared" si="4"/>
        <v>45323.689155343556</v>
      </c>
      <c r="T19" s="1" t="s">
        <v>443</v>
      </c>
      <c r="U19" s="35">
        <f>V19+W19</f>
        <v>36017</v>
      </c>
      <c r="V19" s="18">
        <v>35430</v>
      </c>
      <c r="W19" s="18">
        <v>587</v>
      </c>
      <c r="Y19" s="34"/>
      <c r="Z19" s="34"/>
    </row>
    <row r="20" spans="1:26">
      <c r="A20" s="1" t="s">
        <v>250</v>
      </c>
      <c r="B20" s="220">
        <v>128357.84956438492</v>
      </c>
      <c r="C20" s="218">
        <f t="shared" si="2"/>
        <v>35692.979569729723</v>
      </c>
      <c r="D20" s="203">
        <f t="shared" si="3"/>
        <v>0.27807399150782713</v>
      </c>
      <c r="E20" s="4">
        <v>617.16424996799992</v>
      </c>
      <c r="F20" s="4">
        <v>318.71135866751996</v>
      </c>
      <c r="G20" s="4">
        <v>28178.678774998527</v>
      </c>
      <c r="H20" s="4">
        <v>1737.5194149134229</v>
      </c>
      <c r="I20" s="4"/>
      <c r="J20" s="4">
        <v>7.8625974435485766</v>
      </c>
      <c r="K20" s="31">
        <v>3.7297637377761839</v>
      </c>
      <c r="L20" s="31">
        <v>542.91251672813996</v>
      </c>
      <c r="M20" s="31">
        <v>26.279914952842137</v>
      </c>
      <c r="N20" s="9"/>
      <c r="O20" s="167">
        <v>7177.8154908061551</v>
      </c>
      <c r="P20" s="167">
        <f>B20-O20</f>
        <v>121180.03407357876</v>
      </c>
      <c r="Q20" s="17">
        <f>100*O20/B20</f>
        <v>5.5920347023309454</v>
      </c>
      <c r="R20" s="9">
        <v>4260.120978319942</v>
      </c>
      <c r="S20" s="224">
        <f t="shared" si="4"/>
        <v>31432.858591409782</v>
      </c>
      <c r="T20" s="1" t="s">
        <v>250</v>
      </c>
      <c r="U20" s="35">
        <f>V20+W20</f>
        <v>25937</v>
      </c>
      <c r="V20" s="18">
        <v>25648</v>
      </c>
      <c r="W20" s="18">
        <v>289</v>
      </c>
      <c r="Y20" s="34"/>
      <c r="Z20" s="34"/>
    </row>
    <row r="21" spans="1:26">
      <c r="A21" s="1" t="s">
        <v>290</v>
      </c>
      <c r="B21" s="220">
        <v>269820.63851020683</v>
      </c>
      <c r="C21" s="218">
        <f t="shared" si="2"/>
        <v>72511.131625704016</v>
      </c>
      <c r="D21" s="203">
        <f t="shared" si="3"/>
        <v>0.26873827008218665</v>
      </c>
      <c r="E21" s="4">
        <v>3545.8342665563928</v>
      </c>
      <c r="F21" s="4">
        <v>1533.0437666376952</v>
      </c>
      <c r="G21" s="4">
        <v>62290.185453658276</v>
      </c>
      <c r="H21" s="4">
        <v>2669.7073887193196</v>
      </c>
      <c r="I21" s="4"/>
      <c r="J21" s="4">
        <v>54.654971128154365</v>
      </c>
      <c r="K21" s="8">
        <v>23.630112550396522</v>
      </c>
      <c r="L21" s="8">
        <v>960.13181429469091</v>
      </c>
      <c r="M21" s="8">
        <v>41.150479487238101</v>
      </c>
      <c r="O21" s="168">
        <v>2321.3222877864023</v>
      </c>
      <c r="P21" s="167">
        <f>B21-O21</f>
        <v>267499.31622242043</v>
      </c>
      <c r="Q21" s="17">
        <f>100*O21/B21</f>
        <v>0.86032050795054016</v>
      </c>
      <c r="R21" s="8">
        <v>1392.7933726718413</v>
      </c>
      <c r="S21" s="224">
        <f t="shared" si="4"/>
        <v>71118.338253032169</v>
      </c>
      <c r="T21" s="1" t="s">
        <v>290</v>
      </c>
      <c r="U21" s="35">
        <f>V21+W21</f>
        <v>56482.286656731354</v>
      </c>
      <c r="V21" s="18">
        <v>55805.519026936519</v>
      </c>
      <c r="W21" s="18">
        <v>676.76762979483146</v>
      </c>
      <c r="Y21" s="34"/>
      <c r="Z21" s="34"/>
    </row>
    <row r="22" spans="1:26">
      <c r="A22" s="1" t="s">
        <v>291</v>
      </c>
      <c r="B22" s="220">
        <v>39255.223946836704</v>
      </c>
      <c r="C22" s="218">
        <f t="shared" si="2"/>
        <v>12542.603030585527</v>
      </c>
      <c r="D22" s="203">
        <f t="shared" si="3"/>
        <v>0.31951423962252662</v>
      </c>
      <c r="E22" s="4">
        <v>642.51133939554404</v>
      </c>
      <c r="F22" s="4">
        <v>201.17453778562839</v>
      </c>
      <c r="G22" s="4">
        <v>7100.3203980509898</v>
      </c>
      <c r="H22" s="4">
        <v>357.67203215476968</v>
      </c>
      <c r="I22" s="4"/>
      <c r="J22" s="4">
        <v>54.095264787372621</v>
      </c>
      <c r="K22" s="8">
        <v>16.937584168131398</v>
      </c>
      <c r="L22" s="8">
        <v>597.80067441159167</v>
      </c>
      <c r="M22" s="8">
        <v>30.113652631644289</v>
      </c>
      <c r="O22" s="168">
        <v>5903.2959119997595</v>
      </c>
      <c r="P22" s="167">
        <f>B22-O22</f>
        <v>33351.928034836943</v>
      </c>
      <c r="Q22" s="17">
        <f>100*O22/B22</f>
        <v>15.038242859076755</v>
      </c>
      <c r="R22" s="8">
        <v>3541.9775471998555</v>
      </c>
      <c r="S22" s="224">
        <f t="shared" si="4"/>
        <v>9000.6254833856729</v>
      </c>
      <c r="T22" s="1" t="s">
        <v>291</v>
      </c>
      <c r="U22" s="35">
        <f>V22+W22</f>
        <v>6537.9799909156</v>
      </c>
      <c r="V22" s="18">
        <v>6106.3204364936528</v>
      </c>
      <c r="W22" s="18">
        <v>431.65955442194712</v>
      </c>
      <c r="Y22" s="34"/>
      <c r="Z22" s="34"/>
    </row>
    <row r="23" spans="1:26">
      <c r="A23" s="2" t="s">
        <v>194</v>
      </c>
      <c r="B23" s="222"/>
      <c r="C23" s="218"/>
      <c r="D23" s="203"/>
      <c r="E23" s="4"/>
      <c r="F23" s="4"/>
      <c r="G23" s="4"/>
      <c r="H23" s="4"/>
      <c r="I23" s="4"/>
      <c r="J23" s="4"/>
      <c r="P23" s="167"/>
      <c r="Q23" s="17"/>
      <c r="S23" s="224"/>
      <c r="T23" s="2" t="s">
        <v>194</v>
      </c>
      <c r="Y23" s="34"/>
      <c r="Z23" s="34"/>
    </row>
    <row r="24" spans="1:26">
      <c r="A24" s="6" t="s">
        <v>195</v>
      </c>
      <c r="B24" s="222">
        <f>SUM(B19:B22)</f>
        <v>613685.36403909035</v>
      </c>
      <c r="C24" s="218">
        <f t="shared" si="2"/>
        <v>175655.14809220965</v>
      </c>
      <c r="D24" s="203">
        <f t="shared" si="3"/>
        <v>0.2862299777464154</v>
      </c>
      <c r="E24" s="14">
        <f t="shared" ref="E24:R24" si="6">SUM(E19:E22)</f>
        <v>6137.4452819772332</v>
      </c>
      <c r="F24" s="14">
        <f t="shared" si="6"/>
        <v>2751.7808982134202</v>
      </c>
      <c r="G24" s="14">
        <f t="shared" si="6"/>
        <v>136933.79223744618</v>
      </c>
      <c r="H24" s="14">
        <f t="shared" si="6"/>
        <v>7729.2077787928438</v>
      </c>
      <c r="I24" s="14"/>
      <c r="J24" s="14">
        <f t="shared" si="6"/>
        <v>144.39229541395039</v>
      </c>
      <c r="K24" s="14">
        <f t="shared" si="6"/>
        <v>58.618093157807834</v>
      </c>
      <c r="L24" s="14">
        <f t="shared" si="6"/>
        <v>2954.0594872261845</v>
      </c>
      <c r="M24" s="14">
        <f t="shared" si="6"/>
        <v>166.21541094355092</v>
      </c>
      <c r="N24" s="35"/>
      <c r="O24" s="168">
        <f t="shared" ref="O24" si="7">SUM(O19:O22)</f>
        <v>31550.963260695535</v>
      </c>
      <c r="P24" s="167">
        <f>B24-O24</f>
        <v>582134.40077839477</v>
      </c>
      <c r="Q24" s="17">
        <f>100*O24/B24</f>
        <v>5.1412279173543745</v>
      </c>
      <c r="R24" s="14">
        <f t="shared" si="6"/>
        <v>18779.636609038462</v>
      </c>
      <c r="S24" s="224">
        <f t="shared" si="4"/>
        <v>156875.5114831712</v>
      </c>
      <c r="T24" s="6" t="s">
        <v>195</v>
      </c>
      <c r="U24" s="14">
        <f>SUM(U19:U22)</f>
        <v>124974.26664764696</v>
      </c>
      <c r="V24" s="14">
        <f>SUM(V19:V22)</f>
        <v>122989.83946343018</v>
      </c>
      <c r="W24" s="14">
        <f>SUM(W19:W22)</f>
        <v>1984.4271842167786</v>
      </c>
    </row>
    <row r="25" spans="1:26">
      <c r="A25" s="6" t="s">
        <v>420</v>
      </c>
      <c r="B25" s="221">
        <f>B20+B21+B22</f>
        <v>437433.71202142845</v>
      </c>
      <c r="C25" s="218">
        <f t="shared" si="2"/>
        <v>120746.71422601923</v>
      </c>
      <c r="D25" s="203">
        <f t="shared" si="3"/>
        <v>0.27603431310320281</v>
      </c>
      <c r="E25" s="7">
        <f t="shared" ref="E25:R25" si="8">E20+E21+E22</f>
        <v>4805.5098559199369</v>
      </c>
      <c r="F25" s="7">
        <f t="shared" si="8"/>
        <v>2052.9296630908434</v>
      </c>
      <c r="G25" s="7">
        <f t="shared" si="8"/>
        <v>97569.184626707793</v>
      </c>
      <c r="H25" s="7">
        <f t="shared" si="8"/>
        <v>4764.8988357875123</v>
      </c>
      <c r="I25" s="7"/>
      <c r="J25" s="7">
        <f t="shared" si="8"/>
        <v>116.61283335907555</v>
      </c>
      <c r="K25" s="7">
        <f t="shared" si="8"/>
        <v>44.297460456304108</v>
      </c>
      <c r="L25" s="7">
        <f t="shared" si="8"/>
        <v>2100.8450054344225</v>
      </c>
      <c r="M25" s="7">
        <f t="shared" si="8"/>
        <v>97.54404707172452</v>
      </c>
      <c r="N25" s="35"/>
      <c r="O25" s="167">
        <f t="shared" ref="O25" si="9">O20+O21+O22</f>
        <v>15402.433690592317</v>
      </c>
      <c r="P25" s="167">
        <f>B25-O25</f>
        <v>422031.27833083615</v>
      </c>
      <c r="Q25" s="17">
        <f>100*O25/B25</f>
        <v>3.5210897713886768</v>
      </c>
      <c r="R25" s="7">
        <f t="shared" si="8"/>
        <v>9194.8918981916395</v>
      </c>
      <c r="S25" s="224">
        <f t="shared" si="4"/>
        <v>111551.8223278276</v>
      </c>
      <c r="T25" s="6" t="s">
        <v>420</v>
      </c>
      <c r="U25" s="7">
        <f>U20+U21+U22</f>
        <v>88957.26664764696</v>
      </c>
      <c r="V25" s="7">
        <f>V20+V21+V22</f>
        <v>87559.83946343018</v>
      </c>
      <c r="W25" s="7">
        <f>W20+W21+W22</f>
        <v>1397.4271842167786</v>
      </c>
    </row>
    <row r="26" spans="1:26">
      <c r="A26" s="6" t="s">
        <v>252</v>
      </c>
      <c r="B26" s="221">
        <f>B19+B20+B21</f>
        <v>574430.14009225368</v>
      </c>
      <c r="C26" s="218">
        <f t="shared" si="2"/>
        <v>163112.54506162409</v>
      </c>
      <c r="D26" s="203">
        <f t="shared" si="3"/>
        <v>0.28395540845998812</v>
      </c>
      <c r="E26" s="7">
        <f t="shared" ref="E26:R26" si="10">E19+E20+E21</f>
        <v>5494.9339425816888</v>
      </c>
      <c r="F26" s="7">
        <f t="shared" si="10"/>
        <v>2550.606360427792</v>
      </c>
      <c r="G26" s="7">
        <f t="shared" si="10"/>
        <v>129833.47183939518</v>
      </c>
      <c r="H26" s="7">
        <f t="shared" si="10"/>
        <v>7371.5357466380738</v>
      </c>
      <c r="I26" s="7"/>
      <c r="J26" s="7">
        <f t="shared" si="10"/>
        <v>90.297030626577765</v>
      </c>
      <c r="K26" s="7">
        <f t="shared" si="10"/>
        <v>41.680508989676433</v>
      </c>
      <c r="L26" s="7">
        <f t="shared" si="10"/>
        <v>2356.2588128145926</v>
      </c>
      <c r="M26" s="7">
        <f t="shared" si="10"/>
        <v>136.10175831190662</v>
      </c>
      <c r="N26" s="35"/>
      <c r="O26" s="167">
        <f t="shared" ref="O26" si="11">O19+O20+O21</f>
        <v>25647.667348695773</v>
      </c>
      <c r="P26" s="167">
        <f>B26-O26</f>
        <v>548782.47274355788</v>
      </c>
      <c r="Q26" s="17">
        <f>100*O26/B26</f>
        <v>4.4648888626520797</v>
      </c>
      <c r="R26" s="7">
        <f t="shared" si="10"/>
        <v>15237.659061838605</v>
      </c>
      <c r="S26" s="224">
        <f t="shared" si="4"/>
        <v>147874.88599978547</v>
      </c>
      <c r="T26" s="6" t="s">
        <v>252</v>
      </c>
      <c r="U26" s="7">
        <f>U19+U20+U21</f>
        <v>118436.28665673136</v>
      </c>
      <c r="V26" s="7">
        <f>V19+V20+V21</f>
        <v>116883.51902693653</v>
      </c>
      <c r="W26" s="7">
        <f>W19+W20+W21</f>
        <v>1552.7676297948315</v>
      </c>
    </row>
    <row r="27" spans="1:26">
      <c r="A27" s="6"/>
      <c r="B27" s="221"/>
      <c r="C27" s="219"/>
      <c r="D27" s="203"/>
      <c r="E27" s="4"/>
      <c r="F27" s="4"/>
      <c r="G27" s="4"/>
      <c r="H27" s="4"/>
      <c r="I27" s="4"/>
      <c r="J27" s="4"/>
      <c r="P27" s="167"/>
      <c r="Q27" s="17"/>
      <c r="S27" s="224"/>
      <c r="T27" s="6"/>
    </row>
    <row r="28" spans="1:26">
      <c r="A28" s="1" t="s">
        <v>164</v>
      </c>
      <c r="B28" s="219">
        <f>153505*(EXP(LN(254050/153505)/27)^19)</f>
        <v>218821.78445791494</v>
      </c>
      <c r="C28" s="218">
        <f t="shared" si="2"/>
        <v>86157.614297085442</v>
      </c>
      <c r="D28" s="203">
        <f t="shared" si="3"/>
        <v>0.39373417281338263</v>
      </c>
      <c r="E28" s="4">
        <v>2287.6101470569806</v>
      </c>
      <c r="F28" s="4">
        <v>1231.8341387756986</v>
      </c>
      <c r="G28" s="4">
        <v>31104.902952347555</v>
      </c>
      <c r="H28" s="4">
        <v>2145.3052140472901</v>
      </c>
      <c r="I28" s="4"/>
      <c r="J28" s="4">
        <v>42.031164405173648</v>
      </c>
      <c r="K28" s="8">
        <v>21.187894977743113</v>
      </c>
      <c r="L28" s="8">
        <v>655.82111099250267</v>
      </c>
      <c r="M28" s="8">
        <v>35.366570889134614</v>
      </c>
      <c r="N28" s="8">
        <v>11499.529862401878</v>
      </c>
      <c r="O28" s="168">
        <v>62002.237680075574</v>
      </c>
      <c r="P28" s="167">
        <f>B28-O28</f>
        <v>156819.54677783936</v>
      </c>
      <c r="Q28" s="17">
        <f>100*O28/B28</f>
        <v>28.334581876147805</v>
      </c>
      <c r="R28" s="8">
        <v>37134.025241191484</v>
      </c>
      <c r="S28" s="224">
        <f t="shared" si="4"/>
        <v>49023.589055893957</v>
      </c>
      <c r="T28" s="1" t="s">
        <v>164</v>
      </c>
      <c r="U28" s="35">
        <f>V28+W28</f>
        <v>27783.013831163807</v>
      </c>
      <c r="V28" s="18">
        <v>27524</v>
      </c>
      <c r="W28" s="18">
        <v>259.01383116380578</v>
      </c>
    </row>
    <row r="29" spans="1:26">
      <c r="A29" s="1" t="s">
        <v>292</v>
      </c>
      <c r="B29" s="218">
        <v>481402.16898928455</v>
      </c>
      <c r="C29" s="218">
        <f t="shared" si="2"/>
        <v>191452.67331394533</v>
      </c>
      <c r="D29" s="203">
        <f t="shared" si="3"/>
        <v>0.39769798652113436</v>
      </c>
      <c r="E29" s="4">
        <v>6443.1116056970577</v>
      </c>
      <c r="F29" s="4">
        <v>1087.8866727100274</v>
      </c>
      <c r="G29" s="4">
        <v>64496.757473262194</v>
      </c>
      <c r="H29" s="4">
        <v>4150.7607077452649</v>
      </c>
      <c r="I29" s="4"/>
      <c r="J29" s="4">
        <v>187.50030855836428</v>
      </c>
      <c r="K29" s="8">
        <v>31.658474863186008</v>
      </c>
      <c r="L29" s="8">
        <v>1876.9133094881929</v>
      </c>
      <c r="M29" s="8">
        <v>120.79084782048771</v>
      </c>
      <c r="O29" s="168">
        <v>188428.82318966757</v>
      </c>
      <c r="P29" s="167">
        <f>B29-O29</f>
        <v>292973.345799617</v>
      </c>
      <c r="Q29" s="17">
        <f>100*O29/B29</f>
        <v>39.141664771739279</v>
      </c>
      <c r="R29" s="8">
        <v>113057.29391380055</v>
      </c>
      <c r="S29" s="224">
        <f t="shared" si="4"/>
        <v>78395.379400144782</v>
      </c>
      <c r="T29" s="1" t="s">
        <v>292</v>
      </c>
      <c r="U29" s="35">
        <f>V29+W29</f>
        <v>57353.313196685522</v>
      </c>
      <c r="V29" s="18">
        <v>55972.530813219957</v>
      </c>
      <c r="W29" s="18">
        <v>1380.7823834655626</v>
      </c>
    </row>
    <row r="30" spans="1:26">
      <c r="A30" s="1" t="s">
        <v>293</v>
      </c>
      <c r="B30" s="218">
        <v>223653.24463599495</v>
      </c>
      <c r="C30" s="218">
        <f t="shared" si="2"/>
        <v>81986.078132588271</v>
      </c>
      <c r="D30" s="203">
        <f t="shared" si="3"/>
        <v>0.36657674368205145</v>
      </c>
      <c r="E30" s="4">
        <v>6685.1378959653466</v>
      </c>
      <c r="F30" s="4">
        <v>2063.4386050568587</v>
      </c>
      <c r="G30" s="4">
        <v>36260.108143590471</v>
      </c>
      <c r="H30" s="4">
        <v>1892.4348922052045</v>
      </c>
      <c r="I30" s="4"/>
      <c r="J30" s="4">
        <v>115.39937347305244</v>
      </c>
      <c r="K30" s="8">
        <v>35.61923866482725</v>
      </c>
      <c r="L30" s="8">
        <v>625.92482413277617</v>
      </c>
      <c r="M30" s="8">
        <v>32.667359192519513</v>
      </c>
      <c r="O30" s="168">
        <v>57125.57966717871</v>
      </c>
      <c r="P30" s="167">
        <f>B30-O30</f>
        <v>166527.66496881624</v>
      </c>
      <c r="Q30" s="17">
        <f>100*O30/B30</f>
        <v>25.542030369446682</v>
      </c>
      <c r="R30" s="8">
        <v>34275.347800307223</v>
      </c>
      <c r="S30" s="224">
        <f t="shared" si="4"/>
        <v>47710.730332281048</v>
      </c>
      <c r="T30" s="1" t="s">
        <v>293</v>
      </c>
      <c r="U30" s="35">
        <f>V30+W30</f>
        <v>33670.60902121658</v>
      </c>
      <c r="V30" s="18">
        <v>33199.636718050337</v>
      </c>
      <c r="W30" s="18">
        <v>470.97230316624587</v>
      </c>
    </row>
    <row r="31" spans="1:26">
      <c r="A31" s="1" t="s">
        <v>263</v>
      </c>
      <c r="B31" s="218">
        <v>144103.40970485506</v>
      </c>
      <c r="C31" s="218">
        <f t="shared" si="2"/>
        <v>63135.247088577002</v>
      </c>
      <c r="D31" s="203">
        <f t="shared" si="3"/>
        <v>0.4381245885707164</v>
      </c>
      <c r="E31" s="4">
        <v>2597.5081711405387</v>
      </c>
      <c r="F31" s="4">
        <v>1416.7044910540624</v>
      </c>
      <c r="G31" s="4">
        <v>18854.576817054109</v>
      </c>
      <c r="H31" s="4">
        <v>2761.0522982634775</v>
      </c>
      <c r="I31" s="4"/>
      <c r="J31" s="4">
        <v>33.372656310006647</v>
      </c>
      <c r="K31" s="8">
        <v>18.201749121747827</v>
      </c>
      <c r="L31" s="8">
        <v>242.24266894601476</v>
      </c>
      <c r="M31" s="8">
        <v>35.473863153793921</v>
      </c>
      <c r="O31" s="168">
        <v>61960.190622555427</v>
      </c>
      <c r="P31" s="167">
        <f>B31-O31</f>
        <v>82143.219082299634</v>
      </c>
      <c r="Q31" s="17">
        <f>100*O31/B31</f>
        <v>42.997032998357909</v>
      </c>
      <c r="R31" s="8">
        <v>37176.114373533252</v>
      </c>
      <c r="S31" s="224">
        <f t="shared" si="4"/>
        <v>25959.13271504375</v>
      </c>
      <c r="T31" s="1" t="s">
        <v>263</v>
      </c>
      <c r="U31" s="35">
        <f>V31+W31</f>
        <v>16664.462004722529</v>
      </c>
      <c r="V31" s="18">
        <v>16490.797897627792</v>
      </c>
      <c r="W31" s="18">
        <v>173.66410709473658</v>
      </c>
    </row>
    <row r="32" spans="1:26">
      <c r="A32" s="1" t="s">
        <v>329</v>
      </c>
      <c r="B32" s="218">
        <v>33170.062693887623</v>
      </c>
      <c r="C32" s="218">
        <f t="shared" si="2"/>
        <v>13407.921079688333</v>
      </c>
      <c r="D32" s="203">
        <f t="shared" si="3"/>
        <v>0.40421753806811656</v>
      </c>
      <c r="E32" s="4">
        <v>752.56295274155354</v>
      </c>
      <c r="F32" s="4">
        <v>231.6730252113644</v>
      </c>
      <c r="G32" s="4">
        <v>4846.699184823312</v>
      </c>
      <c r="H32" s="4">
        <v>474.08740588064842</v>
      </c>
      <c r="I32" s="4"/>
      <c r="J32" s="4">
        <v>5.6635036718817524</v>
      </c>
      <c r="K32" s="8">
        <v>1.7434834178066607</v>
      </c>
      <c r="L32" s="8">
        <v>36.474421880264686</v>
      </c>
      <c r="M32" s="8">
        <v>3.5678022073988971</v>
      </c>
      <c r="O32" s="168">
        <v>11759.082166423505</v>
      </c>
      <c r="P32" s="167">
        <f>B32-O32</f>
        <v>21410.980527464118</v>
      </c>
      <c r="Q32" s="17">
        <f>100*O32/B32</f>
        <v>35.450889179628824</v>
      </c>
      <c r="R32" s="8">
        <v>7055.4492998541027</v>
      </c>
      <c r="S32" s="224">
        <f t="shared" si="4"/>
        <v>6352.4717798342299</v>
      </c>
      <c r="T32" s="1" t="s">
        <v>329</v>
      </c>
      <c r="U32" s="35">
        <f>V32+W32</f>
        <v>4227.3810161521315</v>
      </c>
      <c r="V32" s="18">
        <v>4200.7264536507846</v>
      </c>
      <c r="W32" s="18">
        <v>26.654562501347247</v>
      </c>
    </row>
    <row r="33" spans="1:27">
      <c r="A33" s="2" t="s">
        <v>165</v>
      </c>
      <c r="B33" s="220"/>
      <c r="C33" s="218"/>
      <c r="D33" s="203"/>
      <c r="E33" s="4"/>
      <c r="F33" s="4"/>
      <c r="G33" s="4"/>
      <c r="H33" s="4"/>
      <c r="I33" s="4"/>
      <c r="J33" s="4"/>
      <c r="P33" s="167"/>
      <c r="Q33" s="17"/>
      <c r="S33" s="224"/>
      <c r="T33" s="2" t="s">
        <v>165</v>
      </c>
    </row>
    <row r="34" spans="1:27">
      <c r="A34" s="6" t="s">
        <v>362</v>
      </c>
      <c r="B34" s="221">
        <f>SUM(B28:B32)</f>
        <v>1101150.6704819372</v>
      </c>
      <c r="C34" s="218">
        <f t="shared" si="2"/>
        <v>436140.00404948252</v>
      </c>
      <c r="D34" s="203">
        <f t="shared" si="3"/>
        <v>0.39607659127937367</v>
      </c>
      <c r="E34" s="7">
        <f t="shared" ref="E34:R34" si="12">SUM(E28:E32)</f>
        <v>18765.930772601478</v>
      </c>
      <c r="F34" s="7">
        <f t="shared" si="12"/>
        <v>6031.5369328080124</v>
      </c>
      <c r="G34" s="7">
        <f t="shared" si="12"/>
        <v>155563.04457107763</v>
      </c>
      <c r="H34" s="7">
        <f t="shared" si="12"/>
        <v>11423.640518141885</v>
      </c>
      <c r="I34" s="7"/>
      <c r="J34" s="7">
        <f t="shared" si="12"/>
        <v>383.96700641847877</v>
      </c>
      <c r="K34" s="7">
        <f t="shared" si="12"/>
        <v>108.41084104531085</v>
      </c>
      <c r="L34" s="7">
        <f t="shared" si="12"/>
        <v>3437.3763354397515</v>
      </c>
      <c r="M34" s="7">
        <f t="shared" si="12"/>
        <v>227.86644326333467</v>
      </c>
      <c r="N34" s="7">
        <v>11500</v>
      </c>
      <c r="O34" s="7">
        <f t="shared" ref="O34" si="13">SUM(O28:O32)</f>
        <v>381275.91332590079</v>
      </c>
      <c r="P34" s="167">
        <f>B34-O34</f>
        <v>719874.75715603644</v>
      </c>
      <c r="Q34" s="17">
        <f>100*O34/B34</f>
        <v>34.625226460519606</v>
      </c>
      <c r="R34" s="7">
        <f t="shared" si="12"/>
        <v>228698.23062868664</v>
      </c>
      <c r="S34" s="224">
        <f t="shared" si="4"/>
        <v>207441.77342079589</v>
      </c>
      <c r="T34" s="6" t="s">
        <v>362</v>
      </c>
      <c r="U34" s="7">
        <f>SUM(U28:U32)</f>
        <v>139698.77906994056</v>
      </c>
      <c r="V34" s="7">
        <f>SUM(V28:V32)</f>
        <v>137387.69188254885</v>
      </c>
      <c r="W34" s="7">
        <f>SUM(W28:W32)</f>
        <v>2311.0871873916985</v>
      </c>
    </row>
    <row r="35" spans="1:27">
      <c r="A35" s="6" t="s">
        <v>363</v>
      </c>
      <c r="B35" s="221">
        <f>B34+B22</f>
        <v>1140405.894428774</v>
      </c>
      <c r="C35" s="218">
        <f t="shared" si="2"/>
        <v>448682.60708006803</v>
      </c>
      <c r="D35" s="203">
        <f t="shared" si="3"/>
        <v>0.39344115044653627</v>
      </c>
      <c r="E35" s="7">
        <f t="shared" ref="E35:R35" si="14">E34+E22</f>
        <v>19408.442111997021</v>
      </c>
      <c r="F35" s="7">
        <f t="shared" si="14"/>
        <v>6232.711470593641</v>
      </c>
      <c r="G35" s="7">
        <f t="shared" si="14"/>
        <v>162663.36496912863</v>
      </c>
      <c r="H35" s="7">
        <f t="shared" si="14"/>
        <v>11781.312550296654</v>
      </c>
      <c r="I35" s="7"/>
      <c r="J35" s="7">
        <f t="shared" si="14"/>
        <v>438.0622712058514</v>
      </c>
      <c r="K35" s="7">
        <f t="shared" si="14"/>
        <v>125.34842521344224</v>
      </c>
      <c r="L35" s="7">
        <f t="shared" si="14"/>
        <v>4035.1770098513434</v>
      </c>
      <c r="M35" s="7">
        <f t="shared" si="14"/>
        <v>257.98009589497894</v>
      </c>
      <c r="N35" s="7">
        <v>11500</v>
      </c>
      <c r="O35" s="7">
        <f t="shared" ref="O35" si="15">O34+O22</f>
        <v>387179.20923790056</v>
      </c>
      <c r="P35" s="167">
        <f>B35-O35</f>
        <v>753226.68519087345</v>
      </c>
      <c r="Q35" s="17">
        <f>100*O35/B35</f>
        <v>33.951000352540042</v>
      </c>
      <c r="R35" s="7">
        <f t="shared" si="14"/>
        <v>232240.20817588648</v>
      </c>
      <c r="S35" s="224">
        <f t="shared" si="4"/>
        <v>216442.39890418155</v>
      </c>
      <c r="T35" s="6" t="s">
        <v>363</v>
      </c>
      <c r="U35" s="7">
        <f>U34+U22</f>
        <v>146236.75906085616</v>
      </c>
      <c r="V35" s="7">
        <f>V34+V22</f>
        <v>143494.01231904249</v>
      </c>
      <c r="W35" s="7">
        <f>W34+W22</f>
        <v>2742.7467418136457</v>
      </c>
    </row>
    <row r="36" spans="1:27" ht="16" thickBot="1">
      <c r="B36" s="219"/>
      <c r="C36" s="219"/>
      <c r="D36" s="203"/>
      <c r="E36" s="4"/>
      <c r="F36" s="4"/>
      <c r="G36" s="4"/>
      <c r="H36" s="7"/>
      <c r="I36" s="7"/>
      <c r="J36" s="7"/>
      <c r="K36" s="7"/>
      <c r="L36" s="7"/>
      <c r="M36" s="7"/>
      <c r="N36" s="7"/>
      <c r="O36" s="7"/>
      <c r="P36" s="167"/>
      <c r="Q36" s="17"/>
      <c r="R36" s="7"/>
      <c r="S36" s="224"/>
      <c r="T36" s="6"/>
      <c r="U36" s="7"/>
      <c r="V36" s="7"/>
      <c r="W36" s="7"/>
      <c r="X36" s="34"/>
      <c r="Y36" s="34"/>
      <c r="Z36" s="34"/>
      <c r="AA36" s="34"/>
    </row>
    <row r="37" spans="1:27" ht="16" thickBot="1">
      <c r="A37" s="34" t="s">
        <v>220</v>
      </c>
      <c r="B37" s="219">
        <f>B17+B24+B34</f>
        <v>2376399.1930450276</v>
      </c>
      <c r="C37" s="223">
        <f>C17+C19+C25+C34</f>
        <v>800020.10884947982</v>
      </c>
      <c r="D37" s="203">
        <f t="shared" si="3"/>
        <v>0.33665223889609408</v>
      </c>
      <c r="E37" s="35">
        <f>E17+E19+E25+E34</f>
        <v>30975.872695315978</v>
      </c>
      <c r="F37" s="35">
        <f t="shared" ref="F37:W37" si="16">F17+F19+F25+F34</f>
        <v>12271.478968947697</v>
      </c>
      <c r="G37" s="35">
        <f t="shared" si="16"/>
        <v>445569.6076743037</v>
      </c>
      <c r="H37" s="35">
        <f t="shared" si="16"/>
        <v>38594.81518897658</v>
      </c>
      <c r="J37" s="35">
        <f t="shared" si="16"/>
        <v>672.04698377184241</v>
      </c>
      <c r="K37" s="35">
        <f t="shared" si="16"/>
        <v>245.64102234849804</v>
      </c>
      <c r="L37" s="35">
        <f t="shared" si="16"/>
        <v>9273.0355340843998</v>
      </c>
      <c r="M37" s="35">
        <f t="shared" si="16"/>
        <v>1208.8020996800756</v>
      </c>
      <c r="N37" s="35">
        <f t="shared" si="16"/>
        <v>11500</v>
      </c>
      <c r="O37" s="168">
        <f>O17+O24+O34</f>
        <v>416822.63084155164</v>
      </c>
      <c r="P37" s="167">
        <f>B37-O37</f>
        <v>1959576.562203476</v>
      </c>
      <c r="Q37" s="17">
        <f>100*O37/B37</f>
        <v>17.540093098056097</v>
      </c>
      <c r="R37" s="35">
        <f t="shared" si="16"/>
        <v>249708.80868205096</v>
      </c>
      <c r="S37" s="224">
        <f t="shared" si="4"/>
        <v>550311.3001674288</v>
      </c>
      <c r="T37" s="34" t="s">
        <v>220</v>
      </c>
      <c r="U37" s="35">
        <f t="shared" si="16"/>
        <v>393573.04571758752</v>
      </c>
      <c r="V37" s="35">
        <f t="shared" si="16"/>
        <v>386955.53134597902</v>
      </c>
      <c r="W37" s="35">
        <f t="shared" si="16"/>
        <v>6617.5143716084767</v>
      </c>
      <c r="X37" s="34"/>
      <c r="Y37" s="34"/>
      <c r="Z37" s="34"/>
      <c r="AA37" s="34"/>
    </row>
    <row r="38" spans="1:27">
      <c r="E38" s="4"/>
      <c r="F38" s="4"/>
      <c r="G38" s="4"/>
      <c r="H38" s="4"/>
      <c r="I38" s="4"/>
      <c r="J38" s="4"/>
      <c r="O38" s="205"/>
      <c r="P38" s="205"/>
      <c r="Q38" s="205"/>
      <c r="R38" s="200"/>
    </row>
    <row r="39" spans="1:27">
      <c r="B39" s="213" t="s">
        <v>508</v>
      </c>
      <c r="E39" s="4"/>
      <c r="F39" s="4"/>
      <c r="G39" s="4"/>
      <c r="H39" s="4"/>
      <c r="I39" s="4"/>
      <c r="J39" s="4" t="s">
        <v>317</v>
      </c>
      <c r="N39" s="33" t="s">
        <v>209</v>
      </c>
      <c r="R39" s="213" t="s">
        <v>477</v>
      </c>
      <c r="U39" s="43" t="s">
        <v>414</v>
      </c>
      <c r="V39" s="35"/>
    </row>
    <row r="40" spans="1:27">
      <c r="B40" s="14" t="s">
        <v>542</v>
      </c>
      <c r="E40" s="4"/>
      <c r="F40" s="4"/>
      <c r="G40" s="4"/>
      <c r="H40" s="4"/>
      <c r="I40" s="4"/>
      <c r="J40" s="4" t="s">
        <v>436</v>
      </c>
      <c r="N40" s="33" t="s">
        <v>196</v>
      </c>
      <c r="R40" s="213" t="s">
        <v>478</v>
      </c>
      <c r="U40" s="35" t="s">
        <v>525</v>
      </c>
      <c r="V40" s="35"/>
    </row>
    <row r="41" spans="1:27">
      <c r="B41" s="213" t="s">
        <v>509</v>
      </c>
      <c r="H41" s="4"/>
      <c r="I41" s="4"/>
      <c r="J41" s="4" t="s">
        <v>456</v>
      </c>
      <c r="N41" s="33" t="s">
        <v>197</v>
      </c>
      <c r="U41" s="35" t="s">
        <v>492</v>
      </c>
      <c r="V41" s="35"/>
    </row>
    <row r="42" spans="1:27">
      <c r="B42" s="213" t="s">
        <v>510</v>
      </c>
      <c r="H42" s="4"/>
      <c r="I42" s="4"/>
      <c r="J42" s="4" t="s">
        <v>441</v>
      </c>
      <c r="N42" s="33" t="s">
        <v>198</v>
      </c>
      <c r="U42" s="35" t="s">
        <v>308</v>
      </c>
      <c r="V42" s="35"/>
    </row>
    <row r="43" spans="1:27">
      <c r="J43" s="35" t="s">
        <v>266</v>
      </c>
      <c r="N43" s="33" t="s">
        <v>271</v>
      </c>
      <c r="U43" s="35" t="s">
        <v>249</v>
      </c>
      <c r="V43" s="35"/>
    </row>
    <row r="44" spans="1:27">
      <c r="B44" s="213" t="s">
        <v>548</v>
      </c>
      <c r="J44" s="35" t="s">
        <v>199</v>
      </c>
      <c r="N44" s="32"/>
      <c r="U44" s="35" t="s">
        <v>262</v>
      </c>
      <c r="V44" s="35"/>
    </row>
    <row r="45" spans="1:27">
      <c r="B45" s="213" t="s">
        <v>507</v>
      </c>
      <c r="J45" s="35" t="s">
        <v>200</v>
      </c>
      <c r="N45" s="32"/>
      <c r="U45" s="35" t="s">
        <v>434</v>
      </c>
      <c r="V45" s="35"/>
    </row>
    <row r="46" spans="1:27">
      <c r="E46" s="217"/>
      <c r="J46" s="14" t="s">
        <v>201</v>
      </c>
      <c r="N46" s="32"/>
      <c r="U46" s="35" t="s">
        <v>306</v>
      </c>
      <c r="V46" s="35"/>
    </row>
    <row r="47" spans="1:27">
      <c r="J47" s="35" t="s">
        <v>344</v>
      </c>
      <c r="N47" s="32"/>
      <c r="U47" s="35" t="s">
        <v>307</v>
      </c>
      <c r="V47" s="35"/>
    </row>
    <row r="48" spans="1:27">
      <c r="J48" s="35" t="s">
        <v>345</v>
      </c>
      <c r="N48" s="32"/>
      <c r="U48" s="35" t="s">
        <v>374</v>
      </c>
      <c r="V48" s="35"/>
    </row>
    <row r="49" spans="21:24">
      <c r="U49" s="35" t="s">
        <v>248</v>
      </c>
      <c r="V49" s="35"/>
    </row>
    <row r="50" spans="21:24">
      <c r="U50" s="35"/>
      <c r="V50" s="35"/>
    </row>
    <row r="51" spans="21:24">
      <c r="U51" s="43" t="s">
        <v>494</v>
      </c>
      <c r="V51" s="35"/>
    </row>
    <row r="52" spans="21:24">
      <c r="U52" s="35" t="s">
        <v>255</v>
      </c>
      <c r="V52" s="35"/>
    </row>
    <row r="53" spans="21:24">
      <c r="U53" s="35" t="s">
        <v>351</v>
      </c>
      <c r="V53" s="35"/>
    </row>
    <row r="54" spans="21:24">
      <c r="U54" s="35" t="s">
        <v>540</v>
      </c>
      <c r="V54" s="35"/>
    </row>
    <row r="55" spans="21:24">
      <c r="U55" s="35" t="s">
        <v>369</v>
      </c>
      <c r="V55" s="35"/>
    </row>
    <row r="56" spans="21:24">
      <c r="U56" s="35"/>
      <c r="V56" s="35"/>
    </row>
    <row r="57" spans="21:24">
      <c r="U57" s="43" t="s">
        <v>543</v>
      </c>
      <c r="V57" s="35"/>
    </row>
    <row r="58" spans="21:24">
      <c r="U58" s="200" t="s">
        <v>523</v>
      </c>
      <c r="V58" s="35"/>
    </row>
    <row r="59" spans="21:24">
      <c r="U59" s="35"/>
      <c r="V59" s="35"/>
    </row>
    <row r="60" spans="21:24">
      <c r="U60" s="59"/>
      <c r="V60" s="59"/>
      <c r="W60" s="59"/>
      <c r="X60" s="34"/>
    </row>
    <row r="61" spans="21:24">
      <c r="U61" s="59"/>
      <c r="V61" s="59"/>
      <c r="W61" s="59"/>
      <c r="X61" s="34"/>
    </row>
    <row r="62" spans="21:24">
      <c r="U62" s="59"/>
      <c r="V62" s="59"/>
      <c r="W62" s="59"/>
      <c r="X62" s="34"/>
    </row>
    <row r="63" spans="21:24">
      <c r="U63" s="59"/>
      <c r="V63" s="59"/>
      <c r="W63" s="59"/>
      <c r="X63" s="34"/>
    </row>
    <row r="64" spans="21:24">
      <c r="U64" s="59"/>
      <c r="V64" s="59"/>
      <c r="W64" s="59"/>
      <c r="X64" s="34"/>
    </row>
    <row r="65" spans="21:24">
      <c r="U65" s="59"/>
      <c r="V65" s="59"/>
      <c r="W65" s="59"/>
      <c r="X65" s="34"/>
    </row>
    <row r="66" spans="21:24">
      <c r="U66" s="59"/>
      <c r="V66" s="59"/>
      <c r="W66" s="59"/>
      <c r="X66" s="34"/>
    </row>
    <row r="67" spans="21:24">
      <c r="U67" s="59"/>
      <c r="V67" s="59"/>
      <c r="W67" s="59"/>
      <c r="X67" s="34"/>
    </row>
    <row r="68" spans="21:24">
      <c r="U68" s="59"/>
      <c r="V68" s="59"/>
      <c r="W68" s="59"/>
      <c r="X68" s="34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J73"/>
  <sheetViews>
    <sheetView workbookViewId="0">
      <pane xSplit="10740" ySplit="2960" topLeftCell="W19" activePane="bottomRight"/>
      <selection activeCell="A5" sqref="A5:XFD5"/>
      <selection pane="topRight" activeCell="O5" sqref="O5"/>
      <selection pane="bottomLeft" activeCell="E21" sqref="E21:AF39"/>
      <selection pane="bottomRight" activeCell="X39" sqref="X39"/>
    </sheetView>
  </sheetViews>
  <sheetFormatPr baseColWidth="10" defaultColWidth="10.7109375" defaultRowHeight="15"/>
  <cols>
    <col min="1" max="1" width="9.85546875" style="229" customWidth="1"/>
    <col min="2" max="2" width="10.7109375" style="229"/>
    <col min="3" max="3" width="12.140625" style="229" customWidth="1"/>
    <col min="4" max="4" width="24.42578125" style="229" customWidth="1"/>
    <col min="5" max="5" width="10.7109375" style="229"/>
    <col min="6" max="6" width="15.42578125" style="230" customWidth="1"/>
    <col min="7" max="7" width="10.85546875" style="230" customWidth="1"/>
    <col min="8" max="8" width="10.140625" style="230" customWidth="1"/>
    <col min="9" max="9" width="3.7109375" style="230" customWidth="1"/>
    <col min="10" max="13" width="10.7109375" style="231"/>
    <col min="14" max="14" width="7.28515625" style="231" customWidth="1"/>
    <col min="15" max="15" width="10.7109375" style="231"/>
    <col min="16" max="16" width="11.28515625" style="231" customWidth="1"/>
    <col min="17" max="17" width="10.7109375" style="231"/>
    <col min="18" max="18" width="9.7109375" style="231" customWidth="1"/>
    <col min="19" max="19" width="4.7109375" style="229" customWidth="1"/>
    <col min="20" max="21" width="11" style="229" customWidth="1"/>
    <col min="22" max="22" width="9.140625" style="229" customWidth="1"/>
    <col min="23" max="23" width="7.42578125" style="229" customWidth="1"/>
    <col min="24" max="24" width="10.7109375" style="229"/>
    <col min="25" max="25" width="8.140625" style="229" customWidth="1"/>
    <col min="26" max="29" width="10.7109375" style="229"/>
    <col min="30" max="30" width="13" style="229" customWidth="1"/>
    <col min="31" max="31" width="9.42578125" style="229" customWidth="1"/>
    <col min="32" max="32" width="9.7109375" style="229" customWidth="1"/>
    <col min="33" max="35" width="10.7109375" style="229"/>
    <col min="36" max="36" width="11.85546875" style="229" customWidth="1"/>
    <col min="37" max="16384" width="10.7109375" style="229"/>
  </cols>
  <sheetData>
    <row r="1" spans="1:29" ht="18">
      <c r="B1" s="288" t="s">
        <v>23</v>
      </c>
      <c r="E1" s="230"/>
      <c r="I1" s="229"/>
      <c r="X1" s="230"/>
      <c r="Y1" s="230"/>
      <c r="Z1" s="230"/>
      <c r="AA1" s="230"/>
    </row>
    <row r="2" spans="1:29">
      <c r="B2" s="229" t="s">
        <v>65</v>
      </c>
      <c r="E2" s="230"/>
      <c r="I2" s="229"/>
      <c r="X2" s="229" t="s">
        <v>66</v>
      </c>
      <c r="AA2" s="230"/>
    </row>
    <row r="3" spans="1:29">
      <c r="B3" s="230"/>
      <c r="E3" s="230"/>
      <c r="I3" s="229"/>
      <c r="J3" s="232" t="s">
        <v>483</v>
      </c>
      <c r="X3" s="229" t="s">
        <v>435</v>
      </c>
      <c r="AA3" s="230"/>
    </row>
    <row r="4" spans="1:29">
      <c r="A4" s="233"/>
      <c r="C4" s="233"/>
      <c r="D4" s="233"/>
      <c r="E4" s="234"/>
      <c r="F4" s="234"/>
      <c r="G4" s="234"/>
      <c r="H4" s="234"/>
      <c r="I4" s="229"/>
    </row>
    <row r="5" spans="1:29" s="289" customFormat="1" ht="18">
      <c r="A5" s="235" t="s">
        <v>29</v>
      </c>
      <c r="B5" s="301"/>
      <c r="C5" s="301"/>
      <c r="D5" s="301"/>
      <c r="E5" s="236" t="s">
        <v>30</v>
      </c>
      <c r="F5" s="293"/>
      <c r="G5" s="293"/>
      <c r="H5" s="294"/>
      <c r="J5" s="237" t="s">
        <v>31</v>
      </c>
      <c r="K5" s="291"/>
      <c r="L5" s="295" t="s">
        <v>32</v>
      </c>
      <c r="M5" s="291"/>
      <c r="N5" s="291"/>
      <c r="O5" s="239" t="s">
        <v>33</v>
      </c>
      <c r="P5" s="291"/>
      <c r="Q5" s="291"/>
      <c r="R5" s="291"/>
      <c r="T5" s="240" t="s">
        <v>34</v>
      </c>
      <c r="U5" s="296"/>
      <c r="V5" s="296"/>
      <c r="X5" s="241" t="s">
        <v>75</v>
      </c>
      <c r="Y5" s="297"/>
      <c r="Z5" s="297" t="s">
        <v>76</v>
      </c>
      <c r="AA5" s="298"/>
    </row>
    <row r="6" spans="1:29">
      <c r="A6" s="233"/>
      <c r="B6" s="242"/>
      <c r="C6" s="233"/>
      <c r="D6" s="233"/>
      <c r="E6" s="243" t="s">
        <v>399</v>
      </c>
      <c r="F6" s="243" t="s">
        <v>108</v>
      </c>
      <c r="G6" s="243" t="s">
        <v>265</v>
      </c>
      <c r="H6" s="243" t="s">
        <v>109</v>
      </c>
      <c r="I6" s="229"/>
      <c r="J6" s="244" t="s">
        <v>110</v>
      </c>
      <c r="K6" s="244" t="s">
        <v>111</v>
      </c>
      <c r="L6" s="244" t="s">
        <v>112</v>
      </c>
      <c r="M6" s="244" t="s">
        <v>421</v>
      </c>
      <c r="O6" s="238" t="s">
        <v>428</v>
      </c>
      <c r="P6" s="238"/>
      <c r="Q6" s="244" t="s">
        <v>113</v>
      </c>
      <c r="R6" s="244" t="s">
        <v>421</v>
      </c>
      <c r="T6" s="245" t="s">
        <v>114</v>
      </c>
      <c r="U6" s="245" t="s">
        <v>115</v>
      </c>
      <c r="V6" s="245" t="s">
        <v>116</v>
      </c>
      <c r="X6" s="243" t="s">
        <v>117</v>
      </c>
      <c r="Y6" s="243"/>
      <c r="Z6" s="243" t="s">
        <v>118</v>
      </c>
      <c r="AA6" s="243" t="s">
        <v>116</v>
      </c>
    </row>
    <row r="7" spans="1:29">
      <c r="A7" s="233" t="s">
        <v>429</v>
      </c>
      <c r="B7" s="233" t="s">
        <v>119</v>
      </c>
      <c r="C7" s="233"/>
      <c r="D7" s="233"/>
      <c r="E7" s="246">
        <v>5.6686053984575846E-4</v>
      </c>
      <c r="F7" s="246">
        <v>9.1477053658536574E-4</v>
      </c>
      <c r="G7" s="246">
        <v>3.2452435988459209E-3</v>
      </c>
      <c r="H7" s="234">
        <f>E7+F7+G7</f>
        <v>4.7268746752770451E-3</v>
      </c>
      <c r="I7" s="229"/>
      <c r="J7" s="238">
        <v>3.6511122774727893E-3</v>
      </c>
      <c r="K7" s="238">
        <v>8.2835723041128017E-4</v>
      </c>
      <c r="L7" s="238">
        <v>8.7615291686760077E-3</v>
      </c>
      <c r="M7" s="238">
        <f>SUM(J7:L7)</f>
        <v>1.3240998676560077E-2</v>
      </c>
      <c r="O7" s="238">
        <v>3.2248434884134202E-3</v>
      </c>
      <c r="P7" s="247"/>
      <c r="Q7" s="248">
        <v>1.1326300357770901E-2</v>
      </c>
      <c r="R7" s="238">
        <v>1.45511438461843E-2</v>
      </c>
      <c r="T7" s="229" t="s">
        <v>120</v>
      </c>
      <c r="X7" s="234">
        <v>6.31631616E-3</v>
      </c>
      <c r="Y7" s="249"/>
      <c r="Z7" s="250">
        <v>4.8842317654278725E-2</v>
      </c>
      <c r="AA7" s="234">
        <v>5.5158633814278726E-2</v>
      </c>
      <c r="AB7" s="229" t="s">
        <v>429</v>
      </c>
      <c r="AC7" s="229" t="s">
        <v>493</v>
      </c>
    </row>
    <row r="8" spans="1:29">
      <c r="A8" s="233" t="s">
        <v>484</v>
      </c>
      <c r="B8" s="251" t="s">
        <v>121</v>
      </c>
      <c r="C8" s="233"/>
      <c r="D8" s="233"/>
      <c r="E8" s="246">
        <v>3.1434993573264784E-3</v>
      </c>
      <c r="F8" s="246"/>
      <c r="G8" s="246"/>
      <c r="H8" s="234">
        <f>E8+F8+G8</f>
        <v>3.1434993573264784E-3</v>
      </c>
      <c r="I8" s="229"/>
      <c r="J8" s="238">
        <v>2.4380965436790955E-2</v>
      </c>
      <c r="K8" s="238">
        <v>0</v>
      </c>
      <c r="L8" s="238">
        <v>0</v>
      </c>
      <c r="M8" s="238">
        <f t="shared" ref="M8:M16" si="0">SUM(J8:L8)</f>
        <v>2.4380965436790955E-2</v>
      </c>
      <c r="O8" s="238">
        <v>1.6959745073156E-2</v>
      </c>
      <c r="P8" s="252"/>
      <c r="Q8" s="253">
        <v>0</v>
      </c>
      <c r="R8" s="238">
        <v>1.6959745073156E-2</v>
      </c>
      <c r="X8" s="234">
        <v>6.6643225599999998E-3</v>
      </c>
      <c r="Y8" s="254"/>
      <c r="Z8" s="255"/>
      <c r="AA8" s="234"/>
      <c r="AB8" s="229" t="s">
        <v>484</v>
      </c>
      <c r="AC8" s="251" t="s">
        <v>121</v>
      </c>
    </row>
    <row r="9" spans="1:29">
      <c r="A9" s="233" t="s">
        <v>485</v>
      </c>
      <c r="B9" s="251" t="s">
        <v>67</v>
      </c>
      <c r="C9" s="233"/>
      <c r="D9" s="233"/>
      <c r="E9" s="246"/>
      <c r="F9" s="246">
        <v>5.4378026341463399E-3</v>
      </c>
      <c r="G9" s="246">
        <v>1.4423304883759648E-2</v>
      </c>
      <c r="H9" s="234">
        <f>E9+F9+G9</f>
        <v>1.9861107517905988E-2</v>
      </c>
      <c r="I9" s="229"/>
      <c r="J9" s="238">
        <v>0</v>
      </c>
      <c r="K9" s="238">
        <v>1.643646671219734E-2</v>
      </c>
      <c r="L9" s="238">
        <v>2.643665129502697E-2</v>
      </c>
      <c r="M9" s="238">
        <f t="shared" si="0"/>
        <v>4.2873118007224306E-2</v>
      </c>
      <c r="O9" s="256">
        <v>0</v>
      </c>
      <c r="P9" s="252"/>
      <c r="Q9" s="257">
        <v>5.40252972466592E-2</v>
      </c>
      <c r="R9" s="238">
        <v>5.40252972466592E-2</v>
      </c>
      <c r="X9" s="234"/>
      <c r="Y9" s="254"/>
      <c r="Z9" s="255">
        <v>2.243248264301902E-2</v>
      </c>
      <c r="AA9" s="234">
        <v>2.9096805203019022E-2</v>
      </c>
      <c r="AB9" s="229" t="s">
        <v>485</v>
      </c>
      <c r="AC9" s="251" t="s">
        <v>67</v>
      </c>
    </row>
    <row r="10" spans="1:29">
      <c r="A10" s="233" t="s">
        <v>486</v>
      </c>
      <c r="B10" s="233" t="s">
        <v>384</v>
      </c>
      <c r="C10" s="233"/>
      <c r="D10" s="233"/>
      <c r="E10" s="246">
        <v>3.6526431876606684E-3</v>
      </c>
      <c r="F10" s="246">
        <v>1.0164117073170732E-2</v>
      </c>
      <c r="G10" s="246">
        <v>6.8690989508905315E-2</v>
      </c>
      <c r="H10" s="234">
        <f>E10+F10+G10</f>
        <v>8.250774976973671E-2</v>
      </c>
      <c r="I10" s="229"/>
      <c r="J10" s="238">
        <v>1.2819671918332056E-2</v>
      </c>
      <c r="K10" s="238">
        <v>3.5847136680414338E-2</v>
      </c>
      <c r="L10" s="238">
        <v>0.1448332653710788</v>
      </c>
      <c r="M10" s="238">
        <f t="shared" si="0"/>
        <v>0.19350007396982519</v>
      </c>
      <c r="O10" s="238">
        <v>1.95396198638868E-2</v>
      </c>
      <c r="P10" s="252"/>
      <c r="Q10" s="257">
        <v>0.24045141839881501</v>
      </c>
      <c r="R10" s="238">
        <v>0.25999103826270198</v>
      </c>
      <c r="X10" s="234">
        <v>3.6866928000000004E-3</v>
      </c>
      <c r="Y10" s="254"/>
      <c r="Z10" s="255">
        <v>5.5637987251588826E-2</v>
      </c>
      <c r="AA10" s="234">
        <v>5.9324680051588828E-2</v>
      </c>
      <c r="AB10" s="229" t="s">
        <v>486</v>
      </c>
      <c r="AC10" s="229" t="s">
        <v>487</v>
      </c>
    </row>
    <row r="11" spans="1:29">
      <c r="A11" s="233" t="s">
        <v>218</v>
      </c>
      <c r="B11" s="233" t="s">
        <v>386</v>
      </c>
      <c r="C11" s="233"/>
      <c r="D11" s="233"/>
      <c r="E11" s="258">
        <v>6.217563010138587E-5</v>
      </c>
      <c r="F11" s="259"/>
      <c r="G11" s="260">
        <v>0.43925186630054913</v>
      </c>
      <c r="H11" s="234">
        <v>0.43931404193065055</v>
      </c>
      <c r="I11" s="229"/>
      <c r="J11" s="238">
        <v>5.912576264724718E-3</v>
      </c>
      <c r="K11" s="238">
        <v>4.8184235041816119E-3</v>
      </c>
      <c r="L11" s="238">
        <v>0.29298325488630017</v>
      </c>
      <c r="M11" s="238">
        <f t="shared" si="0"/>
        <v>0.30371425465520652</v>
      </c>
      <c r="O11" s="238">
        <v>4.6906814376922401E-4</v>
      </c>
      <c r="P11" s="252"/>
      <c r="Q11" s="257">
        <v>0.23952508230978001</v>
      </c>
      <c r="R11" s="238">
        <v>0.23999415045354899</v>
      </c>
      <c r="X11" s="234">
        <v>2.7536006400000002E-3</v>
      </c>
      <c r="Y11" s="254"/>
      <c r="Z11" s="255">
        <v>0.72482743599444299</v>
      </c>
      <c r="AA11" s="234">
        <v>0.72758103663444296</v>
      </c>
      <c r="AB11" s="229" t="s">
        <v>218</v>
      </c>
      <c r="AC11" s="229" t="s">
        <v>402</v>
      </c>
    </row>
    <row r="12" spans="1:29">
      <c r="A12" s="233" t="s">
        <v>403</v>
      </c>
      <c r="B12" s="233" t="s">
        <v>385</v>
      </c>
      <c r="C12" s="233"/>
      <c r="D12" s="233"/>
      <c r="E12" s="246">
        <v>1.5872095115681236E-3</v>
      </c>
      <c r="F12" s="246">
        <v>2.1852851707317073E-3</v>
      </c>
      <c r="G12" s="246">
        <v>1.8570005037840547E-2</v>
      </c>
      <c r="H12" s="234">
        <f>E12+F12+G12</f>
        <v>2.234249972014038E-2</v>
      </c>
      <c r="I12" s="229"/>
      <c r="J12" s="238">
        <v>9.8282881501074795E-3</v>
      </c>
      <c r="K12" s="238">
        <v>4.0444644387352111E-2</v>
      </c>
      <c r="L12" s="238">
        <v>5.5709999999999996E-3</v>
      </c>
      <c r="M12" s="238">
        <f t="shared" si="0"/>
        <v>5.584393253745959E-2</v>
      </c>
      <c r="O12" s="238">
        <v>8.3406179313965205E-3</v>
      </c>
      <c r="P12" s="252"/>
      <c r="Q12" s="257">
        <v>6.6315240645586804E-2</v>
      </c>
      <c r="R12" s="238">
        <v>7.4655858576983397E-2</v>
      </c>
      <c r="X12" s="234">
        <v>1.6182297600000001E-3</v>
      </c>
      <c r="Y12" s="254"/>
      <c r="Z12" s="255">
        <v>1.695375798458628E-2</v>
      </c>
      <c r="AA12" s="234">
        <v>1.857198774458628E-2</v>
      </c>
      <c r="AB12" s="229" t="s">
        <v>403</v>
      </c>
      <c r="AC12" s="229" t="s">
        <v>404</v>
      </c>
    </row>
    <row r="13" spans="1:29">
      <c r="A13" s="233" t="s">
        <v>405</v>
      </c>
      <c r="B13" s="233" t="s">
        <v>68</v>
      </c>
      <c r="C13" s="233"/>
      <c r="D13" s="233"/>
      <c r="E13" s="246">
        <v>8.1421786632390769E-4</v>
      </c>
      <c r="F13" s="258">
        <v>1.3213352195121952E-3</v>
      </c>
      <c r="G13" s="246">
        <v>0.15883664503240313</v>
      </c>
      <c r="H13" s="234">
        <v>0.16097219811823923</v>
      </c>
      <c r="I13" s="229"/>
      <c r="J13" s="238">
        <v>1.3211144533029044E-2</v>
      </c>
      <c r="K13" s="238">
        <v>4.9796336370707739E-2</v>
      </c>
      <c r="L13" s="238">
        <v>0.21208356994839114</v>
      </c>
      <c r="M13" s="238">
        <f t="shared" si="0"/>
        <v>0.27509105085212793</v>
      </c>
      <c r="O13" s="238">
        <v>7.4648383902203696E-3</v>
      </c>
      <c r="P13" s="252"/>
      <c r="Q13" s="257">
        <v>0.25856628750153898</v>
      </c>
      <c r="R13" s="238">
        <v>0.26603112589175898</v>
      </c>
      <c r="X13" s="234">
        <v>4.0346992000000002E-3</v>
      </c>
      <c r="Y13" s="254"/>
      <c r="Z13" s="255">
        <v>4.9548890802486659E-2</v>
      </c>
      <c r="AA13" s="234">
        <v>5.3583590002486657E-2</v>
      </c>
      <c r="AB13" s="229" t="s">
        <v>405</v>
      </c>
      <c r="AC13" s="229" t="s">
        <v>277</v>
      </c>
    </row>
    <row r="14" spans="1:29">
      <c r="A14" s="233" t="s">
        <v>466</v>
      </c>
      <c r="B14" s="233" t="s">
        <v>69</v>
      </c>
      <c r="C14" s="233"/>
      <c r="D14" s="233"/>
      <c r="E14" s="246">
        <v>5.3594087403598968E-4</v>
      </c>
      <c r="F14" s="246">
        <v>8.1312936585365867E-4</v>
      </c>
      <c r="G14" s="246">
        <v>5.0481567093158767E-3</v>
      </c>
      <c r="H14" s="234">
        <v>6.3972269492055256E-3</v>
      </c>
      <c r="I14" s="229"/>
      <c r="J14" s="238">
        <v>9.7088677365767592E-4</v>
      </c>
      <c r="K14" s="238">
        <v>8.4588801499471851E-4</v>
      </c>
      <c r="L14" s="238">
        <v>1.1316690227959086E-2</v>
      </c>
      <c r="M14" s="238">
        <f t="shared" si="0"/>
        <v>1.313346501661148E-2</v>
      </c>
      <c r="O14" s="238">
        <v>2.1987569239182402E-3</v>
      </c>
      <c r="P14" s="252"/>
      <c r="Q14" s="257">
        <v>1.7593500851521698E-2</v>
      </c>
      <c r="R14" s="238">
        <v>1.97922577754399E-2</v>
      </c>
      <c r="X14" s="234">
        <v>1.3833254400000001E-3</v>
      </c>
      <c r="Y14" s="254"/>
      <c r="Z14" s="255">
        <v>5.5275157049250831E-2</v>
      </c>
      <c r="AA14" s="234">
        <v>5.665848248925083E-2</v>
      </c>
      <c r="AB14" s="229" t="s">
        <v>466</v>
      </c>
      <c r="AC14" s="229" t="s">
        <v>400</v>
      </c>
    </row>
    <row r="15" spans="1:29">
      <c r="A15" s="233" t="s">
        <v>383</v>
      </c>
      <c r="B15" s="261" t="s">
        <v>70</v>
      </c>
      <c r="C15" s="233"/>
      <c r="D15" s="233"/>
      <c r="E15" s="246">
        <v>5.438284000154745E-3</v>
      </c>
      <c r="F15" s="259"/>
      <c r="G15" s="260">
        <v>0.25532458483806714</v>
      </c>
      <c r="H15" s="234">
        <v>0.26076286883822186</v>
      </c>
      <c r="I15" s="229"/>
      <c r="J15" s="238">
        <v>1.6314599999999999E-3</v>
      </c>
      <c r="K15" s="238">
        <v>0</v>
      </c>
      <c r="L15" s="238">
        <v>7.6597375451420133E-2</v>
      </c>
      <c r="M15" s="238">
        <f t="shared" si="0"/>
        <v>7.8228835451420134E-2</v>
      </c>
      <c r="O15" s="238">
        <v>6.9003735127120998E-3</v>
      </c>
      <c r="P15" s="262"/>
      <c r="Q15" s="263">
        <v>4.7096686798814499E-2</v>
      </c>
      <c r="R15" s="238">
        <v>5.3997060311526603E-2</v>
      </c>
      <c r="X15" s="234"/>
      <c r="Y15" s="264"/>
      <c r="Z15" s="265"/>
      <c r="AA15" s="234"/>
      <c r="AB15" s="229" t="s">
        <v>281</v>
      </c>
      <c r="AC15" s="229" t="s">
        <v>491</v>
      </c>
    </row>
    <row r="16" spans="1:29">
      <c r="A16" s="233"/>
      <c r="C16" s="233"/>
      <c r="D16" s="266" t="s">
        <v>71</v>
      </c>
      <c r="E16" s="234">
        <v>1.5800830967017055E-2</v>
      </c>
      <c r="F16" s="234">
        <v>2.0836440000000005E-2</v>
      </c>
      <c r="G16" s="234">
        <v>0.96339079590968679</v>
      </c>
      <c r="H16" s="267">
        <v>1.0000280668767036</v>
      </c>
      <c r="J16" s="238">
        <v>7.2406105354114708E-2</v>
      </c>
      <c r="K16" s="238">
        <v>0.14901725290025913</v>
      </c>
      <c r="L16" s="238">
        <v>0.77858333634885224</v>
      </c>
      <c r="M16" s="268">
        <f t="shared" si="0"/>
        <v>1.000006694603226</v>
      </c>
      <c r="O16" s="238">
        <v>6.5097863327472694E-2</v>
      </c>
      <c r="P16" s="238"/>
      <c r="Q16" s="238">
        <v>0.93489981411048695</v>
      </c>
      <c r="R16" s="238">
        <v>0.99999767743795998</v>
      </c>
      <c r="X16" s="230">
        <v>2.6457186559999998E-2</v>
      </c>
      <c r="Y16" s="230"/>
      <c r="Z16" s="230">
        <v>0.97351802937965337</v>
      </c>
      <c r="AA16" s="230">
        <v>0.99997521593965333</v>
      </c>
    </row>
    <row r="17" spans="1:32">
      <c r="A17" s="233"/>
      <c r="B17" s="233"/>
      <c r="C17" s="233"/>
      <c r="D17" s="233"/>
      <c r="E17" s="234"/>
      <c r="F17" s="243" t="s">
        <v>72</v>
      </c>
      <c r="G17" s="243" t="s">
        <v>73</v>
      </c>
      <c r="H17" s="234"/>
      <c r="I17" s="229"/>
      <c r="J17" s="238"/>
      <c r="K17" s="238"/>
      <c r="L17" s="238"/>
      <c r="M17" s="238"/>
      <c r="O17" s="238"/>
      <c r="P17" s="238"/>
      <c r="Q17" s="238"/>
      <c r="R17" s="238"/>
      <c r="X17" s="230"/>
      <c r="Y17" s="230"/>
      <c r="Z17" s="230"/>
      <c r="AA17" s="230"/>
    </row>
    <row r="18" spans="1:32">
      <c r="E18" s="230"/>
      <c r="I18" s="229"/>
      <c r="X18" s="229" t="s">
        <v>74</v>
      </c>
    </row>
    <row r="19" spans="1:32" s="289" customFormat="1" ht="18">
      <c r="A19" s="269" t="s">
        <v>35</v>
      </c>
      <c r="E19" s="236" t="s">
        <v>30</v>
      </c>
      <c r="F19" s="293"/>
      <c r="G19" s="293"/>
      <c r="H19" s="294"/>
      <c r="J19" s="237" t="s">
        <v>31</v>
      </c>
      <c r="K19" s="291"/>
      <c r="L19" s="295" t="s">
        <v>32</v>
      </c>
      <c r="M19" s="291"/>
      <c r="N19" s="291"/>
      <c r="O19" s="239" t="s">
        <v>33</v>
      </c>
      <c r="P19" s="291"/>
      <c r="Q19" s="291"/>
      <c r="R19" s="291"/>
      <c r="T19" s="240" t="s">
        <v>34</v>
      </c>
      <c r="U19" s="296"/>
      <c r="V19" s="296"/>
      <c r="X19" s="241" t="s">
        <v>0</v>
      </c>
      <c r="Y19" s="297"/>
      <c r="Z19" s="297" t="s">
        <v>1</v>
      </c>
      <c r="AA19" s="298"/>
      <c r="AC19" s="270" t="s">
        <v>2</v>
      </c>
      <c r="AD19" s="299"/>
      <c r="AE19" s="299" t="s">
        <v>3</v>
      </c>
      <c r="AF19" s="299"/>
    </row>
    <row r="20" spans="1:32">
      <c r="A20" s="287"/>
      <c r="E20" s="243" t="s">
        <v>399</v>
      </c>
      <c r="F20" s="243" t="s">
        <v>108</v>
      </c>
      <c r="G20" s="243" t="s">
        <v>265</v>
      </c>
      <c r="H20" s="243" t="s">
        <v>109</v>
      </c>
      <c r="I20" s="229"/>
      <c r="J20" s="244" t="s">
        <v>110</v>
      </c>
      <c r="K20" s="244" t="s">
        <v>111</v>
      </c>
      <c r="L20" s="244" t="s">
        <v>112</v>
      </c>
      <c r="M20" s="244" t="s">
        <v>421</v>
      </c>
      <c r="O20" s="238" t="s">
        <v>428</v>
      </c>
      <c r="P20" s="238"/>
      <c r="Q20" s="244" t="s">
        <v>113</v>
      </c>
      <c r="R20" s="244" t="s">
        <v>421</v>
      </c>
      <c r="X20" s="243" t="s">
        <v>117</v>
      </c>
      <c r="Y20" s="243"/>
      <c r="Z20" s="243" t="s">
        <v>118</v>
      </c>
      <c r="AA20" s="243" t="s">
        <v>116</v>
      </c>
      <c r="AC20" s="271" t="s">
        <v>77</v>
      </c>
      <c r="AD20" s="271" t="s">
        <v>78</v>
      </c>
      <c r="AE20" s="271" t="s">
        <v>79</v>
      </c>
      <c r="AF20" s="271" t="s">
        <v>80</v>
      </c>
    </row>
    <row r="21" spans="1:32" s="272" customFormat="1">
      <c r="A21" s="272" t="s">
        <v>81</v>
      </c>
      <c r="E21" s="303"/>
      <c r="F21" s="303"/>
      <c r="G21" s="303"/>
      <c r="H21" s="304">
        <v>128900</v>
      </c>
      <c r="I21" s="303"/>
      <c r="J21" s="305"/>
      <c r="K21" s="305"/>
      <c r="L21" s="305"/>
      <c r="M21" s="306">
        <v>36017</v>
      </c>
      <c r="N21" s="305"/>
      <c r="O21" s="305"/>
      <c r="P21" s="305"/>
      <c r="Q21" s="305"/>
      <c r="R21" s="306">
        <v>88957.26664764696</v>
      </c>
      <c r="S21" s="303"/>
      <c r="T21" s="303"/>
      <c r="U21" s="303"/>
      <c r="V21" s="303"/>
      <c r="W21" s="303"/>
      <c r="X21" s="303"/>
      <c r="Y21" s="303"/>
      <c r="Z21" s="303"/>
      <c r="AA21" s="304">
        <v>139698.77906994056</v>
      </c>
      <c r="AB21" s="303"/>
      <c r="AC21" s="303"/>
      <c r="AD21" s="303"/>
      <c r="AE21" s="303"/>
      <c r="AF21" s="303">
        <f>H21+M21+R21+AA21</f>
        <v>393573.04571758752</v>
      </c>
    </row>
    <row r="22" spans="1:32" s="272" customFormat="1">
      <c r="A22" s="272" t="s">
        <v>82</v>
      </c>
      <c r="E22" s="303"/>
      <c r="F22" s="303"/>
      <c r="G22" s="303"/>
      <c r="H22" s="303">
        <v>126578</v>
      </c>
      <c r="I22" s="303"/>
      <c r="J22" s="305"/>
      <c r="K22" s="305"/>
      <c r="L22" s="305"/>
      <c r="M22" s="305">
        <v>35430</v>
      </c>
      <c r="N22" s="305"/>
      <c r="O22" s="305"/>
      <c r="P22" s="305"/>
      <c r="Q22" s="305"/>
      <c r="R22" s="305">
        <v>87559.83946343018</v>
      </c>
      <c r="S22" s="303"/>
      <c r="T22" s="303"/>
      <c r="U22" s="303"/>
      <c r="V22" s="303"/>
      <c r="W22" s="303"/>
      <c r="X22" s="303"/>
      <c r="Y22" s="303"/>
      <c r="Z22" s="303"/>
      <c r="AA22" s="303">
        <v>137387.69188254885</v>
      </c>
      <c r="AB22" s="303"/>
      <c r="AC22" s="303"/>
      <c r="AD22" s="303"/>
      <c r="AE22" s="303"/>
      <c r="AF22" s="303">
        <f>H22+M22+R22+AA22</f>
        <v>386955.53134597902</v>
      </c>
    </row>
    <row r="23" spans="1:32" s="272" customFormat="1">
      <c r="A23" s="272" t="s">
        <v>6</v>
      </c>
      <c r="E23" s="303"/>
      <c r="F23" s="303"/>
      <c r="G23" s="303"/>
      <c r="H23" s="303">
        <v>2322</v>
      </c>
      <c r="I23" s="303"/>
      <c r="J23" s="305"/>
      <c r="K23" s="305"/>
      <c r="L23" s="305"/>
      <c r="M23" s="305">
        <v>587</v>
      </c>
      <c r="N23" s="305"/>
      <c r="O23" s="305"/>
      <c r="P23" s="305"/>
      <c r="Q23" s="305"/>
      <c r="R23" s="305">
        <v>1397.4271842167786</v>
      </c>
      <c r="S23" s="303"/>
      <c r="T23" s="303"/>
      <c r="U23" s="303"/>
      <c r="V23" s="303"/>
      <c r="W23" s="303"/>
      <c r="X23" s="303"/>
      <c r="Y23" s="303"/>
      <c r="Z23" s="303"/>
      <c r="AA23" s="303">
        <v>2311.0871873916985</v>
      </c>
      <c r="AB23" s="303"/>
      <c r="AC23" s="303"/>
      <c r="AD23" s="303"/>
      <c r="AE23" s="303"/>
      <c r="AF23" s="303">
        <f>H23+M23+R23+AA23</f>
        <v>6617.5143716084767</v>
      </c>
    </row>
    <row r="24" spans="1:32">
      <c r="E24" s="303"/>
      <c r="F24" s="303"/>
      <c r="G24" s="303"/>
      <c r="H24" s="303"/>
      <c r="I24" s="303"/>
      <c r="J24" s="305"/>
      <c r="K24" s="305"/>
      <c r="L24" s="305"/>
      <c r="M24" s="305"/>
      <c r="N24" s="305"/>
      <c r="O24" s="305"/>
      <c r="P24" s="305"/>
      <c r="Q24" s="305"/>
      <c r="R24" s="305"/>
      <c r="S24" s="303"/>
      <c r="T24" s="303"/>
      <c r="U24" s="303"/>
      <c r="V24" s="303"/>
      <c r="W24" s="303"/>
      <c r="X24" s="303"/>
      <c r="Y24" s="303"/>
      <c r="Z24" s="303"/>
      <c r="AA24" s="303"/>
      <c r="AB24" s="303"/>
      <c r="AC24" s="303"/>
      <c r="AD24" s="303"/>
      <c r="AE24" s="303"/>
      <c r="AF24" s="303"/>
    </row>
    <row r="25" spans="1:32" s="289" customFormat="1" ht="18">
      <c r="A25" s="275" t="s">
        <v>4</v>
      </c>
      <c r="E25" s="307"/>
      <c r="F25" s="307"/>
      <c r="G25" s="307"/>
      <c r="H25" s="307"/>
      <c r="I25" s="307"/>
      <c r="J25" s="308"/>
      <c r="K25" s="308"/>
      <c r="L25" s="308"/>
      <c r="M25" s="308"/>
      <c r="N25" s="308"/>
      <c r="O25" s="308"/>
      <c r="P25" s="308"/>
      <c r="Q25" s="308"/>
      <c r="R25" s="308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</row>
    <row r="26" spans="1:32">
      <c r="E26" s="309" t="s">
        <v>7</v>
      </c>
      <c r="F26" s="310"/>
      <c r="G26" s="310"/>
      <c r="H26" s="311"/>
      <c r="I26" s="303"/>
      <c r="J26" s="312" t="s">
        <v>8</v>
      </c>
      <c r="K26" s="305"/>
      <c r="L26" s="305" t="s">
        <v>9</v>
      </c>
      <c r="M26" s="305"/>
      <c r="N26" s="305"/>
      <c r="O26" s="312" t="s">
        <v>10</v>
      </c>
      <c r="P26" s="305"/>
      <c r="Q26" s="305"/>
      <c r="R26" s="305"/>
      <c r="S26" s="303"/>
      <c r="T26" s="313" t="s">
        <v>11</v>
      </c>
      <c r="U26" s="314"/>
      <c r="V26" s="314"/>
      <c r="W26" s="303"/>
      <c r="X26" s="315" t="s">
        <v>12</v>
      </c>
      <c r="Y26" s="316"/>
      <c r="Z26" s="316" t="s">
        <v>13</v>
      </c>
      <c r="AA26" s="316"/>
      <c r="AB26" s="303"/>
      <c r="AC26" s="317" t="s">
        <v>14</v>
      </c>
      <c r="AD26" s="318"/>
      <c r="AE26" s="318" t="s">
        <v>15</v>
      </c>
      <c r="AF26" s="318"/>
    </row>
    <row r="27" spans="1:32">
      <c r="E27" s="319" t="s">
        <v>399</v>
      </c>
      <c r="F27" s="320" t="s">
        <v>108</v>
      </c>
      <c r="G27" s="319" t="s">
        <v>265</v>
      </c>
      <c r="H27" s="319" t="s">
        <v>109</v>
      </c>
      <c r="I27" s="303"/>
      <c r="J27" s="321" t="s">
        <v>110</v>
      </c>
      <c r="K27" s="321" t="s">
        <v>408</v>
      </c>
      <c r="L27" s="321" t="s">
        <v>83</v>
      </c>
      <c r="M27" s="321" t="s">
        <v>421</v>
      </c>
      <c r="N27" s="305"/>
      <c r="O27" s="305" t="s">
        <v>428</v>
      </c>
      <c r="P27" s="305"/>
      <c r="Q27" s="321" t="s">
        <v>113</v>
      </c>
      <c r="R27" s="321" t="s">
        <v>421</v>
      </c>
      <c r="S27" s="303"/>
      <c r="T27" s="320" t="s">
        <v>114</v>
      </c>
      <c r="U27" s="320" t="s">
        <v>115</v>
      </c>
      <c r="V27" s="320" t="s">
        <v>116</v>
      </c>
      <c r="W27" s="303"/>
      <c r="X27" s="319" t="s">
        <v>117</v>
      </c>
      <c r="Y27" s="303"/>
      <c r="Z27" s="319" t="s">
        <v>118</v>
      </c>
      <c r="AA27" s="319" t="s">
        <v>116</v>
      </c>
      <c r="AB27" s="303"/>
      <c r="AC27" s="320" t="s">
        <v>410</v>
      </c>
      <c r="AD27" s="320" t="s">
        <v>408</v>
      </c>
      <c r="AE27" s="320" t="s">
        <v>286</v>
      </c>
      <c r="AF27" s="320" t="s">
        <v>504</v>
      </c>
    </row>
    <row r="28" spans="1:32" s="272" customFormat="1">
      <c r="A28" s="261" t="s">
        <v>429</v>
      </c>
      <c r="B28" s="233" t="s">
        <v>119</v>
      </c>
      <c r="E28" s="303">
        <f>E7*128900</f>
        <v>73.068323586118268</v>
      </c>
      <c r="F28" s="303">
        <f>F7*128900</f>
        <v>117.91392216585365</v>
      </c>
      <c r="G28" s="303">
        <f>G7*128900</f>
        <v>418.31189989123919</v>
      </c>
      <c r="H28" s="303">
        <f>H7*128900</f>
        <v>609.2941456432111</v>
      </c>
      <c r="I28" s="303"/>
      <c r="J28" s="305">
        <f t="shared" ref="J28:M36" si="1">J7*36017</f>
        <v>131.50211089773745</v>
      </c>
      <c r="K28" s="305">
        <f t="shared" si="1"/>
        <v>29.834942367723077</v>
      </c>
      <c r="L28" s="305">
        <f t="shared" si="1"/>
        <v>315.56399606820378</v>
      </c>
      <c r="M28" s="305">
        <f t="shared" si="1"/>
        <v>476.90104933366433</v>
      </c>
      <c r="N28" s="305"/>
      <c r="O28" s="305">
        <f t="shared" ref="O28:O36" si="2">O7*88957</f>
        <v>286.8724021987926</v>
      </c>
      <c r="P28" s="322"/>
      <c r="Q28" s="323">
        <f t="shared" ref="Q28:Q36" si="3">Q7*88957</f>
        <v>1007.553700926226</v>
      </c>
      <c r="R28" s="305">
        <f>O28+Q28</f>
        <v>1294.4261031250187</v>
      </c>
      <c r="S28" s="303"/>
      <c r="T28" s="303">
        <f>J28+O28</f>
        <v>418.37451309653005</v>
      </c>
      <c r="U28" s="303">
        <f>K28+L28+Q28</f>
        <v>1352.9526393621529</v>
      </c>
      <c r="V28" s="303">
        <f>T28+U28</f>
        <v>1771.327152458683</v>
      </c>
      <c r="W28" s="324">
        <f>(M28+R28)-V28</f>
        <v>0</v>
      </c>
      <c r="X28" s="303">
        <f>X7*$AA$21</f>
        <v>882.38165577173538</v>
      </c>
      <c r="Y28" s="303"/>
      <c r="Z28" s="303">
        <f>Z7*$AA$21</f>
        <v>6823.2121432489412</v>
      </c>
      <c r="AA28" s="303">
        <f>X28+Z28</f>
        <v>7705.5937990206767</v>
      </c>
      <c r="AB28" s="303"/>
      <c r="AC28" s="303">
        <f>E28+J28+O28+X28</f>
        <v>1373.8244924543837</v>
      </c>
      <c r="AD28" s="303">
        <f>F28+K28+P28+Y28</f>
        <v>147.74886453357672</v>
      </c>
      <c r="AE28" s="303">
        <f>G28+L28+Q28+Z28</f>
        <v>8564.6417401346098</v>
      </c>
      <c r="AF28" s="303">
        <f>H28+M28+R28+AA28</f>
        <v>10086.215097122571</v>
      </c>
    </row>
    <row r="29" spans="1:32" s="272" customFormat="1">
      <c r="A29" s="261" t="s">
        <v>484</v>
      </c>
      <c r="B29" s="251" t="s">
        <v>121</v>
      </c>
      <c r="E29" s="303">
        <f>E8*128900</f>
        <v>405.1970671593831</v>
      </c>
      <c r="F29" s="303">
        <v>0</v>
      </c>
      <c r="G29" s="303">
        <v>0</v>
      </c>
      <c r="H29" s="303">
        <f t="shared" ref="H29:H36" si="4">H8*128900</f>
        <v>405.1970671593831</v>
      </c>
      <c r="I29" s="303"/>
      <c r="J29" s="305">
        <f t="shared" si="1"/>
        <v>878.12923213689987</v>
      </c>
      <c r="K29" s="305">
        <f t="shared" si="1"/>
        <v>0</v>
      </c>
      <c r="L29" s="305">
        <f t="shared" si="1"/>
        <v>0</v>
      </c>
      <c r="M29" s="305">
        <f t="shared" si="1"/>
        <v>878.12923213689987</v>
      </c>
      <c r="N29" s="305"/>
      <c r="O29" s="305">
        <f t="shared" si="2"/>
        <v>1508.6880424727383</v>
      </c>
      <c r="P29" s="325"/>
      <c r="Q29" s="326">
        <f t="shared" si="3"/>
        <v>0</v>
      </c>
      <c r="R29" s="305">
        <f t="shared" ref="R29:R36" si="5">O29+Q29</f>
        <v>1508.6880424727383</v>
      </c>
      <c r="S29" s="303"/>
      <c r="T29" s="303">
        <f t="shared" ref="T29:T39" si="6">J29+O29</f>
        <v>2386.8172746096379</v>
      </c>
      <c r="U29" s="303">
        <f t="shared" ref="U29:U39" si="7">K29+L29+Q29</f>
        <v>0</v>
      </c>
      <c r="V29" s="303">
        <f t="shared" ref="V29:V39" si="8">T29+U29</f>
        <v>2386.8172746096379</v>
      </c>
      <c r="W29" s="324">
        <f t="shared" ref="W29:W69" si="9">(M29+R29)-V29</f>
        <v>0</v>
      </c>
      <c r="X29" s="303">
        <f>X8*$AA$21</f>
        <v>930.99772496026071</v>
      </c>
      <c r="Y29" s="303"/>
      <c r="Z29" s="303">
        <v>0</v>
      </c>
      <c r="AA29" s="303">
        <f t="shared" ref="AA29:AA35" si="10">X29+Z29</f>
        <v>930.99772496026071</v>
      </c>
      <c r="AB29" s="303"/>
      <c r="AC29" s="303">
        <f>E29+J29+O29+X29</f>
        <v>3723.0120667292822</v>
      </c>
      <c r="AD29" s="303">
        <v>0</v>
      </c>
      <c r="AE29" s="303">
        <v>0</v>
      </c>
      <c r="AF29" s="303">
        <f t="shared" ref="AF29:AF36" si="11">H29+M29+R29+AA29</f>
        <v>3723.0120667292822</v>
      </c>
    </row>
    <row r="30" spans="1:32" s="272" customFormat="1">
      <c r="A30" s="261" t="s">
        <v>485</v>
      </c>
      <c r="B30" s="251" t="s">
        <v>67</v>
      </c>
      <c r="E30" s="303">
        <v>0</v>
      </c>
      <c r="F30" s="303">
        <f>F9*128900</f>
        <v>700.93275954146316</v>
      </c>
      <c r="G30" s="303">
        <f>G9*128900</f>
        <v>1859.1639995166188</v>
      </c>
      <c r="H30" s="303">
        <f t="shared" si="4"/>
        <v>2560.0967590580817</v>
      </c>
      <c r="I30" s="303"/>
      <c r="J30" s="305">
        <f t="shared" si="1"/>
        <v>0</v>
      </c>
      <c r="K30" s="305">
        <f t="shared" si="1"/>
        <v>591.99222157321162</v>
      </c>
      <c r="L30" s="305">
        <f t="shared" si="1"/>
        <v>952.16886969298639</v>
      </c>
      <c r="M30" s="305">
        <f t="shared" si="1"/>
        <v>1544.1610912661979</v>
      </c>
      <c r="N30" s="305"/>
      <c r="O30" s="305">
        <f t="shared" si="2"/>
        <v>0</v>
      </c>
      <c r="P30" s="325"/>
      <c r="Q30" s="326">
        <f t="shared" si="3"/>
        <v>4805.9283671710627</v>
      </c>
      <c r="R30" s="305">
        <f t="shared" si="5"/>
        <v>4805.9283671710627</v>
      </c>
      <c r="S30" s="303"/>
      <c r="T30" s="303">
        <f t="shared" si="6"/>
        <v>0</v>
      </c>
      <c r="U30" s="303">
        <f t="shared" si="7"/>
        <v>6350.0894584372609</v>
      </c>
      <c r="V30" s="303">
        <f t="shared" si="8"/>
        <v>6350.0894584372609</v>
      </c>
      <c r="W30" s="324">
        <f t="shared" si="9"/>
        <v>0</v>
      </c>
      <c r="X30" s="303">
        <v>0</v>
      </c>
      <c r="Y30" s="303"/>
      <c r="Z30" s="303">
        <f t="shared" ref="Z30:Z35" si="12">Z9*$AA$21</f>
        <v>3133.7904367373903</v>
      </c>
      <c r="AA30" s="303">
        <f t="shared" si="10"/>
        <v>3133.7904367373903</v>
      </c>
      <c r="AB30" s="303"/>
      <c r="AC30" s="303">
        <v>0</v>
      </c>
      <c r="AD30" s="303">
        <f t="shared" ref="AD30:AE36" si="13">F30+K30+P30+Y30</f>
        <v>1292.9249811146747</v>
      </c>
      <c r="AE30" s="303">
        <f t="shared" si="13"/>
        <v>10751.051673118058</v>
      </c>
      <c r="AF30" s="303">
        <f t="shared" si="11"/>
        <v>12043.976654232732</v>
      </c>
    </row>
    <row r="31" spans="1:32" s="272" customFormat="1">
      <c r="A31" s="261" t="s">
        <v>486</v>
      </c>
      <c r="B31" s="261" t="s">
        <v>384</v>
      </c>
      <c r="E31" s="303">
        <f t="shared" ref="E31:E36" si="14">E10*128900</f>
        <v>470.82570688946015</v>
      </c>
      <c r="F31" s="303">
        <f>F10*128900</f>
        <v>1310.1546907317074</v>
      </c>
      <c r="G31" s="303">
        <f>G10*128900</f>
        <v>8854.268547697895</v>
      </c>
      <c r="H31" s="303">
        <f t="shared" si="4"/>
        <v>10635.248945319063</v>
      </c>
      <c r="I31" s="303"/>
      <c r="J31" s="305">
        <f t="shared" si="1"/>
        <v>461.72612348256564</v>
      </c>
      <c r="K31" s="305">
        <f t="shared" si="1"/>
        <v>1291.1063218184831</v>
      </c>
      <c r="L31" s="305">
        <f t="shared" si="1"/>
        <v>5216.4597188701446</v>
      </c>
      <c r="M31" s="305">
        <f t="shared" si="1"/>
        <v>6969.2921641711937</v>
      </c>
      <c r="N31" s="305"/>
      <c r="O31" s="305">
        <f t="shared" si="2"/>
        <v>1738.1859642317781</v>
      </c>
      <c r="P31" s="325"/>
      <c r="Q31" s="326">
        <f t="shared" si="3"/>
        <v>21389.836826503386</v>
      </c>
      <c r="R31" s="305">
        <f t="shared" si="5"/>
        <v>23128.022790735165</v>
      </c>
      <c r="S31" s="303"/>
      <c r="T31" s="303">
        <f t="shared" si="6"/>
        <v>2199.9120877143437</v>
      </c>
      <c r="U31" s="303">
        <f t="shared" si="7"/>
        <v>27897.402867192013</v>
      </c>
      <c r="V31" s="303">
        <f t="shared" si="8"/>
        <v>30097.314954906356</v>
      </c>
      <c r="W31" s="324">
        <f t="shared" si="9"/>
        <v>0</v>
      </c>
      <c r="X31" s="303">
        <f>X10*$AA$21</f>
        <v>515.02648296594066</v>
      </c>
      <c r="Y31" s="303"/>
      <c r="Z31" s="303">
        <f t="shared" si="12"/>
        <v>7772.5588889558767</v>
      </c>
      <c r="AA31" s="303">
        <f t="shared" si="10"/>
        <v>8287.5853719218176</v>
      </c>
      <c r="AB31" s="303"/>
      <c r="AC31" s="303">
        <f t="shared" ref="AC31:AC36" si="15">E31+J31+O31+X31</f>
        <v>3185.764277569745</v>
      </c>
      <c r="AD31" s="303">
        <f t="shared" si="13"/>
        <v>2601.2610125501906</v>
      </c>
      <c r="AE31" s="303">
        <f t="shared" si="13"/>
        <v>43233.123982027304</v>
      </c>
      <c r="AF31" s="303">
        <f t="shared" si="11"/>
        <v>49020.149272147231</v>
      </c>
    </row>
    <row r="32" spans="1:32" s="272" customFormat="1">
      <c r="A32" s="261" t="s">
        <v>218</v>
      </c>
      <c r="B32" s="261" t="s">
        <v>386</v>
      </c>
      <c r="E32" s="303">
        <f t="shared" si="14"/>
        <v>8.0144387200686378</v>
      </c>
      <c r="F32" s="303">
        <v>0</v>
      </c>
      <c r="G32" s="303">
        <f>G11*128900</f>
        <v>56619.56556614078</v>
      </c>
      <c r="H32" s="303">
        <f t="shared" si="4"/>
        <v>56627.580004860858</v>
      </c>
      <c r="I32" s="303"/>
      <c r="J32" s="305">
        <f t="shared" si="1"/>
        <v>212.95325932659017</v>
      </c>
      <c r="K32" s="305">
        <f t="shared" si="1"/>
        <v>173.54515935010912</v>
      </c>
      <c r="L32" s="305">
        <f t="shared" si="1"/>
        <v>10552.377891239874</v>
      </c>
      <c r="M32" s="305">
        <f t="shared" si="1"/>
        <v>10938.876309916574</v>
      </c>
      <c r="N32" s="305"/>
      <c r="O32" s="305">
        <f t="shared" si="2"/>
        <v>41.726894865278858</v>
      </c>
      <c r="P32" s="325"/>
      <c r="Q32" s="326">
        <f t="shared" si="3"/>
        <v>21307.4327470311</v>
      </c>
      <c r="R32" s="305">
        <f t="shared" si="5"/>
        <v>21349.159641896378</v>
      </c>
      <c r="S32" s="303"/>
      <c r="T32" s="303">
        <f t="shared" si="6"/>
        <v>254.68015419186904</v>
      </c>
      <c r="U32" s="303">
        <f t="shared" si="7"/>
        <v>32033.355797621083</v>
      </c>
      <c r="V32" s="303">
        <f t="shared" si="8"/>
        <v>32288.035951812952</v>
      </c>
      <c r="W32" s="324">
        <f t="shared" si="9"/>
        <v>0</v>
      </c>
      <c r="X32" s="303">
        <f>X11*$AA$21</f>
        <v>384.67464745420693</v>
      </c>
      <c r="Y32" s="303"/>
      <c r="Z32" s="303">
        <f t="shared" si="12"/>
        <v>101257.50784481918</v>
      </c>
      <c r="AA32" s="303">
        <f t="shared" si="10"/>
        <v>101642.18249227338</v>
      </c>
      <c r="AB32" s="303"/>
      <c r="AC32" s="303">
        <f t="shared" si="15"/>
        <v>647.3692403661446</v>
      </c>
      <c r="AD32" s="303">
        <f t="shared" si="13"/>
        <v>173.54515935010912</v>
      </c>
      <c r="AE32" s="303">
        <f t="shared" si="13"/>
        <v>189736.88404923092</v>
      </c>
      <c r="AF32" s="303">
        <f t="shared" si="11"/>
        <v>190557.7984489472</v>
      </c>
    </row>
    <row r="33" spans="1:33" s="272" customFormat="1">
      <c r="A33" s="261" t="s">
        <v>403</v>
      </c>
      <c r="B33" s="261" t="s">
        <v>385</v>
      </c>
      <c r="E33" s="303">
        <f t="shared" si="14"/>
        <v>204.59130604113113</v>
      </c>
      <c r="F33" s="303">
        <f>F12*128900</f>
        <v>281.68325850731708</v>
      </c>
      <c r="G33" s="303">
        <f>G12*128900</f>
        <v>2393.6736493776466</v>
      </c>
      <c r="H33" s="303">
        <f t="shared" si="4"/>
        <v>2879.9482139260949</v>
      </c>
      <c r="I33" s="303"/>
      <c r="J33" s="305">
        <f t="shared" si="1"/>
        <v>353.98545430242109</v>
      </c>
      <c r="K33" s="305">
        <f t="shared" si="1"/>
        <v>1456.6947568992609</v>
      </c>
      <c r="L33" s="305">
        <f t="shared" si="1"/>
        <v>200.65070699999998</v>
      </c>
      <c r="M33" s="305">
        <f t="shared" si="1"/>
        <v>2011.3309182016822</v>
      </c>
      <c r="N33" s="305"/>
      <c r="O33" s="305">
        <f t="shared" si="2"/>
        <v>741.95634932324026</v>
      </c>
      <c r="P33" s="325"/>
      <c r="Q33" s="326">
        <f t="shared" si="3"/>
        <v>5899.2048621094655</v>
      </c>
      <c r="R33" s="305">
        <f t="shared" si="5"/>
        <v>6641.1612114327054</v>
      </c>
      <c r="S33" s="303"/>
      <c r="T33" s="303">
        <f t="shared" si="6"/>
        <v>1095.9418036256614</v>
      </c>
      <c r="U33" s="303">
        <f t="shared" si="7"/>
        <v>7556.5503260087262</v>
      </c>
      <c r="V33" s="303">
        <f t="shared" si="8"/>
        <v>8652.4921296343873</v>
      </c>
      <c r="W33" s="324">
        <f t="shared" si="9"/>
        <v>0</v>
      </c>
      <c r="X33" s="303">
        <f>X12*$AA$21</f>
        <v>226.06472172664294</v>
      </c>
      <c r="Y33" s="303"/>
      <c r="Z33" s="303">
        <f t="shared" si="12"/>
        <v>2368.4192910939596</v>
      </c>
      <c r="AA33" s="303">
        <f t="shared" si="10"/>
        <v>2594.4840128206024</v>
      </c>
      <c r="AB33" s="303"/>
      <c r="AC33" s="303">
        <f t="shared" si="15"/>
        <v>1526.5978313934354</v>
      </c>
      <c r="AD33" s="303">
        <f t="shared" si="13"/>
        <v>1738.378015406578</v>
      </c>
      <c r="AE33" s="303">
        <f t="shared" si="13"/>
        <v>10861.948509581072</v>
      </c>
      <c r="AF33" s="303">
        <f t="shared" si="11"/>
        <v>14126.924356381085</v>
      </c>
    </row>
    <row r="34" spans="1:33" s="272" customFormat="1">
      <c r="A34" s="261" t="s">
        <v>405</v>
      </c>
      <c r="B34" s="233" t="s">
        <v>68</v>
      </c>
      <c r="E34" s="303">
        <f t="shared" si="14"/>
        <v>104.9526829691517</v>
      </c>
      <c r="F34" s="303">
        <f>F13*128900</f>
        <v>170.32010979512197</v>
      </c>
      <c r="G34" s="303">
        <f>G13*128900</f>
        <v>20474.043544676762</v>
      </c>
      <c r="H34" s="303">
        <f t="shared" si="4"/>
        <v>20749.316337441036</v>
      </c>
      <c r="I34" s="303"/>
      <c r="J34" s="305">
        <f t="shared" si="1"/>
        <v>475.82579264610706</v>
      </c>
      <c r="K34" s="305">
        <f t="shared" si="1"/>
        <v>1793.5146470637806</v>
      </c>
      <c r="L34" s="305">
        <f t="shared" si="1"/>
        <v>7638.613938831204</v>
      </c>
      <c r="M34" s="305">
        <f t="shared" si="1"/>
        <v>9907.9543785410915</v>
      </c>
      <c r="N34" s="305"/>
      <c r="O34" s="305">
        <f t="shared" si="2"/>
        <v>664.04962867883341</v>
      </c>
      <c r="P34" s="325"/>
      <c r="Q34" s="326">
        <f t="shared" si="3"/>
        <v>23001.281237274405</v>
      </c>
      <c r="R34" s="305">
        <f t="shared" si="5"/>
        <v>23665.330865953238</v>
      </c>
      <c r="S34" s="303"/>
      <c r="T34" s="303">
        <f t="shared" si="6"/>
        <v>1139.8754213249404</v>
      </c>
      <c r="U34" s="303">
        <f t="shared" si="7"/>
        <v>32433.40982316939</v>
      </c>
      <c r="V34" s="303">
        <f t="shared" si="8"/>
        <v>33573.285244494327</v>
      </c>
      <c r="W34" s="324">
        <f t="shared" si="9"/>
        <v>0</v>
      </c>
      <c r="X34" s="303">
        <f>X13*$AA$21</f>
        <v>563.64255215446599</v>
      </c>
      <c r="Y34" s="303"/>
      <c r="Z34" s="303">
        <f t="shared" si="12"/>
        <v>6921.9195493771931</v>
      </c>
      <c r="AA34" s="303">
        <f t="shared" si="10"/>
        <v>7485.5621015316592</v>
      </c>
      <c r="AB34" s="303"/>
      <c r="AC34" s="303">
        <f t="shared" si="15"/>
        <v>1808.4706564485582</v>
      </c>
      <c r="AD34" s="303">
        <f t="shared" si="13"/>
        <v>1963.8347568589024</v>
      </c>
      <c r="AE34" s="303">
        <f t="shared" si="13"/>
        <v>58035.858270159566</v>
      </c>
      <c r="AF34" s="303">
        <f t="shared" si="11"/>
        <v>61808.163683467021</v>
      </c>
    </row>
    <row r="35" spans="1:33" s="272" customFormat="1">
      <c r="A35" s="261" t="s">
        <v>466</v>
      </c>
      <c r="B35" s="233" t="s">
        <v>84</v>
      </c>
      <c r="E35" s="303">
        <f t="shared" si="14"/>
        <v>69.082778663239068</v>
      </c>
      <c r="F35" s="303">
        <f>F14*128900</f>
        <v>104.8123752585366</v>
      </c>
      <c r="G35" s="303">
        <f>G14*128900</f>
        <v>650.70739983081648</v>
      </c>
      <c r="H35" s="303">
        <f t="shared" si="4"/>
        <v>824.60255375259226</v>
      </c>
      <c r="I35" s="303"/>
      <c r="J35" s="305">
        <f t="shared" si="1"/>
        <v>34.968428926828516</v>
      </c>
      <c r="K35" s="305">
        <f t="shared" si="1"/>
        <v>30.466348636064776</v>
      </c>
      <c r="L35" s="305">
        <f t="shared" si="1"/>
        <v>407.5932319404024</v>
      </c>
      <c r="M35" s="305">
        <f t="shared" si="1"/>
        <v>473.02800950329566</v>
      </c>
      <c r="N35" s="305"/>
      <c r="O35" s="305">
        <f t="shared" si="2"/>
        <v>195.5948196809949</v>
      </c>
      <c r="P35" s="325"/>
      <c r="Q35" s="326">
        <f t="shared" si="3"/>
        <v>1565.0650552488157</v>
      </c>
      <c r="R35" s="305">
        <f t="shared" si="5"/>
        <v>1760.6598749298107</v>
      </c>
      <c r="S35" s="303"/>
      <c r="T35" s="303">
        <f t="shared" si="6"/>
        <v>230.56324860782343</v>
      </c>
      <c r="U35" s="303">
        <f t="shared" si="7"/>
        <v>2003.1246358252829</v>
      </c>
      <c r="V35" s="303">
        <f t="shared" si="8"/>
        <v>2233.6878844331063</v>
      </c>
      <c r="W35" s="324">
        <f t="shared" si="9"/>
        <v>0</v>
      </c>
      <c r="X35" s="303">
        <f>X14*$AA$21</f>
        <v>193.24887502438833</v>
      </c>
      <c r="Y35" s="303"/>
      <c r="Z35" s="303">
        <f t="shared" si="12"/>
        <v>7721.8719526795594</v>
      </c>
      <c r="AA35" s="303">
        <f t="shared" si="10"/>
        <v>7915.1208277039477</v>
      </c>
      <c r="AB35" s="303"/>
      <c r="AC35" s="303">
        <f t="shared" si="15"/>
        <v>492.89490229545083</v>
      </c>
      <c r="AD35" s="303">
        <f t="shared" si="13"/>
        <v>135.27872389460137</v>
      </c>
      <c r="AE35" s="303">
        <f t="shared" si="13"/>
        <v>10345.237639699593</v>
      </c>
      <c r="AF35" s="303">
        <f t="shared" si="11"/>
        <v>10973.411265889647</v>
      </c>
    </row>
    <row r="36" spans="1:33" s="272" customFormat="1">
      <c r="A36" s="261" t="s">
        <v>383</v>
      </c>
      <c r="B36" s="261" t="s">
        <v>70</v>
      </c>
      <c r="E36" s="303">
        <f t="shared" si="14"/>
        <v>700.99480761994664</v>
      </c>
      <c r="F36" s="303">
        <v>0</v>
      </c>
      <c r="G36" s="303">
        <f>G15*128900</f>
        <v>32911.338985626855</v>
      </c>
      <c r="H36" s="303">
        <f t="shared" si="4"/>
        <v>33612.333793246798</v>
      </c>
      <c r="I36" s="303"/>
      <c r="J36" s="305">
        <f t="shared" si="1"/>
        <v>58.760294819999999</v>
      </c>
      <c r="K36" s="305">
        <f t="shared" si="1"/>
        <v>0</v>
      </c>
      <c r="L36" s="305">
        <f t="shared" si="1"/>
        <v>2758.8076716337991</v>
      </c>
      <c r="M36" s="305">
        <f t="shared" si="1"/>
        <v>2817.5679664537988</v>
      </c>
      <c r="N36" s="305"/>
      <c r="O36" s="305">
        <f t="shared" si="2"/>
        <v>613.83652657033031</v>
      </c>
      <c r="P36" s="327"/>
      <c r="Q36" s="328">
        <f t="shared" si="3"/>
        <v>4189.5799675621411</v>
      </c>
      <c r="R36" s="305">
        <f t="shared" si="5"/>
        <v>4803.4164941324716</v>
      </c>
      <c r="S36" s="303"/>
      <c r="T36" s="303">
        <f t="shared" si="6"/>
        <v>672.59682139033032</v>
      </c>
      <c r="U36" s="303">
        <f t="shared" si="7"/>
        <v>6948.3876391959402</v>
      </c>
      <c r="V36" s="303">
        <f t="shared" si="8"/>
        <v>7620.9844605862709</v>
      </c>
      <c r="W36" s="324">
        <f t="shared" si="9"/>
        <v>0</v>
      </c>
      <c r="X36" s="303"/>
      <c r="Y36" s="303"/>
      <c r="Z36" s="303"/>
      <c r="AA36" s="303"/>
      <c r="AB36" s="303"/>
      <c r="AC36" s="303">
        <f t="shared" si="15"/>
        <v>1373.5916290102768</v>
      </c>
      <c r="AD36" s="303">
        <f t="shared" si="13"/>
        <v>0</v>
      </c>
      <c r="AE36" s="303">
        <f t="shared" si="13"/>
        <v>39859.72662482279</v>
      </c>
      <c r="AF36" s="303">
        <f t="shared" si="11"/>
        <v>41233.318253833066</v>
      </c>
    </row>
    <row r="37" spans="1:33" s="272" customFormat="1">
      <c r="A37" s="261"/>
      <c r="B37" s="261"/>
      <c r="E37" s="303"/>
      <c r="F37" s="303"/>
      <c r="G37" s="303"/>
      <c r="H37" s="303"/>
      <c r="I37" s="303"/>
      <c r="J37" s="305"/>
      <c r="K37" s="305"/>
      <c r="L37" s="305"/>
      <c r="M37" s="305"/>
      <c r="N37" s="305"/>
      <c r="O37" s="305"/>
      <c r="P37" s="305"/>
      <c r="Q37" s="305"/>
      <c r="R37" s="305"/>
      <c r="S37" s="303"/>
      <c r="T37" s="303"/>
      <c r="U37" s="303"/>
      <c r="V37" s="303"/>
      <c r="W37" s="303"/>
      <c r="X37" s="303"/>
      <c r="Y37" s="303"/>
      <c r="Z37" s="303"/>
      <c r="AA37" s="303"/>
      <c r="AB37" s="303"/>
      <c r="AC37" s="303"/>
      <c r="AD37" s="303"/>
      <c r="AE37" s="303"/>
      <c r="AF37" s="303"/>
    </row>
    <row r="38" spans="1:33" s="272" customFormat="1">
      <c r="E38" s="303"/>
      <c r="F38" s="303"/>
      <c r="G38" s="303"/>
      <c r="H38" s="303"/>
      <c r="I38" s="303"/>
      <c r="J38" s="305"/>
      <c r="K38" s="305"/>
      <c r="L38" s="305"/>
      <c r="M38" s="305"/>
      <c r="N38" s="305"/>
      <c r="O38" s="305"/>
      <c r="P38" s="305"/>
      <c r="Q38" s="305"/>
      <c r="R38" s="305"/>
      <c r="S38" s="303"/>
      <c r="T38" s="303"/>
      <c r="U38" s="303"/>
      <c r="V38" s="303"/>
      <c r="W38" s="303"/>
      <c r="X38" s="303"/>
      <c r="Y38" s="303"/>
      <c r="Z38" s="303"/>
      <c r="AA38" s="303"/>
      <c r="AB38" s="303"/>
      <c r="AC38" s="303"/>
      <c r="AD38" s="303"/>
      <c r="AE38" s="303"/>
      <c r="AF38" s="303"/>
    </row>
    <row r="39" spans="1:33" s="272" customFormat="1">
      <c r="E39" s="303">
        <f>SUM(E28:E36)</f>
        <v>2036.7271116484985</v>
      </c>
      <c r="F39" s="303">
        <f>SUM(F28:F36)</f>
        <v>2685.8171159999997</v>
      </c>
      <c r="G39" s="303">
        <f>SUM(G28:G36)</f>
        <v>124181.07359275862</v>
      </c>
      <c r="H39" s="303">
        <f>SUM(H28:H36)</f>
        <v>128903.61782040712</v>
      </c>
      <c r="I39" s="303"/>
      <c r="J39" s="305">
        <f>SUM(J28:J36)</f>
        <v>2607.8506965391498</v>
      </c>
      <c r="K39" s="305">
        <f>SUM(K28:K36)</f>
        <v>5367.154397708634</v>
      </c>
      <c r="L39" s="305">
        <f>SUM(L28:L36)</f>
        <v>28042.236025276616</v>
      </c>
      <c r="M39" s="305">
        <f>SUM(M28:M36)</f>
        <v>36017.241119524391</v>
      </c>
      <c r="N39" s="305"/>
      <c r="O39" s="305">
        <f>SUM(O28:O36)</f>
        <v>5790.9106280219876</v>
      </c>
      <c r="P39" s="329"/>
      <c r="Q39" s="329">
        <f>SUM(Q28:Q36)</f>
        <v>83165.882763826608</v>
      </c>
      <c r="R39" s="305">
        <f>O39+Q39</f>
        <v>88956.793391848594</v>
      </c>
      <c r="S39" s="303"/>
      <c r="T39" s="303">
        <f t="shared" si="6"/>
        <v>8398.7613245611374</v>
      </c>
      <c r="U39" s="303">
        <f t="shared" si="7"/>
        <v>116575.27318681186</v>
      </c>
      <c r="V39" s="303">
        <f t="shared" si="8"/>
        <v>124974.034511373</v>
      </c>
      <c r="W39" s="324">
        <f t="shared" si="9"/>
        <v>0</v>
      </c>
      <c r="X39" s="303">
        <f>SUM(X28:X35)</f>
        <v>3696.0366600576413</v>
      </c>
      <c r="Y39" s="303"/>
      <c r="Z39" s="303">
        <f>SUM(Z28:Z35)</f>
        <v>135999.28010691211</v>
      </c>
      <c r="AA39" s="303">
        <f>X39+Z39</f>
        <v>139695.31676696974</v>
      </c>
      <c r="AB39" s="303"/>
      <c r="AC39" s="303">
        <f>SUM(AC28:AC35)</f>
        <v>12757.933467257002</v>
      </c>
      <c r="AD39" s="303">
        <f>SUM(AD28:AD35)</f>
        <v>8052.9715137086332</v>
      </c>
      <c r="AE39" s="303">
        <f>SUM(AE28:AE35)</f>
        <v>331528.74586395116</v>
      </c>
      <c r="AF39" s="303">
        <f>SUM(AF28:AF35)</f>
        <v>352339.65084491676</v>
      </c>
    </row>
    <row r="40" spans="1:33">
      <c r="I40" s="229"/>
      <c r="AD40" s="272" t="s">
        <v>85</v>
      </c>
    </row>
    <row r="41" spans="1:33" s="289" customFormat="1" ht="19" thickBot="1">
      <c r="A41" s="269" t="s">
        <v>24</v>
      </c>
      <c r="E41" s="290"/>
      <c r="F41" s="290"/>
      <c r="G41" s="290"/>
      <c r="H41" s="290"/>
      <c r="J41" s="291"/>
      <c r="K41" s="291"/>
      <c r="L41" s="291"/>
      <c r="M41" s="291"/>
      <c r="N41" s="291"/>
      <c r="O41" s="291"/>
      <c r="P41" s="291"/>
      <c r="Q41" s="291"/>
      <c r="R41" s="291"/>
    </row>
    <row r="42" spans="1:33" s="289" customFormat="1" ht="19" thickBot="1">
      <c r="A42" s="292" t="s">
        <v>25</v>
      </c>
      <c r="E42" s="236" t="s">
        <v>101</v>
      </c>
      <c r="F42" s="293"/>
      <c r="G42" s="293"/>
      <c r="H42" s="294"/>
      <c r="J42" s="237" t="s">
        <v>102</v>
      </c>
      <c r="K42" s="291"/>
      <c r="L42" s="295" t="s">
        <v>103</v>
      </c>
      <c r="M42" s="291"/>
      <c r="N42" s="291"/>
      <c r="O42" s="239" t="s">
        <v>104</v>
      </c>
      <c r="P42" s="291"/>
      <c r="Q42" s="291"/>
      <c r="R42" s="291"/>
      <c r="T42" s="240" t="s">
        <v>105</v>
      </c>
      <c r="U42" s="296"/>
      <c r="V42" s="296"/>
      <c r="X42" s="241" t="s">
        <v>106</v>
      </c>
      <c r="Y42" s="297"/>
      <c r="Z42" s="297" t="s">
        <v>107</v>
      </c>
      <c r="AA42" s="298"/>
      <c r="AC42" s="270" t="s">
        <v>26</v>
      </c>
      <c r="AD42" s="299"/>
      <c r="AE42" s="299" t="s">
        <v>27</v>
      </c>
      <c r="AF42" s="299"/>
      <c r="AG42" s="300" t="s">
        <v>28</v>
      </c>
    </row>
    <row r="43" spans="1:33" ht="16" thickBot="1">
      <c r="E43" s="243" t="s">
        <v>399</v>
      </c>
      <c r="F43" s="243" t="s">
        <v>108</v>
      </c>
      <c r="G43" s="243" t="s">
        <v>265</v>
      </c>
      <c r="H43" s="243" t="s">
        <v>109</v>
      </c>
      <c r="I43" s="229"/>
      <c r="J43" s="244" t="s">
        <v>110</v>
      </c>
      <c r="K43" s="244" t="s">
        <v>111</v>
      </c>
      <c r="L43" s="244" t="s">
        <v>112</v>
      </c>
      <c r="M43" s="244" t="s">
        <v>421</v>
      </c>
      <c r="O43" s="238" t="s">
        <v>428</v>
      </c>
      <c r="P43" s="238"/>
      <c r="Q43" s="244" t="s">
        <v>113</v>
      </c>
      <c r="R43" s="244" t="s">
        <v>421</v>
      </c>
      <c r="X43" s="243" t="s">
        <v>117</v>
      </c>
      <c r="Z43" s="243" t="s">
        <v>118</v>
      </c>
      <c r="AA43" s="243" t="s">
        <v>116</v>
      </c>
      <c r="AC43" s="271" t="s">
        <v>86</v>
      </c>
      <c r="AD43" s="271" t="s">
        <v>87</v>
      </c>
      <c r="AE43" s="271" t="s">
        <v>88</v>
      </c>
      <c r="AF43" s="271" t="s">
        <v>89</v>
      </c>
    </row>
    <row r="44" spans="1:33" s="272" customFormat="1" ht="16" thickBot="1">
      <c r="A44" s="272" t="s">
        <v>36</v>
      </c>
      <c r="D44" s="278" t="s">
        <v>37</v>
      </c>
      <c r="H44" s="272">
        <f>SUM(H45:H54)</f>
        <v>188224.95670778764</v>
      </c>
      <c r="J44" s="256"/>
      <c r="K44" s="256"/>
      <c r="L44" s="256"/>
      <c r="M44" s="256">
        <f>SUM(M45:M54)</f>
        <v>54908.433866190375</v>
      </c>
      <c r="N44" s="256"/>
      <c r="O44" s="256"/>
      <c r="P44" s="256"/>
      <c r="Q44" s="256"/>
      <c r="R44" s="256">
        <f>SUM(R45:R54)</f>
        <v>120746.82232782761</v>
      </c>
      <c r="T44" s="229"/>
      <c r="U44" s="229"/>
      <c r="V44" s="272">
        <f>M44+R44</f>
        <v>175655.256194018</v>
      </c>
      <c r="W44" s="229"/>
      <c r="AA44" s="272">
        <f>SUM(AA45:AA54)</f>
        <v>436140.00404948252</v>
      </c>
      <c r="AF44" s="279">
        <f t="shared" ref="AF44:AF55" si="16">H44+M44+R44+AA44</f>
        <v>800020.21695128817</v>
      </c>
      <c r="AG44" s="272" t="s">
        <v>38</v>
      </c>
    </row>
    <row r="45" spans="1:33" s="272" customFormat="1">
      <c r="B45" s="272" t="s">
        <v>157</v>
      </c>
      <c r="C45" s="272" t="s">
        <v>314</v>
      </c>
      <c r="D45" s="272" t="s">
        <v>158</v>
      </c>
      <c r="H45" s="272">
        <v>6072.4966407372667</v>
      </c>
      <c r="J45" s="256"/>
      <c r="K45" s="256"/>
      <c r="L45" s="256"/>
      <c r="M45" s="256">
        <v>1331.9354260572961</v>
      </c>
      <c r="N45" s="256"/>
      <c r="O45" s="256"/>
      <c r="P45" s="256"/>
      <c r="Q45" s="256"/>
      <c r="R45" s="256">
        <v>4805.5098559199369</v>
      </c>
      <c r="T45" s="229"/>
      <c r="U45" s="229"/>
      <c r="V45" s="272">
        <f t="shared" ref="V45:V67" si="17">M45+R45</f>
        <v>6137.4452819772332</v>
      </c>
      <c r="W45" s="229"/>
      <c r="AA45" s="272">
        <v>18765.930772601478</v>
      </c>
      <c r="AF45" s="272">
        <f t="shared" si="16"/>
        <v>30975.872695315978</v>
      </c>
    </row>
    <row r="46" spans="1:33" s="272" customFormat="1">
      <c r="C46" s="272" t="s">
        <v>314</v>
      </c>
      <c r="D46" s="272" t="s">
        <v>159</v>
      </c>
      <c r="H46" s="272">
        <v>3488.1611379262645</v>
      </c>
      <c r="J46" s="256"/>
      <c r="K46" s="256"/>
      <c r="L46" s="256"/>
      <c r="M46" s="256">
        <v>698.85123512257678</v>
      </c>
      <c r="N46" s="256"/>
      <c r="O46" s="256"/>
      <c r="P46" s="256"/>
      <c r="Q46" s="256"/>
      <c r="R46" s="256">
        <v>2052.9296630908434</v>
      </c>
      <c r="T46" s="229"/>
      <c r="U46" s="229"/>
      <c r="V46" s="272">
        <f t="shared" si="17"/>
        <v>2751.7808982134202</v>
      </c>
      <c r="W46" s="229"/>
      <c r="AA46" s="272">
        <v>6031.5369328080124</v>
      </c>
      <c r="AF46" s="272">
        <f t="shared" si="16"/>
        <v>12271.478968947697</v>
      </c>
    </row>
    <row r="47" spans="1:33" s="272" customFormat="1">
      <c r="C47" s="272" t="s">
        <v>315</v>
      </c>
      <c r="D47" s="272" t="s">
        <v>158</v>
      </c>
      <c r="H47" s="272">
        <v>153072.77086577992</v>
      </c>
      <c r="J47" s="256"/>
      <c r="K47" s="256"/>
      <c r="L47" s="256"/>
      <c r="M47" s="256">
        <v>39364.607610738378</v>
      </c>
      <c r="N47" s="256"/>
      <c r="O47" s="256"/>
      <c r="P47" s="256"/>
      <c r="Q47" s="256"/>
      <c r="R47" s="256">
        <v>97569.184626707793</v>
      </c>
      <c r="T47" s="229"/>
      <c r="U47" s="229"/>
      <c r="V47" s="272">
        <f t="shared" si="17"/>
        <v>136933.79223744618</v>
      </c>
      <c r="W47" s="229"/>
      <c r="AA47" s="272">
        <v>155563.04457107763</v>
      </c>
      <c r="AF47" s="272">
        <f t="shared" si="16"/>
        <v>445569.6076743037</v>
      </c>
    </row>
    <row r="48" spans="1:33" s="272" customFormat="1">
      <c r="C48" s="272" t="s">
        <v>315</v>
      </c>
      <c r="D48" s="272" t="s">
        <v>159</v>
      </c>
      <c r="H48" s="272">
        <v>19441.966892041848</v>
      </c>
      <c r="J48" s="256"/>
      <c r="K48" s="256"/>
      <c r="L48" s="256"/>
      <c r="M48" s="256">
        <v>2964.3089430053319</v>
      </c>
      <c r="N48" s="256"/>
      <c r="O48" s="256"/>
      <c r="P48" s="256"/>
      <c r="Q48" s="256"/>
      <c r="R48" s="256">
        <v>4764.8988357875123</v>
      </c>
      <c r="T48" s="229"/>
      <c r="U48" s="229"/>
      <c r="V48" s="272">
        <f t="shared" si="17"/>
        <v>7729.2077787928447</v>
      </c>
      <c r="W48" s="229"/>
      <c r="AA48" s="272">
        <v>11423.640518141885</v>
      </c>
      <c r="AF48" s="272">
        <f t="shared" si="16"/>
        <v>38594.81518897658</v>
      </c>
    </row>
    <row r="49" spans="1:36" s="272" customFormat="1">
      <c r="B49" s="272" t="s">
        <v>160</v>
      </c>
      <c r="C49" s="272" t="s">
        <v>314</v>
      </c>
      <c r="D49" s="272" t="s">
        <v>158</v>
      </c>
      <c r="H49" s="272">
        <v>143.6876819394133</v>
      </c>
      <c r="J49" s="256"/>
      <c r="K49" s="256"/>
      <c r="L49" s="256"/>
      <c r="M49" s="256">
        <v>27.779462054874813</v>
      </c>
      <c r="N49" s="256"/>
      <c r="O49" s="256"/>
      <c r="P49" s="256"/>
      <c r="Q49" s="256"/>
      <c r="R49" s="256">
        <v>116.61283335907555</v>
      </c>
      <c r="T49" s="229"/>
      <c r="U49" s="229"/>
      <c r="V49" s="272">
        <f t="shared" si="17"/>
        <v>144.39229541395036</v>
      </c>
      <c r="W49" s="229"/>
      <c r="Z49" s="261"/>
      <c r="AA49" s="261">
        <v>383.96700641847877</v>
      </c>
      <c r="AF49" s="272">
        <f t="shared" si="16"/>
        <v>672.04698377184241</v>
      </c>
    </row>
    <row r="50" spans="1:36" s="272" customFormat="1">
      <c r="C50" s="272" t="s">
        <v>314</v>
      </c>
      <c r="D50" s="272" t="s">
        <v>159</v>
      </c>
      <c r="H50" s="272">
        <v>78.612088145379332</v>
      </c>
      <c r="J50" s="256"/>
      <c r="K50" s="256"/>
      <c r="L50" s="256"/>
      <c r="M50" s="256">
        <v>14.320632701503728</v>
      </c>
      <c r="N50" s="256"/>
      <c r="O50" s="256"/>
      <c r="P50" s="256"/>
      <c r="Q50" s="256"/>
      <c r="R50" s="256">
        <v>44.297460456304108</v>
      </c>
      <c r="T50" s="229"/>
      <c r="U50" s="229"/>
      <c r="V50" s="272">
        <f t="shared" si="17"/>
        <v>58.618093157807834</v>
      </c>
      <c r="W50" s="229"/>
      <c r="AA50" s="272">
        <v>108.41084104531085</v>
      </c>
      <c r="AF50" s="272">
        <f t="shared" si="16"/>
        <v>245.64102234849804</v>
      </c>
    </row>
    <row r="51" spans="1:36" s="272" customFormat="1">
      <c r="C51" s="272" t="s">
        <v>315</v>
      </c>
      <c r="D51" s="272" t="s">
        <v>158</v>
      </c>
      <c r="H51" s="272">
        <v>2881.5997114184624</v>
      </c>
      <c r="J51" s="256"/>
      <c r="K51" s="256"/>
      <c r="L51" s="256"/>
      <c r="M51" s="256">
        <v>853.21448179176207</v>
      </c>
      <c r="N51" s="256"/>
      <c r="O51" s="256"/>
      <c r="P51" s="256"/>
      <c r="Q51" s="256"/>
      <c r="R51" s="256">
        <v>2100.8450054344225</v>
      </c>
      <c r="T51" s="229"/>
      <c r="U51" s="229"/>
      <c r="V51" s="272">
        <f t="shared" si="17"/>
        <v>2954.0594872261845</v>
      </c>
      <c r="W51" s="229"/>
      <c r="AA51" s="272">
        <v>3437.3763354397515</v>
      </c>
      <c r="AF51" s="272">
        <f t="shared" si="16"/>
        <v>9273.0355340843998</v>
      </c>
    </row>
    <row r="52" spans="1:36" s="272" customFormat="1">
      <c r="C52" s="272" t="s">
        <v>315</v>
      </c>
      <c r="D52" s="272" t="s">
        <v>159</v>
      </c>
      <c r="H52" s="272">
        <v>814.72024547319006</v>
      </c>
      <c r="J52" s="256"/>
      <c r="K52" s="256"/>
      <c r="L52" s="256"/>
      <c r="M52" s="256">
        <v>68.671363871826372</v>
      </c>
      <c r="N52" s="256"/>
      <c r="O52" s="256"/>
      <c r="P52" s="256"/>
      <c r="Q52" s="256"/>
      <c r="R52" s="256">
        <v>97.54404707172452</v>
      </c>
      <c r="T52" s="229"/>
      <c r="U52" s="229"/>
      <c r="V52" s="272">
        <f t="shared" si="17"/>
        <v>166.21541094355089</v>
      </c>
      <c r="W52" s="229"/>
      <c r="AA52" s="272">
        <v>227.86644326333467</v>
      </c>
      <c r="AF52" s="272">
        <f t="shared" si="16"/>
        <v>1208.8020996800756</v>
      </c>
    </row>
    <row r="53" spans="1:36" s="272" customFormat="1">
      <c r="B53" s="272" t="s">
        <v>39</v>
      </c>
      <c r="D53" s="272" t="s">
        <v>40</v>
      </c>
      <c r="J53" s="256"/>
      <c r="K53" s="256"/>
      <c r="L53" s="256"/>
      <c r="M53" s="256"/>
      <c r="N53" s="256"/>
      <c r="O53" s="256"/>
      <c r="P53" s="256"/>
      <c r="Q53" s="256"/>
      <c r="R53" s="256"/>
      <c r="T53" s="229"/>
      <c r="U53" s="229"/>
      <c r="W53" s="229"/>
      <c r="AA53" s="272">
        <v>11500</v>
      </c>
      <c r="AF53" s="272">
        <f t="shared" si="16"/>
        <v>11500</v>
      </c>
    </row>
    <row r="54" spans="1:36" s="272" customFormat="1">
      <c r="B54" s="272" t="s">
        <v>370</v>
      </c>
      <c r="H54" s="272">
        <v>2230.9414443258765</v>
      </c>
      <c r="J54" s="256"/>
      <c r="K54" s="256"/>
      <c r="L54" s="256"/>
      <c r="M54" s="256">
        <v>9584.7447108468223</v>
      </c>
      <c r="N54" s="256" t="s">
        <v>41</v>
      </c>
      <c r="O54" s="256"/>
      <c r="P54" s="256"/>
      <c r="Q54" s="256"/>
      <c r="R54" s="256">
        <f>1393+3542+4260</f>
        <v>9195</v>
      </c>
      <c r="T54" s="229"/>
      <c r="U54" s="229"/>
      <c r="V54" s="280">
        <v>18779.636609038462</v>
      </c>
      <c r="W54" s="277" t="s">
        <v>42</v>
      </c>
      <c r="AA54" s="280">
        <v>228698.23062868664</v>
      </c>
      <c r="AB54" s="277" t="s">
        <v>42</v>
      </c>
      <c r="AF54" s="272">
        <f t="shared" si="16"/>
        <v>249708.91678385934</v>
      </c>
    </row>
    <row r="55" spans="1:36" s="272" customFormat="1">
      <c r="G55" s="271" t="s">
        <v>43</v>
      </c>
      <c r="H55" s="272">
        <f>H44-H53-H54</f>
        <v>185994.01526346177</v>
      </c>
      <c r="J55" s="256"/>
      <c r="K55" s="256"/>
      <c r="L55" s="256"/>
      <c r="M55" s="256">
        <f>M44-M53-M54</f>
        <v>45323.689155343556</v>
      </c>
      <c r="N55" s="256">
        <v>1392.7933726718413</v>
      </c>
      <c r="O55" s="256" t="s">
        <v>94</v>
      </c>
      <c r="P55" s="256">
        <v>4260.120978319942</v>
      </c>
      <c r="Q55" s="256"/>
      <c r="R55" s="256">
        <f>R44-R53-R54</f>
        <v>111551.82232782761</v>
      </c>
      <c r="T55" s="229"/>
      <c r="U55" s="271" t="s">
        <v>138</v>
      </c>
      <c r="V55" s="272">
        <f>V44-V53-V54</f>
        <v>156875.61958497955</v>
      </c>
      <c r="W55" s="277"/>
      <c r="Z55" s="271" t="s">
        <v>138</v>
      </c>
      <c r="AA55" s="272">
        <f>AA44-AA53-AA54</f>
        <v>195941.77342079589</v>
      </c>
      <c r="AE55" s="271" t="s">
        <v>138</v>
      </c>
      <c r="AF55" s="273">
        <f t="shared" si="16"/>
        <v>538811.3001674288</v>
      </c>
    </row>
    <row r="56" spans="1:36" s="272" customFormat="1" ht="18">
      <c r="A56" s="302" t="s">
        <v>5</v>
      </c>
      <c r="J56" s="256"/>
      <c r="K56" s="256"/>
      <c r="L56" s="256"/>
      <c r="M56" s="256"/>
      <c r="N56" s="256">
        <v>3541.9775471998555</v>
      </c>
      <c r="O56" s="256" t="s">
        <v>95</v>
      </c>
      <c r="P56" s="281" t="s">
        <v>44</v>
      </c>
      <c r="Q56" s="256"/>
      <c r="R56" s="256"/>
      <c r="T56" s="229"/>
      <c r="U56" s="229"/>
      <c r="W56" s="229"/>
      <c r="AF56" s="272" t="s">
        <v>45</v>
      </c>
    </row>
    <row r="57" spans="1:36" s="272" customFormat="1">
      <c r="J57" s="256"/>
      <c r="K57" s="256"/>
      <c r="L57" s="256"/>
      <c r="M57" s="256"/>
      <c r="N57" s="256"/>
      <c r="O57" s="256"/>
      <c r="P57" s="256"/>
      <c r="Q57" s="256"/>
      <c r="R57" s="256"/>
      <c r="T57" s="229"/>
      <c r="U57" s="229"/>
      <c r="W57" s="229"/>
      <c r="AI57" s="272" t="s">
        <v>46</v>
      </c>
    </row>
    <row r="58" spans="1:36" s="272" customFormat="1">
      <c r="A58" s="272" t="s">
        <v>47</v>
      </c>
      <c r="B58" s="272" t="s">
        <v>157</v>
      </c>
      <c r="C58" s="272" t="s">
        <v>314</v>
      </c>
      <c r="D58" s="272" t="s">
        <v>158</v>
      </c>
      <c r="H58" s="272">
        <f>H45</f>
        <v>6072.4966407372667</v>
      </c>
      <c r="J58" s="256"/>
      <c r="K58" s="256"/>
      <c r="L58" s="256"/>
      <c r="M58" s="256">
        <f>M45</f>
        <v>1331.9354260572961</v>
      </c>
      <c r="N58" s="256"/>
      <c r="O58" s="256"/>
      <c r="P58" s="256"/>
      <c r="Q58" s="256"/>
      <c r="R58" s="256">
        <f>R45</f>
        <v>4805.5098559199369</v>
      </c>
      <c r="T58" s="229"/>
      <c r="U58" s="229"/>
      <c r="V58" s="272">
        <f t="shared" si="17"/>
        <v>6137.4452819772332</v>
      </c>
      <c r="W58" s="229"/>
      <c r="AA58" s="272">
        <f>AA45</f>
        <v>18765.930772601478</v>
      </c>
      <c r="AF58" s="272">
        <f t="shared" ref="AF58:AF67" si="18">H58+M58+R58+AA58</f>
        <v>30975.872695315978</v>
      </c>
      <c r="AG58" s="272" t="s">
        <v>47</v>
      </c>
      <c r="AH58" s="272" t="s">
        <v>157</v>
      </c>
      <c r="AI58" s="272" t="s">
        <v>314</v>
      </c>
      <c r="AJ58" s="272" t="s">
        <v>158</v>
      </c>
    </row>
    <row r="59" spans="1:36" s="272" customFormat="1">
      <c r="A59" s="272" t="s">
        <v>48</v>
      </c>
      <c r="C59" s="272" t="s">
        <v>314</v>
      </c>
      <c r="D59" s="272" t="s">
        <v>159</v>
      </c>
      <c r="H59" s="272">
        <f>H46</f>
        <v>3488.1611379262645</v>
      </c>
      <c r="J59" s="256"/>
      <c r="K59" s="256"/>
      <c r="L59" s="256"/>
      <c r="M59" s="256">
        <f>M46</f>
        <v>698.85123512257678</v>
      </c>
      <c r="N59" s="256"/>
      <c r="O59" s="256"/>
      <c r="P59" s="256"/>
      <c r="Q59" s="256"/>
      <c r="R59" s="256">
        <f>R46</f>
        <v>2052.9296630908434</v>
      </c>
      <c r="T59" s="229"/>
      <c r="U59" s="229"/>
      <c r="V59" s="272">
        <f t="shared" si="17"/>
        <v>2751.7808982134202</v>
      </c>
      <c r="W59" s="229"/>
      <c r="AA59" s="272">
        <f>AA46</f>
        <v>6031.5369328080124</v>
      </c>
      <c r="AF59" s="272">
        <f t="shared" si="18"/>
        <v>12271.478968947697</v>
      </c>
      <c r="AG59" s="272" t="s">
        <v>49</v>
      </c>
      <c r="AI59" s="272" t="s">
        <v>314</v>
      </c>
      <c r="AJ59" s="272" t="s">
        <v>159</v>
      </c>
    </row>
    <row r="60" spans="1:36" s="272" customFormat="1">
      <c r="A60" s="272" t="s">
        <v>50</v>
      </c>
      <c r="C60" s="272" t="s">
        <v>315</v>
      </c>
      <c r="D60" s="272" t="s">
        <v>51</v>
      </c>
      <c r="H60" s="272">
        <f>H47-(H22-H35)</f>
        <v>27319.373419532509</v>
      </c>
      <c r="J60" s="256"/>
      <c r="K60" s="256"/>
      <c r="L60" s="256"/>
      <c r="M60" s="256">
        <f>M47-(M22-M35)</f>
        <v>4407.6356202416719</v>
      </c>
      <c r="N60" s="256"/>
      <c r="O60" s="256"/>
      <c r="P60" s="256"/>
      <c r="Q60" s="256"/>
      <c r="R60" s="256">
        <f>R47-(R22-R35)</f>
        <v>11770.005038207426</v>
      </c>
      <c r="S60" s="282"/>
      <c r="T60" s="229"/>
      <c r="U60" s="229"/>
      <c r="V60" s="272">
        <f t="shared" si="17"/>
        <v>16177.640658449098</v>
      </c>
      <c r="W60" s="229"/>
      <c r="X60" s="282"/>
      <c r="Y60" s="282"/>
      <c r="Z60" s="282"/>
      <c r="AA60" s="272">
        <f>AA47-(AA22-AA35)</f>
        <v>26090.473516232712</v>
      </c>
      <c r="AB60" s="282"/>
      <c r="AF60" s="272">
        <f t="shared" si="18"/>
        <v>69587.487594214326</v>
      </c>
      <c r="AG60" s="272" t="s">
        <v>50</v>
      </c>
      <c r="AI60" s="272" t="s">
        <v>315</v>
      </c>
      <c r="AJ60" s="272" t="s">
        <v>158</v>
      </c>
    </row>
    <row r="61" spans="1:36" s="272" customFormat="1">
      <c r="A61" s="272" t="s">
        <v>52</v>
      </c>
      <c r="C61" s="272" t="s">
        <v>315</v>
      </c>
      <c r="D61" s="272" t="s">
        <v>53</v>
      </c>
      <c r="H61" s="272">
        <f>H48-H35</f>
        <v>18617.364338289255</v>
      </c>
      <c r="J61" s="256"/>
      <c r="K61" s="256"/>
      <c r="L61" s="256"/>
      <c r="M61" s="256">
        <f>M48-M35</f>
        <v>2491.2809335020361</v>
      </c>
      <c r="N61" s="256"/>
      <c r="O61" s="256"/>
      <c r="P61" s="256"/>
      <c r="Q61" s="256"/>
      <c r="R61" s="256">
        <f>R48-R35</f>
        <v>3004.2389608577014</v>
      </c>
      <c r="S61" s="282"/>
      <c r="T61" s="229"/>
      <c r="U61" s="229"/>
      <c r="V61" s="272">
        <f t="shared" si="17"/>
        <v>5495.519894359737</v>
      </c>
      <c r="W61" s="229"/>
      <c r="X61" s="282"/>
      <c r="Y61" s="282"/>
      <c r="Z61" s="282"/>
      <c r="AA61" s="272">
        <f>AA48-AA35</f>
        <v>3508.5196904379372</v>
      </c>
      <c r="AB61" s="282"/>
      <c r="AF61" s="272">
        <f t="shared" si="18"/>
        <v>27621.403923086928</v>
      </c>
      <c r="AG61" s="272" t="s">
        <v>52</v>
      </c>
      <c r="AI61" s="272" t="s">
        <v>315</v>
      </c>
      <c r="AJ61" s="272" t="s">
        <v>159</v>
      </c>
    </row>
    <row r="62" spans="1:36" s="272" customFormat="1">
      <c r="A62" s="272" t="s">
        <v>54</v>
      </c>
      <c r="B62" s="272" t="s">
        <v>160</v>
      </c>
      <c r="C62" s="272" t="s">
        <v>314</v>
      </c>
      <c r="D62" s="272" t="s">
        <v>158</v>
      </c>
      <c r="H62" s="272">
        <f>H49</f>
        <v>143.6876819394133</v>
      </c>
      <c r="J62" s="256"/>
      <c r="K62" s="256"/>
      <c r="L62" s="256"/>
      <c r="M62" s="256">
        <f>M49</f>
        <v>27.779462054874813</v>
      </c>
      <c r="N62" s="256"/>
      <c r="O62" s="256"/>
      <c r="P62" s="256"/>
      <c r="Q62" s="256"/>
      <c r="R62" s="256">
        <f>R49</f>
        <v>116.61283335907555</v>
      </c>
      <c r="S62" s="282"/>
      <c r="T62" s="229"/>
      <c r="U62" s="229"/>
      <c r="V62" s="272">
        <f t="shared" si="17"/>
        <v>144.39229541395036</v>
      </c>
      <c r="W62" s="229"/>
      <c r="X62" s="282"/>
      <c r="Y62" s="282"/>
      <c r="Z62" s="282"/>
      <c r="AA62" s="282">
        <f>AA49</f>
        <v>383.96700641847877</v>
      </c>
      <c r="AB62" s="282"/>
      <c r="AF62" s="272">
        <f t="shared" si="18"/>
        <v>672.04698377184241</v>
      </c>
      <c r="AG62" s="272" t="s">
        <v>55</v>
      </c>
      <c r="AH62" s="272" t="s">
        <v>160</v>
      </c>
      <c r="AI62" s="272" t="s">
        <v>314</v>
      </c>
      <c r="AJ62" s="272" t="s">
        <v>158</v>
      </c>
    </row>
    <row r="63" spans="1:36" s="272" customFormat="1">
      <c r="A63" s="272" t="s">
        <v>56</v>
      </c>
      <c r="C63" s="272" t="s">
        <v>314</v>
      </c>
      <c r="D63" s="272" t="s">
        <v>159</v>
      </c>
      <c r="H63" s="272">
        <f>H50</f>
        <v>78.612088145379332</v>
      </c>
      <c r="J63" s="256"/>
      <c r="K63" s="256"/>
      <c r="L63" s="256"/>
      <c r="M63" s="256">
        <f>M50</f>
        <v>14.320632701503728</v>
      </c>
      <c r="N63" s="256"/>
      <c r="O63" s="256"/>
      <c r="P63" s="256"/>
      <c r="Q63" s="256"/>
      <c r="R63" s="256">
        <f>R50</f>
        <v>44.297460456304108</v>
      </c>
      <c r="S63" s="282"/>
      <c r="T63" s="229"/>
      <c r="U63" s="229"/>
      <c r="V63" s="272">
        <f t="shared" si="17"/>
        <v>58.618093157807834</v>
      </c>
      <c r="W63" s="229"/>
      <c r="X63" s="282"/>
      <c r="Y63" s="282"/>
      <c r="Z63" s="282"/>
      <c r="AA63" s="282">
        <f>AA50</f>
        <v>108.41084104531085</v>
      </c>
      <c r="AB63" s="282"/>
      <c r="AF63" s="272">
        <f t="shared" si="18"/>
        <v>245.64102234849804</v>
      </c>
      <c r="AG63" s="272" t="s">
        <v>57</v>
      </c>
      <c r="AI63" s="272" t="s">
        <v>314</v>
      </c>
      <c r="AJ63" s="272" t="s">
        <v>159</v>
      </c>
    </row>
    <row r="64" spans="1:36" s="282" customFormat="1">
      <c r="A64" s="282" t="s">
        <v>58</v>
      </c>
      <c r="C64" s="282" t="s">
        <v>315</v>
      </c>
      <c r="D64" s="282" t="s">
        <v>158</v>
      </c>
      <c r="H64" s="282">
        <f>H51-H23</f>
        <v>559.59971141846245</v>
      </c>
      <c r="J64" s="256"/>
      <c r="K64" s="256"/>
      <c r="L64" s="256"/>
      <c r="M64" s="256">
        <f>M51-M23</f>
        <v>266.21448179176207</v>
      </c>
      <c r="N64" s="256"/>
      <c r="O64" s="256"/>
      <c r="P64" s="256"/>
      <c r="Q64" s="256"/>
      <c r="R64" s="256">
        <f>R51-R23</f>
        <v>703.4178212176439</v>
      </c>
      <c r="T64" s="229"/>
      <c r="U64" s="229"/>
      <c r="V64" s="272">
        <f t="shared" si="17"/>
        <v>969.63230300940597</v>
      </c>
      <c r="W64" s="229"/>
      <c r="AA64" s="282">
        <f>AA51-AA23</f>
        <v>1126.289148048053</v>
      </c>
      <c r="AF64" s="272">
        <f t="shared" si="18"/>
        <v>2655.5211624759213</v>
      </c>
      <c r="AG64" s="282" t="s">
        <v>59</v>
      </c>
      <c r="AI64" s="282" t="s">
        <v>315</v>
      </c>
      <c r="AJ64" s="282" t="s">
        <v>158</v>
      </c>
    </row>
    <row r="65" spans="1:36" s="282" customFormat="1">
      <c r="A65" s="282" t="s">
        <v>60</v>
      </c>
      <c r="C65" s="282" t="s">
        <v>315</v>
      </c>
      <c r="D65" s="282" t="s">
        <v>159</v>
      </c>
      <c r="H65" s="282">
        <f>H52</f>
        <v>814.72024547319006</v>
      </c>
      <c r="J65" s="256"/>
      <c r="K65" s="256"/>
      <c r="L65" s="256"/>
      <c r="M65" s="256">
        <f>M52</f>
        <v>68.671363871826372</v>
      </c>
      <c r="N65" s="256"/>
      <c r="O65" s="256"/>
      <c r="P65" s="256"/>
      <c r="Q65" s="256"/>
      <c r="R65" s="256">
        <f>R52</f>
        <v>97.54404707172452</v>
      </c>
      <c r="T65" s="229"/>
      <c r="U65" s="229"/>
      <c r="V65" s="272">
        <f t="shared" si="17"/>
        <v>166.21541094355089</v>
      </c>
      <c r="W65" s="229"/>
      <c r="AA65" s="282">
        <f>AA52</f>
        <v>227.86644326333467</v>
      </c>
      <c r="AF65" s="272">
        <f t="shared" si="18"/>
        <v>1208.8020996800756</v>
      </c>
      <c r="AG65" s="282" t="s">
        <v>61</v>
      </c>
      <c r="AI65" s="282" t="s">
        <v>315</v>
      </c>
      <c r="AJ65" s="282" t="s">
        <v>159</v>
      </c>
    </row>
    <row r="66" spans="1:36" s="272" customFormat="1">
      <c r="A66" s="272" t="s">
        <v>62</v>
      </c>
      <c r="B66" s="272" t="s">
        <v>39</v>
      </c>
      <c r="J66" s="256"/>
      <c r="K66" s="256"/>
      <c r="L66" s="256"/>
      <c r="M66" s="256"/>
      <c r="N66" s="256"/>
      <c r="O66" s="256"/>
      <c r="P66" s="256"/>
      <c r="Q66" s="256"/>
      <c r="R66" s="256"/>
      <c r="T66" s="229"/>
      <c r="U66" s="229"/>
      <c r="W66" s="229"/>
      <c r="AA66" s="272">
        <v>11500</v>
      </c>
      <c r="AF66" s="272">
        <f t="shared" si="18"/>
        <v>11500</v>
      </c>
      <c r="AG66" s="272" t="s">
        <v>62</v>
      </c>
      <c r="AH66" s="272" t="s">
        <v>39</v>
      </c>
      <c r="AJ66" s="272" t="s">
        <v>16</v>
      </c>
    </row>
    <row r="67" spans="1:36" s="272" customFormat="1">
      <c r="A67" s="272" t="s">
        <v>63</v>
      </c>
      <c r="B67" s="272" t="s">
        <v>370</v>
      </c>
      <c r="H67" s="272">
        <f>H54</f>
        <v>2230.9414443258765</v>
      </c>
      <c r="J67" s="256"/>
      <c r="K67" s="256"/>
      <c r="L67" s="256"/>
      <c r="M67" s="256">
        <f>M54</f>
        <v>9584.7447108468223</v>
      </c>
      <c r="N67" s="256"/>
      <c r="O67" s="256"/>
      <c r="P67" s="256"/>
      <c r="Q67" s="256"/>
      <c r="R67" s="256">
        <f>R54</f>
        <v>9195</v>
      </c>
      <c r="T67" s="229"/>
      <c r="U67" s="229"/>
      <c r="V67" s="272">
        <f t="shared" si="17"/>
        <v>18779.744710846822</v>
      </c>
      <c r="W67" s="229"/>
      <c r="AA67" s="272">
        <f>AA54</f>
        <v>228698.23062868664</v>
      </c>
      <c r="AF67" s="272">
        <f t="shared" si="18"/>
        <v>249708.91678385934</v>
      </c>
      <c r="AG67" s="272" t="s">
        <v>63</v>
      </c>
      <c r="AH67" s="272" t="s">
        <v>370</v>
      </c>
    </row>
    <row r="68" spans="1:36" ht="16" thickBot="1">
      <c r="AJ68" s="229" t="s">
        <v>64</v>
      </c>
    </row>
    <row r="69" spans="1:36" ht="16" thickBot="1">
      <c r="B69" s="283" t="s">
        <v>17</v>
      </c>
      <c r="C69" s="251"/>
      <c r="H69" s="284">
        <f>SUM(H28:H36)+SUM(H58:H67)</f>
        <v>188228.57452819473</v>
      </c>
      <c r="M69" s="274">
        <f>SUM(M28:M36)+SUM(M58:M67)</f>
        <v>54908.674985714759</v>
      </c>
      <c r="R69" s="274">
        <f>SUM(R28:R36)+SUM(R58:R67)</f>
        <v>120746.34907202925</v>
      </c>
      <c r="V69" s="285">
        <f>SUM(V28:V36)+SUM(V58:V67)</f>
        <v>175655.02405774401</v>
      </c>
      <c r="W69" s="276">
        <f t="shared" si="9"/>
        <v>0</v>
      </c>
      <c r="AA69" s="284">
        <f>SUM(AA28:AA36)+SUM(AA58:AA67)</f>
        <v>436136.54174651171</v>
      </c>
      <c r="AF69" s="279">
        <f>SUM(AF28:AF36)+SUM(AF58:AF67)</f>
        <v>800020.14033245039</v>
      </c>
      <c r="AG69" s="229" t="s">
        <v>18</v>
      </c>
      <c r="AJ69" s="286">
        <f>AF69-AF44</f>
        <v>-7.6618837774731219E-2</v>
      </c>
    </row>
    <row r="70" spans="1:36">
      <c r="B70" s="283" t="s">
        <v>19</v>
      </c>
      <c r="C70" s="251"/>
    </row>
    <row r="71" spans="1:36">
      <c r="B71" s="251" t="s">
        <v>20</v>
      </c>
      <c r="C71" s="251"/>
    </row>
    <row r="72" spans="1:36">
      <c r="B72" s="251" t="s">
        <v>21</v>
      </c>
      <c r="C72" s="251"/>
    </row>
    <row r="73" spans="1:36">
      <c r="B73" s="251" t="s">
        <v>22</v>
      </c>
      <c r="C73" s="251"/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K161"/>
  <sheetViews>
    <sheetView workbookViewId="0">
      <pane xSplit="10300" ySplit="4160" topLeftCell="A113" activePane="bottomLeft"/>
      <selection activeCell="B8" sqref="B8"/>
      <selection pane="topRight" activeCell="AG8" sqref="AG8"/>
      <selection pane="bottomLeft" activeCell="B63" sqref="B63"/>
      <selection pane="bottomRight" activeCell="AH57" sqref="AH57"/>
    </sheetView>
  </sheetViews>
  <sheetFormatPr baseColWidth="10" defaultColWidth="10.7109375" defaultRowHeight="15"/>
  <cols>
    <col min="1" max="2" width="10.7109375" style="34"/>
    <col min="3" max="3" width="22.7109375" style="34" customWidth="1"/>
    <col min="4" max="4" width="16.42578125" style="34" customWidth="1"/>
    <col min="5" max="5" width="8" style="34" customWidth="1"/>
    <col min="6" max="6" width="10.28515625" style="34" customWidth="1"/>
    <col min="7" max="7" width="8.5703125" style="34" customWidth="1"/>
    <col min="8" max="8" width="10.140625" style="34" customWidth="1"/>
    <col min="9" max="9" width="9.42578125" style="34" customWidth="1"/>
    <col min="10" max="10" width="10.7109375" style="34"/>
    <col min="11" max="11" width="12.140625" style="34" customWidth="1"/>
    <col min="12" max="12" width="8.28515625" style="34" customWidth="1"/>
    <col min="13" max="13" width="11.28515625" style="34" customWidth="1"/>
    <col min="14" max="14" width="5" style="34" customWidth="1"/>
    <col min="15" max="15" width="10.7109375" style="34"/>
    <col min="16" max="16" width="4.7109375" style="34" customWidth="1"/>
    <col min="17" max="17" width="12" style="34" customWidth="1"/>
    <col min="18" max="18" width="10.28515625" style="34" customWidth="1"/>
    <col min="19" max="19" width="3.7109375" style="34" customWidth="1"/>
    <col min="20" max="20" width="10" style="34" customWidth="1"/>
    <col min="21" max="21" width="14" style="34" customWidth="1"/>
    <col min="22" max="23" width="9.7109375" style="34" customWidth="1"/>
    <col min="24" max="24" width="8.140625" style="34" customWidth="1"/>
    <col min="25" max="25" width="13.140625" style="34" customWidth="1"/>
    <col min="26" max="26" width="3.85546875" style="34" customWidth="1"/>
    <col min="27" max="27" width="16" style="34" customWidth="1"/>
    <col min="28" max="28" width="9.42578125" style="34" customWidth="1"/>
    <col min="29" max="29" width="8.140625" style="34" customWidth="1"/>
    <col min="30" max="30" width="14.28515625" style="34" customWidth="1"/>
    <col min="31" max="31" width="13" style="34" customWidth="1"/>
    <col min="32" max="32" width="9.140625" style="34" customWidth="1"/>
    <col min="33" max="33" width="10.7109375" style="34"/>
    <col min="34" max="34" width="11" style="34" customWidth="1"/>
    <col min="35" max="16384" width="10.7109375" style="34"/>
  </cols>
  <sheetData>
    <row r="1" spans="1:34" ht="17">
      <c r="B1" s="45" t="s">
        <v>475</v>
      </c>
    </row>
    <row r="2" spans="1:34">
      <c r="C2" s="207" t="s">
        <v>476</v>
      </c>
    </row>
    <row r="3" spans="1:34">
      <c r="C3" s="207" t="s">
        <v>458</v>
      </c>
    </row>
    <row r="5" spans="1:34" ht="17">
      <c r="A5" s="45" t="s">
        <v>498</v>
      </c>
    </row>
    <row r="6" spans="1:34" ht="16" thickBot="1"/>
    <row r="7" spans="1:34" ht="18" thickBot="1">
      <c r="E7" s="77" t="s">
        <v>303</v>
      </c>
      <c r="F7" s="78"/>
      <c r="G7" s="78"/>
      <c r="H7" s="79"/>
      <c r="I7" s="51"/>
      <c r="J7" s="80" t="s">
        <v>389</v>
      </c>
      <c r="K7" s="81"/>
      <c r="L7" s="82" t="s">
        <v>451</v>
      </c>
      <c r="M7" s="83"/>
      <c r="N7" s="51"/>
      <c r="O7" s="84" t="s">
        <v>92</v>
      </c>
      <c r="P7" s="85"/>
      <c r="Q7" s="85"/>
      <c r="R7" s="86"/>
      <c r="T7" s="89" t="s">
        <v>182</v>
      </c>
      <c r="U7" s="90"/>
      <c r="V7" s="90"/>
      <c r="W7" s="91"/>
      <c r="Y7" s="92" t="s">
        <v>298</v>
      </c>
      <c r="Z7" s="101"/>
      <c r="AA7" s="93" t="s">
        <v>357</v>
      </c>
      <c r="AB7" s="94"/>
      <c r="AC7" s="51"/>
      <c r="AD7" s="95" t="s">
        <v>327</v>
      </c>
      <c r="AE7" s="96"/>
      <c r="AF7" s="96"/>
      <c r="AG7" s="96" t="s">
        <v>178</v>
      </c>
      <c r="AH7" s="99"/>
    </row>
    <row r="8" spans="1:34" s="47" customFormat="1">
      <c r="D8" s="34"/>
      <c r="E8" s="47" t="s">
        <v>399</v>
      </c>
      <c r="F8" s="47" t="s">
        <v>409</v>
      </c>
      <c r="G8" s="47" t="s">
        <v>265</v>
      </c>
      <c r="H8" s="47" t="s">
        <v>421</v>
      </c>
      <c r="J8" s="47" t="s">
        <v>234</v>
      </c>
      <c r="K8" s="47" t="s">
        <v>409</v>
      </c>
      <c r="L8" s="47" t="s">
        <v>265</v>
      </c>
      <c r="M8" s="47" t="s">
        <v>421</v>
      </c>
      <c r="O8" s="47" t="s">
        <v>428</v>
      </c>
      <c r="Q8" s="47" t="s">
        <v>168</v>
      </c>
      <c r="R8" s="47" t="s">
        <v>421</v>
      </c>
      <c r="T8" s="47" t="s">
        <v>468</v>
      </c>
      <c r="U8" s="47" t="s">
        <v>409</v>
      </c>
      <c r="V8" s="47" t="s">
        <v>265</v>
      </c>
      <c r="W8" s="47" t="s">
        <v>421</v>
      </c>
      <c r="Y8" s="47" t="s">
        <v>235</v>
      </c>
      <c r="AA8" s="47" t="s">
        <v>236</v>
      </c>
      <c r="AB8" s="47" t="s">
        <v>421</v>
      </c>
      <c r="AD8" s="47" t="s">
        <v>410</v>
      </c>
      <c r="AE8" s="47" t="s">
        <v>409</v>
      </c>
      <c r="AF8" s="47" t="s">
        <v>286</v>
      </c>
      <c r="AG8" s="47" t="s">
        <v>450</v>
      </c>
    </row>
    <row r="10" spans="1:34">
      <c r="B10" s="46" t="s">
        <v>169</v>
      </c>
    </row>
    <row r="11" spans="1:34" s="49" customFormat="1">
      <c r="A11" s="49" t="s">
        <v>429</v>
      </c>
      <c r="B11" s="49" t="s">
        <v>287</v>
      </c>
      <c r="C11" s="155"/>
      <c r="D11" s="34"/>
      <c r="E11" s="49">
        <f>'(2) HH occ''s by region'!E28</f>
        <v>73.068323586118268</v>
      </c>
      <c r="F11" s="49">
        <f>'(2) HH occ''s by region'!F28</f>
        <v>117.91392216585365</v>
      </c>
      <c r="G11" s="49">
        <f>'(2) HH occ''s by region'!G28</f>
        <v>418.31189989123919</v>
      </c>
      <c r="H11" s="49">
        <f>SUM(E11:G11)</f>
        <v>609.2941456432111</v>
      </c>
      <c r="I11" s="34"/>
      <c r="J11" s="49">
        <v>131.50211089773745</v>
      </c>
      <c r="K11" s="49">
        <v>29.834942367723077</v>
      </c>
      <c r="L11" s="49">
        <v>315.56399606820378</v>
      </c>
      <c r="M11" s="49">
        <v>476.90104933366433</v>
      </c>
      <c r="N11" s="34"/>
      <c r="O11" s="49">
        <f>'(2) HH occ''s by region'!O28</f>
        <v>286.8724021987926</v>
      </c>
      <c r="P11" s="70"/>
      <c r="Q11" s="49">
        <f>'(2) HH occ''s by region'!Q28</f>
        <v>1007.553700926226</v>
      </c>
      <c r="R11" s="49">
        <f t="shared" ref="R11:R23" si="0">O11+Q11</f>
        <v>1294.4261031250187</v>
      </c>
      <c r="S11" s="155"/>
      <c r="T11" s="49">
        <f>J11+O11</f>
        <v>418.37451309653005</v>
      </c>
      <c r="U11" s="178">
        <f>K11</f>
        <v>29.834942367723077</v>
      </c>
      <c r="V11" s="49">
        <f t="shared" ref="V11:V23" si="1">L11+Q11</f>
        <v>1323.1176969944299</v>
      </c>
      <c r="W11" s="49">
        <f>SUM(T11:V11)</f>
        <v>1771.327152458683</v>
      </c>
      <c r="X11" s="155"/>
      <c r="Y11" s="49">
        <f>'(2) HH occ''s by region'!X28</f>
        <v>882.38165577173538</v>
      </c>
      <c r="Z11" s="71"/>
      <c r="AA11" s="49">
        <f>'(2) HH occ''s by region'!Z28</f>
        <v>6823.2121432489412</v>
      </c>
      <c r="AB11" s="49">
        <f>Y11+AA11</f>
        <v>7705.5937990206767</v>
      </c>
      <c r="AC11" s="34"/>
      <c r="AD11" s="49">
        <f t="shared" ref="AD11:AD23" si="2">E11+J11+O11+Y11</f>
        <v>1373.8244924543837</v>
      </c>
      <c r="AE11" s="49">
        <f>F11+K11</f>
        <v>147.74886453357672</v>
      </c>
      <c r="AF11" s="49">
        <f t="shared" ref="AF11:AF23" si="3">G11+L11+Q11+AA11</f>
        <v>8564.6417401346098</v>
      </c>
      <c r="AG11" s="49">
        <f t="shared" ref="AG11:AG23" si="4">H11+M11+R11+AB11</f>
        <v>10086.215097122571</v>
      </c>
      <c r="AH11" s="155"/>
    </row>
    <row r="12" spans="1:34" s="49" customFormat="1">
      <c r="A12" s="49" t="s">
        <v>484</v>
      </c>
      <c r="B12" s="124" t="s">
        <v>256</v>
      </c>
      <c r="C12" s="155"/>
      <c r="D12" s="59"/>
      <c r="E12" s="49">
        <f>'(2) HH occ''s by region'!E29</f>
        <v>405.1970671593831</v>
      </c>
      <c r="F12" s="49">
        <f>'(2) HH occ''s by region'!F29</f>
        <v>0</v>
      </c>
      <c r="G12" s="49">
        <f>'(2) HH occ''s by region'!G29</f>
        <v>0</v>
      </c>
      <c r="H12" s="49">
        <f t="shared" ref="H12:H23" si="5">SUM(E12:G12)</f>
        <v>405.1970671593831</v>
      </c>
      <c r="I12" s="34"/>
      <c r="J12" s="49">
        <v>878.12923213689987</v>
      </c>
      <c r="K12" s="49">
        <v>0</v>
      </c>
      <c r="L12" s="49">
        <v>0</v>
      </c>
      <c r="M12" s="49">
        <v>878.12923213689987</v>
      </c>
      <c r="N12" s="34"/>
      <c r="O12" s="49">
        <f>'(2) HH occ''s by region'!O29</f>
        <v>1508.6880424727383</v>
      </c>
      <c r="P12" s="70"/>
      <c r="Q12" s="49">
        <v>0</v>
      </c>
      <c r="R12" s="49">
        <f t="shared" si="0"/>
        <v>1508.6880424727383</v>
      </c>
      <c r="S12" s="59"/>
      <c r="T12" s="49">
        <f t="shared" ref="T12:T23" si="6">J12+O12</f>
        <v>2386.8172746096379</v>
      </c>
      <c r="U12" s="49">
        <v>0</v>
      </c>
      <c r="V12" s="49">
        <f t="shared" si="1"/>
        <v>0</v>
      </c>
      <c r="W12" s="49">
        <f t="shared" ref="W12:W23" si="7">SUM(T12:V12)</f>
        <v>2386.8172746096379</v>
      </c>
      <c r="X12" s="155"/>
      <c r="Y12" s="49">
        <f>'(2) HH occ''s by region'!X29</f>
        <v>930.99772496026071</v>
      </c>
      <c r="Z12" s="71"/>
      <c r="AA12" s="49">
        <v>0</v>
      </c>
      <c r="AB12" s="49">
        <f t="shared" ref="AB12:AB22" si="8">Y12+AA12</f>
        <v>930.99772496026071</v>
      </c>
      <c r="AC12" s="34"/>
      <c r="AD12" s="49">
        <f t="shared" si="2"/>
        <v>3723.0120667292822</v>
      </c>
      <c r="AE12" s="49">
        <f t="shared" ref="AE12:AE25" si="9">F12+K12</f>
        <v>0</v>
      </c>
      <c r="AF12" s="49">
        <f t="shared" si="3"/>
        <v>0</v>
      </c>
      <c r="AG12" s="49">
        <f t="shared" si="4"/>
        <v>3723.0120667292822</v>
      </c>
      <c r="AH12" s="155"/>
    </row>
    <row r="13" spans="1:34" s="49" customFormat="1">
      <c r="A13" s="49" t="s">
        <v>485</v>
      </c>
      <c r="B13" s="124" t="s">
        <v>424</v>
      </c>
      <c r="C13" s="155"/>
      <c r="D13" s="34"/>
      <c r="E13" s="49">
        <f>'(2) HH occ''s by region'!E30</f>
        <v>0</v>
      </c>
      <c r="F13" s="49">
        <f>'(2) HH occ''s by region'!F30</f>
        <v>700.93275954146316</v>
      </c>
      <c r="G13" s="49">
        <f>'(2) HH occ''s by region'!G30</f>
        <v>1859.1639995166188</v>
      </c>
      <c r="H13" s="49">
        <f t="shared" si="5"/>
        <v>2560.0967590580822</v>
      </c>
      <c r="I13" s="34"/>
      <c r="J13" s="49">
        <v>0</v>
      </c>
      <c r="K13" s="49">
        <v>591.99222157321162</v>
      </c>
      <c r="L13" s="49">
        <v>952.16886969298639</v>
      </c>
      <c r="M13" s="49">
        <v>1544.1610912661979</v>
      </c>
      <c r="N13" s="34"/>
      <c r="O13" s="49">
        <f>'(2) HH occ''s by region'!O30</f>
        <v>0</v>
      </c>
      <c r="P13" s="70"/>
      <c r="Q13" s="49">
        <f>'(2) HH occ''s by region'!Q30</f>
        <v>4805.9283671710627</v>
      </c>
      <c r="R13" s="49">
        <f t="shared" si="0"/>
        <v>4805.9283671710627</v>
      </c>
      <c r="S13" s="155"/>
      <c r="T13" s="49">
        <f t="shared" si="6"/>
        <v>0</v>
      </c>
      <c r="U13" s="49">
        <v>591.99222157321162</v>
      </c>
      <c r="V13" s="49">
        <f t="shared" si="1"/>
        <v>5758.0972368640487</v>
      </c>
      <c r="W13" s="49">
        <f t="shared" si="7"/>
        <v>6350.08945843726</v>
      </c>
      <c r="X13" s="124"/>
      <c r="Y13" s="49">
        <v>0</v>
      </c>
      <c r="Z13" s="71"/>
      <c r="AA13" s="49">
        <f>'(2) HH occ''s by region'!Z30</f>
        <v>3133.7904367373903</v>
      </c>
      <c r="AB13" s="49">
        <f t="shared" si="8"/>
        <v>3133.7904367373903</v>
      </c>
      <c r="AC13" s="34"/>
      <c r="AD13" s="49">
        <f t="shared" si="2"/>
        <v>0</v>
      </c>
      <c r="AE13" s="49">
        <f t="shared" si="9"/>
        <v>1292.9249811146747</v>
      </c>
      <c r="AF13" s="49">
        <f t="shared" si="3"/>
        <v>10751.051673118058</v>
      </c>
      <c r="AG13" s="49">
        <f t="shared" si="4"/>
        <v>12043.976654232732</v>
      </c>
      <c r="AH13" s="155"/>
    </row>
    <row r="14" spans="1:34" s="49" customFormat="1">
      <c r="A14" s="49" t="s">
        <v>486</v>
      </c>
      <c r="B14" s="49" t="s">
        <v>384</v>
      </c>
      <c r="C14" s="155"/>
      <c r="D14" s="34"/>
      <c r="E14" s="49">
        <f>'(2) HH occ''s by region'!E31</f>
        <v>470.82570688946015</v>
      </c>
      <c r="F14" s="49">
        <f>'(2) HH occ''s by region'!F31</f>
        <v>1310.1546907317074</v>
      </c>
      <c r="G14" s="49">
        <f>'(2) HH occ''s by region'!G31</f>
        <v>8854.268547697895</v>
      </c>
      <c r="H14" s="49">
        <f t="shared" si="5"/>
        <v>10635.248945319063</v>
      </c>
      <c r="I14" s="34"/>
      <c r="J14" s="49">
        <v>461.72612348256564</v>
      </c>
      <c r="K14" s="49">
        <v>1291.1063218184831</v>
      </c>
      <c r="L14" s="49">
        <v>5216.4597188701446</v>
      </c>
      <c r="M14" s="49">
        <v>6969.2921641711937</v>
      </c>
      <c r="N14" s="34"/>
      <c r="O14" s="49">
        <f>'(2) HH occ''s by region'!O31</f>
        <v>1738.1859642317781</v>
      </c>
      <c r="P14" s="70"/>
      <c r="Q14" s="49">
        <f>'(2) HH occ''s by region'!Q31</f>
        <v>21389.836826503386</v>
      </c>
      <c r="R14" s="49">
        <f t="shared" si="0"/>
        <v>23128.022790735165</v>
      </c>
      <c r="S14" s="155"/>
      <c r="T14" s="49">
        <f t="shared" si="6"/>
        <v>2199.9120877143437</v>
      </c>
      <c r="U14" s="49">
        <v>1291.1063218184831</v>
      </c>
      <c r="V14" s="49">
        <f t="shared" si="1"/>
        <v>26606.296545373531</v>
      </c>
      <c r="W14" s="49">
        <f t="shared" si="7"/>
        <v>30097.314954906356</v>
      </c>
      <c r="X14" s="124"/>
      <c r="Y14" s="49">
        <f>'(2) HH occ''s by region'!X31</f>
        <v>515.02648296594066</v>
      </c>
      <c r="Z14" s="71"/>
      <c r="AA14" s="49">
        <f>'(2) HH occ''s by region'!Z31</f>
        <v>7772.5588889558767</v>
      </c>
      <c r="AB14" s="49">
        <f t="shared" si="8"/>
        <v>8287.5853719218176</v>
      </c>
      <c r="AC14" s="34"/>
      <c r="AD14" s="49">
        <f t="shared" si="2"/>
        <v>3185.764277569745</v>
      </c>
      <c r="AE14" s="49">
        <f t="shared" si="9"/>
        <v>2601.2610125501906</v>
      </c>
      <c r="AF14" s="49">
        <f t="shared" si="3"/>
        <v>43233.123982027304</v>
      </c>
      <c r="AG14" s="49">
        <f t="shared" si="4"/>
        <v>49020.149272147231</v>
      </c>
      <c r="AH14" s="155"/>
    </row>
    <row r="15" spans="1:34" s="49" customFormat="1">
      <c r="A15" s="57" t="s">
        <v>489</v>
      </c>
      <c r="B15" s="14" t="s">
        <v>297</v>
      </c>
      <c r="C15" s="14"/>
      <c r="D15" s="34"/>
      <c r="E15" s="14">
        <v>273</v>
      </c>
      <c r="F15" s="14">
        <v>1035</v>
      </c>
      <c r="G15" s="14">
        <v>5489</v>
      </c>
      <c r="H15" s="49">
        <f t="shared" si="5"/>
        <v>6797</v>
      </c>
      <c r="I15" s="34"/>
      <c r="J15" s="14">
        <v>263</v>
      </c>
      <c r="K15" s="14">
        <v>1020</v>
      </c>
      <c r="L15" s="14">
        <v>3234</v>
      </c>
      <c r="M15" s="14">
        <f>J15+K15+L15</f>
        <v>4517</v>
      </c>
      <c r="N15" s="34"/>
      <c r="O15" s="14">
        <v>1251</v>
      </c>
      <c r="P15" s="176"/>
      <c r="Q15" s="14">
        <v>13262</v>
      </c>
      <c r="R15" s="14">
        <f t="shared" si="0"/>
        <v>14513</v>
      </c>
      <c r="S15" s="176"/>
      <c r="T15" s="14">
        <f t="shared" si="6"/>
        <v>1514</v>
      </c>
      <c r="U15" s="14">
        <v>1020</v>
      </c>
      <c r="V15" s="14">
        <f t="shared" si="1"/>
        <v>16496</v>
      </c>
      <c r="W15" s="14">
        <f t="shared" si="7"/>
        <v>19030</v>
      </c>
      <c r="X15" s="124"/>
      <c r="Y15" s="14">
        <v>299</v>
      </c>
      <c r="Z15" s="14"/>
      <c r="AA15" s="14">
        <v>4819</v>
      </c>
      <c r="AB15" s="49">
        <f>Y15+AA15</f>
        <v>5118</v>
      </c>
      <c r="AC15" s="34"/>
      <c r="AD15" s="14">
        <f t="shared" si="2"/>
        <v>2086</v>
      </c>
      <c r="AE15" s="14">
        <f t="shared" si="9"/>
        <v>2055</v>
      </c>
      <c r="AF15" s="14">
        <f t="shared" si="3"/>
        <v>26804</v>
      </c>
      <c r="AG15" s="14">
        <f t="shared" si="4"/>
        <v>30945</v>
      </c>
      <c r="AH15" s="155"/>
    </row>
    <row r="16" spans="1:34" s="49" customFormat="1">
      <c r="A16" s="57" t="s">
        <v>513</v>
      </c>
      <c r="B16" s="14" t="s">
        <v>437</v>
      </c>
      <c r="C16" s="14"/>
      <c r="D16" s="34"/>
      <c r="E16" s="14">
        <v>197.82570688946015</v>
      </c>
      <c r="F16" s="14">
        <v>275.15469073170743</v>
      </c>
      <c r="G16" s="14">
        <v>3365.268547697895</v>
      </c>
      <c r="H16" s="14">
        <v>3838.2489453190628</v>
      </c>
      <c r="I16" s="34"/>
      <c r="J16" s="14">
        <v>198.72612348256564</v>
      </c>
      <c r="K16" s="14">
        <v>271.10632181848314</v>
      </c>
      <c r="L16" s="14">
        <v>1982.4597188701446</v>
      </c>
      <c r="M16" s="14">
        <v>2452.2921641711937</v>
      </c>
      <c r="N16" s="34"/>
      <c r="O16" s="14">
        <v>487.18596423177814</v>
      </c>
      <c r="P16" s="176"/>
      <c r="Q16" s="14">
        <v>8127.836826503386</v>
      </c>
      <c r="R16" s="14">
        <v>8615.0227907351655</v>
      </c>
      <c r="S16" s="176"/>
      <c r="T16" s="14">
        <v>685.91208771434367</v>
      </c>
      <c r="U16" s="14">
        <v>271.10632181848314</v>
      </c>
      <c r="V16" s="14">
        <v>10110.296545373531</v>
      </c>
      <c r="W16" s="14">
        <v>11067.314954906356</v>
      </c>
      <c r="X16" s="176"/>
      <c r="Y16" s="14">
        <v>216.02648296594066</v>
      </c>
      <c r="Z16" s="14">
        <v>0</v>
      </c>
      <c r="AA16" s="14">
        <v>2953.5588889558767</v>
      </c>
      <c r="AB16" s="14">
        <v>3169.5853719218176</v>
      </c>
      <c r="AC16" s="14">
        <v>0</v>
      </c>
      <c r="AD16" s="14">
        <v>1099.764277569745</v>
      </c>
      <c r="AE16" s="14">
        <v>546.26101255019057</v>
      </c>
      <c r="AF16" s="14">
        <v>16429.123982027304</v>
      </c>
      <c r="AG16" s="14">
        <v>18075.149272147231</v>
      </c>
      <c r="AH16" s="155"/>
    </row>
    <row r="17" spans="1:37" s="49" customFormat="1">
      <c r="A17" s="49" t="s">
        <v>218</v>
      </c>
      <c r="B17" s="49" t="s">
        <v>386</v>
      </c>
      <c r="C17" s="155"/>
      <c r="D17" s="34"/>
      <c r="E17" s="49">
        <f>'(2) HH occ''s by region'!E32</f>
        <v>8.0144387200686378</v>
      </c>
      <c r="F17" s="49">
        <f>'(2) HH occ''s by region'!F32</f>
        <v>0</v>
      </c>
      <c r="G17" s="49">
        <f>'(2) HH occ''s by region'!G32</f>
        <v>56619.56556614078</v>
      </c>
      <c r="H17" s="49">
        <f t="shared" si="5"/>
        <v>56627.580004860851</v>
      </c>
      <c r="I17" s="34"/>
      <c r="J17" s="49">
        <v>212.95325932659017</v>
      </c>
      <c r="K17" s="49">
        <v>173.54515935010912</v>
      </c>
      <c r="L17" s="49">
        <v>10552.377891239874</v>
      </c>
      <c r="M17" s="49">
        <v>10938.876309916574</v>
      </c>
      <c r="N17" s="34"/>
      <c r="O17" s="49">
        <f>'(2) HH occ''s by region'!O32</f>
        <v>41.726894865278858</v>
      </c>
      <c r="P17" s="176"/>
      <c r="Q17" s="49">
        <f>'(2) HH occ''s by region'!Q32</f>
        <v>21307.4327470311</v>
      </c>
      <c r="R17" s="49">
        <f t="shared" si="0"/>
        <v>21349.159641896378</v>
      </c>
      <c r="S17" s="176"/>
      <c r="T17" s="49">
        <f t="shared" si="6"/>
        <v>254.68015419186904</v>
      </c>
      <c r="U17" s="49">
        <v>173.54515935010912</v>
      </c>
      <c r="V17" s="49">
        <f t="shared" si="1"/>
        <v>31859.810638270974</v>
      </c>
      <c r="W17" s="49">
        <f t="shared" si="7"/>
        <v>32288.035951812952</v>
      </c>
      <c r="X17" s="176"/>
      <c r="Y17" s="49">
        <f>'(2) HH occ''s by region'!X32</f>
        <v>384.67464745420693</v>
      </c>
      <c r="Z17" s="71"/>
      <c r="AA17" s="49">
        <f>'(2) HH occ''s by region'!Z32</f>
        <v>101257.50784481918</v>
      </c>
      <c r="AB17" s="49">
        <f t="shared" si="8"/>
        <v>101642.18249227338</v>
      </c>
      <c r="AC17" s="34"/>
      <c r="AD17" s="49">
        <f t="shared" si="2"/>
        <v>647.3692403661446</v>
      </c>
      <c r="AE17" s="49">
        <f t="shared" si="9"/>
        <v>173.54515935010912</v>
      </c>
      <c r="AF17" s="49">
        <f t="shared" si="3"/>
        <v>189736.88404923092</v>
      </c>
      <c r="AG17" s="49">
        <f t="shared" si="4"/>
        <v>190557.7984489472</v>
      </c>
      <c r="AH17" s="155"/>
    </row>
    <row r="18" spans="1:37" s="49" customFormat="1">
      <c r="A18" s="49" t="s">
        <v>403</v>
      </c>
      <c r="B18" s="49" t="s">
        <v>385</v>
      </c>
      <c r="D18" s="34"/>
      <c r="E18" s="168">
        <f>'(2) HH occ''s by region'!E33</f>
        <v>204.59130604113113</v>
      </c>
      <c r="F18" s="49">
        <f>'(2) HH occ''s by region'!F33</f>
        <v>281.68325850731708</v>
      </c>
      <c r="G18" s="49">
        <f>'(2) HH occ''s by region'!G33</f>
        <v>2393.6736493776466</v>
      </c>
      <c r="H18" s="49">
        <f t="shared" si="5"/>
        <v>2879.9482139260949</v>
      </c>
      <c r="I18" s="34"/>
      <c r="J18" s="49">
        <v>353.98545430242109</v>
      </c>
      <c r="K18" s="49">
        <v>1456.6947568992609</v>
      </c>
      <c r="L18" s="49">
        <v>200.65070699999998</v>
      </c>
      <c r="M18" s="118">
        <f>J18+K18+L18</f>
        <v>2011.3309182016822</v>
      </c>
      <c r="N18" s="34"/>
      <c r="O18" s="49">
        <f>'(2) HH occ''s by region'!O33</f>
        <v>741.95634932324026</v>
      </c>
      <c r="P18" s="176"/>
      <c r="Q18" s="49">
        <f>'(2) HH occ''s by region'!Q33</f>
        <v>5899.2048621094655</v>
      </c>
      <c r="R18" s="49">
        <f t="shared" si="0"/>
        <v>6641.1612114327054</v>
      </c>
      <c r="S18" s="176"/>
      <c r="T18" s="49">
        <f t="shared" si="6"/>
        <v>1095.9418036256614</v>
      </c>
      <c r="U18" s="49">
        <v>1456.6947568992609</v>
      </c>
      <c r="V18" s="49">
        <f t="shared" si="1"/>
        <v>6099.8555691094653</v>
      </c>
      <c r="W18" s="49">
        <f t="shared" si="7"/>
        <v>8652.4921296343873</v>
      </c>
      <c r="X18" s="176"/>
      <c r="Y18" s="49">
        <f>'(2) HH occ''s by region'!X33</f>
        <v>226.06472172664294</v>
      </c>
      <c r="Z18" s="71"/>
      <c r="AA18" s="49">
        <f>'(2) HH occ''s by region'!Z33</f>
        <v>2368.4192910939596</v>
      </c>
      <c r="AB18" s="49">
        <f t="shared" si="8"/>
        <v>2594.4840128206024</v>
      </c>
      <c r="AC18" s="34"/>
      <c r="AD18" s="49">
        <f t="shared" si="2"/>
        <v>1526.5978313934354</v>
      </c>
      <c r="AE18" s="49">
        <f t="shared" si="9"/>
        <v>1738.378015406578</v>
      </c>
      <c r="AF18" s="49">
        <f t="shared" si="3"/>
        <v>10861.948509581072</v>
      </c>
      <c r="AG18" s="49">
        <f t="shared" si="4"/>
        <v>14126.924356381085</v>
      </c>
    </row>
    <row r="19" spans="1:37" s="49" customFormat="1">
      <c r="A19" s="57" t="s">
        <v>282</v>
      </c>
      <c r="B19" s="14" t="s">
        <v>158</v>
      </c>
      <c r="C19" s="155"/>
      <c r="D19" s="34"/>
      <c r="E19" s="14">
        <v>164</v>
      </c>
      <c r="F19" s="14">
        <v>237</v>
      </c>
      <c r="G19" s="14">
        <v>2322</v>
      </c>
      <c r="H19" s="49">
        <f t="shared" si="5"/>
        <v>2723</v>
      </c>
      <c r="I19" s="34"/>
      <c r="J19" s="14">
        <v>326</v>
      </c>
      <c r="K19" s="14">
        <v>1224</v>
      </c>
      <c r="L19" s="49">
        <v>195</v>
      </c>
      <c r="M19" s="14">
        <f>J19+K19+L19</f>
        <v>1745</v>
      </c>
      <c r="N19" s="34"/>
      <c r="O19" s="14">
        <v>534</v>
      </c>
      <c r="P19" s="176"/>
      <c r="Q19" s="14">
        <v>5722</v>
      </c>
      <c r="R19" s="14">
        <f t="shared" si="0"/>
        <v>6256</v>
      </c>
      <c r="S19" s="176"/>
      <c r="T19" s="14">
        <f t="shared" si="6"/>
        <v>860</v>
      </c>
      <c r="U19" s="14">
        <v>1224</v>
      </c>
      <c r="V19" s="14">
        <f t="shared" si="1"/>
        <v>5917</v>
      </c>
      <c r="W19" s="14">
        <f t="shared" si="7"/>
        <v>8001</v>
      </c>
      <c r="X19" s="176"/>
      <c r="Y19" s="14">
        <v>138</v>
      </c>
      <c r="Z19" s="14"/>
      <c r="AA19" s="14">
        <v>2297</v>
      </c>
      <c r="AB19" s="49">
        <f t="shared" si="8"/>
        <v>2435</v>
      </c>
      <c r="AC19" s="34"/>
      <c r="AD19" s="14">
        <f t="shared" si="2"/>
        <v>1162</v>
      </c>
      <c r="AE19" s="14">
        <f t="shared" si="9"/>
        <v>1461</v>
      </c>
      <c r="AF19" s="14">
        <f t="shared" si="3"/>
        <v>10536</v>
      </c>
      <c r="AG19" s="14">
        <f t="shared" si="4"/>
        <v>13159</v>
      </c>
      <c r="AH19" s="155"/>
      <c r="AI19" s="155"/>
      <c r="AJ19" s="155"/>
      <c r="AK19" s="155"/>
    </row>
    <row r="20" spans="1:37" s="49" customFormat="1">
      <c r="A20" s="57" t="s">
        <v>488</v>
      </c>
      <c r="B20" s="14" t="s">
        <v>438</v>
      </c>
      <c r="C20" s="155"/>
      <c r="D20" s="34"/>
      <c r="E20" s="14">
        <v>40.591306041131133</v>
      </c>
      <c r="F20" s="14">
        <v>44.683258507317078</v>
      </c>
      <c r="G20" s="14">
        <v>71.673649377646598</v>
      </c>
      <c r="H20" s="14">
        <v>156.94821392609492</v>
      </c>
      <c r="I20" s="34"/>
      <c r="J20" s="14">
        <v>27.98545430242109</v>
      </c>
      <c r="K20" s="14">
        <v>232.69475689926094</v>
      </c>
      <c r="L20" s="14">
        <v>5.6507069999999828</v>
      </c>
      <c r="M20" s="14">
        <v>266.33091820168215</v>
      </c>
      <c r="N20" s="34"/>
      <c r="O20" s="14">
        <v>207.95634932324026</v>
      </c>
      <c r="P20" s="176"/>
      <c r="Q20" s="14">
        <v>177.20486210946547</v>
      </c>
      <c r="R20" s="14">
        <v>385.16121143270539</v>
      </c>
      <c r="S20" s="176"/>
      <c r="T20" s="14">
        <v>235.94180362566135</v>
      </c>
      <c r="U20" s="14">
        <v>232.69475689926094</v>
      </c>
      <c r="V20" s="14">
        <v>182.85556910946525</v>
      </c>
      <c r="W20" s="14">
        <v>651.49212963438731</v>
      </c>
      <c r="X20" s="176"/>
      <c r="Y20" s="14">
        <v>88.064721726642944</v>
      </c>
      <c r="Z20" s="14">
        <v>0</v>
      </c>
      <c r="AA20" s="14">
        <v>71.4192910939596</v>
      </c>
      <c r="AB20" s="14">
        <v>159.4840128206024</v>
      </c>
      <c r="AC20" s="14">
        <v>0</v>
      </c>
      <c r="AD20" s="14">
        <v>364.5978313934354</v>
      </c>
      <c r="AE20" s="14">
        <v>277.37801540657802</v>
      </c>
      <c r="AF20" s="14">
        <v>325.94850958107236</v>
      </c>
      <c r="AG20" s="14">
        <v>967.92435638108509</v>
      </c>
      <c r="AH20" s="155"/>
      <c r="AI20" s="155"/>
      <c r="AJ20" s="155"/>
      <c r="AK20" s="155"/>
    </row>
    <row r="21" spans="1:37" s="49" customFormat="1">
      <c r="A21" s="49" t="s">
        <v>405</v>
      </c>
      <c r="B21" s="49" t="s">
        <v>227</v>
      </c>
      <c r="C21" s="155"/>
      <c r="D21" s="155"/>
      <c r="E21" s="49">
        <f>'(2) HH occ''s by region'!E34</f>
        <v>104.9526829691517</v>
      </c>
      <c r="F21" s="49">
        <f>'(2) HH occ''s by region'!F34</f>
        <v>170.32010979512197</v>
      </c>
      <c r="G21" s="49">
        <f>'(2) HH occ''s by region'!G34</f>
        <v>20474.043544676762</v>
      </c>
      <c r="H21" s="49">
        <f t="shared" si="5"/>
        <v>20749.316337441036</v>
      </c>
      <c r="I21" s="34"/>
      <c r="J21" s="49">
        <v>475.82579264610706</v>
      </c>
      <c r="K21" s="49">
        <v>1793.5146470637806</v>
      </c>
      <c r="L21" s="49">
        <v>7638.613938831204</v>
      </c>
      <c r="M21" s="49">
        <v>9907.9543785410915</v>
      </c>
      <c r="N21" s="34"/>
      <c r="O21" s="49">
        <f>'(2) HH occ''s by region'!O34</f>
        <v>664.04962867883341</v>
      </c>
      <c r="P21" s="176"/>
      <c r="Q21" s="49">
        <f>'(2) HH occ''s by region'!Q34</f>
        <v>23001.281237274405</v>
      </c>
      <c r="R21" s="49">
        <f t="shared" si="0"/>
        <v>23665.330865953238</v>
      </c>
      <c r="S21" s="176"/>
      <c r="T21" s="49">
        <f t="shared" si="6"/>
        <v>1139.8754213249404</v>
      </c>
      <c r="U21" s="49">
        <v>1793.5146470637806</v>
      </c>
      <c r="V21" s="49">
        <f t="shared" si="1"/>
        <v>30639.895176105609</v>
      </c>
      <c r="W21" s="49">
        <f t="shared" si="7"/>
        <v>33573.285244494327</v>
      </c>
      <c r="X21" s="176"/>
      <c r="Y21" s="49">
        <f>'(2) HH occ''s by region'!X34</f>
        <v>563.64255215446599</v>
      </c>
      <c r="Z21" s="71"/>
      <c r="AA21" s="49">
        <f>'(2) HH occ''s by region'!Z34</f>
        <v>6921.9195493771931</v>
      </c>
      <c r="AB21" s="49">
        <f t="shared" si="8"/>
        <v>7485.5621015316592</v>
      </c>
      <c r="AC21" s="34"/>
      <c r="AD21" s="49">
        <f t="shared" si="2"/>
        <v>1808.4706564485582</v>
      </c>
      <c r="AE21" s="49">
        <f t="shared" si="9"/>
        <v>1963.8347568589024</v>
      </c>
      <c r="AF21" s="49">
        <f t="shared" si="3"/>
        <v>58035.858270159566</v>
      </c>
      <c r="AG21" s="49">
        <f t="shared" si="4"/>
        <v>61808.163683467021</v>
      </c>
      <c r="AH21" s="155"/>
      <c r="AI21" s="155"/>
      <c r="AJ21" s="155"/>
      <c r="AK21" s="155"/>
    </row>
    <row r="22" spans="1:37" s="49" customFormat="1">
      <c r="A22" s="49" t="s">
        <v>466</v>
      </c>
      <c r="B22" s="49" t="s">
        <v>544</v>
      </c>
      <c r="C22" s="155"/>
      <c r="D22" s="155"/>
      <c r="E22" s="49">
        <f>'(2) HH occ''s by region'!E35</f>
        <v>69.082778663239068</v>
      </c>
      <c r="F22" s="49">
        <f>'(2) HH occ''s by region'!F35</f>
        <v>104.8123752585366</v>
      </c>
      <c r="G22" s="49">
        <f>'(2) HH occ''s by region'!G35</f>
        <v>650.70739983081648</v>
      </c>
      <c r="H22" s="49">
        <f t="shared" si="5"/>
        <v>824.60255375259214</v>
      </c>
      <c r="I22" s="34"/>
      <c r="J22" s="49">
        <v>34.968428926828516</v>
      </c>
      <c r="K22" s="49">
        <v>30.466348636064776</v>
      </c>
      <c r="L22" s="49">
        <v>407.5932319404024</v>
      </c>
      <c r="M22" s="49">
        <v>473.02800950329566</v>
      </c>
      <c r="N22" s="34"/>
      <c r="O22" s="49">
        <f>'(2) HH occ''s by region'!O35</f>
        <v>195.5948196809949</v>
      </c>
      <c r="P22" s="176"/>
      <c r="Q22" s="49">
        <f>'(2) HH occ''s by region'!Q35</f>
        <v>1565.0650552488157</v>
      </c>
      <c r="R22" s="49">
        <f t="shared" si="0"/>
        <v>1760.6598749298107</v>
      </c>
      <c r="S22" s="155"/>
      <c r="T22" s="49">
        <f t="shared" si="6"/>
        <v>230.56324860782343</v>
      </c>
      <c r="U22" s="49">
        <v>30.466348636064776</v>
      </c>
      <c r="V22" s="49">
        <f t="shared" si="1"/>
        <v>1972.6582871892181</v>
      </c>
      <c r="W22" s="49">
        <f t="shared" si="7"/>
        <v>2233.6878844331063</v>
      </c>
      <c r="X22" s="176"/>
      <c r="Y22" s="49">
        <f>'(2) HH occ''s by region'!X35</f>
        <v>193.24887502438833</v>
      </c>
      <c r="Z22" s="71"/>
      <c r="AA22" s="49">
        <f>'(2) HH occ''s by region'!Z35</f>
        <v>7721.8719526795594</v>
      </c>
      <c r="AB22" s="49">
        <f t="shared" si="8"/>
        <v>7915.1208277039477</v>
      </c>
      <c r="AC22" s="34"/>
      <c r="AD22" s="49">
        <f t="shared" si="2"/>
        <v>492.89490229545083</v>
      </c>
      <c r="AE22" s="49">
        <f t="shared" si="9"/>
        <v>135.27872389460137</v>
      </c>
      <c r="AF22" s="49">
        <f t="shared" si="3"/>
        <v>10345.237639699593</v>
      </c>
      <c r="AG22" s="49">
        <f t="shared" si="4"/>
        <v>10973.411265889647</v>
      </c>
      <c r="AH22" s="155"/>
      <c r="AI22" s="155"/>
      <c r="AJ22" s="155"/>
      <c r="AK22" s="155"/>
    </row>
    <row r="23" spans="1:37" s="49" customFormat="1">
      <c r="A23" s="49" t="s">
        <v>383</v>
      </c>
      <c r="B23" s="49" t="s">
        <v>416</v>
      </c>
      <c r="C23" s="155"/>
      <c r="D23" s="155"/>
      <c r="E23" s="49">
        <f>'(2) HH occ''s by region'!E36</f>
        <v>700.99480761994664</v>
      </c>
      <c r="F23" s="49">
        <f>'(2) HH occ''s by region'!F36</f>
        <v>0</v>
      </c>
      <c r="G23" s="49">
        <f>'(2) HH occ''s by region'!G36</f>
        <v>32911.338985626855</v>
      </c>
      <c r="H23" s="49">
        <f t="shared" si="5"/>
        <v>33612.333793246798</v>
      </c>
      <c r="I23" s="34"/>
      <c r="J23" s="49">
        <v>58.760294819999999</v>
      </c>
      <c r="K23" s="49">
        <v>0</v>
      </c>
      <c r="L23" s="49">
        <v>2758.8076716337991</v>
      </c>
      <c r="M23" s="49">
        <v>2817.5679664537988</v>
      </c>
      <c r="N23" s="34"/>
      <c r="O23" s="49">
        <f>'(2) HH occ''s by region'!O36</f>
        <v>613.83652657033031</v>
      </c>
      <c r="P23" s="176"/>
      <c r="Q23" s="49">
        <f>'(2) HH occ''s by region'!Q36</f>
        <v>4189.5799675621411</v>
      </c>
      <c r="R23" s="49">
        <f t="shared" si="0"/>
        <v>4803.4164941324716</v>
      </c>
      <c r="S23" s="155"/>
      <c r="T23" s="49">
        <f t="shared" si="6"/>
        <v>672.59682139033032</v>
      </c>
      <c r="U23" s="49">
        <v>0</v>
      </c>
      <c r="V23" s="49">
        <f t="shared" si="1"/>
        <v>6948.3876391959402</v>
      </c>
      <c r="W23" s="49">
        <f t="shared" si="7"/>
        <v>7620.9844605862709</v>
      </c>
      <c r="X23" s="124"/>
      <c r="Y23" s="155"/>
      <c r="Z23" s="71"/>
      <c r="AA23" s="155"/>
      <c r="AB23" s="155"/>
      <c r="AC23" s="34"/>
      <c r="AD23" s="49">
        <f t="shared" si="2"/>
        <v>1373.5916290102768</v>
      </c>
      <c r="AE23" s="49">
        <f t="shared" si="9"/>
        <v>0</v>
      </c>
      <c r="AF23" s="49">
        <f t="shared" si="3"/>
        <v>39859.72662482279</v>
      </c>
      <c r="AG23" s="49">
        <f t="shared" si="4"/>
        <v>41233.318253833066</v>
      </c>
      <c r="AH23" s="155"/>
      <c r="AI23" s="155"/>
      <c r="AJ23" s="155"/>
      <c r="AK23" s="155"/>
    </row>
    <row r="24" spans="1:37" s="49" customFormat="1">
      <c r="A24" s="155"/>
      <c r="B24" s="155"/>
      <c r="C24" s="155"/>
      <c r="D24" s="155"/>
      <c r="E24" s="155"/>
      <c r="F24" s="155"/>
      <c r="G24" s="155"/>
      <c r="H24" s="155"/>
      <c r="I24" s="34"/>
      <c r="J24" s="155"/>
      <c r="K24" s="155"/>
      <c r="L24" s="155"/>
      <c r="M24" s="155"/>
      <c r="N24" s="34"/>
      <c r="O24" s="155"/>
      <c r="P24" s="70"/>
      <c r="Q24" s="155"/>
      <c r="R24" s="155"/>
      <c r="S24" s="155"/>
      <c r="T24" s="155"/>
      <c r="U24" s="155"/>
      <c r="V24" s="155"/>
      <c r="W24" s="155"/>
      <c r="X24" s="124"/>
      <c r="Y24" s="155"/>
      <c r="Z24" s="71"/>
      <c r="AA24" s="155"/>
      <c r="AB24" s="155"/>
      <c r="AC24" s="34"/>
      <c r="AD24" s="155"/>
      <c r="AE24" s="155"/>
      <c r="AF24" s="155"/>
      <c r="AG24" s="155"/>
      <c r="AH24" s="155"/>
      <c r="AI24" s="155"/>
      <c r="AJ24" s="155"/>
      <c r="AK24" s="155"/>
    </row>
    <row r="25" spans="1:37" s="49" customFormat="1">
      <c r="A25" s="155"/>
      <c r="B25" s="155"/>
      <c r="C25" s="155"/>
      <c r="D25" s="52" t="s">
        <v>355</v>
      </c>
      <c r="E25" s="49">
        <f>SUM(E11:E23)-E15-E16-E19-E20</f>
        <v>2036.727111648499</v>
      </c>
      <c r="F25" s="49">
        <f>SUM(F11:F23)-F15-F16-F19-F20</f>
        <v>2685.8171160000006</v>
      </c>
      <c r="G25" s="49">
        <f>SUM(G11:G23)-G15-G16-G19-G20</f>
        <v>124181.07359275861</v>
      </c>
      <c r="H25" s="177">
        <f>SUM(H11:H23)-H15-H16-H19-H20</f>
        <v>128903.6178204071</v>
      </c>
      <c r="I25" s="34"/>
      <c r="J25" s="49">
        <f>SUM(J11:J23)-J15-J16-J19-J20</f>
        <v>2607.8506965391502</v>
      </c>
      <c r="K25" s="49">
        <f>SUM(K11:K23)-K15-K16-K19-K20</f>
        <v>5367.1543977086321</v>
      </c>
      <c r="L25" s="49">
        <f>SUM(L11:L23)-L15-L16-L19-L20</f>
        <v>28042.236025276616</v>
      </c>
      <c r="M25" s="151">
        <f>SUM(M11:M23)-M15-M16-M19-M20</f>
        <v>36017.241119524391</v>
      </c>
      <c r="N25" s="34"/>
      <c r="O25" s="49">
        <f>SUM(O11:O23)-O15-O16-O19-O20</f>
        <v>5790.9106280219876</v>
      </c>
      <c r="P25" s="70"/>
      <c r="Q25" s="49">
        <f>SUM(Q11:Q23)-Q15-Q16-Q19-Q20</f>
        <v>83165.882763826608</v>
      </c>
      <c r="R25" s="153">
        <f>SUM(R11:R23)-R15-R16-R19-R20</f>
        <v>88956.79339184858</v>
      </c>
      <c r="S25" s="53"/>
      <c r="T25" s="53">
        <f>SUM(T11:T23)-T15-T16-T19-T20</f>
        <v>8398.7613245611356</v>
      </c>
      <c r="U25" s="49">
        <f>SUM(U11:U23)-U15-U16-U19-U20</f>
        <v>5367.1543977086321</v>
      </c>
      <c r="V25" s="49">
        <f>SUM(V11:V23)-V15-V16-V19-V20</f>
        <v>111208.11878910323</v>
      </c>
      <c r="W25" s="153">
        <f>T25+U25+V25</f>
        <v>124974.034511373</v>
      </c>
      <c r="X25" s="124"/>
      <c r="Y25" s="49">
        <f>SUM(Y11:Y23)-Y15-Y16-Y19-Y20</f>
        <v>3696.0366600576413</v>
      </c>
      <c r="Z25" s="71"/>
      <c r="AA25" s="49">
        <f>SUM(AA11:AA23)-AA15-AA16-AA19-AA20</f>
        <v>135999.28010691211</v>
      </c>
      <c r="AB25" s="153">
        <f>SUM(AB11:AB23)-AB15-AB16-AB19-AB20</f>
        <v>139695.31676696971</v>
      </c>
      <c r="AC25" s="34"/>
      <c r="AD25" s="49">
        <f>SUM(AD11:AD23)</f>
        <v>18843.887205230458</v>
      </c>
      <c r="AE25" s="49">
        <f t="shared" si="9"/>
        <v>8052.9715137086332</v>
      </c>
      <c r="AF25" s="49">
        <f>G25+L25+Q25+AA25</f>
        <v>371388.47248877393</v>
      </c>
      <c r="AG25" s="55">
        <f>H25+M25+R25+AB25</f>
        <v>393572.9690987498</v>
      </c>
      <c r="AH25" s="155"/>
      <c r="AI25" s="155"/>
      <c r="AJ25" s="155"/>
      <c r="AK25" s="155"/>
    </row>
    <row r="26" spans="1:37" s="59" customFormat="1">
      <c r="A26" s="155"/>
      <c r="B26" s="155"/>
      <c r="C26" s="155"/>
      <c r="D26" s="52"/>
      <c r="E26" s="155"/>
      <c r="F26" s="155"/>
      <c r="G26" s="155"/>
      <c r="H26" s="155"/>
      <c r="I26" s="34"/>
      <c r="J26" s="59">
        <f>J18-J19-J20</f>
        <v>0</v>
      </c>
      <c r="K26" s="112">
        <f>K18-K19-K20</f>
        <v>0</v>
      </c>
      <c r="L26" s="112">
        <f>L18-L19-L20</f>
        <v>0</v>
      </c>
      <c r="M26" s="112">
        <f>M18-M19-M20</f>
        <v>0</v>
      </c>
      <c r="N26" s="155"/>
      <c r="O26" s="155"/>
      <c r="P26" s="70"/>
      <c r="Q26" s="155"/>
      <c r="R26" s="53"/>
      <c r="S26" s="53"/>
      <c r="T26" s="53"/>
      <c r="U26" s="155"/>
      <c r="V26" s="155"/>
      <c r="W26" s="155"/>
      <c r="X26" s="124"/>
      <c r="Y26" s="155"/>
      <c r="Z26" s="71"/>
      <c r="AA26" s="155"/>
      <c r="AB26" s="155">
        <f>Y25+AA25</f>
        <v>139695.31676696974</v>
      </c>
      <c r="AC26" s="71"/>
      <c r="AD26" s="155"/>
      <c r="AE26" s="155"/>
      <c r="AF26" s="155"/>
      <c r="AG26" s="53"/>
      <c r="AH26" s="155"/>
      <c r="AI26" s="155"/>
      <c r="AJ26" s="155"/>
      <c r="AK26" s="155"/>
    </row>
    <row r="27" spans="1:37" s="49" customFormat="1">
      <c r="A27" s="155"/>
      <c r="B27" s="59" t="s">
        <v>417</v>
      </c>
      <c r="C27" s="155"/>
      <c r="D27" s="52"/>
      <c r="E27" s="155"/>
      <c r="F27" s="155"/>
      <c r="G27" s="155"/>
      <c r="H27" s="53"/>
      <c r="I27" s="34"/>
      <c r="J27" s="155"/>
      <c r="K27" s="155"/>
      <c r="L27" s="155"/>
      <c r="M27" s="53"/>
      <c r="N27" s="155"/>
      <c r="O27" s="155"/>
      <c r="P27" s="70"/>
      <c r="Q27" s="155"/>
      <c r="R27" s="53"/>
      <c r="S27" s="53"/>
      <c r="T27" s="53"/>
      <c r="U27" s="53"/>
      <c r="V27" s="53"/>
      <c r="W27" s="155"/>
      <c r="X27" s="124"/>
      <c r="Y27" s="155"/>
      <c r="Z27" s="71"/>
      <c r="AA27" s="155"/>
      <c r="AB27" s="124"/>
      <c r="AC27" s="53"/>
      <c r="AD27" s="155"/>
      <c r="AE27" s="155"/>
      <c r="AF27" s="155"/>
      <c r="AG27" s="53"/>
      <c r="AH27" s="155"/>
      <c r="AI27" s="155"/>
      <c r="AJ27" s="155"/>
      <c r="AK27" s="155"/>
    </row>
    <row r="28" spans="1:37" s="49" customFormat="1">
      <c r="A28" s="155"/>
      <c r="B28" s="49" t="s">
        <v>467</v>
      </c>
      <c r="C28" s="155"/>
      <c r="D28" s="52"/>
      <c r="E28" s="155"/>
      <c r="F28" s="155"/>
      <c r="G28" s="155"/>
      <c r="H28" s="53"/>
      <c r="I28" s="34"/>
      <c r="J28" s="155"/>
      <c r="K28" s="155"/>
      <c r="L28" s="155"/>
      <c r="M28" s="53"/>
      <c r="N28" s="155"/>
      <c r="O28" s="155"/>
      <c r="P28" s="70"/>
      <c r="Q28" s="155"/>
      <c r="R28" s="53"/>
      <c r="S28" s="53"/>
      <c r="T28" s="53"/>
      <c r="U28" s="53"/>
      <c r="V28" s="53"/>
      <c r="W28" s="155"/>
      <c r="X28" s="124"/>
      <c r="Y28" s="155"/>
      <c r="Z28" s="71"/>
      <c r="AA28" s="155"/>
      <c r="AB28" s="124"/>
      <c r="AC28" s="53"/>
      <c r="AD28" s="155"/>
      <c r="AE28" s="155"/>
      <c r="AF28" s="155"/>
      <c r="AG28" s="53"/>
      <c r="AH28" s="155"/>
      <c r="AI28" s="155"/>
      <c r="AJ28" s="155"/>
      <c r="AK28" s="155"/>
    </row>
    <row r="29" spans="1:37" s="49" customFormat="1">
      <c r="A29" s="155"/>
      <c r="B29" s="155"/>
      <c r="C29" s="155"/>
      <c r="D29" s="155"/>
      <c r="E29" s="155"/>
      <c r="F29" s="155"/>
      <c r="G29" s="155"/>
      <c r="H29" s="155"/>
      <c r="I29" s="34"/>
      <c r="J29" s="155"/>
      <c r="K29" s="155"/>
      <c r="L29" s="155"/>
      <c r="M29" s="155"/>
      <c r="N29" s="155"/>
      <c r="O29" s="155"/>
      <c r="P29" s="70"/>
      <c r="Q29" s="155"/>
      <c r="R29" s="155"/>
      <c r="S29" s="155"/>
      <c r="T29" s="155"/>
      <c r="U29" s="155"/>
      <c r="V29" s="155"/>
      <c r="W29" s="155"/>
      <c r="X29" s="124"/>
      <c r="Y29" s="155"/>
      <c r="Z29" s="71"/>
      <c r="AA29" s="155"/>
      <c r="AB29" s="155"/>
      <c r="AC29" s="71"/>
      <c r="AD29" s="155"/>
      <c r="AE29" s="155"/>
      <c r="AF29" s="155"/>
      <c r="AG29" s="155"/>
      <c r="AH29" s="155"/>
      <c r="AI29" s="155"/>
      <c r="AJ29" s="155"/>
      <c r="AK29" s="155"/>
    </row>
    <row r="30" spans="1:37" s="49" customFormat="1">
      <c r="A30" s="155"/>
      <c r="B30" s="50" t="s">
        <v>242</v>
      </c>
      <c r="C30" s="155"/>
      <c r="D30" s="155"/>
      <c r="E30" s="155"/>
      <c r="F30" s="155"/>
      <c r="G30" s="155"/>
      <c r="H30" s="155"/>
      <c r="I30" s="34"/>
      <c r="J30" s="155"/>
      <c r="K30" s="155"/>
      <c r="L30" s="155"/>
      <c r="M30" s="155"/>
      <c r="N30" s="155"/>
      <c r="O30" s="155"/>
      <c r="P30" s="70"/>
      <c r="Q30" s="155"/>
      <c r="R30" s="155"/>
      <c r="S30" s="155"/>
      <c r="T30" s="155"/>
      <c r="U30" s="155"/>
      <c r="V30" s="155"/>
      <c r="W30" s="155"/>
      <c r="X30" s="124"/>
      <c r="Y30" s="155"/>
      <c r="Z30" s="71"/>
      <c r="AA30" s="155"/>
      <c r="AB30" s="155"/>
      <c r="AC30" s="71"/>
      <c r="AD30" s="155"/>
      <c r="AE30" s="155"/>
      <c r="AF30" s="155"/>
      <c r="AG30" s="155"/>
      <c r="AH30" s="49" t="s">
        <v>221</v>
      </c>
      <c r="AI30" s="155"/>
      <c r="AJ30" s="155"/>
      <c r="AK30" s="155"/>
    </row>
    <row r="31" spans="1:37" s="49" customFormat="1">
      <c r="A31" s="49" t="s">
        <v>222</v>
      </c>
      <c r="B31" s="49" t="s">
        <v>157</v>
      </c>
      <c r="C31" s="49" t="s">
        <v>314</v>
      </c>
      <c r="D31" s="49" t="s">
        <v>158</v>
      </c>
      <c r="E31" s="155"/>
      <c r="F31" s="155"/>
      <c r="G31" s="155"/>
      <c r="H31" s="49">
        <f>'(2) HH occ''s by region'!H58</f>
        <v>6072.4966407372667</v>
      </c>
      <c r="I31" s="34"/>
      <c r="J31" s="155"/>
      <c r="K31" s="155"/>
      <c r="L31" s="155"/>
      <c r="M31" s="49">
        <f>'(2) HH occ''s by region'!M58</f>
        <v>1331.9354260572961</v>
      </c>
      <c r="N31" s="155"/>
      <c r="O31" s="155"/>
      <c r="P31" s="70"/>
      <c r="Q31" s="155"/>
      <c r="R31" s="49">
        <f>'(2) HH occ''s by region'!R58</f>
        <v>4805.5098559199369</v>
      </c>
      <c r="S31" s="155"/>
      <c r="T31" s="155"/>
      <c r="U31" s="155"/>
      <c r="V31" s="155"/>
      <c r="W31" s="49">
        <f t="shared" ref="W31:W38" si="10">M31+R31</f>
        <v>6137.4452819772332</v>
      </c>
      <c r="X31" s="124"/>
      <c r="Y31" s="155"/>
      <c r="Z31" s="71"/>
      <c r="AA31" s="155"/>
      <c r="AB31" s="49">
        <f>'(2) HH occ''s by region'!AA58</f>
        <v>18765.930772601478</v>
      </c>
      <c r="AC31" s="71"/>
      <c r="AD31" s="155"/>
      <c r="AE31" s="155"/>
      <c r="AF31" s="155"/>
      <c r="AG31" s="49">
        <f t="shared" ref="AG31:AG41" si="11">H31+M31+R31+AB31</f>
        <v>30975.872695315978</v>
      </c>
      <c r="AH31" s="49" t="s">
        <v>222</v>
      </c>
      <c r="AI31" s="49" t="s">
        <v>157</v>
      </c>
      <c r="AJ31" s="49" t="s">
        <v>314</v>
      </c>
      <c r="AK31" s="49" t="s">
        <v>158</v>
      </c>
    </row>
    <row r="32" spans="1:37" s="49" customFormat="1">
      <c r="A32" s="49" t="s">
        <v>223</v>
      </c>
      <c r="B32" s="155"/>
      <c r="C32" s="49" t="s">
        <v>314</v>
      </c>
      <c r="D32" s="49" t="s">
        <v>159</v>
      </c>
      <c r="E32" s="155"/>
      <c r="F32" s="155"/>
      <c r="G32" s="155"/>
      <c r="H32" s="49">
        <f>'(2) HH occ''s by region'!H59</f>
        <v>3488.1611379262645</v>
      </c>
      <c r="I32" s="34"/>
      <c r="J32" s="155"/>
      <c r="K32" s="155"/>
      <c r="L32" s="155"/>
      <c r="M32" s="49">
        <f>'(2) HH occ''s by region'!M59</f>
        <v>698.85123512257678</v>
      </c>
      <c r="N32" s="155"/>
      <c r="O32" s="155"/>
      <c r="P32" s="70"/>
      <c r="Q32" s="155"/>
      <c r="R32" s="49">
        <f>'(2) HH occ''s by region'!R59</f>
        <v>2052.9296630908434</v>
      </c>
      <c r="S32" s="155"/>
      <c r="T32" s="155"/>
      <c r="U32" s="155"/>
      <c r="V32" s="155"/>
      <c r="W32" s="49">
        <f t="shared" si="10"/>
        <v>2751.7808982134202</v>
      </c>
      <c r="X32" s="124"/>
      <c r="Y32" s="155"/>
      <c r="Z32" s="71"/>
      <c r="AA32" s="155"/>
      <c r="AB32" s="49">
        <f>'(2) HH occ''s by region'!AA59</f>
        <v>6031.5369328080124</v>
      </c>
      <c r="AC32" s="71"/>
      <c r="AD32" s="155"/>
      <c r="AE32" s="155"/>
      <c r="AF32" s="155"/>
      <c r="AG32" s="49">
        <f t="shared" si="11"/>
        <v>12271.478968947697</v>
      </c>
      <c r="AH32" s="49" t="s">
        <v>223</v>
      </c>
      <c r="AI32" s="155"/>
      <c r="AJ32" s="49" t="s">
        <v>314</v>
      </c>
      <c r="AK32" s="49" t="s">
        <v>159</v>
      </c>
    </row>
    <row r="33" spans="1:37" s="49" customFormat="1">
      <c r="A33" s="49" t="s">
        <v>224</v>
      </c>
      <c r="B33" s="155"/>
      <c r="C33" s="49" t="s">
        <v>315</v>
      </c>
      <c r="D33" s="42" t="s">
        <v>193</v>
      </c>
      <c r="E33" s="155"/>
      <c r="F33" s="155"/>
      <c r="G33" s="155"/>
      <c r="H33" s="60">
        <f>'(2) HH occ''s by region'!H60</f>
        <v>27319.373419532509</v>
      </c>
      <c r="I33" s="34"/>
      <c r="J33" s="155"/>
      <c r="K33" s="155"/>
      <c r="L33" s="155"/>
      <c r="M33" s="60">
        <f>'(2) HH occ''s by region'!M60</f>
        <v>4407.6356202416719</v>
      </c>
      <c r="N33" s="59"/>
      <c r="O33" s="155"/>
      <c r="P33" s="70"/>
      <c r="Q33" s="155"/>
      <c r="R33" s="60">
        <f>'(2) HH occ''s by region'!R60</f>
        <v>11770.005038207426</v>
      </c>
      <c r="S33" s="59"/>
      <c r="T33" s="59"/>
      <c r="U33" s="155"/>
      <c r="V33" s="155"/>
      <c r="W33" s="49">
        <f t="shared" si="10"/>
        <v>16177.640658449098</v>
      </c>
      <c r="X33" s="124"/>
      <c r="Y33" s="155"/>
      <c r="Z33" s="71"/>
      <c r="AA33" s="155"/>
      <c r="AB33" s="49">
        <f>'(2) HH occ''s by region'!AA60</f>
        <v>26090.473516232712</v>
      </c>
      <c r="AC33" s="71"/>
      <c r="AD33" s="155"/>
      <c r="AE33" s="155"/>
      <c r="AF33" s="155"/>
      <c r="AG33" s="49">
        <f t="shared" si="11"/>
        <v>69587.487594214326</v>
      </c>
      <c r="AH33" s="49" t="s">
        <v>224</v>
      </c>
      <c r="AI33" s="155"/>
      <c r="AJ33" s="49" t="s">
        <v>315</v>
      </c>
      <c r="AK33" s="49" t="s">
        <v>158</v>
      </c>
    </row>
    <row r="34" spans="1:37" s="49" customFormat="1">
      <c r="A34" s="49" t="s">
        <v>225</v>
      </c>
      <c r="C34" s="49" t="s">
        <v>315</v>
      </c>
      <c r="D34" s="42" t="s">
        <v>192</v>
      </c>
      <c r="H34" s="61">
        <f>'(2) HH occ''s by region'!H61</f>
        <v>18617.364338289255</v>
      </c>
      <c r="I34" s="34"/>
      <c r="M34" s="61">
        <f>'(2) HH occ''s by region'!M61</f>
        <v>2491.2809335020361</v>
      </c>
      <c r="P34" s="70"/>
      <c r="R34" s="61">
        <f>'(2) HH occ''s by region'!R61</f>
        <v>3004.2389608577014</v>
      </c>
      <c r="W34" s="49">
        <f t="shared" si="10"/>
        <v>5495.519894359737</v>
      </c>
      <c r="X34" s="124"/>
      <c r="Z34" s="71"/>
      <c r="AB34" s="49">
        <f>'(2) HH occ''s by region'!AA61</f>
        <v>3508.5196904379372</v>
      </c>
      <c r="AC34" s="71"/>
      <c r="AG34" s="49">
        <f t="shared" si="11"/>
        <v>27621.403923086928</v>
      </c>
      <c r="AH34" s="49" t="s">
        <v>225</v>
      </c>
      <c r="AJ34" s="49" t="s">
        <v>315</v>
      </c>
      <c r="AK34" s="49" t="s">
        <v>159</v>
      </c>
    </row>
    <row r="35" spans="1:37" s="49" customFormat="1">
      <c r="A35" s="49" t="s">
        <v>309</v>
      </c>
      <c r="B35" s="49" t="s">
        <v>160</v>
      </c>
      <c r="C35" s="49" t="s">
        <v>314</v>
      </c>
      <c r="D35" s="49" t="s">
        <v>158</v>
      </c>
      <c r="E35" s="155"/>
      <c r="F35" s="155"/>
      <c r="G35" s="155"/>
      <c r="H35" s="49">
        <f>'(2) HH occ''s by region'!H62</f>
        <v>143.6876819394133</v>
      </c>
      <c r="I35" s="34"/>
      <c r="J35" s="155"/>
      <c r="K35" s="155"/>
      <c r="L35" s="155"/>
      <c r="M35" s="49">
        <f>'(2) HH occ''s by region'!M62</f>
        <v>27.779462054874813</v>
      </c>
      <c r="N35" s="155"/>
      <c r="O35" s="155"/>
      <c r="P35" s="70"/>
      <c r="Q35" s="155"/>
      <c r="R35" s="49">
        <f>'(2) HH occ''s by region'!R62</f>
        <v>116.61283335907555</v>
      </c>
      <c r="S35" s="155"/>
      <c r="T35" s="155"/>
      <c r="U35" s="155"/>
      <c r="V35" s="155"/>
      <c r="W35" s="49">
        <f t="shared" si="10"/>
        <v>144.39229541395036</v>
      </c>
      <c r="X35" s="124"/>
      <c r="Y35" s="155"/>
      <c r="Z35" s="71"/>
      <c r="AA35" s="155"/>
      <c r="AB35" s="49">
        <f>'(2) HH occ''s by region'!AA62</f>
        <v>383.96700641847877</v>
      </c>
      <c r="AC35" s="71"/>
      <c r="AD35" s="155"/>
      <c r="AE35" s="155"/>
      <c r="AF35" s="155"/>
      <c r="AG35" s="49">
        <f t="shared" si="11"/>
        <v>672.04698377184241</v>
      </c>
      <c r="AH35" s="49" t="s">
        <v>309</v>
      </c>
      <c r="AI35" s="49" t="s">
        <v>160</v>
      </c>
      <c r="AJ35" s="49" t="s">
        <v>314</v>
      </c>
      <c r="AK35" s="49" t="s">
        <v>158</v>
      </c>
    </row>
    <row r="36" spans="1:37" s="49" customFormat="1">
      <c r="A36" s="49" t="s">
        <v>358</v>
      </c>
      <c r="B36" s="155"/>
      <c r="C36" s="49" t="s">
        <v>314</v>
      </c>
      <c r="D36" s="49" t="s">
        <v>159</v>
      </c>
      <c r="E36" s="155"/>
      <c r="F36" s="155"/>
      <c r="G36" s="155"/>
      <c r="H36" s="49">
        <f>'(2) HH occ''s by region'!H63</f>
        <v>78.612088145379332</v>
      </c>
      <c r="I36" s="34"/>
      <c r="J36" s="155"/>
      <c r="K36" s="155"/>
      <c r="L36" s="155"/>
      <c r="M36" s="49">
        <f>'(2) HH occ''s by region'!M63</f>
        <v>14.320632701503728</v>
      </c>
      <c r="N36" s="155"/>
      <c r="O36" s="155"/>
      <c r="P36" s="70"/>
      <c r="Q36" s="155"/>
      <c r="R36" s="49">
        <f>'(2) HH occ''s by region'!R63</f>
        <v>44.297460456304108</v>
      </c>
      <c r="S36" s="155"/>
      <c r="T36" s="155"/>
      <c r="U36" s="155"/>
      <c r="V36" s="155"/>
      <c r="W36" s="49">
        <f t="shared" si="10"/>
        <v>58.618093157807834</v>
      </c>
      <c r="X36" s="124"/>
      <c r="Y36" s="155"/>
      <c r="Z36" s="71"/>
      <c r="AA36" s="155"/>
      <c r="AB36" s="49">
        <f>'(2) HH occ''s by region'!AA63</f>
        <v>108.41084104531085</v>
      </c>
      <c r="AC36" s="71"/>
      <c r="AD36" s="155"/>
      <c r="AE36" s="155"/>
      <c r="AF36" s="155"/>
      <c r="AG36" s="49">
        <f t="shared" si="11"/>
        <v>245.64102234849804</v>
      </c>
      <c r="AH36" s="49" t="s">
        <v>358</v>
      </c>
      <c r="AI36" s="155"/>
      <c r="AJ36" s="49" t="s">
        <v>314</v>
      </c>
      <c r="AK36" s="49" t="s">
        <v>159</v>
      </c>
    </row>
    <row r="37" spans="1:37" s="49" customFormat="1">
      <c r="A37" s="49" t="s">
        <v>359</v>
      </c>
      <c r="B37" s="155"/>
      <c r="C37" s="49" t="s">
        <v>315</v>
      </c>
      <c r="D37" s="49" t="s">
        <v>158</v>
      </c>
      <c r="E37" s="155"/>
      <c r="F37" s="155"/>
      <c r="G37" s="155"/>
      <c r="H37" s="60">
        <f>'(2) HH occ''s by region'!H64</f>
        <v>559.59971141846245</v>
      </c>
      <c r="I37" s="34"/>
      <c r="J37" s="155"/>
      <c r="K37" s="155"/>
      <c r="L37" s="155"/>
      <c r="M37" s="60">
        <f>'(2) HH occ''s by region'!M64</f>
        <v>266.21448179176207</v>
      </c>
      <c r="N37" s="155"/>
      <c r="O37" s="155"/>
      <c r="P37" s="70"/>
      <c r="Q37" s="155"/>
      <c r="R37" s="60">
        <f>'(2) HH occ''s by region'!R64</f>
        <v>703.4178212176439</v>
      </c>
      <c r="S37" s="155"/>
      <c r="T37" s="155"/>
      <c r="U37" s="155"/>
      <c r="V37" s="155"/>
      <c r="W37" s="49">
        <f t="shared" si="10"/>
        <v>969.63230300940597</v>
      </c>
      <c r="X37" s="124"/>
      <c r="Y37" s="155"/>
      <c r="Z37" s="71"/>
      <c r="AA37" s="155"/>
      <c r="AB37" s="49">
        <f>'(2) HH occ''s by region'!AA64</f>
        <v>1126.289148048053</v>
      </c>
      <c r="AC37" s="71"/>
      <c r="AD37" s="155"/>
      <c r="AE37" s="155"/>
      <c r="AF37" s="155"/>
      <c r="AG37" s="49">
        <f t="shared" si="11"/>
        <v>2655.5211624759213</v>
      </c>
      <c r="AH37" s="49" t="s">
        <v>359</v>
      </c>
      <c r="AI37" s="155"/>
      <c r="AJ37" s="49" t="s">
        <v>315</v>
      </c>
      <c r="AK37" s="49" t="s">
        <v>158</v>
      </c>
    </row>
    <row r="38" spans="1:37" s="49" customFormat="1">
      <c r="A38" s="49" t="s">
        <v>360</v>
      </c>
      <c r="B38" s="155"/>
      <c r="C38" s="49" t="s">
        <v>315</v>
      </c>
      <c r="D38" s="49" t="s">
        <v>159</v>
      </c>
      <c r="E38" s="155"/>
      <c r="F38" s="155"/>
      <c r="G38" s="155"/>
      <c r="H38" s="61">
        <f>'(2) HH occ''s by region'!H65</f>
        <v>814.72024547319006</v>
      </c>
      <c r="I38" s="34"/>
      <c r="J38" s="155"/>
      <c r="K38" s="155"/>
      <c r="L38" s="155"/>
      <c r="M38" s="61">
        <f>'(2) HH occ''s by region'!M65</f>
        <v>68.671363871826372</v>
      </c>
      <c r="N38" s="155"/>
      <c r="O38" s="155"/>
      <c r="P38" s="70"/>
      <c r="Q38" s="155"/>
      <c r="R38" s="61">
        <f>'(2) HH occ''s by region'!R65</f>
        <v>97.54404707172452</v>
      </c>
      <c r="S38" s="155"/>
      <c r="T38" s="155"/>
      <c r="U38" s="155"/>
      <c r="V38" s="155"/>
      <c r="W38" s="49">
        <f t="shared" si="10"/>
        <v>166.21541094355089</v>
      </c>
      <c r="X38" s="124"/>
      <c r="Y38" s="155"/>
      <c r="Z38" s="71"/>
      <c r="AA38" s="155"/>
      <c r="AB38" s="49">
        <f>'(2) HH occ''s by region'!AA65</f>
        <v>227.86644326333467</v>
      </c>
      <c r="AC38" s="71"/>
      <c r="AD38" s="155"/>
      <c r="AE38" s="155"/>
      <c r="AF38" s="155"/>
      <c r="AG38" s="49">
        <f t="shared" si="11"/>
        <v>1208.8020996800756</v>
      </c>
      <c r="AH38" s="49" t="s">
        <v>360</v>
      </c>
      <c r="AI38" s="155"/>
      <c r="AJ38" s="49" t="s">
        <v>315</v>
      </c>
      <c r="AK38" s="49" t="s">
        <v>159</v>
      </c>
    </row>
    <row r="39" spans="1:37" s="124" customFormat="1">
      <c r="A39" s="44" t="s">
        <v>270</v>
      </c>
      <c r="B39" s="155"/>
      <c r="C39" s="155"/>
      <c r="D39" s="155"/>
      <c r="E39" s="155"/>
      <c r="F39" s="155"/>
      <c r="G39" s="129" t="s">
        <v>270</v>
      </c>
      <c r="H39" s="149">
        <f>SUM(H31:H38)</f>
        <v>57094.015263461748</v>
      </c>
      <c r="I39" s="34"/>
      <c r="J39" s="155"/>
      <c r="K39" s="155"/>
      <c r="L39" s="155"/>
      <c r="M39" s="149">
        <f>SUM(M31:M38)</f>
        <v>9306.6891553435471</v>
      </c>
      <c r="N39" s="155"/>
      <c r="O39" s="155"/>
      <c r="P39" s="155"/>
      <c r="Q39" s="155"/>
      <c r="R39" s="149">
        <f>SUM(R31:R38)</f>
        <v>22594.555680180656</v>
      </c>
      <c r="S39" s="155"/>
      <c r="T39" s="155"/>
      <c r="U39" s="155"/>
      <c r="V39" s="155"/>
      <c r="W39" s="149">
        <f>SUM(W31:W38)</f>
        <v>31901.244835524205</v>
      </c>
      <c r="X39" s="155"/>
      <c r="Y39" s="155"/>
      <c r="Z39" s="155"/>
      <c r="AA39" s="155"/>
      <c r="AB39" s="149">
        <f>SUM(AB31:AB38)</f>
        <v>56242.994350855326</v>
      </c>
      <c r="AC39" s="155"/>
      <c r="AD39" s="155"/>
      <c r="AE39" s="155"/>
      <c r="AF39" s="155"/>
      <c r="AG39" s="149">
        <f>SUM(AG31:AG38)</f>
        <v>145238.25444984125</v>
      </c>
      <c r="AH39" s="44" t="s">
        <v>270</v>
      </c>
      <c r="AI39" s="155"/>
      <c r="AJ39" s="155"/>
      <c r="AK39" s="155"/>
    </row>
    <row r="40" spans="1:37" s="124" customFormat="1">
      <c r="A40" s="44" t="s">
        <v>334</v>
      </c>
      <c r="B40" s="155"/>
      <c r="C40" s="155"/>
      <c r="D40" s="155"/>
      <c r="E40" s="155"/>
      <c r="F40" s="155"/>
      <c r="G40" s="129" t="s">
        <v>334</v>
      </c>
      <c r="H40" s="149">
        <f>H39+H25</f>
        <v>185997.63308386886</v>
      </c>
      <c r="I40" s="34"/>
      <c r="J40" s="155"/>
      <c r="K40" s="155"/>
      <c r="L40" s="155"/>
      <c r="M40" s="152">
        <f>M39+M25</f>
        <v>45323.93027486794</v>
      </c>
      <c r="N40" s="155"/>
      <c r="O40" s="155"/>
      <c r="P40" s="155"/>
      <c r="Q40" s="155"/>
      <c r="R40" s="154">
        <f>R39+R25</f>
        <v>111551.34907202923</v>
      </c>
      <c r="S40" s="155"/>
      <c r="T40" s="155"/>
      <c r="U40" s="155"/>
      <c r="V40" s="155"/>
      <c r="W40" s="149">
        <f>W39+W25</f>
        <v>156875.27934689721</v>
      </c>
      <c r="X40" s="155"/>
      <c r="Y40" s="155"/>
      <c r="Z40" s="155"/>
      <c r="AA40" s="155"/>
      <c r="AB40" s="156">
        <f>AB39+AB25</f>
        <v>195938.31111782504</v>
      </c>
      <c r="AC40" s="155"/>
      <c r="AD40" s="155"/>
      <c r="AE40" s="155"/>
      <c r="AF40" s="155"/>
      <c r="AG40" s="149">
        <f>AG39+AG25</f>
        <v>538811.22354859102</v>
      </c>
      <c r="AH40" s="44" t="s">
        <v>334</v>
      </c>
      <c r="AI40" s="155"/>
      <c r="AJ40" s="155"/>
      <c r="AK40" s="155"/>
    </row>
    <row r="41" spans="1:37" s="49" customFormat="1">
      <c r="A41" s="49" t="s">
        <v>361</v>
      </c>
      <c r="B41" s="49" t="s">
        <v>474</v>
      </c>
      <c r="C41" s="155"/>
      <c r="D41" s="155"/>
      <c r="E41" s="155"/>
      <c r="F41" s="155"/>
      <c r="G41" s="155"/>
      <c r="H41" s="155"/>
      <c r="I41" s="34"/>
      <c r="J41" s="155"/>
      <c r="K41" s="155"/>
      <c r="L41" s="155"/>
      <c r="M41" s="155"/>
      <c r="N41" s="155"/>
      <c r="O41" s="155"/>
      <c r="P41" s="70"/>
      <c r="Q41" s="155"/>
      <c r="R41" s="155"/>
      <c r="S41" s="155"/>
      <c r="T41" s="155"/>
      <c r="U41" s="155"/>
      <c r="V41" s="155"/>
      <c r="W41" s="155"/>
      <c r="X41" s="124"/>
      <c r="Y41" s="155"/>
      <c r="Z41" s="71"/>
      <c r="AA41" s="124"/>
      <c r="AB41" s="49">
        <f>'(2) HH occ''s by region'!AA66</f>
        <v>11500</v>
      </c>
      <c r="AC41" s="44" t="s">
        <v>445</v>
      </c>
      <c r="AD41" s="155"/>
      <c r="AE41" s="155"/>
      <c r="AF41" s="155"/>
      <c r="AG41" s="49">
        <f t="shared" si="11"/>
        <v>11500</v>
      </c>
      <c r="AH41" s="49" t="s">
        <v>361</v>
      </c>
      <c r="AI41" s="49" t="s">
        <v>474</v>
      </c>
      <c r="AJ41" s="155"/>
      <c r="AK41" s="155"/>
    </row>
    <row r="42" spans="1:37" s="49" customFormat="1">
      <c r="A42" s="155"/>
      <c r="B42" s="155"/>
      <c r="C42" s="155"/>
      <c r="D42" s="49" t="s">
        <v>158</v>
      </c>
      <c r="E42" s="155"/>
      <c r="F42" s="155"/>
      <c r="G42" s="155"/>
      <c r="H42" s="155"/>
      <c r="I42" s="34"/>
      <c r="J42" s="155"/>
      <c r="K42" s="155"/>
      <c r="L42" s="155"/>
      <c r="M42" s="155"/>
      <c r="N42" s="155"/>
      <c r="O42" s="155"/>
      <c r="P42" s="70"/>
      <c r="Q42" s="155"/>
      <c r="R42" s="155"/>
      <c r="S42" s="155"/>
      <c r="T42" s="155"/>
      <c r="U42" s="155"/>
      <c r="V42" s="155"/>
      <c r="W42" s="155"/>
      <c r="X42" s="124"/>
      <c r="Y42" s="155"/>
      <c r="Z42" s="71"/>
      <c r="AA42" s="124"/>
      <c r="AB42" s="49">
        <f>0.94*AB41</f>
        <v>10810</v>
      </c>
      <c r="AC42" s="44" t="s">
        <v>499</v>
      </c>
      <c r="AD42" s="155"/>
      <c r="AE42" s="155"/>
      <c r="AF42" s="155"/>
      <c r="AG42" s="59">
        <f>0.94*AG41</f>
        <v>10810</v>
      </c>
      <c r="AH42" s="155"/>
      <c r="AI42" s="155"/>
      <c r="AJ42" s="155"/>
      <c r="AK42" s="155"/>
    </row>
    <row r="43" spans="1:37" s="49" customFormat="1">
      <c r="A43" s="155"/>
      <c r="B43" s="155"/>
      <c r="C43" s="155"/>
      <c r="D43" s="49" t="s">
        <v>159</v>
      </c>
      <c r="E43" s="155"/>
      <c r="F43" s="155"/>
      <c r="G43" s="155"/>
      <c r="H43" s="155"/>
      <c r="I43" s="34"/>
      <c r="J43" s="155"/>
      <c r="K43" s="155"/>
      <c r="L43" s="155"/>
      <c r="M43" s="155"/>
      <c r="N43" s="155"/>
      <c r="O43" s="155"/>
      <c r="P43" s="70"/>
      <c r="Q43" s="155"/>
      <c r="R43" s="155"/>
      <c r="S43" s="155"/>
      <c r="T43" s="155"/>
      <c r="U43" s="155"/>
      <c r="V43" s="155"/>
      <c r="W43" s="155"/>
      <c r="X43" s="124"/>
      <c r="Y43" s="155"/>
      <c r="Z43" s="71"/>
      <c r="AA43" s="124"/>
      <c r="AB43" s="49">
        <f>0.06*AB41</f>
        <v>690</v>
      </c>
      <c r="AC43" s="44" t="s">
        <v>391</v>
      </c>
      <c r="AD43" s="155"/>
      <c r="AE43" s="155"/>
      <c r="AF43" s="155"/>
      <c r="AG43" s="59">
        <f>0.06*AG41</f>
        <v>690</v>
      </c>
      <c r="AH43" s="155"/>
      <c r="AI43" s="155"/>
      <c r="AJ43" s="155"/>
      <c r="AK43" s="155"/>
    </row>
    <row r="44" spans="1:37" s="49" customFormat="1">
      <c r="A44" s="49" t="s">
        <v>412</v>
      </c>
      <c r="B44" s="49" t="s">
        <v>370</v>
      </c>
      <c r="C44" s="155"/>
      <c r="D44" s="155"/>
      <c r="E44" s="49">
        <v>0</v>
      </c>
      <c r="F44" s="49">
        <v>334.64121664888148</v>
      </c>
      <c r="G44" s="52">
        <v>1896.3002276769951</v>
      </c>
      <c r="H44" s="49">
        <f>'(2) HH occ''s by region'!H67</f>
        <v>2230.9414443258765</v>
      </c>
      <c r="I44" s="34"/>
      <c r="J44" s="49">
        <v>2424.297</v>
      </c>
      <c r="K44" s="155"/>
      <c r="L44" s="52">
        <v>7160.4477108468218</v>
      </c>
      <c r="M44" s="49">
        <f>'(2) HH occ''s by region'!M67</f>
        <v>9584.7447108468223</v>
      </c>
      <c r="N44" s="155"/>
      <c r="O44" s="49">
        <v>112.758</v>
      </c>
      <c r="P44" s="70"/>
      <c r="Q44" s="52">
        <v>9095.9011910659719</v>
      </c>
      <c r="R44" s="49">
        <f>'(2) HH occ''s by region'!R67</f>
        <v>9195</v>
      </c>
      <c r="S44" s="155"/>
      <c r="T44" s="115">
        <f>0.135*18793</f>
        <v>2537.0550000000003</v>
      </c>
      <c r="U44" s="115"/>
      <c r="V44" s="115">
        <f>W44-T44</f>
        <v>16242.581609038461</v>
      </c>
      <c r="W44" s="216">
        <v>18779.636609038462</v>
      </c>
      <c r="X44" s="124"/>
      <c r="Y44" s="155"/>
      <c r="Z44" s="71"/>
      <c r="AA44" s="124"/>
      <c r="AB44" s="49">
        <f>'(2) HH occ''s by region'!AA67+'(3) Giving occ''s to non-heads'!X88</f>
        <v>228698.23062868664</v>
      </c>
      <c r="AC44" s="44" t="s">
        <v>370</v>
      </c>
      <c r="AD44" s="155"/>
      <c r="AE44" s="155"/>
      <c r="AF44" s="52" t="s">
        <v>370</v>
      </c>
      <c r="AG44" s="49">
        <f>H44+M44+R44+AB44</f>
        <v>249708.91678385934</v>
      </c>
      <c r="AH44" s="49" t="s">
        <v>412</v>
      </c>
      <c r="AI44" s="49" t="s">
        <v>370</v>
      </c>
      <c r="AJ44" s="155"/>
      <c r="AK44" s="155"/>
    </row>
    <row r="45" spans="1:37" s="49" customFormat="1">
      <c r="A45" s="155"/>
      <c r="B45" s="155"/>
      <c r="C45" s="155"/>
      <c r="D45" s="155"/>
      <c r="E45" s="155"/>
      <c r="F45" s="155"/>
      <c r="G45" s="52" t="s">
        <v>232</v>
      </c>
      <c r="H45" s="119">
        <f>SUM(H31:H38)+H41+H44</f>
        <v>59324.956707787627</v>
      </c>
      <c r="I45" s="34" t="s">
        <v>181</v>
      </c>
      <c r="J45" s="155"/>
      <c r="K45" s="155"/>
      <c r="L45" s="52" t="s">
        <v>232</v>
      </c>
      <c r="M45" s="119">
        <f>SUM(M31:M38)+M41+M44</f>
        <v>18891.433866190368</v>
      </c>
      <c r="N45" s="155"/>
      <c r="O45" s="155"/>
      <c r="P45" s="70"/>
      <c r="Q45" s="52" t="s">
        <v>232</v>
      </c>
      <c r="R45" s="119">
        <f>SUM(R31:R38)+R41+R44</f>
        <v>31789.555680180656</v>
      </c>
      <c r="S45" s="155"/>
      <c r="T45" s="155"/>
      <c r="U45" s="155"/>
      <c r="V45" s="52" t="s">
        <v>232</v>
      </c>
      <c r="W45" s="119">
        <f>SUM(W31:W38)+W41+W44</f>
        <v>50680.881444562663</v>
      </c>
      <c r="X45" s="124"/>
      <c r="Y45" s="121"/>
      <c r="Z45" s="71"/>
      <c r="AA45" s="124"/>
      <c r="AB45" s="119">
        <f>SUM(AB31:AB38)+AB41+AB44</f>
        <v>296441.22497954196</v>
      </c>
      <c r="AC45" s="44" t="s">
        <v>232</v>
      </c>
      <c r="AD45" s="155"/>
      <c r="AE45" s="155"/>
      <c r="AF45" s="52" t="s">
        <v>232</v>
      </c>
      <c r="AG45" s="119">
        <f>H45+W45+AB45</f>
        <v>406447.06313189224</v>
      </c>
      <c r="AH45" s="155"/>
      <c r="AI45" s="155"/>
      <c r="AJ45" s="155"/>
      <c r="AK45" s="155"/>
    </row>
    <row r="46" spans="1:37" s="49" customFormat="1">
      <c r="A46" s="155"/>
      <c r="B46" s="124" t="s">
        <v>382</v>
      </c>
      <c r="C46" s="155"/>
      <c r="D46" s="155"/>
      <c r="E46" s="155"/>
      <c r="F46" s="155"/>
      <c r="G46" s="129"/>
      <c r="H46" s="155"/>
      <c r="I46" s="34"/>
      <c r="J46" s="155"/>
      <c r="K46" s="155"/>
      <c r="L46" s="155"/>
      <c r="M46" s="155"/>
      <c r="N46" s="155"/>
      <c r="O46" s="155"/>
      <c r="P46" s="70"/>
      <c r="Q46" s="155"/>
      <c r="R46" s="155"/>
      <c r="S46" s="155"/>
      <c r="T46" s="155"/>
      <c r="U46" s="155"/>
      <c r="V46" s="155"/>
      <c r="W46" s="155"/>
      <c r="X46" s="124"/>
      <c r="Y46" s="155"/>
      <c r="Z46" s="71"/>
      <c r="AA46" s="155"/>
      <c r="AB46" s="155"/>
      <c r="AC46" s="71"/>
      <c r="AD46" s="155"/>
      <c r="AE46" s="155"/>
      <c r="AF46" s="155"/>
      <c r="AG46" s="46" t="s">
        <v>373</v>
      </c>
      <c r="AH46" s="155"/>
      <c r="AI46" s="155"/>
      <c r="AJ46" s="155"/>
      <c r="AK46" s="155"/>
    </row>
    <row r="47" spans="1:37">
      <c r="E47" s="48"/>
      <c r="F47" s="48"/>
      <c r="G47" s="48"/>
      <c r="H47" s="48">
        <f>H25+H45</f>
        <v>188228.57452819473</v>
      </c>
      <c r="J47" s="48"/>
      <c r="K47" s="48"/>
      <c r="L47" s="48"/>
      <c r="M47" s="150">
        <f>M25+M45</f>
        <v>54908.674985714759</v>
      </c>
      <c r="N47" s="48"/>
      <c r="O47" s="48"/>
      <c r="P47" s="70"/>
      <c r="Q47" s="48"/>
      <c r="R47" s="59">
        <f>R25+R45</f>
        <v>120746.34907202923</v>
      </c>
      <c r="S47" s="49"/>
      <c r="T47" s="49"/>
      <c r="U47" s="49"/>
      <c r="V47" s="49"/>
      <c r="W47" s="59">
        <f>W25+W45</f>
        <v>175654.91595593566</v>
      </c>
      <c r="X47" s="124"/>
      <c r="AB47" s="59">
        <f>AB25+AB45</f>
        <v>436136.54174651171</v>
      </c>
      <c r="AC47" s="71"/>
      <c r="AG47" s="102">
        <f>AG25+AG45</f>
        <v>800020.03223064204</v>
      </c>
      <c r="AH47" s="103" t="s">
        <v>171</v>
      </c>
    </row>
    <row r="48" spans="1:37">
      <c r="B48" s="46" t="s">
        <v>219</v>
      </c>
      <c r="D48" s="34" t="s">
        <v>505</v>
      </c>
      <c r="E48" s="48"/>
      <c r="F48" s="48"/>
      <c r="G48" s="13" t="s">
        <v>380</v>
      </c>
      <c r="H48" s="55">
        <f>SUM(H11:H14)+H17+H18+SUM(H21:H23)+SUM(H31:H38)+H41+H44</f>
        <v>188228.57452819473</v>
      </c>
      <c r="J48" s="53"/>
      <c r="K48" s="53"/>
      <c r="L48" s="13" t="s">
        <v>91</v>
      </c>
      <c r="M48" s="55">
        <f>SUM(M11:M14)+M17+M18+SUM(M21:M23)+SUM(M31:M38)+M41+M44</f>
        <v>54908.674985714766</v>
      </c>
      <c r="N48" s="53"/>
      <c r="O48" s="53"/>
      <c r="P48" s="53"/>
      <c r="Q48" s="13" t="s">
        <v>269</v>
      </c>
      <c r="R48" s="55">
        <f>SUM(R11:R14)+R17+R18+SUM(R21:R23)+SUM(R31:R38)+R41+R44</f>
        <v>120746.34907202925</v>
      </c>
      <c r="S48" s="53"/>
      <c r="T48" s="53"/>
      <c r="U48" s="53"/>
      <c r="V48" s="13" t="s">
        <v>347</v>
      </c>
      <c r="W48" s="55">
        <f>SUM(W11:W14)+W17+W18+SUM(W21:W23)+SUM(W31:W38)+W41+W44</f>
        <v>175654.91595593563</v>
      </c>
      <c r="X48" s="124"/>
      <c r="Y48" s="54"/>
      <c r="Z48" s="54"/>
      <c r="AA48" s="13" t="s">
        <v>380</v>
      </c>
      <c r="AB48" s="55">
        <f>SUM(AB11:AB14)+AB17+AB18+SUM(AB21:AB23)+SUM(AB31:AB38)+AB41+AB44</f>
        <v>436136.54174651171</v>
      </c>
      <c r="AC48" s="53"/>
      <c r="AD48" s="54"/>
      <c r="AE48" s="54"/>
      <c r="AF48" s="13" t="s">
        <v>521</v>
      </c>
      <c r="AG48" s="123">
        <f>SUM(AG11:AG14)+AG17+AG18+SUM(AG21:AG23)+SUM(AG31:AG38)+AG41+AG44</f>
        <v>800020.14033245039</v>
      </c>
      <c r="AH48" s="102">
        <f>H48+M48+R48+AB48</f>
        <v>800020.14033245039</v>
      </c>
    </row>
    <row r="49" spans="1:34">
      <c r="B49" s="46" t="s">
        <v>161</v>
      </c>
      <c r="G49" s="47" t="s">
        <v>247</v>
      </c>
      <c r="H49" s="59">
        <v>661563.15852400009</v>
      </c>
      <c r="L49" s="47" t="s">
        <v>247</v>
      </c>
      <c r="M49" s="59">
        <v>176251.65201766195</v>
      </c>
      <c r="N49" s="59"/>
      <c r="O49" s="59"/>
      <c r="P49" s="70"/>
      <c r="Q49" s="47" t="s">
        <v>247</v>
      </c>
      <c r="R49" s="59">
        <v>437433.71202142845</v>
      </c>
      <c r="V49" s="47" t="s">
        <v>247</v>
      </c>
      <c r="W49" s="179">
        <f>R49+M49</f>
        <v>613685.36403909046</v>
      </c>
      <c r="X49" s="124"/>
      <c r="AA49" s="47" t="s">
        <v>247</v>
      </c>
      <c r="AB49" s="34">
        <v>1101150.6704819372</v>
      </c>
      <c r="AF49" s="47" t="s">
        <v>247</v>
      </c>
      <c r="AG49" s="48">
        <f>H49+M49+R49+AB49</f>
        <v>2376399.1930450276</v>
      </c>
      <c r="AH49" s="46" t="s">
        <v>161</v>
      </c>
    </row>
    <row r="50" spans="1:34">
      <c r="B50" s="34" t="s">
        <v>240</v>
      </c>
      <c r="G50" s="47" t="s">
        <v>490</v>
      </c>
      <c r="H50" s="56">
        <f>H48/H49</f>
        <v>0.28452094422571478</v>
      </c>
      <c r="L50" s="47" t="s">
        <v>490</v>
      </c>
      <c r="M50" s="56">
        <f>M48/M49</f>
        <v>0.31153566140879313</v>
      </c>
      <c r="Q50" s="47" t="s">
        <v>490</v>
      </c>
      <c r="R50" s="56">
        <f>R48/R49</f>
        <v>0.2760334783390318</v>
      </c>
      <c r="S50" s="56"/>
      <c r="T50" s="56"/>
      <c r="U50" s="56"/>
      <c r="V50" s="47" t="s">
        <v>490</v>
      </c>
      <c r="W50" s="166">
        <f>W48/W49</f>
        <v>0.28622959948047055</v>
      </c>
      <c r="X50" s="124"/>
      <c r="AA50" s="47" t="s">
        <v>490</v>
      </c>
      <c r="AB50" s="56">
        <f>AB48/AB49</f>
        <v>0.39607344702031483</v>
      </c>
      <c r="AC50" s="56"/>
      <c r="AF50" s="47" t="s">
        <v>490</v>
      </c>
      <c r="AG50" s="56">
        <f>AG48/AG49</f>
        <v>0.33665225214427674</v>
      </c>
      <c r="AH50" s="34" t="s">
        <v>240</v>
      </c>
    </row>
    <row r="51" spans="1:34">
      <c r="B51" s="34" t="s">
        <v>541</v>
      </c>
      <c r="G51" s="165" t="s">
        <v>446</v>
      </c>
      <c r="H51" s="105">
        <f>H48/H25</f>
        <v>1.4602272435087211</v>
      </c>
      <c r="M51" s="105">
        <f>M48/M25</f>
        <v>1.5245108531077807</v>
      </c>
      <c r="Q51" s="165" t="s">
        <v>446</v>
      </c>
      <c r="R51" s="105">
        <f>R48/R25</f>
        <v>1.3573595053066925</v>
      </c>
      <c r="S51" s="56"/>
      <c r="T51" s="56"/>
      <c r="U51" s="56"/>
      <c r="V51" s="165" t="s">
        <v>506</v>
      </c>
      <c r="W51" s="105">
        <f>W48/W25</f>
        <v>1.4055312901013093</v>
      </c>
      <c r="X51" s="124"/>
      <c r="AA51" s="165" t="s">
        <v>446</v>
      </c>
      <c r="AB51" s="105">
        <f>AB48/AB25</f>
        <v>3.1220555695080687</v>
      </c>
      <c r="AC51" s="56"/>
      <c r="AF51" s="165" t="s">
        <v>446</v>
      </c>
      <c r="AG51" s="105">
        <f>AG48/AG25</f>
        <v>2.0327110933569235</v>
      </c>
    </row>
    <row r="52" spans="1:34">
      <c r="H52" s="56"/>
      <c r="M52" s="56"/>
      <c r="R52" s="56"/>
      <c r="S52" s="56"/>
      <c r="T52" s="56"/>
      <c r="U52" s="56"/>
      <c r="V52" s="56"/>
      <c r="X52" s="124"/>
      <c r="AB52" s="56"/>
      <c r="AC52" s="56"/>
      <c r="AG52" s="56"/>
    </row>
    <row r="53" spans="1:34">
      <c r="G53" s="13" t="s">
        <v>460</v>
      </c>
      <c r="H53" s="200">
        <f>H48-SUM(H42:H44)</f>
        <v>185997.63308386886</v>
      </c>
      <c r="L53" s="13" t="s">
        <v>460</v>
      </c>
      <c r="M53" s="200">
        <f>M48-SUM(M42:M44)</f>
        <v>45323.930274867947</v>
      </c>
      <c r="Q53" s="13" t="s">
        <v>460</v>
      </c>
      <c r="R53" s="200">
        <f>R48-SUM(R42:R44)</f>
        <v>111551.34907202925</v>
      </c>
      <c r="S53" s="166"/>
      <c r="T53" s="166"/>
      <c r="U53" s="166"/>
      <c r="V53" s="13" t="s">
        <v>460</v>
      </c>
      <c r="W53" s="200">
        <f>W48-SUM(W42:W44)</f>
        <v>156875.27934689718</v>
      </c>
      <c r="X53" s="179"/>
      <c r="AA53" s="13" t="s">
        <v>460</v>
      </c>
      <c r="AB53" s="200">
        <f>AB48-SUM(AB42:AB44)</f>
        <v>195938.31111782507</v>
      </c>
      <c r="AC53" s="166"/>
      <c r="AF53" s="13" t="s">
        <v>460</v>
      </c>
      <c r="AG53" s="200">
        <f>AG48-SUM(AG42:AG44)</f>
        <v>538811.22354859102</v>
      </c>
    </row>
    <row r="54" spans="1:34">
      <c r="G54" s="47" t="s">
        <v>337</v>
      </c>
      <c r="H54" s="200">
        <f>H49-SUM(H42:H44)</f>
        <v>659332.21707967424</v>
      </c>
      <c r="L54" s="47" t="s">
        <v>337</v>
      </c>
      <c r="M54" s="200">
        <f>M49-SUM(M42:M44)</f>
        <v>166666.90730681512</v>
      </c>
      <c r="Q54" s="47" t="s">
        <v>337</v>
      </c>
      <c r="R54" s="200">
        <f>R49-SUM(R42:R44)</f>
        <v>428238.71202142845</v>
      </c>
      <c r="S54" s="166"/>
      <c r="T54" s="166"/>
      <c r="U54" s="166"/>
      <c r="V54" s="47" t="s">
        <v>337</v>
      </c>
      <c r="W54" s="200">
        <f>W49-SUM(W42:W44)</f>
        <v>594905.72743005201</v>
      </c>
      <c r="X54" s="179"/>
      <c r="AA54" s="47" t="s">
        <v>337</v>
      </c>
      <c r="AB54" s="200">
        <f>AB49-SUM(AB42:AB44)</f>
        <v>860952.43985325063</v>
      </c>
      <c r="AC54" s="166"/>
      <c r="AF54" s="47" t="s">
        <v>337</v>
      </c>
      <c r="AG54" s="200">
        <f>AG49-SUM(AG42:AG44)</f>
        <v>2115190.2762611681</v>
      </c>
    </row>
    <row r="55" spans="1:34">
      <c r="G55" s="47" t="s">
        <v>339</v>
      </c>
      <c r="H55" s="166">
        <f>H53/H54</f>
        <v>0.28210002221291841</v>
      </c>
      <c r="L55" s="47" t="s">
        <v>339</v>
      </c>
      <c r="M55" s="166">
        <f>M53/M54</f>
        <v>0.27194318900651143</v>
      </c>
      <c r="Q55" s="47" t="s">
        <v>339</v>
      </c>
      <c r="R55" s="166">
        <f>R53/R54</f>
        <v>0.26048870861176926</v>
      </c>
      <c r="S55" s="166"/>
      <c r="T55" s="166"/>
      <c r="U55" s="166"/>
      <c r="V55" s="47" t="s">
        <v>339</v>
      </c>
      <c r="W55" s="166">
        <f>W53/W54</f>
        <v>0.26369771228222427</v>
      </c>
      <c r="X55" s="179"/>
      <c r="AA55" s="47" t="s">
        <v>339</v>
      </c>
      <c r="AB55" s="166">
        <f>AB53/AB54</f>
        <v>0.22758319977724062</v>
      </c>
      <c r="AC55" s="166"/>
      <c r="AF55" s="47" t="s">
        <v>339</v>
      </c>
      <c r="AG55" s="166">
        <f>AG53/AG54</f>
        <v>0.25473416249860947</v>
      </c>
    </row>
    <row r="56" spans="1:34">
      <c r="G56" s="165" t="s">
        <v>341</v>
      </c>
      <c r="H56" s="199">
        <f>H53/H25</f>
        <v>1.442920192845224</v>
      </c>
      <c r="L56" s="165" t="s">
        <v>341</v>
      </c>
      <c r="M56" s="199">
        <f>M53/M25</f>
        <v>1.258395392486032</v>
      </c>
      <c r="Q56" s="165" t="s">
        <v>341</v>
      </c>
      <c r="R56" s="199">
        <f>R53/R25</f>
        <v>1.2539947183196363</v>
      </c>
      <c r="S56" s="166"/>
      <c r="T56" s="166"/>
      <c r="U56" s="166"/>
      <c r="V56" s="165" t="s">
        <v>341</v>
      </c>
      <c r="W56" s="199">
        <f>W53/W25</f>
        <v>1.2552629829088304</v>
      </c>
      <c r="X56" s="179"/>
      <c r="AA56" s="165" t="s">
        <v>341</v>
      </c>
      <c r="AB56" s="199">
        <f>AB53/AB25</f>
        <v>1.4026118817188131</v>
      </c>
      <c r="AC56" s="166"/>
      <c r="AF56" s="165" t="s">
        <v>341</v>
      </c>
      <c r="AG56" s="199">
        <f>AG53/AG25</f>
        <v>1.3690249733929265</v>
      </c>
    </row>
    <row r="57" spans="1:34">
      <c r="H57" s="166"/>
      <c r="M57" s="166"/>
      <c r="R57" s="166"/>
      <c r="S57" s="166"/>
      <c r="T57" s="166"/>
      <c r="U57" s="166"/>
      <c r="V57" s="166"/>
      <c r="X57" s="179"/>
      <c r="AB57" s="166"/>
      <c r="AC57" s="166"/>
      <c r="AG57" s="166"/>
    </row>
    <row r="58" spans="1:34" ht="17">
      <c r="A58" s="45" t="s">
        <v>395</v>
      </c>
      <c r="X58" s="124"/>
    </row>
    <row r="59" spans="1:34" ht="17">
      <c r="A59" s="45"/>
      <c r="X59" s="124"/>
    </row>
    <row r="60" spans="1:34" ht="17">
      <c r="A60" s="225" t="s">
        <v>150</v>
      </c>
      <c r="B60" s="158" t="s">
        <v>470</v>
      </c>
      <c r="X60" s="124"/>
    </row>
    <row r="61" spans="1:34" ht="17">
      <c r="A61" s="225" t="s">
        <v>151</v>
      </c>
      <c r="B61" s="37" t="s">
        <v>538</v>
      </c>
      <c r="X61" s="168"/>
    </row>
    <row r="62" spans="1:34" ht="17">
      <c r="A62" s="182" t="s">
        <v>148</v>
      </c>
      <c r="B62" s="37" t="s">
        <v>512</v>
      </c>
      <c r="X62" s="168"/>
    </row>
    <row r="63" spans="1:34" ht="18" thickBot="1">
      <c r="A63" s="182" t="s">
        <v>149</v>
      </c>
      <c r="B63" s="37" t="s">
        <v>472</v>
      </c>
      <c r="X63" s="168"/>
    </row>
    <row r="64" spans="1:34" ht="18" thickBot="1">
      <c r="A64" s="182"/>
      <c r="E64" s="77" t="s">
        <v>303</v>
      </c>
      <c r="F64" s="78"/>
      <c r="G64" s="78"/>
      <c r="H64" s="79"/>
      <c r="I64" s="51"/>
      <c r="J64" s="80" t="s">
        <v>389</v>
      </c>
      <c r="K64" s="81"/>
      <c r="L64" s="82" t="s">
        <v>451</v>
      </c>
      <c r="M64" s="83"/>
      <c r="N64" s="51"/>
      <c r="O64" s="84" t="s">
        <v>92</v>
      </c>
      <c r="P64" s="85"/>
      <c r="Q64" s="85"/>
      <c r="R64" s="86"/>
      <c r="T64" s="89" t="s">
        <v>182</v>
      </c>
      <c r="U64" s="90"/>
      <c r="V64" s="90"/>
      <c r="W64" s="91"/>
      <c r="X64" s="124"/>
      <c r="Y64" s="92" t="s">
        <v>298</v>
      </c>
      <c r="Z64" s="101"/>
      <c r="AA64" s="93" t="s">
        <v>357</v>
      </c>
      <c r="AB64" s="94"/>
      <c r="AC64" s="51"/>
      <c r="AD64" s="95" t="s">
        <v>294</v>
      </c>
      <c r="AE64" s="100"/>
      <c r="AF64" s="96" t="s">
        <v>285</v>
      </c>
      <c r="AG64" s="99"/>
    </row>
    <row r="65" spans="1:36" s="47" customFormat="1">
      <c r="A65" s="196"/>
      <c r="E65" s="47" t="s">
        <v>399</v>
      </c>
      <c r="F65" s="47" t="s">
        <v>233</v>
      </c>
      <c r="G65" s="47" t="s">
        <v>265</v>
      </c>
      <c r="H65" s="47" t="s">
        <v>421</v>
      </c>
      <c r="J65" s="47" t="s">
        <v>234</v>
      </c>
      <c r="K65" s="47" t="s">
        <v>233</v>
      </c>
      <c r="L65" s="47" t="s">
        <v>265</v>
      </c>
      <c r="M65" s="47" t="s">
        <v>421</v>
      </c>
      <c r="O65" s="47" t="s">
        <v>428</v>
      </c>
      <c r="Q65" s="47" t="s">
        <v>312</v>
      </c>
      <c r="R65" s="47" t="s">
        <v>421</v>
      </c>
      <c r="T65" s="47" t="s">
        <v>379</v>
      </c>
      <c r="U65" s="47" t="s">
        <v>233</v>
      </c>
      <c r="V65" s="47" t="s">
        <v>265</v>
      </c>
      <c r="W65" s="47" t="s">
        <v>421</v>
      </c>
      <c r="X65" s="124"/>
      <c r="Y65" s="47" t="s">
        <v>235</v>
      </c>
      <c r="AA65" s="47" t="s">
        <v>236</v>
      </c>
      <c r="AB65" s="47" t="s">
        <v>421</v>
      </c>
      <c r="AD65" s="47" t="s">
        <v>98</v>
      </c>
      <c r="AE65" s="47" t="s">
        <v>210</v>
      </c>
      <c r="AF65" s="47" t="s">
        <v>211</v>
      </c>
      <c r="AG65" s="47" t="s">
        <v>310</v>
      </c>
    </row>
    <row r="66" spans="1:36" s="182" customFormat="1">
      <c r="D66" s="183"/>
      <c r="X66" s="184"/>
      <c r="AE66" s="182" t="s">
        <v>311</v>
      </c>
    </row>
    <row r="67" spans="1:36" s="182" customFormat="1">
      <c r="A67" s="184" t="s">
        <v>429</v>
      </c>
      <c r="B67" s="184" t="s">
        <v>287</v>
      </c>
      <c r="C67" s="184"/>
      <c r="D67" s="184"/>
      <c r="E67" s="184">
        <f t="shared" ref="E67:G79" si="12">E11*185997.633/128903.62</f>
        <v>105.43175772950418</v>
      </c>
      <c r="F67" s="184">
        <f t="shared" si="12"/>
        <v>170.1403763571187</v>
      </c>
      <c r="G67" s="184">
        <f t="shared" si="12"/>
        <v>603.59067678241661</v>
      </c>
      <c r="H67" s="184">
        <f t="shared" ref="H67:H79" si="13">SUM(E67:G67)</f>
        <v>879.1628108690395</v>
      </c>
      <c r="J67" s="184">
        <f t="shared" ref="J67:L79" si="14">J11*45323.93/36017.24</f>
        <v>165.48165459600153</v>
      </c>
      <c r="K67" s="184">
        <f t="shared" si="14"/>
        <v>37.544154949927176</v>
      </c>
      <c r="L67" s="184">
        <f t="shared" si="14"/>
        <v>397.10428862165855</v>
      </c>
      <c r="M67" s="184">
        <f t="shared" ref="M67:M79" si="15">SUM(J67:L67)</f>
        <v>600.13009816758722</v>
      </c>
      <c r="O67" s="184">
        <f t="shared" ref="O67:O79" si="16">O11*111551.35/88956.8</f>
        <v>359.73645345851338</v>
      </c>
      <c r="Q67" s="184">
        <f t="shared" ref="Q67:Q79" si="17">Q11*111551.35/88956.8</f>
        <v>1263.466936038805</v>
      </c>
      <c r="R67" s="184">
        <f t="shared" ref="R67:R79" si="18">SUM(O67:Q67)</f>
        <v>1623.2033894973183</v>
      </c>
      <c r="T67" s="184">
        <f t="shared" ref="T67:T79" si="19">J67+O67</f>
        <v>525.21810805451491</v>
      </c>
      <c r="U67" s="184">
        <f>K67+P67</f>
        <v>37.544154949927176</v>
      </c>
      <c r="V67" s="184">
        <f>L67+Q67</f>
        <v>1660.5712246604635</v>
      </c>
      <c r="W67" s="184">
        <f>M67+R67</f>
        <v>2223.3334876649055</v>
      </c>
      <c r="X67" s="184"/>
      <c r="Y67" s="184">
        <f>Y11*195938.31/139695.32</f>
        <v>1237.6389588922204</v>
      </c>
      <c r="AA67" s="184">
        <f>AA11*195938.31/139695.32</f>
        <v>9570.3181475204419</v>
      </c>
      <c r="AB67" s="184">
        <f>Y67+AA67</f>
        <v>10807.957106412663</v>
      </c>
      <c r="AC67" s="184"/>
      <c r="AD67" s="184">
        <f>E67+T67+Y67</f>
        <v>1868.2888246762395</v>
      </c>
      <c r="AE67" s="184">
        <f>F67+U67+Z67</f>
        <v>207.68453130704586</v>
      </c>
      <c r="AF67" s="184">
        <f>G67+V67+AA67</f>
        <v>11834.480048963322</v>
      </c>
      <c r="AG67" s="184">
        <f>H67+W67+AB67</f>
        <v>13910.453404946609</v>
      </c>
      <c r="AI67" s="184" t="s">
        <v>429</v>
      </c>
      <c r="AJ67" s="184" t="s">
        <v>287</v>
      </c>
    </row>
    <row r="68" spans="1:36" s="182" customFormat="1">
      <c r="A68" s="184" t="s">
        <v>484</v>
      </c>
      <c r="B68" s="184" t="s">
        <v>256</v>
      </c>
      <c r="C68" s="184"/>
      <c r="D68" s="184"/>
      <c r="E68" s="184">
        <f t="shared" si="12"/>
        <v>584.66702013634142</v>
      </c>
      <c r="F68" s="184">
        <f t="shared" si="12"/>
        <v>0</v>
      </c>
      <c r="G68" s="184">
        <f t="shared" si="12"/>
        <v>0</v>
      </c>
      <c r="H68" s="184">
        <f t="shared" si="13"/>
        <v>584.66702013634142</v>
      </c>
      <c r="J68" s="184">
        <f t="shared" si="14"/>
        <v>1105.0338073746518</v>
      </c>
      <c r="K68" s="184">
        <f t="shared" si="14"/>
        <v>0</v>
      </c>
      <c r="L68" s="184">
        <f t="shared" si="14"/>
        <v>0</v>
      </c>
      <c r="M68" s="184">
        <f t="shared" si="15"/>
        <v>1105.0338073746518</v>
      </c>
      <c r="O68" s="184">
        <f t="shared" si="16"/>
        <v>1891.8867120522691</v>
      </c>
      <c r="Q68" s="184">
        <f t="shared" si="17"/>
        <v>0</v>
      </c>
      <c r="R68" s="184">
        <f t="shared" si="18"/>
        <v>1891.8867120522691</v>
      </c>
      <c r="T68" s="184">
        <f t="shared" si="19"/>
        <v>2996.9205194269207</v>
      </c>
      <c r="U68" s="184">
        <f t="shared" ref="U68:U79" si="20">K68+P68</f>
        <v>0</v>
      </c>
      <c r="V68" s="184">
        <f t="shared" ref="V68:V79" si="21">L68+Q68</f>
        <v>0</v>
      </c>
      <c r="W68" s="184">
        <f t="shared" ref="W68:W79" si="22">M68+R68</f>
        <v>2996.9205194269207</v>
      </c>
      <c r="X68" s="184"/>
      <c r="Y68" s="184">
        <f t="shared" ref="Y68:AA78" si="23">Y12*195938.31/139695.32</f>
        <v>1305.8284332113508</v>
      </c>
      <c r="AA68" s="184">
        <f t="shared" si="23"/>
        <v>0</v>
      </c>
      <c r="AB68" s="184">
        <f t="shared" ref="AB68:AB80" si="24">Y68+AA68</f>
        <v>1305.8284332113508</v>
      </c>
      <c r="AC68" s="184"/>
      <c r="AD68" s="184">
        <f t="shared" ref="AD68:AD79" si="25">E68+T68+Y68</f>
        <v>4887.4159727746128</v>
      </c>
      <c r="AE68" s="184">
        <f t="shared" ref="AE68:AE79" si="26">F68+U68+Z68</f>
        <v>0</v>
      </c>
      <c r="AF68" s="184">
        <f t="shared" ref="AF68:AF79" si="27">G68+V68+AA68</f>
        <v>0</v>
      </c>
      <c r="AG68" s="184">
        <f t="shared" ref="AG68:AG79" si="28">H68+W68+AB68</f>
        <v>4887.4159727746128</v>
      </c>
      <c r="AI68" s="184" t="s">
        <v>484</v>
      </c>
      <c r="AJ68" s="184" t="s">
        <v>256</v>
      </c>
    </row>
    <row r="69" spans="1:36" s="182" customFormat="1">
      <c r="A69" s="184" t="s">
        <v>485</v>
      </c>
      <c r="B69" s="184" t="s">
        <v>424</v>
      </c>
      <c r="C69" s="184"/>
      <c r="D69" s="184"/>
      <c r="E69" s="184">
        <f t="shared" si="12"/>
        <v>0</v>
      </c>
      <c r="F69" s="184">
        <f t="shared" si="12"/>
        <v>1011.3900150117609</v>
      </c>
      <c r="G69" s="184">
        <f t="shared" si="12"/>
        <v>2682.6252301440741</v>
      </c>
      <c r="H69" s="184">
        <f t="shared" si="13"/>
        <v>3694.0152451558351</v>
      </c>
      <c r="J69" s="184">
        <f t="shared" si="14"/>
        <v>0</v>
      </c>
      <c r="K69" s="184">
        <f t="shared" si="14"/>
        <v>744.9603026530832</v>
      </c>
      <c r="L69" s="184">
        <f t="shared" si="14"/>
        <v>1198.2049484675681</v>
      </c>
      <c r="M69" s="184">
        <f t="shared" si="15"/>
        <v>1943.1652511206512</v>
      </c>
      <c r="O69" s="184">
        <f t="shared" si="16"/>
        <v>0</v>
      </c>
      <c r="Q69" s="184">
        <f t="shared" si="17"/>
        <v>6026.6083915027039</v>
      </c>
      <c r="R69" s="184">
        <f t="shared" si="18"/>
        <v>6026.6083915027039</v>
      </c>
      <c r="T69" s="184">
        <f t="shared" si="19"/>
        <v>0</v>
      </c>
      <c r="U69" s="184">
        <f t="shared" si="20"/>
        <v>744.9603026530832</v>
      </c>
      <c r="V69" s="184">
        <f t="shared" si="21"/>
        <v>7224.813339970272</v>
      </c>
      <c r="W69" s="184">
        <f t="shared" si="22"/>
        <v>7969.773642623355</v>
      </c>
      <c r="X69" s="184"/>
      <c r="Y69" s="184">
        <f t="shared" si="23"/>
        <v>0</v>
      </c>
      <c r="AA69" s="184">
        <f t="shared" si="23"/>
        <v>4395.4915745816406</v>
      </c>
      <c r="AB69" s="184">
        <f t="shared" si="24"/>
        <v>4395.4915745816406</v>
      </c>
      <c r="AC69" s="184"/>
      <c r="AD69" s="184">
        <f t="shared" si="25"/>
        <v>0</v>
      </c>
      <c r="AE69" s="184">
        <f t="shared" si="26"/>
        <v>1756.3503176648442</v>
      </c>
      <c r="AF69" s="184">
        <f t="shared" si="27"/>
        <v>14302.930144695987</v>
      </c>
      <c r="AG69" s="184">
        <f t="shared" si="28"/>
        <v>16059.280462360832</v>
      </c>
      <c r="AI69" s="184" t="s">
        <v>485</v>
      </c>
      <c r="AJ69" s="184" t="s">
        <v>424</v>
      </c>
    </row>
    <row r="70" spans="1:36" s="182" customFormat="1">
      <c r="A70" s="184" t="s">
        <v>486</v>
      </c>
      <c r="B70" s="184" t="s">
        <v>384</v>
      </c>
      <c r="C70" s="184"/>
      <c r="D70" s="184"/>
      <c r="E70" s="184">
        <f t="shared" si="12"/>
        <v>679.36390798793229</v>
      </c>
      <c r="F70" s="184">
        <f t="shared" si="12"/>
        <v>1890.4486261902082</v>
      </c>
      <c r="G70" s="184">
        <f t="shared" si="12"/>
        <v>12776.002658561149</v>
      </c>
      <c r="H70" s="184">
        <f t="shared" si="13"/>
        <v>15345.81519273929</v>
      </c>
      <c r="J70" s="184">
        <f t="shared" si="14"/>
        <v>581.03404091749292</v>
      </c>
      <c r="K70" s="184">
        <f t="shared" si="14"/>
        <v>1624.7222872340692</v>
      </c>
      <c r="L70" s="184">
        <f t="shared" si="14"/>
        <v>6564.3690395457879</v>
      </c>
      <c r="M70" s="184">
        <f t="shared" si="15"/>
        <v>8770.1253676973502</v>
      </c>
      <c r="O70" s="184">
        <f t="shared" si="16"/>
        <v>2179.6758748190873</v>
      </c>
      <c r="Q70" s="184">
        <f t="shared" si="17"/>
        <v>26822.740636760413</v>
      </c>
      <c r="R70" s="184">
        <f t="shared" si="18"/>
        <v>29002.4165115795</v>
      </c>
      <c r="T70" s="184">
        <f t="shared" si="19"/>
        <v>2760.7099157365801</v>
      </c>
      <c r="U70" s="184">
        <f t="shared" si="20"/>
        <v>1624.7222872340692</v>
      </c>
      <c r="V70" s="184">
        <f t="shared" si="21"/>
        <v>33387.109676306201</v>
      </c>
      <c r="W70" s="184">
        <f t="shared" si="22"/>
        <v>37772.541879276847</v>
      </c>
      <c r="X70" s="184"/>
      <c r="Y70" s="184">
        <f t="shared" si="23"/>
        <v>722.38224356828994</v>
      </c>
      <c r="AA70" s="184">
        <f t="shared" si="23"/>
        <v>10901.883134506526</v>
      </c>
      <c r="AB70" s="184">
        <f t="shared" si="24"/>
        <v>11624.265378074817</v>
      </c>
      <c r="AC70" s="184"/>
      <c r="AD70" s="184">
        <f t="shared" si="25"/>
        <v>4162.4560672928019</v>
      </c>
      <c r="AE70" s="184">
        <f t="shared" si="26"/>
        <v>3515.1709134242774</v>
      </c>
      <c r="AF70" s="184">
        <f t="shared" si="27"/>
        <v>57064.995469373876</v>
      </c>
      <c r="AG70" s="184">
        <f t="shared" si="28"/>
        <v>64742.622450090952</v>
      </c>
      <c r="AI70" s="184" t="s">
        <v>486</v>
      </c>
      <c r="AJ70" s="184" t="s">
        <v>384</v>
      </c>
    </row>
    <row r="71" spans="1:36" s="182" customFormat="1">
      <c r="A71" s="185" t="s">
        <v>489</v>
      </c>
      <c r="B71" s="186" t="s">
        <v>297</v>
      </c>
      <c r="C71" s="184"/>
      <c r="D71" s="184"/>
      <c r="E71" s="184">
        <f t="shared" si="12"/>
        <v>393.91720580849477</v>
      </c>
      <c r="F71" s="184">
        <f t="shared" si="12"/>
        <v>1493.4223736695681</v>
      </c>
      <c r="G71" s="184">
        <f t="shared" si="12"/>
        <v>7920.1888010359999</v>
      </c>
      <c r="H71" s="184">
        <f t="shared" ref="H71:H76" si="29">SUM(E71:G71)</f>
        <v>9807.5283805140625</v>
      </c>
      <c r="J71" s="184">
        <f t="shared" si="14"/>
        <v>330.95799650389648</v>
      </c>
      <c r="K71" s="184">
        <f t="shared" si="14"/>
        <v>1283.5633324485721</v>
      </c>
      <c r="L71" s="184">
        <f t="shared" si="14"/>
        <v>4069.6508011163546</v>
      </c>
      <c r="M71" s="184">
        <f t="shared" ref="M71:M76" si="30">SUM(J71:L71)</f>
        <v>5684.1721300688232</v>
      </c>
      <c r="O71" s="184">
        <f t="shared" si="16"/>
        <v>1568.7472891336017</v>
      </c>
      <c r="Q71" s="184">
        <f t="shared" si="17"/>
        <v>16630.476857306017</v>
      </c>
      <c r="R71" s="184">
        <f t="shared" ref="R71:R76" si="31">SUM(O71:Q71)</f>
        <v>18199.224146439617</v>
      </c>
      <c r="T71" s="184">
        <f t="shared" ref="T71:T76" si="32">J71+O71</f>
        <v>1899.7052856374983</v>
      </c>
      <c r="U71" s="184">
        <f t="shared" ref="U71:U76" si="33">K71+P71</f>
        <v>1283.5633324485721</v>
      </c>
      <c r="V71" s="184">
        <f t="shared" ref="V71:V76" si="34">L71+Q71</f>
        <v>20700.127658422371</v>
      </c>
      <c r="W71" s="184">
        <f t="shared" ref="W71:W76" si="35">M71+R71</f>
        <v>23883.39627650844</v>
      </c>
      <c r="X71" s="184"/>
      <c r="Y71" s="184">
        <f t="shared" si="23"/>
        <v>419.38094053544523</v>
      </c>
      <c r="AA71" s="184">
        <f t="shared" si="23"/>
        <v>6759.1864630110722</v>
      </c>
      <c r="AB71" s="184">
        <f t="shared" si="24"/>
        <v>7178.5674035465172</v>
      </c>
      <c r="AC71" s="184"/>
      <c r="AD71" s="184">
        <f t="shared" ref="AD71:AD76" si="36">E71+T71+Y71</f>
        <v>2713.0034319814386</v>
      </c>
      <c r="AE71" s="184">
        <f t="shared" ref="AE71:AE76" si="37">F71+U71+Z71</f>
        <v>2776.9857061181401</v>
      </c>
      <c r="AF71" s="184">
        <f t="shared" ref="AF71:AF76" si="38">G71+V71+AA71</f>
        <v>35379.502922469444</v>
      </c>
      <c r="AG71" s="184">
        <f t="shared" ref="AG71:AG76" si="39">H71+W71+AB71</f>
        <v>40869.49206056902</v>
      </c>
      <c r="AI71" s="185" t="s">
        <v>489</v>
      </c>
      <c r="AJ71" s="186" t="s">
        <v>297</v>
      </c>
    </row>
    <row r="72" spans="1:36" s="182" customFormat="1">
      <c r="A72" s="185" t="s">
        <v>513</v>
      </c>
      <c r="B72" s="186" t="s">
        <v>437</v>
      </c>
      <c r="C72" s="184"/>
      <c r="D72" s="184"/>
      <c r="E72" s="184">
        <f t="shared" si="12"/>
        <v>285.44670217943747</v>
      </c>
      <c r="F72" s="184">
        <f t="shared" si="12"/>
        <v>397.02625252064001</v>
      </c>
      <c r="G72" s="184">
        <f t="shared" si="12"/>
        <v>4855.8138575251505</v>
      </c>
      <c r="H72" s="184">
        <f t="shared" si="29"/>
        <v>5538.2868122252275</v>
      </c>
      <c r="J72" s="184">
        <f t="shared" si="14"/>
        <v>250.07604441359643</v>
      </c>
      <c r="K72" s="184">
        <f t="shared" si="14"/>
        <v>341.15895478549726</v>
      </c>
      <c r="L72" s="184">
        <f t="shared" si="14"/>
        <v>2494.7182384294333</v>
      </c>
      <c r="M72" s="184">
        <f t="shared" si="30"/>
        <v>3085.9532376285269</v>
      </c>
      <c r="O72" s="184">
        <f t="shared" si="16"/>
        <v>610.92858568548513</v>
      </c>
      <c r="Q72" s="184">
        <f t="shared" si="17"/>
        <v>10192.263779454393</v>
      </c>
      <c r="R72" s="184">
        <f t="shared" si="31"/>
        <v>10803.192365139879</v>
      </c>
      <c r="T72" s="184">
        <f t="shared" si="32"/>
        <v>861.00463009908162</v>
      </c>
      <c r="U72" s="184">
        <f t="shared" si="33"/>
        <v>341.15895478549726</v>
      </c>
      <c r="V72" s="184">
        <f t="shared" si="34"/>
        <v>12686.982017883827</v>
      </c>
      <c r="W72" s="184">
        <f t="shared" si="35"/>
        <v>13889.145602768407</v>
      </c>
      <c r="X72" s="184"/>
      <c r="Y72" s="184">
        <f t="shared" si="23"/>
        <v>303.00130303284459</v>
      </c>
      <c r="AA72" s="184">
        <f t="shared" si="23"/>
        <v>4142.6966714954524</v>
      </c>
      <c r="AB72" s="184">
        <f t="shared" si="24"/>
        <v>4445.697974528297</v>
      </c>
      <c r="AC72" s="184"/>
      <c r="AD72" s="184">
        <f t="shared" si="36"/>
        <v>1449.4526353113638</v>
      </c>
      <c r="AE72" s="184">
        <f t="shared" si="37"/>
        <v>738.18520730613727</v>
      </c>
      <c r="AF72" s="184">
        <f t="shared" si="38"/>
        <v>21685.492546904432</v>
      </c>
      <c r="AG72" s="184">
        <f t="shared" si="39"/>
        <v>23873.130389521932</v>
      </c>
      <c r="AI72" s="185" t="s">
        <v>513</v>
      </c>
      <c r="AJ72" s="186" t="s">
        <v>437</v>
      </c>
    </row>
    <row r="73" spans="1:36" s="182" customFormat="1">
      <c r="A73" s="184" t="s">
        <v>218</v>
      </c>
      <c r="B73" s="184" t="s">
        <v>386</v>
      </c>
      <c r="C73" s="184"/>
      <c r="D73" s="184"/>
      <c r="E73" s="184">
        <f t="shared" si="12"/>
        <v>11.56419526275768</v>
      </c>
      <c r="F73" s="184">
        <f t="shared" si="12"/>
        <v>0</v>
      </c>
      <c r="G73" s="184">
        <f t="shared" si="12"/>
        <v>81697.513047271204</v>
      </c>
      <c r="H73" s="184">
        <f t="shared" si="29"/>
        <v>81709.077242533967</v>
      </c>
      <c r="J73" s="184">
        <f t="shared" si="14"/>
        <v>267.97940705590491</v>
      </c>
      <c r="K73" s="184">
        <f t="shared" si="14"/>
        <v>218.3884343781809</v>
      </c>
      <c r="L73" s="184">
        <f t="shared" si="14"/>
        <v>13279.064050329889</v>
      </c>
      <c r="M73" s="184">
        <f t="shared" si="30"/>
        <v>13765.431891763976</v>
      </c>
      <c r="O73" s="184">
        <f t="shared" si="16"/>
        <v>52.325302321238226</v>
      </c>
      <c r="Q73" s="184">
        <f t="shared" si="17"/>
        <v>26719.406363150742</v>
      </c>
      <c r="R73" s="184">
        <f t="shared" si="31"/>
        <v>26771.73166547198</v>
      </c>
      <c r="T73" s="184">
        <f t="shared" si="32"/>
        <v>320.30470937714313</v>
      </c>
      <c r="U73" s="184">
        <f t="shared" si="33"/>
        <v>218.3884343781809</v>
      </c>
      <c r="V73" s="184">
        <f t="shared" si="34"/>
        <v>39998.470413480631</v>
      </c>
      <c r="W73" s="184">
        <f t="shared" si="35"/>
        <v>40537.163557235952</v>
      </c>
      <c r="X73" s="184"/>
      <c r="Y73" s="184">
        <f t="shared" si="23"/>
        <v>539.54921555012083</v>
      </c>
      <c r="AA73" s="184">
        <f t="shared" si="23"/>
        <v>142024.97951918226</v>
      </c>
      <c r="AB73" s="184">
        <f t="shared" si="24"/>
        <v>142564.52873473239</v>
      </c>
      <c r="AC73" s="184"/>
      <c r="AD73" s="184">
        <f t="shared" si="36"/>
        <v>871.41812019002168</v>
      </c>
      <c r="AE73" s="184">
        <f t="shared" si="37"/>
        <v>218.3884343781809</v>
      </c>
      <c r="AF73" s="184">
        <f t="shared" si="38"/>
        <v>263720.96297993406</v>
      </c>
      <c r="AG73" s="184">
        <f t="shared" si="39"/>
        <v>264810.76953450229</v>
      </c>
      <c r="AI73" s="184" t="s">
        <v>218</v>
      </c>
      <c r="AJ73" s="184" t="s">
        <v>386</v>
      </c>
    </row>
    <row r="74" spans="1:36" s="182" customFormat="1">
      <c r="A74" s="184" t="s">
        <v>403</v>
      </c>
      <c r="B74" s="184" t="s">
        <v>385</v>
      </c>
      <c r="C74" s="184"/>
      <c r="D74" s="184"/>
      <c r="E74" s="184">
        <f t="shared" si="12"/>
        <v>295.2089216426117</v>
      </c>
      <c r="F74" s="184">
        <f t="shared" si="12"/>
        <v>406.44645463089466</v>
      </c>
      <c r="G74" s="184">
        <f t="shared" si="12"/>
        <v>3453.8799838104951</v>
      </c>
      <c r="H74" s="184">
        <f t="shared" si="29"/>
        <v>4155.5353600840017</v>
      </c>
      <c r="J74" s="184">
        <f t="shared" si="14"/>
        <v>445.45367584582084</v>
      </c>
      <c r="K74" s="184">
        <f t="shared" si="14"/>
        <v>1833.0980162019391</v>
      </c>
      <c r="L74" s="184">
        <f t="shared" si="14"/>
        <v>252.49793150498235</v>
      </c>
      <c r="M74" s="184">
        <f t="shared" si="30"/>
        <v>2531.0496235527421</v>
      </c>
      <c r="O74" s="184">
        <f t="shared" si="16"/>
        <v>930.40928189951796</v>
      </c>
      <c r="Q74" s="184">
        <f t="shared" si="17"/>
        <v>7397.5712513812859</v>
      </c>
      <c r="R74" s="184">
        <f t="shared" si="31"/>
        <v>8327.9805332808046</v>
      </c>
      <c r="T74" s="184">
        <f t="shared" si="32"/>
        <v>1375.8629577453389</v>
      </c>
      <c r="U74" s="184">
        <f t="shared" si="33"/>
        <v>1833.0980162019391</v>
      </c>
      <c r="V74" s="184">
        <f t="shared" si="34"/>
        <v>7650.0691828862682</v>
      </c>
      <c r="W74" s="184">
        <f t="shared" si="35"/>
        <v>10859.030156833547</v>
      </c>
      <c r="X74" s="184"/>
      <c r="Y74" s="184">
        <f t="shared" si="23"/>
        <v>317.08105558395727</v>
      </c>
      <c r="AA74" s="184">
        <f t="shared" si="23"/>
        <v>3321.9729427467469</v>
      </c>
      <c r="AB74" s="184">
        <f t="shared" si="24"/>
        <v>3639.053998330704</v>
      </c>
      <c r="AC74" s="184"/>
      <c r="AD74" s="184">
        <f t="shared" si="36"/>
        <v>1988.1529349719078</v>
      </c>
      <c r="AE74" s="184">
        <f t="shared" si="37"/>
        <v>2239.5444708328337</v>
      </c>
      <c r="AF74" s="184">
        <f t="shared" si="38"/>
        <v>14425.922109443509</v>
      </c>
      <c r="AG74" s="184">
        <f t="shared" si="39"/>
        <v>18653.619515248251</v>
      </c>
      <c r="AI74" s="184" t="s">
        <v>403</v>
      </c>
      <c r="AJ74" s="184" t="s">
        <v>385</v>
      </c>
    </row>
    <row r="75" spans="1:36" s="182" customFormat="1">
      <c r="A75" s="185" t="s">
        <v>282</v>
      </c>
      <c r="B75" s="186" t="s">
        <v>158</v>
      </c>
      <c r="C75" s="184"/>
      <c r="D75" s="184"/>
      <c r="E75" s="184">
        <f t="shared" si="12"/>
        <v>236.6389075186562</v>
      </c>
      <c r="F75" s="184">
        <f t="shared" si="12"/>
        <v>341.97207976781414</v>
      </c>
      <c r="G75" s="184">
        <f t="shared" si="12"/>
        <v>3350.4606296239003</v>
      </c>
      <c r="H75" s="184">
        <f t="shared" si="29"/>
        <v>3929.0716169103707</v>
      </c>
      <c r="J75" s="184">
        <f t="shared" si="14"/>
        <v>410.23690821395536</v>
      </c>
      <c r="K75" s="184">
        <f t="shared" si="14"/>
        <v>1540.2759989382864</v>
      </c>
      <c r="L75" s="184">
        <f t="shared" si="14"/>
        <v>245.38710767399169</v>
      </c>
      <c r="M75" s="184">
        <f t="shared" si="30"/>
        <v>2195.9000148262335</v>
      </c>
      <c r="O75" s="184">
        <f t="shared" si="16"/>
        <v>669.63313540954721</v>
      </c>
      <c r="Q75" s="184">
        <f t="shared" si="17"/>
        <v>7175.3573048940616</v>
      </c>
      <c r="R75" s="184">
        <f t="shared" si="31"/>
        <v>7844.9904403036089</v>
      </c>
      <c r="T75" s="184">
        <f t="shared" si="32"/>
        <v>1079.8700436235026</v>
      </c>
      <c r="U75" s="184">
        <f t="shared" si="33"/>
        <v>1540.2759989382864</v>
      </c>
      <c r="V75" s="184">
        <f t="shared" si="34"/>
        <v>7420.7444125680531</v>
      </c>
      <c r="W75" s="184">
        <f t="shared" si="35"/>
        <v>10040.890455129842</v>
      </c>
      <c r="X75" s="184"/>
      <c r="Y75" s="184">
        <f t="shared" si="23"/>
        <v>193.56043409328242</v>
      </c>
      <c r="AA75" s="184">
        <f t="shared" si="23"/>
        <v>3221.7993993642735</v>
      </c>
      <c r="AB75" s="184">
        <f t="shared" si="24"/>
        <v>3415.3598334575559</v>
      </c>
      <c r="AC75" s="184"/>
      <c r="AD75" s="184">
        <f t="shared" si="36"/>
        <v>1510.0693852354411</v>
      </c>
      <c r="AE75" s="184">
        <f t="shared" si="37"/>
        <v>1882.2480787061006</v>
      </c>
      <c r="AF75" s="184">
        <f t="shared" si="38"/>
        <v>13993.004441556228</v>
      </c>
      <c r="AG75" s="184">
        <f t="shared" si="39"/>
        <v>17385.321905497767</v>
      </c>
      <c r="AI75" s="185" t="s">
        <v>282</v>
      </c>
      <c r="AJ75" s="186" t="s">
        <v>158</v>
      </c>
    </row>
    <row r="76" spans="1:36" s="182" customFormat="1">
      <c r="A76" s="185" t="s">
        <v>488</v>
      </c>
      <c r="B76" s="186" t="s">
        <v>438</v>
      </c>
      <c r="C76" s="184"/>
      <c r="D76" s="184"/>
      <c r="E76" s="184">
        <f t="shared" si="12"/>
        <v>58.570014123955495</v>
      </c>
      <c r="F76" s="184">
        <f t="shared" si="12"/>
        <v>64.47437486308057</v>
      </c>
      <c r="G76" s="184">
        <f t="shared" si="12"/>
        <v>103.41935418659453</v>
      </c>
      <c r="H76" s="184">
        <f t="shared" si="29"/>
        <v>226.46374317363058</v>
      </c>
      <c r="J76" s="184">
        <f t="shared" si="14"/>
        <v>35.21676763186553</v>
      </c>
      <c r="K76" s="184">
        <f t="shared" si="14"/>
        <v>292.82201726365264</v>
      </c>
      <c r="L76" s="184">
        <f t="shared" si="14"/>
        <v>7.110823830990638</v>
      </c>
      <c r="M76" s="184">
        <f t="shared" si="30"/>
        <v>335.1496087265088</v>
      </c>
      <c r="O76" s="184">
        <f t="shared" si="16"/>
        <v>260.77614648997081</v>
      </c>
      <c r="Q76" s="184">
        <f t="shared" si="17"/>
        <v>222.21394648722438</v>
      </c>
      <c r="R76" s="184">
        <f t="shared" si="31"/>
        <v>482.99009297719522</v>
      </c>
      <c r="T76" s="184">
        <f t="shared" si="32"/>
        <v>295.99291412183635</v>
      </c>
      <c r="U76" s="184">
        <f t="shared" si="33"/>
        <v>292.82201726365264</v>
      </c>
      <c r="V76" s="184">
        <f t="shared" si="34"/>
        <v>229.324770318215</v>
      </c>
      <c r="W76" s="184">
        <f t="shared" si="35"/>
        <v>818.13970170370408</v>
      </c>
      <c r="X76" s="184"/>
      <c r="Y76" s="184">
        <f t="shared" si="23"/>
        <v>123.52062149067484</v>
      </c>
      <c r="AA76" s="184">
        <f t="shared" si="23"/>
        <v>100.17354338247333</v>
      </c>
      <c r="AB76" s="184">
        <f t="shared" si="24"/>
        <v>223.69416487314817</v>
      </c>
      <c r="AC76" s="184"/>
      <c r="AD76" s="184">
        <f t="shared" si="36"/>
        <v>478.08354973646669</v>
      </c>
      <c r="AE76" s="184">
        <f t="shared" si="37"/>
        <v>357.29639212673322</v>
      </c>
      <c r="AF76" s="184">
        <f t="shared" si="38"/>
        <v>432.91766788728285</v>
      </c>
      <c r="AG76" s="184">
        <f t="shared" si="39"/>
        <v>1268.2976097504827</v>
      </c>
      <c r="AI76" s="185" t="s">
        <v>488</v>
      </c>
      <c r="AJ76" s="186" t="s">
        <v>438</v>
      </c>
    </row>
    <row r="77" spans="1:36" s="182" customFormat="1">
      <c r="A77" s="184" t="s">
        <v>405</v>
      </c>
      <c r="B77" s="184" t="s">
        <v>227</v>
      </c>
      <c r="C77" s="184"/>
      <c r="D77" s="184"/>
      <c r="E77" s="184">
        <f t="shared" si="12"/>
        <v>151.43834292056056</v>
      </c>
      <c r="F77" s="184">
        <f t="shared" si="12"/>
        <v>245.75832140472704</v>
      </c>
      <c r="G77" s="184">
        <f t="shared" si="12"/>
        <v>29542.410346961609</v>
      </c>
      <c r="H77" s="184">
        <f t="shared" si="13"/>
        <v>29939.607011286898</v>
      </c>
      <c r="J77" s="184">
        <f t="shared" si="14"/>
        <v>598.77700007237286</v>
      </c>
      <c r="K77" s="184">
        <f t="shared" si="14"/>
        <v>2256.950624686775</v>
      </c>
      <c r="L77" s="184">
        <f t="shared" si="14"/>
        <v>9612.396826092443</v>
      </c>
      <c r="M77" s="184">
        <f t="shared" si="15"/>
        <v>12468.124450851592</v>
      </c>
      <c r="O77" s="184">
        <f t="shared" si="16"/>
        <v>832.71467213436836</v>
      </c>
      <c r="Q77" s="184">
        <f t="shared" si="17"/>
        <v>28843.483283432295</v>
      </c>
      <c r="R77" s="184">
        <f t="shared" si="18"/>
        <v>29676.197955566662</v>
      </c>
      <c r="T77" s="184">
        <f t="shared" si="19"/>
        <v>1431.4916722067412</v>
      </c>
      <c r="U77" s="184">
        <f t="shared" si="20"/>
        <v>2256.950624686775</v>
      </c>
      <c r="V77" s="184">
        <f t="shared" si="21"/>
        <v>38455.88010952474</v>
      </c>
      <c r="W77" s="184">
        <f t="shared" si="22"/>
        <v>42144.322406418258</v>
      </c>
      <c r="X77" s="184"/>
      <c r="Y77" s="184">
        <f t="shared" si="23"/>
        <v>790.57171788742039</v>
      </c>
      <c r="AA77" s="184">
        <f t="shared" si="23"/>
        <v>9708.7663241755599</v>
      </c>
      <c r="AB77" s="184">
        <f t="shared" si="24"/>
        <v>10499.33804206298</v>
      </c>
      <c r="AC77" s="184"/>
      <c r="AD77" s="184">
        <f t="shared" si="25"/>
        <v>2373.501733014722</v>
      </c>
      <c r="AE77" s="184">
        <f t="shared" si="26"/>
        <v>2502.7089460915022</v>
      </c>
      <c r="AF77" s="184">
        <f t="shared" si="27"/>
        <v>77707.056780661907</v>
      </c>
      <c r="AG77" s="184">
        <f t="shared" si="28"/>
        <v>82583.267459768147</v>
      </c>
      <c r="AI77" s="184" t="s">
        <v>405</v>
      </c>
      <c r="AJ77" s="184" t="s">
        <v>227</v>
      </c>
    </row>
    <row r="78" spans="1:36" s="182" customFormat="1">
      <c r="A78" s="184" t="s">
        <v>466</v>
      </c>
      <c r="B78" s="184" t="s">
        <v>253</v>
      </c>
      <c r="C78" s="184"/>
      <c r="D78" s="184"/>
      <c r="E78" s="184">
        <f t="shared" si="12"/>
        <v>99.680934580622107</v>
      </c>
      <c r="F78" s="184">
        <f t="shared" si="12"/>
        <v>151.23589009521666</v>
      </c>
      <c r="G78" s="184">
        <f t="shared" si="12"/>
        <v>938.9188305504257</v>
      </c>
      <c r="H78" s="184">
        <f t="shared" si="13"/>
        <v>1189.8356552262644</v>
      </c>
      <c r="J78" s="184">
        <f t="shared" si="14"/>
        <v>44.004110944912796</v>
      </c>
      <c r="K78" s="184">
        <f t="shared" si="14"/>
        <v>38.338713708673836</v>
      </c>
      <c r="L78" s="184">
        <f t="shared" si="14"/>
        <v>512.91345791461424</v>
      </c>
      <c r="M78" s="184">
        <f t="shared" si="15"/>
        <v>595.25628256820085</v>
      </c>
      <c r="O78" s="184">
        <f t="shared" si="16"/>
        <v>245.2748546308045</v>
      </c>
      <c r="Q78" s="184">
        <f t="shared" si="17"/>
        <v>1962.5831836445329</v>
      </c>
      <c r="R78" s="184">
        <f t="shared" si="18"/>
        <v>2207.8580382753375</v>
      </c>
      <c r="T78" s="184">
        <f t="shared" si="19"/>
        <v>289.27896557571728</v>
      </c>
      <c r="U78" s="184">
        <f t="shared" si="20"/>
        <v>38.338713708673836</v>
      </c>
      <c r="V78" s="184">
        <f t="shared" si="21"/>
        <v>2475.4966415591471</v>
      </c>
      <c r="W78" s="184">
        <f t="shared" si="22"/>
        <v>2803.1143208435383</v>
      </c>
      <c r="X78" s="184"/>
      <c r="Y78" s="184">
        <f t="shared" si="23"/>
        <v>271.05316041854411</v>
      </c>
      <c r="AA78" s="184">
        <f t="shared" si="23"/>
        <v>10830.78903748839</v>
      </c>
      <c r="AB78" s="184">
        <f t="shared" si="24"/>
        <v>11101.842197906934</v>
      </c>
      <c r="AC78" s="184"/>
      <c r="AD78" s="184">
        <f t="shared" si="25"/>
        <v>660.01306057488341</v>
      </c>
      <c r="AE78" s="184">
        <f t="shared" si="26"/>
        <v>189.57460380389051</v>
      </c>
      <c r="AF78" s="184">
        <f t="shared" si="27"/>
        <v>14245.204509597963</v>
      </c>
      <c r="AG78" s="187">
        <f t="shared" si="28"/>
        <v>15094.792173976737</v>
      </c>
      <c r="AI78" s="184" t="s">
        <v>466</v>
      </c>
      <c r="AJ78" s="184" t="s">
        <v>253</v>
      </c>
    </row>
    <row r="79" spans="1:36" s="182" customFormat="1">
      <c r="A79" s="184" t="s">
        <v>383</v>
      </c>
      <c r="B79" s="184" t="s">
        <v>503</v>
      </c>
      <c r="C79" s="184"/>
      <c r="D79" s="184"/>
      <c r="E79" s="184">
        <f t="shared" si="12"/>
        <v>1011.4795454355777</v>
      </c>
      <c r="F79" s="184">
        <f t="shared" si="12"/>
        <v>0</v>
      </c>
      <c r="G79" s="184">
        <f t="shared" si="12"/>
        <v>47488.434771554254</v>
      </c>
      <c r="H79" s="184">
        <f t="shared" si="13"/>
        <v>48499.914316989831</v>
      </c>
      <c r="J79" s="184">
        <f t="shared" si="14"/>
        <v>73.943686112568386</v>
      </c>
      <c r="K79" s="184">
        <f t="shared" si="14"/>
        <v>0</v>
      </c>
      <c r="L79" s="184">
        <f t="shared" si="14"/>
        <v>3471.6709495950636</v>
      </c>
      <c r="M79" s="184">
        <f t="shared" si="15"/>
        <v>3545.6146357076318</v>
      </c>
      <c r="O79" s="184">
        <f t="shared" si="16"/>
        <v>769.74771145355066</v>
      </c>
      <c r="Q79" s="184">
        <f t="shared" si="17"/>
        <v>5253.7108047334559</v>
      </c>
      <c r="R79" s="184">
        <f t="shared" si="18"/>
        <v>6023.4585161870064</v>
      </c>
      <c r="T79" s="184">
        <f t="shared" si="19"/>
        <v>843.69139756611901</v>
      </c>
      <c r="U79" s="184">
        <f t="shared" si="20"/>
        <v>0</v>
      </c>
      <c r="V79" s="184">
        <f t="shared" si="21"/>
        <v>8725.3817543285186</v>
      </c>
      <c r="W79" s="184">
        <f t="shared" si="22"/>
        <v>9569.0731518946377</v>
      </c>
      <c r="X79" s="184"/>
      <c r="AD79" s="184">
        <f t="shared" si="25"/>
        <v>1855.1709430016967</v>
      </c>
      <c r="AE79" s="184">
        <f t="shared" si="26"/>
        <v>0</v>
      </c>
      <c r="AF79" s="184">
        <f t="shared" si="27"/>
        <v>56213.816525882772</v>
      </c>
      <c r="AG79" s="187">
        <f t="shared" si="28"/>
        <v>58068.987468884472</v>
      </c>
      <c r="AI79" s="184" t="s">
        <v>383</v>
      </c>
      <c r="AJ79" s="184" t="s">
        <v>503</v>
      </c>
    </row>
    <row r="80" spans="1:36" s="182" customFormat="1">
      <c r="A80" s="184"/>
      <c r="B80" s="184"/>
      <c r="C80" s="188" t="s">
        <v>299</v>
      </c>
      <c r="D80" s="189"/>
      <c r="E80" s="184">
        <f>SUM(E67:E79)-E71-E72-E75-E76</f>
        <v>2938.8346256959076</v>
      </c>
      <c r="F80" s="184">
        <f t="shared" ref="F80:AG80" si="40">SUM(F67:F79)-F71-F72-F75-F76</f>
        <v>3875.4196836899255</v>
      </c>
      <c r="G80" s="184">
        <f t="shared" si="40"/>
        <v>179183.37554563559</v>
      </c>
      <c r="H80" s="184">
        <f t="shared" si="40"/>
        <v>185997.62985502146</v>
      </c>
      <c r="I80" s="184"/>
      <c r="J80" s="184">
        <f t="shared" si="40"/>
        <v>3281.7073829197266</v>
      </c>
      <c r="K80" s="184">
        <f t="shared" si="40"/>
        <v>6754.0025338126497</v>
      </c>
      <c r="L80" s="184">
        <f t="shared" si="40"/>
        <v>35288.221492072007</v>
      </c>
      <c r="M80" s="184">
        <f t="shared" si="40"/>
        <v>45323.931408804376</v>
      </c>
      <c r="N80" s="184"/>
      <c r="O80" s="184">
        <f t="shared" si="40"/>
        <v>7261.7708627693482</v>
      </c>
      <c r="Q80" s="184">
        <f t="shared" si="40"/>
        <v>104289.57085064423</v>
      </c>
      <c r="R80" s="184">
        <f t="shared" si="40"/>
        <v>111551.34171341355</v>
      </c>
      <c r="S80" s="184"/>
      <c r="T80" s="184">
        <f t="shared" si="40"/>
        <v>10543.478245689077</v>
      </c>
      <c r="U80" s="184">
        <f t="shared" si="40"/>
        <v>6754.0025338126497</v>
      </c>
      <c r="V80" s="184">
        <f t="shared" si="40"/>
        <v>139577.79234271622</v>
      </c>
      <c r="W80" s="184">
        <f t="shared" si="40"/>
        <v>156875.273122218</v>
      </c>
      <c r="X80" s="184"/>
      <c r="Y80" s="184">
        <f t="shared" si="40"/>
        <v>5184.1047851119038</v>
      </c>
      <c r="Z80" s="184"/>
      <c r="AA80" s="184">
        <f t="shared" si="40"/>
        <v>190754.20068020155</v>
      </c>
      <c r="AB80" s="184">
        <f t="shared" si="24"/>
        <v>195938.30546531346</v>
      </c>
      <c r="AC80" s="184"/>
      <c r="AD80" s="184">
        <f t="shared" si="40"/>
        <v>18666.417656496888</v>
      </c>
      <c r="AE80" s="184">
        <f t="shared" si="40"/>
        <v>10629.422217502573</v>
      </c>
      <c r="AF80" s="184">
        <f t="shared" si="40"/>
        <v>509515.36856855347</v>
      </c>
      <c r="AG80" s="187">
        <f t="shared" si="40"/>
        <v>538811.20844255283</v>
      </c>
      <c r="AH80" s="188" t="s">
        <v>299</v>
      </c>
    </row>
    <row r="81" spans="1:36" s="182" customFormat="1">
      <c r="A81" s="184" t="s">
        <v>361</v>
      </c>
      <c r="B81" s="184" t="s">
        <v>474</v>
      </c>
      <c r="C81" s="184"/>
      <c r="D81" s="184"/>
      <c r="E81" s="184"/>
      <c r="F81" s="184"/>
      <c r="G81" s="184"/>
      <c r="H81" s="184"/>
      <c r="I81" s="184"/>
      <c r="J81" s="184"/>
      <c r="K81" s="184"/>
      <c r="L81" s="184"/>
      <c r="M81" s="184"/>
      <c r="N81" s="184"/>
      <c r="O81" s="184"/>
      <c r="P81" s="184"/>
      <c r="Q81" s="184"/>
      <c r="R81" s="184"/>
      <c r="S81" s="184"/>
      <c r="T81" s="184"/>
      <c r="U81" s="184"/>
      <c r="V81" s="184"/>
      <c r="W81" s="184"/>
      <c r="X81" s="184"/>
      <c r="Y81" s="184"/>
      <c r="Z81" s="184"/>
      <c r="AA81" s="184">
        <v>11500</v>
      </c>
      <c r="AB81" s="184">
        <f>AB41</f>
        <v>11500</v>
      </c>
      <c r="AC81" s="184"/>
      <c r="AD81" s="184"/>
      <c r="AE81" s="184"/>
      <c r="AF81" s="184">
        <v>11500</v>
      </c>
      <c r="AG81" s="187">
        <f>AG41</f>
        <v>11500</v>
      </c>
      <c r="AH81" s="184"/>
      <c r="AI81" s="184" t="s">
        <v>361</v>
      </c>
      <c r="AJ81" s="184" t="s">
        <v>474</v>
      </c>
    </row>
    <row r="82" spans="1:36" s="182" customFormat="1">
      <c r="A82" s="184"/>
      <c r="B82" s="184"/>
      <c r="C82" s="184"/>
      <c r="D82" s="184" t="s">
        <v>158</v>
      </c>
      <c r="E82" s="184"/>
      <c r="F82" s="184"/>
      <c r="G82" s="184"/>
      <c r="H82" s="184"/>
      <c r="I82" s="184"/>
      <c r="J82" s="184"/>
      <c r="K82" s="184"/>
      <c r="L82" s="184"/>
      <c r="M82" s="184"/>
      <c r="N82" s="184"/>
      <c r="O82" s="184"/>
      <c r="P82" s="184"/>
      <c r="Q82" s="184"/>
      <c r="R82" s="184"/>
      <c r="S82" s="184"/>
      <c r="T82" s="184"/>
      <c r="U82" s="184"/>
      <c r="V82" s="184"/>
      <c r="W82" s="184"/>
      <c r="X82" s="184"/>
      <c r="Y82" s="184"/>
      <c r="Z82" s="184"/>
      <c r="AA82" s="184">
        <v>10810</v>
      </c>
      <c r="AB82" s="184">
        <f>AB42</f>
        <v>10810</v>
      </c>
      <c r="AC82" s="184"/>
      <c r="AD82" s="184"/>
      <c r="AE82" s="184"/>
      <c r="AF82" s="184">
        <v>10810</v>
      </c>
      <c r="AG82" s="184">
        <f>AG42</f>
        <v>10810</v>
      </c>
      <c r="AH82" s="184"/>
      <c r="AI82" s="190" t="s">
        <v>267</v>
      </c>
      <c r="AJ82" s="184" t="s">
        <v>206</v>
      </c>
    </row>
    <row r="83" spans="1:36" s="182" customFormat="1">
      <c r="A83" s="184"/>
      <c r="B83" s="184"/>
      <c r="C83" s="184"/>
      <c r="D83" s="184" t="s">
        <v>159</v>
      </c>
      <c r="E83" s="184"/>
      <c r="F83" s="184"/>
      <c r="G83" s="184"/>
      <c r="H83" s="184"/>
      <c r="I83" s="184"/>
      <c r="J83" s="184"/>
      <c r="K83" s="184"/>
      <c r="L83" s="184"/>
      <c r="M83" s="184"/>
      <c r="N83" s="184"/>
      <c r="O83" s="184"/>
      <c r="P83" s="184"/>
      <c r="Q83" s="184"/>
      <c r="R83" s="184"/>
      <c r="S83" s="184"/>
      <c r="T83" s="184"/>
      <c r="U83" s="184"/>
      <c r="V83" s="184"/>
      <c r="W83" s="184"/>
      <c r="X83" s="184"/>
      <c r="Y83" s="184"/>
      <c r="Z83" s="184"/>
      <c r="AA83" s="184">
        <v>690</v>
      </c>
      <c r="AB83" s="184">
        <f>AB43</f>
        <v>690</v>
      </c>
      <c r="AC83" s="184"/>
      <c r="AD83" s="184"/>
      <c r="AE83" s="184"/>
      <c r="AF83" s="184">
        <v>690</v>
      </c>
      <c r="AG83" s="184">
        <f>AG43</f>
        <v>690</v>
      </c>
      <c r="AH83" s="184"/>
      <c r="AI83" s="190" t="s">
        <v>267</v>
      </c>
      <c r="AJ83" s="184" t="s">
        <v>259</v>
      </c>
    </row>
    <row r="84" spans="1:36" s="182" customFormat="1">
      <c r="A84" s="184" t="s">
        <v>412</v>
      </c>
      <c r="B84" s="184" t="s">
        <v>370</v>
      </c>
      <c r="C84" s="184"/>
      <c r="D84" s="184"/>
      <c r="E84" s="184">
        <v>0</v>
      </c>
      <c r="F84" s="184">
        <v>334.64121664888148</v>
      </c>
      <c r="G84" s="189">
        <v>1896.3002276769951</v>
      </c>
      <c r="H84" s="184">
        <f>H44</f>
        <v>2230.9414443258765</v>
      </c>
      <c r="I84" s="184"/>
      <c r="J84" s="184">
        <v>2424.297</v>
      </c>
      <c r="K84" s="184"/>
      <c r="L84" s="184">
        <v>7160.4477108468218</v>
      </c>
      <c r="M84" s="184">
        <v>9584.7447108468223</v>
      </c>
      <c r="N84" s="184"/>
      <c r="O84" s="184">
        <v>112.758</v>
      </c>
      <c r="P84" s="184"/>
      <c r="Q84" s="184">
        <v>9095.9011910659719</v>
      </c>
      <c r="R84" s="184">
        <v>9208.6591910659718</v>
      </c>
      <c r="S84" s="184"/>
      <c r="T84" s="184">
        <v>2537.0550000000003</v>
      </c>
      <c r="U84" s="184"/>
      <c r="V84" s="189">
        <v>16256.348901912796</v>
      </c>
      <c r="W84" s="184">
        <v>18793.403901912796</v>
      </c>
      <c r="X84" s="184"/>
      <c r="Y84" s="184"/>
      <c r="Z84" s="184"/>
      <c r="AA84" s="184">
        <v>117030.65389008197</v>
      </c>
      <c r="AB84" s="184">
        <v>117030.65389008197</v>
      </c>
      <c r="AC84" s="184"/>
      <c r="AD84" s="184">
        <f>E84+T84+Y84</f>
        <v>2537.0550000000003</v>
      </c>
      <c r="AE84" s="184">
        <f>F84+U84+Z84</f>
        <v>334.64121664888148</v>
      </c>
      <c r="AF84" s="184">
        <f>G84+V84+AA84</f>
        <v>135183.30301967176</v>
      </c>
      <c r="AG84" s="184">
        <f>AG44</f>
        <v>249708.91678385934</v>
      </c>
      <c r="AH84" s="184"/>
      <c r="AI84" s="184" t="s">
        <v>412</v>
      </c>
      <c r="AJ84" s="184" t="s">
        <v>370</v>
      </c>
    </row>
    <row r="85" spans="1:36" s="182" customFormat="1">
      <c r="A85" s="184"/>
      <c r="B85" s="184"/>
      <c r="C85" s="184"/>
      <c r="D85" s="191" t="s">
        <v>289</v>
      </c>
      <c r="E85" s="184">
        <f>E80+E81+E84</f>
        <v>2938.8346256959076</v>
      </c>
      <c r="F85" s="184">
        <f t="shared" ref="F85:AB85" si="41">F80+F81+F84</f>
        <v>4210.0609003388072</v>
      </c>
      <c r="G85" s="184">
        <f t="shared" si="41"/>
        <v>181079.67577331257</v>
      </c>
      <c r="H85" s="119">
        <f t="shared" si="41"/>
        <v>188228.57129934733</v>
      </c>
      <c r="I85" s="184"/>
      <c r="J85" s="184">
        <f t="shared" si="41"/>
        <v>5706.0043829197266</v>
      </c>
      <c r="K85" s="184">
        <f t="shared" si="41"/>
        <v>6754.0025338126497</v>
      </c>
      <c r="L85" s="184">
        <f t="shared" si="41"/>
        <v>42448.669202918827</v>
      </c>
      <c r="M85" s="119">
        <f t="shared" si="41"/>
        <v>54908.676119651194</v>
      </c>
      <c r="N85" s="184"/>
      <c r="O85" s="184">
        <f t="shared" si="41"/>
        <v>7374.5288627693481</v>
      </c>
      <c r="P85" s="184"/>
      <c r="Q85" s="184">
        <f t="shared" si="41"/>
        <v>113385.47204171021</v>
      </c>
      <c r="R85" s="119">
        <f t="shared" si="41"/>
        <v>120760.00090447953</v>
      </c>
      <c r="S85" s="184"/>
      <c r="T85" s="184">
        <f t="shared" si="41"/>
        <v>13080.533245689077</v>
      </c>
      <c r="U85" s="184">
        <f t="shared" si="41"/>
        <v>6754.0025338126497</v>
      </c>
      <c r="V85" s="184">
        <f t="shared" si="41"/>
        <v>155834.14124462902</v>
      </c>
      <c r="W85" s="119">
        <f t="shared" si="41"/>
        <v>175668.6770241308</v>
      </c>
      <c r="X85" s="184"/>
      <c r="Y85" s="184">
        <f t="shared" si="41"/>
        <v>5184.1047851119038</v>
      </c>
      <c r="Z85" s="184"/>
      <c r="AA85" s="184">
        <f>AA80+AA81+AA84</f>
        <v>319284.85457028355</v>
      </c>
      <c r="AB85" s="119">
        <f t="shared" si="41"/>
        <v>324468.9593553954</v>
      </c>
      <c r="AC85" s="184"/>
      <c r="AD85" s="184">
        <f>AD80+AD81+AD84</f>
        <v>21203.472656496888</v>
      </c>
      <c r="AE85" s="184">
        <f>AE80+AE81+AE84</f>
        <v>10964.063434151454</v>
      </c>
      <c r="AF85" s="184">
        <f>AF80+AF81+AF84</f>
        <v>656198.67158822529</v>
      </c>
      <c r="AG85" s="119">
        <f>AG80+AG81+AG84</f>
        <v>800020.1252264122</v>
      </c>
      <c r="AH85" s="188" t="s">
        <v>289</v>
      </c>
    </row>
    <row r="86" spans="1:36">
      <c r="A86" s="124"/>
      <c r="B86" s="124"/>
      <c r="C86" s="124"/>
      <c r="D86" s="129"/>
      <c r="E86" s="124"/>
      <c r="F86" s="124"/>
      <c r="G86" s="124"/>
      <c r="H86" s="124"/>
      <c r="I86" s="124"/>
      <c r="J86" s="124"/>
      <c r="K86" s="124"/>
      <c r="L86" s="124"/>
      <c r="M86" s="124"/>
      <c r="N86" s="124"/>
      <c r="O86" s="124"/>
      <c r="P86" s="124"/>
      <c r="Q86" s="124"/>
      <c r="R86" s="124"/>
      <c r="S86" s="124"/>
      <c r="T86" s="124"/>
      <c r="U86" s="124"/>
      <c r="V86" s="124"/>
      <c r="W86" s="124"/>
      <c r="X86" s="124"/>
      <c r="Y86" s="124"/>
      <c r="Z86" s="124"/>
      <c r="AA86" s="124"/>
      <c r="AB86" s="124">
        <f>Y85+AA85</f>
        <v>324468.95935539546</v>
      </c>
      <c r="AC86" s="124"/>
      <c r="AD86" s="124"/>
      <c r="AE86" s="124"/>
      <c r="AF86" s="124"/>
      <c r="AG86" s="124"/>
      <c r="AH86" s="124"/>
    </row>
    <row r="87" spans="1:36">
      <c r="R87" s="49"/>
      <c r="S87" s="49"/>
      <c r="T87" s="49"/>
      <c r="U87" s="49"/>
      <c r="V87" s="49"/>
      <c r="Y87" s="49"/>
      <c r="Z87" s="71"/>
      <c r="AA87" s="49"/>
      <c r="AB87" s="49"/>
      <c r="AC87" s="71"/>
    </row>
    <row r="88" spans="1:36" ht="17">
      <c r="B88" s="58" t="s">
        <v>328</v>
      </c>
    </row>
    <row r="89" spans="1:36">
      <c r="B89" s="173" t="s">
        <v>425</v>
      </c>
    </row>
    <row r="90" spans="1:36">
      <c r="B90" s="173" t="s">
        <v>497</v>
      </c>
    </row>
    <row r="91" spans="1:36">
      <c r="B91" s="175" t="s">
        <v>354</v>
      </c>
    </row>
    <row r="92" spans="1:36" ht="17">
      <c r="C92" s="65"/>
      <c r="D92" s="73"/>
      <c r="E92" s="74"/>
    </row>
    <row r="93" spans="1:36" s="5" customFormat="1">
      <c r="A93" s="76" t="s">
        <v>207</v>
      </c>
      <c r="B93" s="34"/>
      <c r="C93" s="34"/>
      <c r="D93" s="34"/>
      <c r="E93" s="34"/>
      <c r="F93" s="34"/>
    </row>
    <row r="94" spans="1:36" s="5" customFormat="1">
      <c r="A94" s="34" t="s">
        <v>301</v>
      </c>
      <c r="B94" s="34"/>
      <c r="C94" s="34"/>
      <c r="D94" s="34"/>
      <c r="E94" s="34"/>
      <c r="F94" s="34" t="s">
        <v>280</v>
      </c>
    </row>
    <row r="95" spans="1:36" s="5" customFormat="1">
      <c r="A95" s="34" t="s">
        <v>173</v>
      </c>
      <c r="B95" s="34"/>
      <c r="C95" s="34"/>
      <c r="D95" s="34"/>
      <c r="E95" s="34"/>
      <c r="F95" s="34" t="s">
        <v>226</v>
      </c>
    </row>
    <row r="96" spans="1:36" s="5" customFormat="1" ht="17">
      <c r="B96" s="5" t="s">
        <v>305</v>
      </c>
      <c r="C96" s="72"/>
      <c r="D96" s="73"/>
      <c r="E96" s="74"/>
    </row>
    <row r="97" spans="1:35" s="5" customFormat="1" ht="17">
      <c r="B97" s="5" t="s">
        <v>371</v>
      </c>
      <c r="C97" s="72"/>
      <c r="D97" s="73"/>
      <c r="E97" s="74"/>
    </row>
    <row r="98" spans="1:35" s="5" customFormat="1">
      <c r="A98" s="34" t="s">
        <v>465</v>
      </c>
      <c r="B98" s="34"/>
      <c r="C98" s="34"/>
      <c r="D98" s="34"/>
      <c r="E98" s="34"/>
      <c r="F98" s="34" t="s">
        <v>313</v>
      </c>
    </row>
    <row r="99" spans="1:35" s="5" customFormat="1">
      <c r="A99" s="34" t="s">
        <v>318</v>
      </c>
      <c r="B99" s="34"/>
      <c r="C99" s="34"/>
      <c r="D99" s="34"/>
      <c r="E99" s="34"/>
      <c r="F99" s="34" t="s">
        <v>203</v>
      </c>
    </row>
    <row r="100" spans="1:35" s="5" customFormat="1">
      <c r="A100" s="34" t="s">
        <v>387</v>
      </c>
      <c r="B100" s="34"/>
      <c r="C100" s="34"/>
      <c r="D100" s="34"/>
      <c r="E100" s="34"/>
      <c r="F100" s="34" t="s">
        <v>278</v>
      </c>
    </row>
    <row r="101" spans="1:35" s="5" customFormat="1">
      <c r="A101" s="34" t="s">
        <v>388</v>
      </c>
      <c r="B101" s="34"/>
      <c r="C101" s="34"/>
      <c r="D101" s="34"/>
      <c r="E101" s="34"/>
      <c r="F101" s="34" t="s">
        <v>279</v>
      </c>
    </row>
    <row r="102" spans="1:35" s="5" customFormat="1" ht="17">
      <c r="C102" s="72"/>
      <c r="D102" s="73"/>
      <c r="E102" s="74"/>
    </row>
    <row r="103" spans="1:35" s="5" customFormat="1" ht="18" thickBot="1">
      <c r="B103" s="75" t="s">
        <v>202</v>
      </c>
      <c r="C103" s="72"/>
      <c r="D103" s="73"/>
      <c r="E103" s="74"/>
      <c r="AH103" s="104" t="s">
        <v>202</v>
      </c>
    </row>
    <row r="104" spans="1:35" s="5" customFormat="1" ht="18" thickBot="1">
      <c r="C104" s="72"/>
      <c r="D104" s="73"/>
      <c r="E104" s="77" t="s">
        <v>303</v>
      </c>
      <c r="F104" s="78"/>
      <c r="G104" s="78"/>
      <c r="H104" s="79"/>
      <c r="I104" s="51"/>
      <c r="J104" s="80" t="s">
        <v>389</v>
      </c>
      <c r="K104" s="81"/>
      <c r="L104" s="82" t="s">
        <v>451</v>
      </c>
      <c r="M104" s="83"/>
      <c r="N104" s="51"/>
      <c r="O104" s="84" t="s">
        <v>92</v>
      </c>
      <c r="P104" s="85"/>
      <c r="Q104" s="85"/>
      <c r="R104" s="86"/>
      <c r="S104" s="34"/>
      <c r="T104" s="89" t="s">
        <v>182</v>
      </c>
      <c r="U104" s="90"/>
      <c r="V104" s="90"/>
      <c r="W104" s="91"/>
      <c r="X104" s="34"/>
      <c r="Y104" s="92" t="s">
        <v>298</v>
      </c>
      <c r="Z104" s="101"/>
      <c r="AA104" s="93" t="s">
        <v>357</v>
      </c>
      <c r="AB104" s="94"/>
      <c r="AC104" s="51"/>
      <c r="AD104" s="95" t="s">
        <v>97</v>
      </c>
      <c r="AE104" s="96"/>
      <c r="AF104" s="96"/>
      <c r="AG104" s="97"/>
      <c r="AH104" s="98"/>
    </row>
    <row r="105" spans="1:35" s="5" customFormat="1" ht="17">
      <c r="C105" s="72"/>
      <c r="D105" s="73"/>
      <c r="E105" s="47" t="s">
        <v>399</v>
      </c>
      <c r="F105" s="47" t="s">
        <v>233</v>
      </c>
      <c r="G105" s="47" t="s">
        <v>265</v>
      </c>
      <c r="H105" s="47" t="s">
        <v>421</v>
      </c>
      <c r="I105" s="47"/>
      <c r="J105" s="47" t="s">
        <v>234</v>
      </c>
      <c r="K105" s="47" t="s">
        <v>233</v>
      </c>
      <c r="L105" s="47" t="s">
        <v>265</v>
      </c>
      <c r="M105" s="47" t="s">
        <v>421</v>
      </c>
      <c r="N105" s="47"/>
      <c r="O105" s="47" t="s">
        <v>428</v>
      </c>
      <c r="P105" s="47"/>
      <c r="Q105" s="47" t="s">
        <v>168</v>
      </c>
      <c r="R105" s="47" t="s">
        <v>421</v>
      </c>
      <c r="S105" s="47"/>
      <c r="T105" s="47" t="s">
        <v>468</v>
      </c>
      <c r="U105" s="47" t="s">
        <v>376</v>
      </c>
      <c r="V105" s="47" t="s">
        <v>265</v>
      </c>
      <c r="W105" s="47" t="s">
        <v>421</v>
      </c>
      <c r="X105" s="47"/>
      <c r="Y105" s="47" t="s">
        <v>235</v>
      </c>
      <c r="Z105" s="47"/>
      <c r="AA105" s="47" t="s">
        <v>236</v>
      </c>
      <c r="AB105" s="47" t="s">
        <v>421</v>
      </c>
      <c r="AC105" s="47"/>
      <c r="AD105" s="47" t="s">
        <v>190</v>
      </c>
      <c r="AE105" s="47" t="s">
        <v>527</v>
      </c>
      <c r="AF105" s="47" t="s">
        <v>183</v>
      </c>
      <c r="AG105" s="47" t="s">
        <v>430</v>
      </c>
      <c r="AH105" s="47" t="s">
        <v>430</v>
      </c>
    </row>
    <row r="106" spans="1:35" s="5" customFormat="1" ht="17">
      <c r="A106" s="5" t="s">
        <v>372</v>
      </c>
      <c r="C106" s="72"/>
      <c r="D106" s="73"/>
      <c r="E106" s="47"/>
      <c r="F106" s="47"/>
      <c r="G106" s="47"/>
      <c r="H106" s="110">
        <f>H33+H34+H37+H38</f>
        <v>47311.057714713417</v>
      </c>
      <c r="I106" s="47"/>
      <c r="J106" s="47"/>
      <c r="K106" s="47"/>
      <c r="L106" s="47"/>
      <c r="M106" s="113">
        <f>M33+M34+M37+M38</f>
        <v>7233.8023994072964</v>
      </c>
      <c r="N106" s="47"/>
      <c r="O106" s="47"/>
      <c r="P106" s="47"/>
      <c r="Q106" s="47"/>
      <c r="R106" s="52">
        <f>R33+R34+R37+R38</f>
        <v>15575.205867354494</v>
      </c>
      <c r="S106" s="47"/>
      <c r="T106" s="47"/>
      <c r="U106" s="47"/>
      <c r="V106" s="47"/>
      <c r="W106" s="52">
        <f>W33+W34+W37+W38</f>
        <v>22809.00826676179</v>
      </c>
      <c r="X106" s="47"/>
      <c r="Y106" s="47"/>
      <c r="Z106" s="47"/>
      <c r="AA106" s="47"/>
      <c r="AB106" s="52">
        <f>AB33+AB34+AB37+AB38</f>
        <v>30953.148797982038</v>
      </c>
      <c r="AC106" s="52"/>
      <c r="AD106" s="47"/>
      <c r="AE106" s="47"/>
      <c r="AF106" s="47"/>
      <c r="AG106" s="52">
        <f>AG33+AG34+AG37+AG38</f>
        <v>101073.21477945725</v>
      </c>
      <c r="AH106" s="36">
        <f>H106+W106+AB106</f>
        <v>101073.21477945724</v>
      </c>
    </row>
    <row r="107" spans="1:35" s="5" customFormat="1" ht="17">
      <c r="A107" s="5" t="s">
        <v>502</v>
      </c>
      <c r="C107" s="72"/>
      <c r="D107" s="73"/>
      <c r="E107" s="47"/>
      <c r="F107" s="47"/>
      <c r="G107" s="47"/>
      <c r="H107" s="110">
        <f>SUM(H12:H14)+H17+H18</f>
        <v>73108.070990323467</v>
      </c>
      <c r="I107" s="47"/>
      <c r="J107" s="47"/>
      <c r="K107" s="47"/>
      <c r="L107" s="47"/>
      <c r="M107" s="113">
        <f>SUM(M12:M14)+M17+M18</f>
        <v>22341.789715692546</v>
      </c>
      <c r="N107" s="47"/>
      <c r="O107" s="47"/>
      <c r="P107" s="47"/>
      <c r="Q107" s="47"/>
      <c r="R107" s="52">
        <f>SUM(R12:R14)+R17+R18</f>
        <v>57432.960053708048</v>
      </c>
      <c r="S107" s="47"/>
      <c r="T107" s="47"/>
      <c r="U107" s="47"/>
      <c r="V107" s="47"/>
      <c r="W107" s="52">
        <f>SUM(W12:W14)+W17+W18</f>
        <v>79774.749769400587</v>
      </c>
      <c r="X107" s="47"/>
      <c r="Y107" s="47"/>
      <c r="Z107" s="47"/>
      <c r="AA107" s="47"/>
      <c r="AB107" s="52">
        <f>SUM(AB12:AB14)+AB17+AB18</f>
        <v>116589.04003871344</v>
      </c>
      <c r="AC107" s="52"/>
      <c r="AD107" s="47"/>
      <c r="AE107" s="47"/>
      <c r="AF107" s="47"/>
      <c r="AG107" s="52">
        <f>SUM(AG12:AG14)+AG17+AG18</f>
        <v>269471.8607984375</v>
      </c>
      <c r="AH107" s="36">
        <f>H107+W107+AB107</f>
        <v>269471.8607984375</v>
      </c>
    </row>
    <row r="108" spans="1:35" s="5" customFormat="1" ht="17">
      <c r="C108" s="72"/>
      <c r="D108" s="73"/>
      <c r="E108" s="106"/>
      <c r="F108" s="106"/>
      <c r="G108" s="106"/>
      <c r="H108" s="106"/>
      <c r="I108" s="107"/>
      <c r="J108" s="107"/>
      <c r="K108" s="3"/>
      <c r="L108" s="3"/>
      <c r="M108" s="3"/>
      <c r="N108" s="47"/>
      <c r="O108" s="47"/>
      <c r="P108" s="47"/>
      <c r="Q108" s="47"/>
      <c r="R108" s="47"/>
      <c r="S108" s="47"/>
      <c r="T108" s="47"/>
      <c r="U108" s="47"/>
      <c r="V108" s="47"/>
      <c r="W108" s="52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:35" s="5" customFormat="1">
      <c r="A109" s="71" t="s">
        <v>429</v>
      </c>
      <c r="B109" s="71" t="s">
        <v>287</v>
      </c>
      <c r="C109" s="71"/>
      <c r="D109" s="73" t="s">
        <v>377</v>
      </c>
      <c r="E109" s="107"/>
      <c r="F109" s="108"/>
      <c r="G109" s="108"/>
      <c r="H109" s="108"/>
      <c r="I109" s="108"/>
      <c r="J109" s="108"/>
    </row>
    <row r="110" spans="1:35" s="5" customFormat="1">
      <c r="A110" s="71" t="s">
        <v>484</v>
      </c>
      <c r="B110" s="124" t="s">
        <v>256</v>
      </c>
      <c r="C110" s="71"/>
      <c r="D110" s="73"/>
      <c r="E110" s="109">
        <f t="shared" ref="E110:H115" si="42">E12*47311.06/73108.07</f>
        <v>262.21869564059892</v>
      </c>
      <c r="F110" s="109">
        <f t="shared" si="42"/>
        <v>0</v>
      </c>
      <c r="G110" s="109">
        <f t="shared" si="42"/>
        <v>0</v>
      </c>
      <c r="H110" s="109">
        <f t="shared" si="42"/>
        <v>262.21869564059892</v>
      </c>
      <c r="I110" s="108"/>
      <c r="J110" s="111">
        <f t="shared" ref="J110:M115" si="43">J12*7233.8/22341.79</f>
        <v>284.31970936222683</v>
      </c>
      <c r="K110" s="111">
        <f t="shared" si="43"/>
        <v>0</v>
      </c>
      <c r="L110" s="111">
        <f t="shared" si="43"/>
        <v>0</v>
      </c>
      <c r="M110" s="111">
        <f t="shared" si="43"/>
        <v>284.31970936222683</v>
      </c>
      <c r="O110" s="111">
        <f t="shared" ref="O110:O115" si="44">O12*15575/57433</f>
        <v>409.13440463693172</v>
      </c>
      <c r="Q110" s="111">
        <f t="shared" ref="Q110:R115" si="45">Q12*15575/57433</f>
        <v>0</v>
      </c>
      <c r="R110" s="111">
        <f t="shared" si="45"/>
        <v>409.13440463693172</v>
      </c>
      <c r="T110" s="116">
        <f>J110+O110</f>
        <v>693.45411399915861</v>
      </c>
      <c r="U110" s="116">
        <f>K110+P110</f>
        <v>0</v>
      </c>
      <c r="V110" s="116">
        <f>L110+Q110</f>
        <v>0</v>
      </c>
      <c r="W110" s="116">
        <f>M110+R110</f>
        <v>693.45411399915861</v>
      </c>
      <c r="Y110" s="111">
        <f t="shared" ref="Y110:Y115" si="46">Y12*30953/116589</f>
        <v>247.16888026053016</v>
      </c>
      <c r="AA110" s="111">
        <f t="shared" ref="AA110:AB115" si="47">AA12*30953/116589</f>
        <v>0</v>
      </c>
      <c r="AB110" s="111">
        <f t="shared" si="47"/>
        <v>247.16888026053016</v>
      </c>
      <c r="AD110" s="116">
        <f>E110+T110+Y110</f>
        <v>1202.8416899002877</v>
      </c>
      <c r="AE110" s="116">
        <f>F110+U110+Z110</f>
        <v>0</v>
      </c>
      <c r="AF110" s="116">
        <f>G110+V110+AA110</f>
        <v>0</v>
      </c>
      <c r="AG110" s="116">
        <f>H110+W110+AB110</f>
        <v>1202.8416899002877</v>
      </c>
    </row>
    <row r="111" spans="1:35" s="5" customFormat="1">
      <c r="A111" s="71" t="s">
        <v>485</v>
      </c>
      <c r="B111" s="124" t="s">
        <v>424</v>
      </c>
      <c r="C111" s="71"/>
      <c r="D111" s="73"/>
      <c r="E111" s="109">
        <f t="shared" si="42"/>
        <v>0</v>
      </c>
      <c r="F111" s="109">
        <f t="shared" si="42"/>
        <v>453.60070157277755</v>
      </c>
      <c r="G111" s="109">
        <f t="shared" si="42"/>
        <v>1203.136938657671</v>
      </c>
      <c r="H111" s="109">
        <f t="shared" si="42"/>
        <v>1656.7376402304485</v>
      </c>
      <c r="I111" s="108"/>
      <c r="J111" s="111">
        <f t="shared" si="43"/>
        <v>0</v>
      </c>
      <c r="K111" s="111">
        <f t="shared" si="43"/>
        <v>191.67458526896451</v>
      </c>
      <c r="L111" s="111">
        <f t="shared" si="43"/>
        <v>308.2921811361187</v>
      </c>
      <c r="M111" s="111">
        <f t="shared" si="43"/>
        <v>499.96676640508315</v>
      </c>
      <c r="O111" s="111">
        <f t="shared" si="44"/>
        <v>0</v>
      </c>
      <c r="Q111" s="111">
        <f t="shared" si="45"/>
        <v>1303.2983531887469</v>
      </c>
      <c r="R111" s="111">
        <f t="shared" si="45"/>
        <v>1303.2983531887469</v>
      </c>
      <c r="T111" s="116">
        <f t="shared" ref="T111:T118" si="48">J111+O111</f>
        <v>0</v>
      </c>
      <c r="U111" s="116">
        <f t="shared" ref="U111:U118" si="49">K111+P111</f>
        <v>191.67458526896451</v>
      </c>
      <c r="V111" s="116">
        <f t="shared" ref="V111:V118" si="50">L111+Q111</f>
        <v>1611.5905343248655</v>
      </c>
      <c r="W111" s="116">
        <f t="shared" ref="W111:W118" si="51">M111+R111</f>
        <v>1803.2651195938301</v>
      </c>
      <c r="Y111" s="111">
        <f t="shared" si="46"/>
        <v>0</v>
      </c>
      <c r="AA111" s="111">
        <f t="shared" si="47"/>
        <v>831.98428143591968</v>
      </c>
      <c r="AB111" s="111">
        <f t="shared" si="47"/>
        <v>831.98428143591968</v>
      </c>
      <c r="AD111" s="116">
        <f t="shared" ref="AD111:AD118" si="52">E111+T111+Y111</f>
        <v>0</v>
      </c>
      <c r="AE111" s="116">
        <f t="shared" ref="AE111:AE118" si="53">F111+U111+Z111</f>
        <v>645.27528684174206</v>
      </c>
      <c r="AF111" s="116">
        <f t="shared" ref="AF111:AF118" si="54">G111+V111+AA111</f>
        <v>3646.7117544184566</v>
      </c>
      <c r="AG111" s="116">
        <f t="shared" ref="AG111:AG124" si="55">H111+W111+AB111</f>
        <v>4291.9870412601986</v>
      </c>
    </row>
    <row r="112" spans="1:35" s="5" customFormat="1">
      <c r="A112" s="71" t="s">
        <v>486</v>
      </c>
      <c r="B112" s="71" t="s">
        <v>384</v>
      </c>
      <c r="C112" s="71"/>
      <c r="D112" s="73"/>
      <c r="E112" s="109">
        <f t="shared" si="42"/>
        <v>304.6895270000926</v>
      </c>
      <c r="F112" s="109">
        <f t="shared" si="42"/>
        <v>847.85177864070613</v>
      </c>
      <c r="G112" s="109">
        <f t="shared" si="42"/>
        <v>5729.9396703571556</v>
      </c>
      <c r="H112" s="109">
        <f t="shared" si="42"/>
        <v>6882.4809759979553</v>
      </c>
      <c r="I112" s="108"/>
      <c r="J112" s="111">
        <f t="shared" si="43"/>
        <v>149.49717243104439</v>
      </c>
      <c r="K112" s="111">
        <f t="shared" si="43"/>
        <v>418.03297366820397</v>
      </c>
      <c r="L112" s="111">
        <f t="shared" si="43"/>
        <v>1688.9795452541114</v>
      </c>
      <c r="M112" s="111">
        <f t="shared" si="43"/>
        <v>2256.5096913533598</v>
      </c>
      <c r="O112" s="111">
        <f t="shared" si="44"/>
        <v>471.37092599916326</v>
      </c>
      <c r="Q112" s="111">
        <f t="shared" si="45"/>
        <v>5800.6147784860668</v>
      </c>
      <c r="R112" s="111">
        <f t="shared" si="45"/>
        <v>6271.9857044852297</v>
      </c>
      <c r="T112" s="116">
        <f t="shared" si="48"/>
        <v>620.86809843020762</v>
      </c>
      <c r="U112" s="116">
        <f t="shared" si="49"/>
        <v>418.03297366820397</v>
      </c>
      <c r="V112" s="116">
        <f t="shared" si="50"/>
        <v>7489.594323740178</v>
      </c>
      <c r="W112" s="116">
        <f t="shared" si="51"/>
        <v>8528.4953958385886</v>
      </c>
      <c r="Y112" s="111">
        <f t="shared" si="46"/>
        <v>136.7334373503912</v>
      </c>
      <c r="AA112" s="111">
        <f t="shared" si="47"/>
        <v>2063.522418837551</v>
      </c>
      <c r="AB112" s="111">
        <f t="shared" si="47"/>
        <v>2200.2558561879423</v>
      </c>
      <c r="AD112" s="116">
        <f t="shared" si="52"/>
        <v>1062.2910627806914</v>
      </c>
      <c r="AE112" s="116">
        <f t="shared" si="53"/>
        <v>1265.88475230891</v>
      </c>
      <c r="AF112" s="116">
        <f t="shared" si="54"/>
        <v>15283.056412934884</v>
      </c>
      <c r="AG112" s="116">
        <f t="shared" si="55"/>
        <v>17611.232228024484</v>
      </c>
    </row>
    <row r="113" spans="1:33" s="5" customFormat="1">
      <c r="A113" s="57" t="s">
        <v>489</v>
      </c>
      <c r="B113" s="14" t="s">
        <v>297</v>
      </c>
      <c r="C113" s="14"/>
      <c r="D113" s="73"/>
      <c r="E113" s="109">
        <f t="shared" si="42"/>
        <v>176.66885994938721</v>
      </c>
      <c r="F113" s="109">
        <f t="shared" si="42"/>
        <v>669.78853497295154</v>
      </c>
      <c r="G113" s="109">
        <f t="shared" si="42"/>
        <v>3552.1442207406099</v>
      </c>
      <c r="H113" s="109">
        <f t="shared" si="42"/>
        <v>4398.6016156629485</v>
      </c>
      <c r="I113" s="108"/>
      <c r="J113" s="111">
        <f t="shared" si="43"/>
        <v>85.153848460664975</v>
      </c>
      <c r="K113" s="111">
        <f t="shared" si="43"/>
        <v>330.25446931512647</v>
      </c>
      <c r="L113" s="111">
        <f t="shared" si="43"/>
        <v>1047.1009350638421</v>
      </c>
      <c r="M113" s="111">
        <f t="shared" si="43"/>
        <v>1462.5092528396337</v>
      </c>
      <c r="O113" s="111">
        <f t="shared" si="44"/>
        <v>339.25312973377675</v>
      </c>
      <c r="Q113" s="111">
        <f t="shared" si="45"/>
        <v>3596.4628349555132</v>
      </c>
      <c r="R113" s="111">
        <f t="shared" si="45"/>
        <v>3935.7159646892901</v>
      </c>
      <c r="T113" s="116">
        <f t="shared" si="48"/>
        <v>424.40697819444171</v>
      </c>
      <c r="U113" s="116">
        <f t="shared" si="49"/>
        <v>330.25446931512647</v>
      </c>
      <c r="V113" s="116">
        <f t="shared" si="50"/>
        <v>4643.5637700193556</v>
      </c>
      <c r="W113" s="116">
        <f t="shared" si="51"/>
        <v>5398.2252175289241</v>
      </c>
      <c r="Y113" s="111">
        <f t="shared" si="46"/>
        <v>79.380962183396377</v>
      </c>
      <c r="AA113" s="111">
        <f t="shared" si="47"/>
        <v>1279.3874808086525</v>
      </c>
      <c r="AB113" s="111">
        <f t="shared" si="47"/>
        <v>1358.7684429920489</v>
      </c>
      <c r="AD113" s="116">
        <f t="shared" si="52"/>
        <v>680.45680032722532</v>
      </c>
      <c r="AE113" s="116">
        <f t="shared" si="53"/>
        <v>1000.043004288078</v>
      </c>
      <c r="AF113" s="116">
        <f t="shared" si="54"/>
        <v>9475.0954715686184</v>
      </c>
      <c r="AG113" s="116">
        <f t="shared" si="55"/>
        <v>11155.595276183922</v>
      </c>
    </row>
    <row r="114" spans="1:33" s="5" customFormat="1">
      <c r="A114" s="57" t="s">
        <v>513</v>
      </c>
      <c r="B114" s="14" t="s">
        <v>437</v>
      </c>
      <c r="C114" s="14"/>
      <c r="D114" s="73"/>
      <c r="E114" s="109">
        <f t="shared" si="42"/>
        <v>128.02066705070536</v>
      </c>
      <c r="F114" s="109">
        <f t="shared" si="42"/>
        <v>178.06324366775451</v>
      </c>
      <c r="G114" s="109">
        <f t="shared" si="42"/>
        <v>2177.7954496165462</v>
      </c>
      <c r="H114" s="109">
        <f t="shared" si="42"/>
        <v>2483.8793603350064</v>
      </c>
      <c r="I114" s="108"/>
      <c r="J114" s="111">
        <f t="shared" si="43"/>
        <v>64.343323970379416</v>
      </c>
      <c r="K114" s="111">
        <f t="shared" si="43"/>
        <v>87.778504353077494</v>
      </c>
      <c r="L114" s="111">
        <f t="shared" si="43"/>
        <v>641.87861019026911</v>
      </c>
      <c r="M114" s="111">
        <f t="shared" si="43"/>
        <v>794.00043851372607</v>
      </c>
      <c r="O114" s="111">
        <f t="shared" si="44"/>
        <v>132.11779626538654</v>
      </c>
      <c r="Q114" s="111">
        <f t="shared" si="45"/>
        <v>2204.1519435305527</v>
      </c>
      <c r="R114" s="111">
        <f t="shared" si="45"/>
        <v>2336.2697397959396</v>
      </c>
      <c r="T114" s="116">
        <f t="shared" si="48"/>
        <v>196.46112023576597</v>
      </c>
      <c r="U114" s="116">
        <f t="shared" si="49"/>
        <v>87.778504353077494</v>
      </c>
      <c r="V114" s="116">
        <f t="shared" si="50"/>
        <v>2846.0305537208219</v>
      </c>
      <c r="W114" s="116">
        <f t="shared" si="51"/>
        <v>3130.2701783096654</v>
      </c>
      <c r="Y114" s="111">
        <f t="shared" si="46"/>
        <v>57.352475166994836</v>
      </c>
      <c r="AA114" s="111">
        <f t="shared" si="47"/>
        <v>784.13493802889855</v>
      </c>
      <c r="AB114" s="111">
        <f t="shared" si="47"/>
        <v>841.4874131958934</v>
      </c>
      <c r="AD114" s="116">
        <f t="shared" si="52"/>
        <v>381.83426245346618</v>
      </c>
      <c r="AE114" s="116">
        <f t="shared" si="53"/>
        <v>265.84174802083203</v>
      </c>
      <c r="AF114" s="116">
        <f t="shared" si="54"/>
        <v>5807.9609413662665</v>
      </c>
      <c r="AG114" s="116">
        <f t="shared" si="55"/>
        <v>6455.6369518405645</v>
      </c>
    </row>
    <row r="115" spans="1:33" s="5" customFormat="1">
      <c r="A115" s="71" t="s">
        <v>218</v>
      </c>
      <c r="B115" s="71" t="s">
        <v>386</v>
      </c>
      <c r="C115" s="71"/>
      <c r="D115" s="73"/>
      <c r="E115" s="109">
        <f t="shared" si="42"/>
        <v>5.1864533033287632</v>
      </c>
      <c r="F115" s="109">
        <f t="shared" si="42"/>
        <v>0</v>
      </c>
      <c r="G115" s="109">
        <f t="shared" si="42"/>
        <v>36640.710986811988</v>
      </c>
      <c r="H115" s="109">
        <f t="shared" si="42"/>
        <v>36645.897440115317</v>
      </c>
      <c r="I115" s="108"/>
      <c r="J115" s="111">
        <f t="shared" si="43"/>
        <v>68.949770242970146</v>
      </c>
      <c r="K115" s="111">
        <f t="shared" si="43"/>
        <v>56.190259317038574</v>
      </c>
      <c r="L115" s="111">
        <f t="shared" si="43"/>
        <v>3416.6372161608801</v>
      </c>
      <c r="M115" s="111">
        <f t="shared" si="43"/>
        <v>3541.7772457208898</v>
      </c>
      <c r="O115" s="111">
        <f t="shared" si="44"/>
        <v>11.315731156769074</v>
      </c>
      <c r="Q115" s="111">
        <f t="shared" si="45"/>
        <v>5778.2679824318666</v>
      </c>
      <c r="R115" s="111">
        <f t="shared" si="45"/>
        <v>5789.583713588635</v>
      </c>
      <c r="T115" s="116">
        <f t="shared" si="48"/>
        <v>80.265501399739222</v>
      </c>
      <c r="U115" s="116">
        <f t="shared" si="49"/>
        <v>56.190259317038574</v>
      </c>
      <c r="V115" s="116">
        <f t="shared" si="50"/>
        <v>9194.9051985927472</v>
      </c>
      <c r="W115" s="116">
        <f t="shared" si="51"/>
        <v>9331.3609593095243</v>
      </c>
      <c r="Y115" s="120">
        <f t="shared" si="46"/>
        <v>102.12656736613289</v>
      </c>
      <c r="AA115" s="120">
        <f t="shared" si="47"/>
        <v>26882.670237506867</v>
      </c>
      <c r="AB115" s="120">
        <f t="shared" si="47"/>
        <v>26984.796804872996</v>
      </c>
      <c r="AD115" s="116">
        <f t="shared" si="52"/>
        <v>187.57852206920086</v>
      </c>
      <c r="AE115" s="116">
        <f t="shared" si="53"/>
        <v>56.190259317038574</v>
      </c>
      <c r="AF115" s="116">
        <f t="shared" si="54"/>
        <v>72718.286422911609</v>
      </c>
      <c r="AG115" s="116">
        <f t="shared" si="55"/>
        <v>72962.055204297838</v>
      </c>
    </row>
    <row r="116" spans="1:33" s="5" customFormat="1">
      <c r="A116" s="71" t="s">
        <v>403</v>
      </c>
      <c r="B116" s="71" t="s">
        <v>385</v>
      </c>
      <c r="C116" s="71"/>
      <c r="D116" s="73"/>
      <c r="E116" s="109">
        <f>(E18*47311.06/73108.07)+(($H31+$H32+$H35+$H36)*(E18/$H18))</f>
        <v>827.37952162901388</v>
      </c>
      <c r="F116" s="109">
        <f>(F18*47311.06/73108.07)+(($H31+$H32+$H35+$H36)*(F18/$H18))</f>
        <v>1139.1440046227165</v>
      </c>
      <c r="G116" s="109">
        <f>(G18*47311.06/73108.07)+(($H31+$H32+$H35+$H36)*(G18/$H18))</f>
        <v>9680.1599113888897</v>
      </c>
      <c r="H116" s="109">
        <f>(H18*47311.06/73108.07)+(($H31+$H32+$H35+$H36)*(H$18/$H18))</f>
        <v>11646.68343764062</v>
      </c>
      <c r="I116" s="108"/>
      <c r="J116" s="111">
        <f>(J18*7233.8/22341.79)+(($M31+$M32+$M35+$M36)*(J$18/$M18))</f>
        <v>479.43203080848457</v>
      </c>
      <c r="K116" s="111">
        <f>(K18*7233.8/22341.79)+(($M31+$M32+$M35+$M36)*(K$18/$M18))</f>
        <v>1972.9232291325475</v>
      </c>
      <c r="L116" s="111">
        <f>(L18*7233.8/22341.79)+(($M31+$M32+$M35+$M36)*(L$18/$M18))</f>
        <v>271.75799110090793</v>
      </c>
      <c r="M116" s="120">
        <f>(M18*7233.8/22341.79)+(($M31+$M32+$M35+$M36)*(M18/$M18))</f>
        <v>2724.1132510419402</v>
      </c>
      <c r="O116" s="111">
        <f>(O18*15575/57433)+(($R31+$R32+$R35+$R36)*(O$18/$R$18))</f>
        <v>985.41575585948272</v>
      </c>
      <c r="Q116" s="111">
        <f>(Q18*15575/57433)+(($R31+$R32+$R35+$R36)*(Q$18/$R$18))</f>
        <v>7834.9210482097687</v>
      </c>
      <c r="R116" s="111">
        <f>(R18*15575/57433)+(($R31+$R32+$R35+$R36)*(R$18/$R$18))</f>
        <v>8820.3368040692512</v>
      </c>
      <c r="T116" s="116">
        <f t="shared" si="48"/>
        <v>1464.8477866679673</v>
      </c>
      <c r="U116" s="116">
        <f t="shared" si="49"/>
        <v>1972.9232291325475</v>
      </c>
      <c r="V116" s="116">
        <f t="shared" si="50"/>
        <v>8106.6790393106767</v>
      </c>
      <c r="W116" s="116">
        <f t="shared" si="51"/>
        <v>11544.450055111192</v>
      </c>
      <c r="Y116" s="120">
        <f>(Y18*30953/116589)+(($AB31+$AB32+$AB35+$AB36)*(Y$18/$AB$18))</f>
        <v>2263.5931982731699</v>
      </c>
      <c r="AA116" s="120">
        <f>(AA18*30953/116589)+(($AB31+$AB32+$AB35+$AB36)*(AA$18/$AB$18))</f>
        <v>23715.057161647401</v>
      </c>
      <c r="AB116" s="120">
        <f>(AB18*30953/116589)+(($AB31+$AB32+$AB35+$AB36)*(AB$18/$AB$18))</f>
        <v>25978.650359920568</v>
      </c>
      <c r="AD116" s="116">
        <f t="shared" si="52"/>
        <v>4555.8205065701513</v>
      </c>
      <c r="AE116" s="116">
        <f t="shared" si="53"/>
        <v>3112.0672337552642</v>
      </c>
      <c r="AF116" s="116">
        <f t="shared" si="54"/>
        <v>41501.896112346963</v>
      </c>
      <c r="AG116" s="116">
        <f t="shared" si="55"/>
        <v>49169.783852672379</v>
      </c>
    </row>
    <row r="117" spans="1:33" s="5" customFormat="1">
      <c r="A117" s="57" t="s">
        <v>282</v>
      </c>
      <c r="B117" s="14" t="s">
        <v>158</v>
      </c>
      <c r="C117" s="71"/>
      <c r="D117" s="73"/>
      <c r="E117" s="109">
        <f t="shared" ref="E117:H118" si="56">(E19*47311.06/73108.07)+(($H31+$H35)*(E$18/$H$18))</f>
        <v>547.72801376061216</v>
      </c>
      <c r="F117" s="109">
        <f t="shared" si="56"/>
        <v>761.36719422879537</v>
      </c>
      <c r="G117" s="109">
        <f t="shared" si="56"/>
        <v>6669.2477434132106</v>
      </c>
      <c r="H117" s="109">
        <f t="shared" si="56"/>
        <v>7978.3429514026193</v>
      </c>
      <c r="I117" s="108"/>
      <c r="J117" s="111">
        <f t="shared" ref="J117:M118" si="57">(J19*7233.8/22341.79)+(($M31+$M35)*(J$18/$M$18))</f>
        <v>344.85579847535354</v>
      </c>
      <c r="K117" s="111">
        <f t="shared" si="57"/>
        <v>1381.0709880022291</v>
      </c>
      <c r="L117" s="111">
        <f t="shared" si="57"/>
        <v>198.78226727664287</v>
      </c>
      <c r="M117" s="111">
        <f t="shared" si="57"/>
        <v>1924.7090537542256</v>
      </c>
      <c r="O117" s="111">
        <f>O19*15575/57433+(($R31+$R35)*(O$18/$R$18))</f>
        <v>694.71694601237232</v>
      </c>
      <c r="Q117" s="111">
        <f>Q19*15575/57433+(($R31+$R35)*(Q$18/$R$18))</f>
        <v>5923.9425774908677</v>
      </c>
      <c r="R117" s="111">
        <f>R19*15575/57433+(($R31+$R35)*(R$18/$R$18))</f>
        <v>6618.6595235032391</v>
      </c>
      <c r="T117" s="116">
        <f t="shared" si="48"/>
        <v>1039.5727444877259</v>
      </c>
      <c r="U117" s="116">
        <f t="shared" si="49"/>
        <v>1381.0709880022291</v>
      </c>
      <c r="V117" s="116">
        <f t="shared" si="50"/>
        <v>6122.7248447675101</v>
      </c>
      <c r="W117" s="116">
        <f t="shared" si="51"/>
        <v>8543.3685772574645</v>
      </c>
      <c r="Y117" s="120">
        <f>(Y19*30953/116589)+(($AB31+$AB35)*(Y$18/$AB$18))</f>
        <v>1705.2220611182631</v>
      </c>
      <c r="AA117" s="120">
        <f t="shared" ref="AA117:AB117" si="58">(AA19*30953/116589)+(($AB31+$AB35)*(AA$18/$AB$18))</f>
        <v>18091.139406585877</v>
      </c>
      <c r="AB117" s="120">
        <f t="shared" si="58"/>
        <v>19796.361467704137</v>
      </c>
      <c r="AD117" s="116">
        <f t="shared" si="52"/>
        <v>3292.5228193666012</v>
      </c>
      <c r="AE117" s="116">
        <f t="shared" si="53"/>
        <v>2142.4381822310243</v>
      </c>
      <c r="AF117" s="116">
        <f t="shared" si="54"/>
        <v>30883.111994766597</v>
      </c>
      <c r="AG117" s="116">
        <f t="shared" si="55"/>
        <v>36318.072996364222</v>
      </c>
    </row>
    <row r="118" spans="1:33" s="5" customFormat="1">
      <c r="A118" s="57" t="s">
        <v>488</v>
      </c>
      <c r="B118" s="14" t="s">
        <v>438</v>
      </c>
      <c r="C118" s="71"/>
      <c r="D118" s="73"/>
      <c r="E118" s="109">
        <f t="shared" si="56"/>
        <v>279.65150786840167</v>
      </c>
      <c r="F118" s="109">
        <f t="shared" si="56"/>
        <v>377.7768103939211</v>
      </c>
      <c r="G118" s="109">
        <f t="shared" si="56"/>
        <v>3010.912167975679</v>
      </c>
      <c r="H118" s="109">
        <f t="shared" si="56"/>
        <v>3668.3404862380021</v>
      </c>
      <c r="I118" s="108"/>
      <c r="J118" s="111">
        <f t="shared" si="57"/>
        <v>134.57623233313109</v>
      </c>
      <c r="K118" s="111">
        <f t="shared" si="57"/>
        <v>591.85224113031848</v>
      </c>
      <c r="L118" s="111">
        <f t="shared" si="57"/>
        <v>72.975723824265074</v>
      </c>
      <c r="M118" s="111">
        <f t="shared" si="57"/>
        <v>799.40419728771474</v>
      </c>
      <c r="O118" s="111">
        <f>O20*15575/57433+(($R32+$R36)*(O$18/$R$18))</f>
        <v>290.6988098471104</v>
      </c>
      <c r="Q118" s="111">
        <f>Q20*15575/57433+(($R32+$R36)*(Q$18/$R$18))</f>
        <v>1910.978470718901</v>
      </c>
      <c r="R118" s="111">
        <f>R20*15575/57433+(($R32+$R36)*(R$18/$R$18))</f>
        <v>2201.6772805660112</v>
      </c>
      <c r="T118" s="116">
        <f t="shared" si="48"/>
        <v>425.27504218024148</v>
      </c>
      <c r="U118" s="116">
        <f t="shared" si="49"/>
        <v>591.85224113031848</v>
      </c>
      <c r="V118" s="116">
        <f t="shared" si="50"/>
        <v>1983.9541945431661</v>
      </c>
      <c r="W118" s="116">
        <f t="shared" si="51"/>
        <v>3001.081477853726</v>
      </c>
      <c r="Y118" s="120">
        <f>(Y20*30953/116589)+(($AB32+$AB36)*(Y$18/$AB$18))</f>
        <v>558.37113715490682</v>
      </c>
      <c r="AA118" s="120">
        <f t="shared" ref="AA118:AB118" si="59">(AA20*30953/116589)+(($AB32+$AB36)*(AA$18/$AB$18))</f>
        <v>5623.9177550615223</v>
      </c>
      <c r="AB118" s="120">
        <f t="shared" si="59"/>
        <v>6182.2888922164284</v>
      </c>
      <c r="AD118" s="116">
        <f t="shared" si="52"/>
        <v>1263.2976872035499</v>
      </c>
      <c r="AE118" s="116">
        <f t="shared" si="53"/>
        <v>969.62905152423957</v>
      </c>
      <c r="AF118" s="116">
        <f t="shared" si="54"/>
        <v>10618.784117580368</v>
      </c>
      <c r="AG118" s="116">
        <f t="shared" si="55"/>
        <v>12851.710856308157</v>
      </c>
    </row>
    <row r="119" spans="1:33" s="5" customFormat="1">
      <c r="A119" s="71" t="s">
        <v>405</v>
      </c>
      <c r="B119" s="71" t="s">
        <v>227</v>
      </c>
      <c r="C119" s="71"/>
      <c r="D119" s="73" t="s">
        <v>377</v>
      </c>
      <c r="E119" s="73"/>
      <c r="F119" s="73"/>
      <c r="G119" s="73"/>
      <c r="H119" s="73"/>
      <c r="I119" s="108"/>
      <c r="J119" s="111"/>
      <c r="K119" s="111"/>
      <c r="L119" s="111"/>
      <c r="M119" s="117"/>
    </row>
    <row r="120" spans="1:33" s="5" customFormat="1">
      <c r="A120" s="71" t="s">
        <v>466</v>
      </c>
      <c r="B120" s="71" t="s">
        <v>253</v>
      </c>
      <c r="C120" s="71"/>
      <c r="D120" s="73" t="s">
        <v>377</v>
      </c>
      <c r="E120" s="107"/>
      <c r="F120" s="108"/>
      <c r="G120" s="108"/>
      <c r="H120" s="108"/>
      <c r="I120" s="108"/>
      <c r="J120" s="108"/>
      <c r="Y120" s="116"/>
    </row>
    <row r="121" spans="1:33" s="5" customFormat="1">
      <c r="A121" s="71" t="s">
        <v>383</v>
      </c>
      <c r="B121" s="71" t="s">
        <v>503</v>
      </c>
      <c r="C121" s="71"/>
      <c r="D121" s="73" t="s">
        <v>377</v>
      </c>
      <c r="E121" s="107"/>
      <c r="F121" s="108"/>
      <c r="G121" s="108"/>
      <c r="H121" s="108"/>
      <c r="I121" s="108"/>
      <c r="J121" s="108"/>
    </row>
    <row r="122" spans="1:33" s="5" customFormat="1">
      <c r="A122" s="71" t="s">
        <v>361</v>
      </c>
      <c r="B122" s="71" t="s">
        <v>474</v>
      </c>
      <c r="C122" s="71"/>
      <c r="D122" s="71"/>
      <c r="E122" s="107"/>
      <c r="F122" s="108"/>
      <c r="H122" s="108"/>
      <c r="I122" s="108"/>
      <c r="J122" s="108"/>
      <c r="AA122" s="5">
        <v>11500</v>
      </c>
      <c r="AB122" s="5">
        <v>11500</v>
      </c>
      <c r="AC122" s="5" t="s">
        <v>442</v>
      </c>
      <c r="AF122" s="116">
        <f>G122+V122+AA122</f>
        <v>11500</v>
      </c>
      <c r="AG122" s="116">
        <f t="shared" si="55"/>
        <v>11500</v>
      </c>
    </row>
    <row r="123" spans="1:33" s="5" customFormat="1">
      <c r="A123" s="71"/>
      <c r="B123" s="71"/>
      <c r="C123" s="71"/>
      <c r="D123" s="71" t="s">
        <v>158</v>
      </c>
      <c r="E123" s="74"/>
      <c r="AA123" s="5">
        <v>10810</v>
      </c>
      <c r="AB123" s="5">
        <v>10810</v>
      </c>
      <c r="AC123" s="5" t="s">
        <v>325</v>
      </c>
      <c r="AF123" s="116">
        <f>G123+V123+AA123</f>
        <v>10810</v>
      </c>
      <c r="AG123" s="116">
        <f t="shared" si="55"/>
        <v>10810</v>
      </c>
    </row>
    <row r="124" spans="1:33" s="5" customFormat="1">
      <c r="A124" s="71"/>
      <c r="B124" s="71"/>
      <c r="C124" s="71"/>
      <c r="D124" s="71" t="s">
        <v>159</v>
      </c>
      <c r="E124" s="74"/>
      <c r="AA124" s="5">
        <v>690</v>
      </c>
      <c r="AB124" s="5">
        <v>690</v>
      </c>
      <c r="AC124" s="5" t="s">
        <v>326</v>
      </c>
      <c r="AF124" s="116">
        <f>G124+V124+AA124</f>
        <v>690</v>
      </c>
      <c r="AG124" s="116">
        <f t="shared" si="55"/>
        <v>690</v>
      </c>
    </row>
    <row r="125" spans="1:33" s="5" customFormat="1">
      <c r="A125" s="71" t="s">
        <v>412</v>
      </c>
      <c r="B125" s="71" t="s">
        <v>370</v>
      </c>
      <c r="C125" s="71"/>
      <c r="D125" s="71"/>
      <c r="E125" s="107">
        <v>0</v>
      </c>
      <c r="F125" s="114">
        <f>0.15*H125</f>
        <v>334.64121664888148</v>
      </c>
      <c r="G125" s="36">
        <f>H125-E125-F125</f>
        <v>1896.3002276769951</v>
      </c>
      <c r="H125" s="36">
        <f>H44</f>
        <v>2230.9414443258765</v>
      </c>
      <c r="J125" s="116">
        <f>18793*0.129</f>
        <v>2424.297</v>
      </c>
      <c r="L125" s="115">
        <f>M125-J125</f>
        <v>7160.4477108468218</v>
      </c>
      <c r="M125" s="115">
        <v>9584.7447108468223</v>
      </c>
      <c r="N125" s="115"/>
      <c r="O125" s="115">
        <f>0.006*18793</f>
        <v>112.758</v>
      </c>
      <c r="Q125" s="115">
        <f>R125-O125</f>
        <v>9095.9011910659719</v>
      </c>
      <c r="R125" s="115">
        <v>9208.6591910659718</v>
      </c>
      <c r="S125" s="115"/>
      <c r="T125" s="115">
        <f>0.135*18793</f>
        <v>2537.0550000000003</v>
      </c>
      <c r="U125" s="115"/>
      <c r="V125" s="115">
        <f>W125-T125</f>
        <v>16256.348901912796</v>
      </c>
      <c r="W125" s="115">
        <v>18793.403901912796</v>
      </c>
      <c r="X125" s="115"/>
      <c r="Y125" s="115"/>
      <c r="Z125" s="115"/>
      <c r="AA125" s="115">
        <v>117030.65389008197</v>
      </c>
      <c r="AB125" s="115">
        <v>117030.65389008197</v>
      </c>
      <c r="AC125" s="115"/>
      <c r="AD125" s="116">
        <f>E125+T125+Y125</f>
        <v>2537.0550000000003</v>
      </c>
      <c r="AE125" s="116">
        <f>F125+U125+Z125</f>
        <v>334.64121664888148</v>
      </c>
      <c r="AF125" s="116">
        <f>G125+V125+AA125</f>
        <v>135183.30301967176</v>
      </c>
      <c r="AG125" s="115">
        <v>138054.99923632064</v>
      </c>
    </row>
    <row r="126" spans="1:33">
      <c r="B126" s="34" t="s">
        <v>320</v>
      </c>
      <c r="E126" s="112">
        <f>SUM(E110:E112)+E115+E116+E125</f>
        <v>1399.4741975730342</v>
      </c>
      <c r="F126" s="112">
        <f>SUM(F110:F112)+F115+F116+F125</f>
        <v>2775.2377014850817</v>
      </c>
      <c r="G126" s="112">
        <f>SUM(G110:G112)+G115+G116+G125</f>
        <v>55150.247734892699</v>
      </c>
      <c r="H126" s="119">
        <f>SUM(H110:H112)+H115+H116+H125</f>
        <v>59324.959633950821</v>
      </c>
      <c r="J126" s="112">
        <f>SUM(J110:J112)+J115+J116+J125</f>
        <v>3406.4956828447257</v>
      </c>
      <c r="K126" s="112">
        <f>SUM(K110:K112)+K115+K116+K125</f>
        <v>2638.8210473867543</v>
      </c>
      <c r="L126" s="112">
        <f>SUM(L110:L112)+L115+L116+L125</f>
        <v>12846.114644498841</v>
      </c>
      <c r="M126" s="119">
        <f>SUM(M110:M112)+M115+M116+M125</f>
        <v>18891.431374730324</v>
      </c>
      <c r="O126" s="112">
        <f>SUM(O110:O112)+O115+O116+O125</f>
        <v>1989.9948176523469</v>
      </c>
      <c r="P126" s="5"/>
      <c r="Q126" s="112">
        <f>SUM(Q110:Q112)+Q115+Q116+Q125</f>
        <v>29813.003353382421</v>
      </c>
      <c r="R126" s="119">
        <f>SUM(R110:R112)+R115+R116+R125</f>
        <v>31802.998171034764</v>
      </c>
      <c r="T126" s="112">
        <f>SUM(T110:T112)+T115+T116+T125</f>
        <v>5396.4905004970733</v>
      </c>
      <c r="U126" s="112"/>
      <c r="V126" s="112">
        <f>SUM(V110:V112)+V115+V116+V125</f>
        <v>42659.117997881265</v>
      </c>
      <c r="W126" s="119">
        <f>SUM(W110:W112)+W115+W116+W125</f>
        <v>50694.429545765088</v>
      </c>
      <c r="Y126" s="121">
        <f>SUM(Y110:Y112)+Y115+Y116+Y122+Y125</f>
        <v>2749.622083250224</v>
      </c>
      <c r="Z126" s="122"/>
      <c r="AA126" s="121">
        <f>SUM(AA110:AA112)+AA115+AA116+AA122+AA125</f>
        <v>182023.88798950971</v>
      </c>
      <c r="AB126" s="119">
        <f>SUM(AB110:AB112)+AB115+AB116+AB122+AB125</f>
        <v>184773.51007275993</v>
      </c>
      <c r="AD126" s="118">
        <f>SUM(AD110:AD112)+AD115+AD116+AD122+AD125</f>
        <v>9545.5867813203313</v>
      </c>
      <c r="AE126" s="118">
        <f>SUM(AE110:AE112)+AE115+AE116+AE122+AE125</f>
        <v>5414.0587488718365</v>
      </c>
      <c r="AF126" s="112">
        <f>SUM(AF110:AF112)+AF115+AF116+AF122+AF125</f>
        <v>279833.25372228364</v>
      </c>
      <c r="AG126" s="119">
        <f>SUM(AG110:AG112)+AG115+AG116+AG122+AG125</f>
        <v>294792.89925247582</v>
      </c>
    </row>
    <row r="127" spans="1:33">
      <c r="H127" s="112">
        <f>E126+F126+G126</f>
        <v>59324.959633950813</v>
      </c>
      <c r="M127" s="112">
        <f>J126+K126+L126</f>
        <v>18891.43137473032</v>
      </c>
      <c r="P127" s="5"/>
      <c r="AB127" s="112">
        <f>Y126+AA126</f>
        <v>184773.51007275993</v>
      </c>
      <c r="AG127" s="118">
        <f>AD126+AE126+AF126</f>
        <v>294792.89925247582</v>
      </c>
    </row>
    <row r="128" spans="1:33">
      <c r="P128" s="5"/>
    </row>
    <row r="129" spans="1:33" ht="17">
      <c r="B129" s="172" t="s">
        <v>511</v>
      </c>
      <c r="P129" s="5"/>
    </row>
    <row r="130" spans="1:33">
      <c r="B130" s="173" t="s">
        <v>496</v>
      </c>
      <c r="P130" s="5"/>
    </row>
    <row r="131" spans="1:33" ht="16" thickBot="1">
      <c r="B131" s="173" t="s">
        <v>497</v>
      </c>
      <c r="P131" s="5"/>
    </row>
    <row r="132" spans="1:33" ht="18" thickBot="1">
      <c r="E132" s="77" t="s">
        <v>303</v>
      </c>
      <c r="F132" s="78"/>
      <c r="G132" s="78"/>
      <c r="H132" s="79"/>
      <c r="I132" s="51"/>
      <c r="J132" s="80" t="s">
        <v>389</v>
      </c>
      <c r="K132" s="81"/>
      <c r="L132" s="82" t="s">
        <v>451</v>
      </c>
      <c r="M132" s="83"/>
      <c r="N132" s="51"/>
      <c r="O132" s="84" t="s">
        <v>92</v>
      </c>
      <c r="P132" s="5"/>
      <c r="Q132" s="85"/>
      <c r="R132" s="86"/>
      <c r="T132" s="89" t="s">
        <v>182</v>
      </c>
      <c r="U132" s="90"/>
      <c r="V132" s="90"/>
      <c r="W132" s="91"/>
      <c r="X132" s="51"/>
      <c r="Y132" s="92" t="s">
        <v>298</v>
      </c>
      <c r="Z132" s="101"/>
      <c r="AA132" s="93" t="s">
        <v>357</v>
      </c>
      <c r="AB132" s="94"/>
      <c r="AC132" s="51"/>
      <c r="AD132" s="95" t="s">
        <v>294</v>
      </c>
      <c r="AE132" s="100"/>
      <c r="AF132" s="96" t="s">
        <v>285</v>
      </c>
      <c r="AG132" s="99"/>
    </row>
    <row r="133" spans="1:33" ht="17">
      <c r="E133" s="47" t="s">
        <v>399</v>
      </c>
      <c r="F133" s="47" t="s">
        <v>233</v>
      </c>
      <c r="G133" s="47" t="s">
        <v>265</v>
      </c>
      <c r="H133" s="47" t="s">
        <v>421</v>
      </c>
      <c r="I133" s="47" t="s">
        <v>212</v>
      </c>
      <c r="J133" s="47" t="s">
        <v>234</v>
      </c>
      <c r="K133" s="47" t="s">
        <v>233</v>
      </c>
      <c r="L133" s="47" t="s">
        <v>265</v>
      </c>
      <c r="M133" s="47" t="s">
        <v>421</v>
      </c>
      <c r="N133" s="47"/>
      <c r="O133" s="47" t="s">
        <v>428</v>
      </c>
      <c r="P133" s="5"/>
      <c r="Q133" s="47" t="s">
        <v>312</v>
      </c>
      <c r="R133" s="47" t="s">
        <v>421</v>
      </c>
      <c r="S133" s="47"/>
      <c r="T133" s="47" t="s">
        <v>379</v>
      </c>
      <c r="U133" s="47" t="s">
        <v>233</v>
      </c>
      <c r="V133" s="47" t="s">
        <v>265</v>
      </c>
      <c r="W133" s="47" t="s">
        <v>421</v>
      </c>
      <c r="X133" s="47"/>
      <c r="Y133" s="47" t="s">
        <v>235</v>
      </c>
      <c r="Z133" s="47"/>
      <c r="AA133" s="47" t="s">
        <v>236</v>
      </c>
      <c r="AB133" s="47" t="s">
        <v>421</v>
      </c>
      <c r="AC133" s="51"/>
      <c r="AD133" s="47" t="s">
        <v>98</v>
      </c>
      <c r="AE133" s="47" t="s">
        <v>210</v>
      </c>
      <c r="AF133" s="47" t="s">
        <v>211</v>
      </c>
      <c r="AG133" s="47" t="s">
        <v>310</v>
      </c>
    </row>
    <row r="134" spans="1:33" ht="17">
      <c r="A134" s="118" t="s">
        <v>429</v>
      </c>
      <c r="B134" s="118" t="s">
        <v>287</v>
      </c>
      <c r="E134" s="118">
        <f t="shared" ref="E134:H146" si="60">E11+E109</f>
        <v>73.068323586118268</v>
      </c>
      <c r="F134" s="118">
        <f t="shared" si="60"/>
        <v>117.91392216585365</v>
      </c>
      <c r="G134" s="118">
        <f t="shared" si="60"/>
        <v>418.31189989123919</v>
      </c>
      <c r="H134" s="118">
        <f t="shared" si="60"/>
        <v>609.2941456432111</v>
      </c>
      <c r="I134" s="167">
        <f>F134+G134</f>
        <v>536.22582205709284</v>
      </c>
      <c r="J134" s="118">
        <f t="shared" ref="J134:M146" si="61">J11+J109</f>
        <v>131.50211089773745</v>
      </c>
      <c r="K134" s="118">
        <f t="shared" si="61"/>
        <v>29.834942367723077</v>
      </c>
      <c r="L134" s="118">
        <f t="shared" si="61"/>
        <v>315.56399606820378</v>
      </c>
      <c r="M134" s="118">
        <f t="shared" si="61"/>
        <v>476.90104933366433</v>
      </c>
      <c r="N134" s="47"/>
      <c r="O134" s="118">
        <f t="shared" ref="O134:O146" si="62">O11+O109</f>
        <v>286.8724021987926</v>
      </c>
      <c r="P134" s="5"/>
      <c r="Q134" s="118">
        <f t="shared" ref="Q134:R146" si="63">Q11+Q109</f>
        <v>1007.553700926226</v>
      </c>
      <c r="R134" s="118">
        <f t="shared" si="63"/>
        <v>1294.4261031250187</v>
      </c>
      <c r="S134" s="47"/>
      <c r="T134" s="118">
        <f t="shared" ref="T134:W144" si="64">T11+T109</f>
        <v>418.37451309653005</v>
      </c>
      <c r="U134" s="118">
        <f t="shared" si="64"/>
        <v>29.834942367723077</v>
      </c>
      <c r="V134" s="118">
        <f t="shared" si="64"/>
        <v>1323.1176969944299</v>
      </c>
      <c r="W134" s="118">
        <f t="shared" si="64"/>
        <v>1771.327152458683</v>
      </c>
      <c r="X134" s="47"/>
      <c r="Y134" s="118">
        <f t="shared" ref="Y134:Y146" si="65">Y11+Y109</f>
        <v>882.38165577173538</v>
      </c>
      <c r="Z134" s="47"/>
      <c r="AA134" s="118">
        <f t="shared" ref="AA134:AB145" si="66">AA11+AA109</f>
        <v>6823.2121432489412</v>
      </c>
      <c r="AB134" s="118">
        <f t="shared" si="66"/>
        <v>7705.5937990206767</v>
      </c>
      <c r="AC134" s="51"/>
      <c r="AD134" s="118">
        <f t="shared" ref="AD134:AG146" si="67">AD11+AD109</f>
        <v>1373.8244924543837</v>
      </c>
      <c r="AE134" s="118">
        <f t="shared" si="67"/>
        <v>147.74886453357672</v>
      </c>
      <c r="AF134" s="118">
        <f t="shared" si="67"/>
        <v>8564.6417401346098</v>
      </c>
      <c r="AG134" s="118">
        <f t="shared" si="67"/>
        <v>10086.215097122571</v>
      </c>
    </row>
    <row r="135" spans="1:33" ht="17">
      <c r="A135" s="118" t="s">
        <v>484</v>
      </c>
      <c r="B135" s="124" t="s">
        <v>256</v>
      </c>
      <c r="E135" s="118">
        <f t="shared" si="60"/>
        <v>667.41576279998208</v>
      </c>
      <c r="F135" s="118">
        <f t="shared" si="60"/>
        <v>0</v>
      </c>
      <c r="G135" s="118">
        <f t="shared" si="60"/>
        <v>0</v>
      </c>
      <c r="H135" s="118">
        <f t="shared" si="60"/>
        <v>667.41576279998208</v>
      </c>
      <c r="I135" s="47"/>
      <c r="J135" s="118">
        <f t="shared" si="61"/>
        <v>1162.4489414991267</v>
      </c>
      <c r="K135" s="118">
        <f t="shared" si="61"/>
        <v>0</v>
      </c>
      <c r="L135" s="118">
        <f t="shared" si="61"/>
        <v>0</v>
      </c>
      <c r="M135" s="118">
        <f t="shared" si="61"/>
        <v>1162.4489414991267</v>
      </c>
      <c r="N135" s="47"/>
      <c r="O135" s="118">
        <f t="shared" si="62"/>
        <v>1917.8224471096701</v>
      </c>
      <c r="P135" s="5"/>
      <c r="Q135" s="118">
        <f t="shared" si="63"/>
        <v>0</v>
      </c>
      <c r="R135" s="118">
        <f t="shared" si="63"/>
        <v>1917.8224471096701</v>
      </c>
      <c r="S135" s="47"/>
      <c r="T135" s="118">
        <f t="shared" si="64"/>
        <v>3080.2713886087968</v>
      </c>
      <c r="U135" s="118">
        <f t="shared" si="64"/>
        <v>0</v>
      </c>
      <c r="V135" s="118">
        <f t="shared" si="64"/>
        <v>0</v>
      </c>
      <c r="W135" s="118">
        <f t="shared" si="64"/>
        <v>3080.2713886087968</v>
      </c>
      <c r="X135" s="47"/>
      <c r="Y135" s="118">
        <f t="shared" si="65"/>
        <v>1178.1666052207909</v>
      </c>
      <c r="Z135" s="47"/>
      <c r="AA135" s="118">
        <f t="shared" si="66"/>
        <v>0</v>
      </c>
      <c r="AB135" s="118">
        <f t="shared" si="66"/>
        <v>1178.1666052207909</v>
      </c>
      <c r="AC135" s="51"/>
      <c r="AD135" s="118">
        <f t="shared" si="67"/>
        <v>4925.8537566295699</v>
      </c>
      <c r="AE135" s="118">
        <f t="shared" si="67"/>
        <v>0</v>
      </c>
      <c r="AF135" s="118">
        <f t="shared" si="67"/>
        <v>0</v>
      </c>
      <c r="AG135" s="118">
        <f t="shared" si="67"/>
        <v>4925.8537566295699</v>
      </c>
    </row>
    <row r="136" spans="1:33" ht="17">
      <c r="A136" s="118" t="s">
        <v>485</v>
      </c>
      <c r="B136" s="124" t="s">
        <v>424</v>
      </c>
      <c r="E136" s="118">
        <f t="shared" si="60"/>
        <v>0</v>
      </c>
      <c r="F136" s="118">
        <f t="shared" si="60"/>
        <v>1154.5334611142407</v>
      </c>
      <c r="G136" s="118">
        <f t="shared" si="60"/>
        <v>3062.3009381742895</v>
      </c>
      <c r="H136" s="118">
        <f t="shared" si="60"/>
        <v>4216.8343992885311</v>
      </c>
      <c r="I136" s="167">
        <f>F136+G136</f>
        <v>4216.8343992885302</v>
      </c>
      <c r="J136" s="118">
        <f t="shared" si="61"/>
        <v>0</v>
      </c>
      <c r="K136" s="118">
        <f t="shared" si="61"/>
        <v>783.66680684217613</v>
      </c>
      <c r="L136" s="118">
        <f t="shared" si="61"/>
        <v>1260.461050829105</v>
      </c>
      <c r="M136" s="118">
        <f t="shared" si="61"/>
        <v>2044.1278576712812</v>
      </c>
      <c r="N136" s="47"/>
      <c r="O136" s="118">
        <f t="shared" si="62"/>
        <v>0</v>
      </c>
      <c r="P136" s="5"/>
      <c r="Q136" s="118">
        <f t="shared" si="63"/>
        <v>6109.2267203598094</v>
      </c>
      <c r="R136" s="118">
        <f t="shared" si="63"/>
        <v>6109.2267203598094</v>
      </c>
      <c r="S136" s="47"/>
      <c r="T136" s="118">
        <f t="shared" si="64"/>
        <v>0</v>
      </c>
      <c r="U136" s="118">
        <f t="shared" si="64"/>
        <v>783.66680684217613</v>
      </c>
      <c r="V136" s="118">
        <f t="shared" si="64"/>
        <v>7369.6877711889138</v>
      </c>
      <c r="W136" s="118">
        <f t="shared" si="64"/>
        <v>8153.3545780310906</v>
      </c>
      <c r="X136" s="47"/>
      <c r="Y136" s="118">
        <f t="shared" si="65"/>
        <v>0</v>
      </c>
      <c r="Z136" s="47"/>
      <c r="AA136" s="118">
        <f t="shared" si="66"/>
        <v>3965.7747181733102</v>
      </c>
      <c r="AB136" s="118">
        <f t="shared" si="66"/>
        <v>3965.7747181733102</v>
      </c>
      <c r="AC136" s="51"/>
      <c r="AD136" s="118">
        <f t="shared" si="67"/>
        <v>0</v>
      </c>
      <c r="AE136" s="118">
        <f t="shared" si="67"/>
        <v>1938.2002679564166</v>
      </c>
      <c r="AF136" s="118">
        <f t="shared" si="67"/>
        <v>14397.763427536514</v>
      </c>
      <c r="AG136" s="118">
        <f t="shared" si="67"/>
        <v>16335.96369549293</v>
      </c>
    </row>
    <row r="137" spans="1:33" ht="17">
      <c r="A137" s="118" t="s">
        <v>486</v>
      </c>
      <c r="B137" s="118" t="s">
        <v>384</v>
      </c>
      <c r="E137" s="118">
        <f t="shared" si="60"/>
        <v>775.51523388955275</v>
      </c>
      <c r="F137" s="118">
        <f t="shared" si="60"/>
        <v>2158.0064693724134</v>
      </c>
      <c r="G137" s="118">
        <f t="shared" si="60"/>
        <v>14584.20821805505</v>
      </c>
      <c r="H137" s="118">
        <f t="shared" si="60"/>
        <v>17517.729921317019</v>
      </c>
      <c r="I137" s="167">
        <f t="shared" ref="I137:I146" si="68">F137+G137</f>
        <v>16742.214687427462</v>
      </c>
      <c r="J137" s="118">
        <f t="shared" si="61"/>
        <v>611.22329591361006</v>
      </c>
      <c r="K137" s="118">
        <f t="shared" si="61"/>
        <v>1709.1392954866872</v>
      </c>
      <c r="L137" s="118">
        <f t="shared" si="61"/>
        <v>6905.4392641242557</v>
      </c>
      <c r="M137" s="118">
        <f t="shared" si="61"/>
        <v>9225.8018555245544</v>
      </c>
      <c r="N137" s="47"/>
      <c r="O137" s="118">
        <f t="shared" si="62"/>
        <v>2209.5568902309415</v>
      </c>
      <c r="P137" s="5"/>
      <c r="Q137" s="118">
        <f t="shared" si="63"/>
        <v>27190.451604989452</v>
      </c>
      <c r="R137" s="118">
        <f t="shared" si="63"/>
        <v>29400.008495220394</v>
      </c>
      <c r="S137" s="47"/>
      <c r="T137" s="118">
        <f t="shared" si="64"/>
        <v>2820.7801861445514</v>
      </c>
      <c r="U137" s="118">
        <f t="shared" si="64"/>
        <v>1709.1392954866872</v>
      </c>
      <c r="V137" s="118">
        <f t="shared" si="64"/>
        <v>34095.890869113711</v>
      </c>
      <c r="W137" s="118">
        <f t="shared" si="64"/>
        <v>38625.810350744941</v>
      </c>
      <c r="X137" s="47"/>
      <c r="Y137" s="118">
        <f t="shared" si="65"/>
        <v>651.75992031633189</v>
      </c>
      <c r="Z137" s="47"/>
      <c r="AA137" s="118">
        <f t="shared" si="66"/>
        <v>9836.0813077934272</v>
      </c>
      <c r="AB137" s="118">
        <f t="shared" si="66"/>
        <v>10487.841228109759</v>
      </c>
      <c r="AC137" s="51"/>
      <c r="AD137" s="118">
        <f t="shared" si="67"/>
        <v>4248.0553403504364</v>
      </c>
      <c r="AE137" s="118">
        <f t="shared" si="67"/>
        <v>3867.1457648591004</v>
      </c>
      <c r="AF137" s="118">
        <f t="shared" si="67"/>
        <v>58516.18039496219</v>
      </c>
      <c r="AG137" s="118">
        <f t="shared" si="67"/>
        <v>66631.381500171716</v>
      </c>
    </row>
    <row r="138" spans="1:33" ht="17">
      <c r="A138" s="57" t="s">
        <v>489</v>
      </c>
      <c r="B138" s="14" t="s">
        <v>297</v>
      </c>
      <c r="E138" s="118">
        <f t="shared" si="60"/>
        <v>449.66885994938718</v>
      </c>
      <c r="F138" s="118">
        <f t="shared" si="60"/>
        <v>1704.7885349729515</v>
      </c>
      <c r="G138" s="118">
        <f t="shared" si="60"/>
        <v>9041.1442207406108</v>
      </c>
      <c r="H138" s="118">
        <f t="shared" si="60"/>
        <v>11195.601615662948</v>
      </c>
      <c r="I138" s="167">
        <f t="shared" si="68"/>
        <v>10745.932755713562</v>
      </c>
      <c r="J138" s="118">
        <f t="shared" si="61"/>
        <v>348.15384846066496</v>
      </c>
      <c r="K138" s="118">
        <f t="shared" si="61"/>
        <v>1350.2544693151265</v>
      </c>
      <c r="L138" s="118">
        <f t="shared" si="61"/>
        <v>4281.1009350638424</v>
      </c>
      <c r="M138" s="118">
        <f t="shared" si="61"/>
        <v>5979.5092528396335</v>
      </c>
      <c r="N138" s="47"/>
      <c r="O138" s="118">
        <f t="shared" si="62"/>
        <v>1590.2531297337769</v>
      </c>
      <c r="P138" s="5"/>
      <c r="Q138" s="118">
        <f t="shared" si="63"/>
        <v>16858.462834955513</v>
      </c>
      <c r="R138" s="118">
        <f t="shared" si="63"/>
        <v>18448.715964689291</v>
      </c>
      <c r="S138" s="47"/>
      <c r="T138" s="118">
        <f t="shared" si="64"/>
        <v>1938.4069781944418</v>
      </c>
      <c r="U138" s="118">
        <f t="shared" si="64"/>
        <v>1350.2544693151265</v>
      </c>
      <c r="V138" s="118">
        <f t="shared" si="64"/>
        <v>21139.563770019355</v>
      </c>
      <c r="W138" s="118">
        <f t="shared" si="64"/>
        <v>24428.225217528925</v>
      </c>
      <c r="X138" s="47"/>
      <c r="Y138" s="118">
        <f t="shared" si="65"/>
        <v>378.38096218339638</v>
      </c>
      <c r="Z138" s="47"/>
      <c r="AA138" s="118">
        <f t="shared" si="66"/>
        <v>6098.387480808653</v>
      </c>
      <c r="AB138" s="118">
        <f t="shared" si="66"/>
        <v>6476.7684429920491</v>
      </c>
      <c r="AC138" s="51"/>
      <c r="AD138" s="118">
        <f t="shared" si="67"/>
        <v>2766.4568003272252</v>
      </c>
      <c r="AE138" s="118">
        <f t="shared" si="67"/>
        <v>3055.043004288078</v>
      </c>
      <c r="AF138" s="118">
        <f t="shared" si="67"/>
        <v>36279.095471568617</v>
      </c>
      <c r="AG138" s="118">
        <f t="shared" si="67"/>
        <v>42100.595276183922</v>
      </c>
    </row>
    <row r="139" spans="1:33" ht="17">
      <c r="A139" s="57" t="s">
        <v>513</v>
      </c>
      <c r="B139" s="14" t="s">
        <v>437</v>
      </c>
      <c r="E139" s="118">
        <f t="shared" si="60"/>
        <v>325.84637394016551</v>
      </c>
      <c r="F139" s="118">
        <f t="shared" si="60"/>
        <v>453.21793439946191</v>
      </c>
      <c r="G139" s="118">
        <f t="shared" si="60"/>
        <v>5543.0639973144407</v>
      </c>
      <c r="H139" s="118">
        <f t="shared" si="60"/>
        <v>6322.1283056540688</v>
      </c>
      <c r="I139" s="167">
        <f t="shared" si="68"/>
        <v>5996.2819317139028</v>
      </c>
      <c r="J139" s="118">
        <f t="shared" si="61"/>
        <v>263.06944745294504</v>
      </c>
      <c r="K139" s="118">
        <f t="shared" si="61"/>
        <v>358.88482617156063</v>
      </c>
      <c r="L139" s="118">
        <f t="shared" si="61"/>
        <v>2624.3383290604138</v>
      </c>
      <c r="M139" s="118">
        <f t="shared" si="61"/>
        <v>3246.29260268492</v>
      </c>
      <c r="N139" s="47"/>
      <c r="O139" s="118">
        <f t="shared" si="62"/>
        <v>619.30376049716472</v>
      </c>
      <c r="P139" s="5"/>
      <c r="Q139" s="118">
        <f t="shared" si="63"/>
        <v>10331.988770033939</v>
      </c>
      <c r="R139" s="118">
        <f t="shared" si="63"/>
        <v>10951.292530531106</v>
      </c>
      <c r="S139" s="47"/>
      <c r="T139" s="118">
        <f t="shared" si="64"/>
        <v>882.37320795010965</v>
      </c>
      <c r="U139" s="118">
        <f t="shared" si="64"/>
        <v>358.88482617156063</v>
      </c>
      <c r="V139" s="118">
        <f t="shared" si="64"/>
        <v>12956.327099094353</v>
      </c>
      <c r="W139" s="118">
        <f t="shared" si="64"/>
        <v>14197.585133216022</v>
      </c>
      <c r="X139" s="47"/>
      <c r="Y139" s="118">
        <f t="shared" si="65"/>
        <v>273.37895813293551</v>
      </c>
      <c r="Z139" s="47"/>
      <c r="AA139" s="118">
        <f t="shared" si="66"/>
        <v>3737.6938269847751</v>
      </c>
      <c r="AB139" s="118">
        <f t="shared" si="66"/>
        <v>4011.0727851177107</v>
      </c>
      <c r="AC139" s="51"/>
      <c r="AD139" s="118">
        <f t="shared" si="67"/>
        <v>1481.5985400232112</v>
      </c>
      <c r="AE139" s="118">
        <f t="shared" si="67"/>
        <v>812.1027605710226</v>
      </c>
      <c r="AF139" s="118">
        <f t="shared" si="67"/>
        <v>22237.08492339357</v>
      </c>
      <c r="AG139" s="118">
        <f t="shared" si="67"/>
        <v>24530.786223987794</v>
      </c>
    </row>
    <row r="140" spans="1:33" ht="17">
      <c r="A140" s="118" t="s">
        <v>218</v>
      </c>
      <c r="B140" s="118" t="s">
        <v>386</v>
      </c>
      <c r="E140" s="118">
        <f t="shared" si="60"/>
        <v>13.200892023397401</v>
      </c>
      <c r="F140" s="118">
        <f t="shared" si="60"/>
        <v>0</v>
      </c>
      <c r="G140" s="118">
        <f t="shared" si="60"/>
        <v>93260.276552952768</v>
      </c>
      <c r="H140" s="118">
        <f t="shared" si="60"/>
        <v>93273.477444976161</v>
      </c>
      <c r="I140" s="167">
        <f t="shared" si="68"/>
        <v>93260.276552952768</v>
      </c>
      <c r="J140" s="118">
        <f t="shared" si="61"/>
        <v>281.90302956956032</v>
      </c>
      <c r="K140" s="118">
        <f t="shared" si="61"/>
        <v>229.73541866714768</v>
      </c>
      <c r="L140" s="118">
        <f t="shared" si="61"/>
        <v>13969.015107400754</v>
      </c>
      <c r="M140" s="118">
        <f t="shared" si="61"/>
        <v>14480.653555637464</v>
      </c>
      <c r="N140" s="47"/>
      <c r="O140" s="118">
        <f t="shared" si="62"/>
        <v>53.042626022047934</v>
      </c>
      <c r="P140" s="5"/>
      <c r="Q140" s="118">
        <f t="shared" si="63"/>
        <v>27085.700729462966</v>
      </c>
      <c r="R140" s="118">
        <f t="shared" si="63"/>
        <v>27138.743355485014</v>
      </c>
      <c r="S140" s="47"/>
      <c r="T140" s="118">
        <f t="shared" si="64"/>
        <v>334.94565559160827</v>
      </c>
      <c r="U140" s="118">
        <f t="shared" si="64"/>
        <v>229.73541866714768</v>
      </c>
      <c r="V140" s="118">
        <f t="shared" si="64"/>
        <v>41054.715836863717</v>
      </c>
      <c r="W140" s="118">
        <f t="shared" si="64"/>
        <v>41619.396911122472</v>
      </c>
      <c r="X140" s="47"/>
      <c r="Y140" s="118">
        <f t="shared" si="65"/>
        <v>486.80121482033985</v>
      </c>
      <c r="Z140" s="47"/>
      <c r="AA140" s="118">
        <f t="shared" si="66"/>
        <v>128140.17808232605</v>
      </c>
      <c r="AB140" s="118">
        <f t="shared" si="66"/>
        <v>128626.97929714638</v>
      </c>
      <c r="AC140" s="51"/>
      <c r="AD140" s="118">
        <f t="shared" si="67"/>
        <v>834.94776243534545</v>
      </c>
      <c r="AE140" s="118">
        <f t="shared" si="67"/>
        <v>229.73541866714768</v>
      </c>
      <c r="AF140" s="118">
        <f t="shared" si="67"/>
        <v>262455.17047214252</v>
      </c>
      <c r="AG140" s="118">
        <f t="shared" si="67"/>
        <v>263519.85365324502</v>
      </c>
    </row>
    <row r="141" spans="1:33" ht="17">
      <c r="A141" s="118" t="s">
        <v>403</v>
      </c>
      <c r="B141" s="118" t="s">
        <v>385</v>
      </c>
      <c r="E141" s="118">
        <f t="shared" si="60"/>
        <v>1031.9708276701449</v>
      </c>
      <c r="F141" s="118">
        <f t="shared" si="60"/>
        <v>1420.8272631300335</v>
      </c>
      <c r="G141" s="118">
        <f t="shared" si="60"/>
        <v>12073.833560766536</v>
      </c>
      <c r="H141" s="118">
        <f t="shared" si="60"/>
        <v>14526.631651566715</v>
      </c>
      <c r="I141" s="167">
        <f t="shared" si="68"/>
        <v>13494.660823896569</v>
      </c>
      <c r="J141" s="118">
        <f t="shared" si="61"/>
        <v>833.41748511090566</v>
      </c>
      <c r="K141" s="118">
        <f t="shared" si="61"/>
        <v>3429.6179860318084</v>
      </c>
      <c r="L141" s="118">
        <f t="shared" si="61"/>
        <v>472.40869810090794</v>
      </c>
      <c r="M141" s="118">
        <f t="shared" si="61"/>
        <v>4735.4441692436221</v>
      </c>
      <c r="N141" s="47"/>
      <c r="O141" s="118">
        <f t="shared" si="62"/>
        <v>1727.3721051827229</v>
      </c>
      <c r="P141" s="5"/>
      <c r="Q141" s="118">
        <f t="shared" si="63"/>
        <v>13734.125910319235</v>
      </c>
      <c r="R141" s="118">
        <f t="shared" si="63"/>
        <v>15461.498015501957</v>
      </c>
      <c r="S141" s="47"/>
      <c r="T141" s="118">
        <f t="shared" si="64"/>
        <v>2560.7895902936289</v>
      </c>
      <c r="U141" s="118">
        <f t="shared" si="64"/>
        <v>3429.6179860318084</v>
      </c>
      <c r="V141" s="118">
        <f t="shared" si="64"/>
        <v>14206.534608420141</v>
      </c>
      <c r="W141" s="118">
        <f t="shared" si="64"/>
        <v>20196.942184745581</v>
      </c>
      <c r="X141" s="47"/>
      <c r="Y141" s="118">
        <f t="shared" si="65"/>
        <v>2489.6579199998127</v>
      </c>
      <c r="Z141" s="47"/>
      <c r="AA141" s="118">
        <f t="shared" si="66"/>
        <v>26083.476452741361</v>
      </c>
      <c r="AB141" s="118">
        <f t="shared" si="66"/>
        <v>28573.134372741169</v>
      </c>
      <c r="AC141" s="51"/>
      <c r="AD141" s="118">
        <f t="shared" si="67"/>
        <v>6082.418337963587</v>
      </c>
      <c r="AE141" s="118">
        <f t="shared" si="67"/>
        <v>4850.4452491618422</v>
      </c>
      <c r="AF141" s="118">
        <f t="shared" si="67"/>
        <v>52363.844621928038</v>
      </c>
      <c r="AG141" s="118">
        <f t="shared" si="67"/>
        <v>63296.708209053468</v>
      </c>
    </row>
    <row r="142" spans="1:33" ht="17">
      <c r="A142" s="57" t="s">
        <v>282</v>
      </c>
      <c r="B142" s="14" t="s">
        <v>158</v>
      </c>
      <c r="E142" s="118">
        <f t="shared" si="60"/>
        <v>711.72801376061216</v>
      </c>
      <c r="F142" s="118">
        <f t="shared" si="60"/>
        <v>998.36719422879537</v>
      </c>
      <c r="G142" s="118">
        <f t="shared" si="60"/>
        <v>8991.2477434132106</v>
      </c>
      <c r="H142" s="118">
        <f t="shared" si="60"/>
        <v>10701.342951402619</v>
      </c>
      <c r="I142" s="167">
        <f t="shared" si="68"/>
        <v>9989.6149376420053</v>
      </c>
      <c r="J142" s="118">
        <f t="shared" si="61"/>
        <v>670.85579847535359</v>
      </c>
      <c r="K142" s="118">
        <f t="shared" si="61"/>
        <v>2605.0709880022291</v>
      </c>
      <c r="L142" s="118">
        <f t="shared" si="61"/>
        <v>393.78226727664287</v>
      </c>
      <c r="M142" s="118">
        <f t="shared" si="61"/>
        <v>3669.7090537542254</v>
      </c>
      <c r="N142" s="47"/>
      <c r="O142" s="118">
        <f t="shared" si="62"/>
        <v>1228.7169460123723</v>
      </c>
      <c r="P142" s="5"/>
      <c r="Q142" s="118">
        <f t="shared" si="63"/>
        <v>11645.942577490867</v>
      </c>
      <c r="R142" s="118">
        <f t="shared" si="63"/>
        <v>12874.65952350324</v>
      </c>
      <c r="S142" s="47"/>
      <c r="T142" s="118">
        <f t="shared" si="64"/>
        <v>1899.5727444877259</v>
      </c>
      <c r="U142" s="118">
        <f t="shared" si="64"/>
        <v>2605.0709880022291</v>
      </c>
      <c r="V142" s="118">
        <f t="shared" si="64"/>
        <v>12039.72484476751</v>
      </c>
      <c r="W142" s="118">
        <f t="shared" si="64"/>
        <v>16544.368577257464</v>
      </c>
      <c r="X142" s="47"/>
      <c r="Y142" s="118">
        <f t="shared" si="65"/>
        <v>1843.2220611182631</v>
      </c>
      <c r="Z142" s="47"/>
      <c r="AA142" s="118">
        <f t="shared" si="66"/>
        <v>20388.139406585877</v>
      </c>
      <c r="AB142" s="118">
        <f t="shared" si="66"/>
        <v>22231.361467704137</v>
      </c>
      <c r="AC142" s="51"/>
      <c r="AD142" s="118">
        <f t="shared" si="67"/>
        <v>4454.5228193666007</v>
      </c>
      <c r="AE142" s="118">
        <f t="shared" si="67"/>
        <v>3603.4381822310243</v>
      </c>
      <c r="AF142" s="118">
        <f t="shared" si="67"/>
        <v>41419.111994766601</v>
      </c>
      <c r="AG142" s="118">
        <f t="shared" si="67"/>
        <v>49477.072996364222</v>
      </c>
    </row>
    <row r="143" spans="1:33" ht="17">
      <c r="A143" s="57" t="s">
        <v>488</v>
      </c>
      <c r="B143" s="14" t="s">
        <v>438</v>
      </c>
      <c r="E143" s="118">
        <f t="shared" si="60"/>
        <v>320.2428139095328</v>
      </c>
      <c r="F143" s="118">
        <f t="shared" si="60"/>
        <v>422.46006890123817</v>
      </c>
      <c r="G143" s="118">
        <f t="shared" si="60"/>
        <v>3082.5858173533256</v>
      </c>
      <c r="H143" s="118">
        <f t="shared" si="60"/>
        <v>3825.288700164097</v>
      </c>
      <c r="I143" s="167">
        <f t="shared" si="68"/>
        <v>3505.0458862545638</v>
      </c>
      <c r="J143" s="118">
        <f t="shared" si="61"/>
        <v>162.56168663555218</v>
      </c>
      <c r="K143" s="118">
        <f t="shared" si="61"/>
        <v>824.54699802957941</v>
      </c>
      <c r="L143" s="118">
        <f t="shared" si="61"/>
        <v>78.626430824265057</v>
      </c>
      <c r="M143" s="118">
        <f t="shared" si="61"/>
        <v>1065.7351154893968</v>
      </c>
      <c r="N143" s="47"/>
      <c r="O143" s="118">
        <f t="shared" si="62"/>
        <v>498.65515917035066</v>
      </c>
      <c r="P143" s="5"/>
      <c r="Q143" s="118">
        <f t="shared" si="63"/>
        <v>2088.1833328283665</v>
      </c>
      <c r="R143" s="118">
        <f t="shared" si="63"/>
        <v>2586.8384919987166</v>
      </c>
      <c r="S143" s="47"/>
      <c r="T143" s="118">
        <f t="shared" si="64"/>
        <v>661.21684580590284</v>
      </c>
      <c r="U143" s="118">
        <f t="shared" si="64"/>
        <v>824.54699802957941</v>
      </c>
      <c r="V143" s="118">
        <f t="shared" si="64"/>
        <v>2166.8097636526313</v>
      </c>
      <c r="W143" s="118">
        <f t="shared" si="64"/>
        <v>3652.5736074881133</v>
      </c>
      <c r="X143" s="47"/>
      <c r="Y143" s="118">
        <f t="shared" si="65"/>
        <v>646.43585888154973</v>
      </c>
      <c r="Z143" s="47"/>
      <c r="AA143" s="118">
        <f t="shared" si="66"/>
        <v>5695.3370461554823</v>
      </c>
      <c r="AB143" s="118">
        <f t="shared" si="66"/>
        <v>6341.7729050370308</v>
      </c>
      <c r="AC143" s="51"/>
      <c r="AD143" s="118">
        <f t="shared" si="67"/>
        <v>1627.8955185969853</v>
      </c>
      <c r="AE143" s="118">
        <f t="shared" si="67"/>
        <v>1247.0070669308175</v>
      </c>
      <c r="AF143" s="118">
        <f t="shared" si="67"/>
        <v>10944.73262716144</v>
      </c>
      <c r="AG143" s="118">
        <f t="shared" si="67"/>
        <v>13819.635212689242</v>
      </c>
    </row>
    <row r="144" spans="1:33" ht="17">
      <c r="A144" s="118" t="s">
        <v>405</v>
      </c>
      <c r="B144" s="118" t="s">
        <v>227</v>
      </c>
      <c r="E144" s="118">
        <f t="shared" si="60"/>
        <v>104.9526829691517</v>
      </c>
      <c r="F144" s="118">
        <f t="shared" si="60"/>
        <v>170.32010979512197</v>
      </c>
      <c r="G144" s="118">
        <f t="shared" si="60"/>
        <v>20474.043544676762</v>
      </c>
      <c r="H144" s="118">
        <f t="shared" si="60"/>
        <v>20749.316337441036</v>
      </c>
      <c r="I144" s="167">
        <f t="shared" si="68"/>
        <v>20644.363654471883</v>
      </c>
      <c r="J144" s="118">
        <f t="shared" si="61"/>
        <v>475.82579264610706</v>
      </c>
      <c r="K144" s="118">
        <f t="shared" si="61"/>
        <v>1793.5146470637806</v>
      </c>
      <c r="L144" s="118">
        <f t="shared" si="61"/>
        <v>7638.613938831204</v>
      </c>
      <c r="M144" s="118">
        <f t="shared" si="61"/>
        <v>9907.9543785410915</v>
      </c>
      <c r="N144" s="47"/>
      <c r="O144" s="118">
        <f t="shared" si="62"/>
        <v>664.04962867883341</v>
      </c>
      <c r="P144" s="5"/>
      <c r="Q144" s="118">
        <f t="shared" si="63"/>
        <v>23001.281237274405</v>
      </c>
      <c r="R144" s="118">
        <f t="shared" si="63"/>
        <v>23665.330865953238</v>
      </c>
      <c r="S144" s="47"/>
      <c r="T144" s="118">
        <f t="shared" si="64"/>
        <v>1139.8754213249404</v>
      </c>
      <c r="U144" s="118">
        <f t="shared" si="64"/>
        <v>1793.5146470637806</v>
      </c>
      <c r="V144" s="118">
        <f t="shared" si="64"/>
        <v>30639.895176105609</v>
      </c>
      <c r="W144" s="118">
        <f t="shared" si="64"/>
        <v>33573.285244494327</v>
      </c>
      <c r="X144" s="47"/>
      <c r="Y144" s="118">
        <f t="shared" si="65"/>
        <v>563.64255215446599</v>
      </c>
      <c r="Z144" s="47"/>
      <c r="AA144" s="118">
        <f t="shared" si="66"/>
        <v>6921.9195493771931</v>
      </c>
      <c r="AB144" s="118">
        <f t="shared" si="66"/>
        <v>7485.5621015316592</v>
      </c>
      <c r="AC144" s="51"/>
      <c r="AD144" s="118">
        <f t="shared" si="67"/>
        <v>1808.4706564485582</v>
      </c>
      <c r="AE144" s="118">
        <f t="shared" si="67"/>
        <v>1963.8347568589024</v>
      </c>
      <c r="AF144" s="118">
        <f t="shared" si="67"/>
        <v>58035.858270159566</v>
      </c>
      <c r="AG144" s="118">
        <f t="shared" si="67"/>
        <v>61808.163683467021</v>
      </c>
    </row>
    <row r="145" spans="1:34" ht="17">
      <c r="A145" s="118" t="s">
        <v>466</v>
      </c>
      <c r="B145" s="118" t="s">
        <v>544</v>
      </c>
      <c r="E145" s="118">
        <f t="shared" si="60"/>
        <v>69.082778663239068</v>
      </c>
      <c r="F145" s="118">
        <f t="shared" si="60"/>
        <v>104.8123752585366</v>
      </c>
      <c r="G145" s="118">
        <f t="shared" si="60"/>
        <v>650.70739983081648</v>
      </c>
      <c r="H145" s="118">
        <f t="shared" si="60"/>
        <v>824.60255375259214</v>
      </c>
      <c r="I145" s="167">
        <f t="shared" si="68"/>
        <v>755.51977508935306</v>
      </c>
      <c r="J145" s="118">
        <f t="shared" si="61"/>
        <v>34.968428926828516</v>
      </c>
      <c r="K145" s="118">
        <f t="shared" si="61"/>
        <v>30.466348636064776</v>
      </c>
      <c r="L145" s="118">
        <f t="shared" si="61"/>
        <v>407.5932319404024</v>
      </c>
      <c r="M145" s="118">
        <f t="shared" si="61"/>
        <v>473.02800950329566</v>
      </c>
      <c r="N145" s="47"/>
      <c r="O145" s="118">
        <f t="shared" si="62"/>
        <v>195.5948196809949</v>
      </c>
      <c r="P145" s="5"/>
      <c r="Q145" s="118">
        <f t="shared" si="63"/>
        <v>1565.0650552488157</v>
      </c>
      <c r="R145" s="118">
        <f t="shared" si="63"/>
        <v>1760.6598749298107</v>
      </c>
      <c r="S145" s="47"/>
      <c r="T145" s="118">
        <f>T22+T120</f>
        <v>230.56324860782343</v>
      </c>
      <c r="U145" s="118">
        <f>U22+BO119</f>
        <v>30.466348636064776</v>
      </c>
      <c r="V145" s="118">
        <f>V22+BP119</f>
        <v>1972.6582871892181</v>
      </c>
      <c r="W145" s="118">
        <f>W22+BQ119</f>
        <v>2233.6878844331063</v>
      </c>
      <c r="X145" s="47"/>
      <c r="Y145" s="118">
        <f t="shared" si="65"/>
        <v>193.24887502438833</v>
      </c>
      <c r="Z145" s="47"/>
      <c r="AA145" s="118">
        <f t="shared" si="66"/>
        <v>7721.8719526795594</v>
      </c>
      <c r="AB145" s="118">
        <f t="shared" si="66"/>
        <v>7915.1208277039477</v>
      </c>
      <c r="AC145" s="51"/>
      <c r="AD145" s="118">
        <f t="shared" si="67"/>
        <v>492.89490229545083</v>
      </c>
      <c r="AE145" s="118">
        <f t="shared" si="67"/>
        <v>135.27872389460137</v>
      </c>
      <c r="AF145" s="118">
        <f t="shared" si="67"/>
        <v>10345.237639699593</v>
      </c>
      <c r="AG145" s="118">
        <f t="shared" si="67"/>
        <v>10973.411265889647</v>
      </c>
    </row>
    <row r="146" spans="1:34">
      <c r="A146" s="118" t="s">
        <v>383</v>
      </c>
      <c r="B146" s="118" t="s">
        <v>416</v>
      </c>
      <c r="E146" s="118">
        <f t="shared" si="60"/>
        <v>700.99480761994664</v>
      </c>
      <c r="F146" s="118">
        <f t="shared" si="60"/>
        <v>0</v>
      </c>
      <c r="G146" s="118">
        <f t="shared" si="60"/>
        <v>32911.338985626855</v>
      </c>
      <c r="H146" s="118">
        <f t="shared" si="60"/>
        <v>33612.333793246798</v>
      </c>
      <c r="I146" s="167">
        <f t="shared" si="68"/>
        <v>32911.338985626855</v>
      </c>
      <c r="J146" s="118">
        <f t="shared" si="61"/>
        <v>58.760294819999999</v>
      </c>
      <c r="K146" s="118">
        <f t="shared" si="61"/>
        <v>0</v>
      </c>
      <c r="L146" s="118">
        <f t="shared" si="61"/>
        <v>2758.8076716337991</v>
      </c>
      <c r="M146" s="118">
        <f t="shared" si="61"/>
        <v>2817.5679664537988</v>
      </c>
      <c r="N146" s="47"/>
      <c r="O146" s="118">
        <f t="shared" si="62"/>
        <v>613.83652657033031</v>
      </c>
      <c r="P146" s="5"/>
      <c r="Q146" s="118">
        <f t="shared" si="63"/>
        <v>4189.5799675621411</v>
      </c>
      <c r="R146" s="118">
        <f t="shared" si="63"/>
        <v>4803.4164941324716</v>
      </c>
      <c r="S146" s="47"/>
      <c r="T146" s="118">
        <f>T23+T121</f>
        <v>672.59682139033032</v>
      </c>
      <c r="U146" s="118">
        <f>U23+U121</f>
        <v>0</v>
      </c>
      <c r="V146" s="118">
        <f>V23+V121</f>
        <v>6948.3876391959402</v>
      </c>
      <c r="W146" s="118">
        <f>W23+W121</f>
        <v>7620.9844605862709</v>
      </c>
      <c r="X146" s="47"/>
      <c r="Y146" s="118">
        <f t="shared" si="65"/>
        <v>0</v>
      </c>
      <c r="Z146" s="47"/>
      <c r="AA146" s="47">
        <v>0</v>
      </c>
      <c r="AB146" s="118">
        <f>AB23+AB121</f>
        <v>0</v>
      </c>
      <c r="AC146" s="47"/>
      <c r="AD146" s="118">
        <f t="shared" si="67"/>
        <v>1373.5916290102768</v>
      </c>
      <c r="AE146" s="118">
        <f t="shared" si="67"/>
        <v>0</v>
      </c>
      <c r="AF146" s="118">
        <f t="shared" si="67"/>
        <v>39859.72662482279</v>
      </c>
      <c r="AG146" s="118">
        <f t="shared" si="67"/>
        <v>41233.318253833066</v>
      </c>
    </row>
    <row r="147" spans="1:34">
      <c r="A147" s="124"/>
      <c r="B147" s="124"/>
      <c r="C147" s="162" t="s">
        <v>299</v>
      </c>
      <c r="E147" s="124">
        <f>SUM(E134:E137)+E140+E141+SUM(E144:E146)</f>
        <v>3436.2013092215329</v>
      </c>
      <c r="F147" s="124">
        <f t="shared" ref="F147:AG147" si="69">SUM(F134:F137)+F140+F141+SUM(F144:F146)</f>
        <v>5126.4136008361993</v>
      </c>
      <c r="G147" s="124">
        <f t="shared" si="69"/>
        <v>177435.02109997431</v>
      </c>
      <c r="H147" s="124">
        <f t="shared" si="69"/>
        <v>185997.63601003206</v>
      </c>
      <c r="I147" s="124">
        <f t="shared" si="69"/>
        <v>182561.43470081053</v>
      </c>
      <c r="J147" s="124">
        <f t="shared" si="69"/>
        <v>3590.0493793838755</v>
      </c>
      <c r="K147" s="124">
        <f t="shared" si="69"/>
        <v>8005.9754450953878</v>
      </c>
      <c r="L147" s="124">
        <f t="shared" si="69"/>
        <v>33727.902958928637</v>
      </c>
      <c r="M147" s="124">
        <f t="shared" si="69"/>
        <v>45323.927783407897</v>
      </c>
      <c r="N147" s="124">
        <f t="shared" si="69"/>
        <v>0</v>
      </c>
      <c r="O147" s="124">
        <f t="shared" si="69"/>
        <v>7668.1474456743344</v>
      </c>
      <c r="P147" s="124">
        <f t="shared" si="69"/>
        <v>0</v>
      </c>
      <c r="Q147" s="124">
        <f t="shared" si="69"/>
        <v>103882.98492614305</v>
      </c>
      <c r="R147" s="124">
        <f t="shared" si="69"/>
        <v>111551.13237181738</v>
      </c>
      <c r="S147" s="124">
        <f t="shared" si="69"/>
        <v>0</v>
      </c>
      <c r="T147" s="124">
        <f t="shared" si="69"/>
        <v>11258.19682505821</v>
      </c>
      <c r="U147" s="124">
        <f t="shared" si="69"/>
        <v>8005.9754450953878</v>
      </c>
      <c r="V147" s="124">
        <f t="shared" si="69"/>
        <v>137610.88788507169</v>
      </c>
      <c r="W147" s="124">
        <f t="shared" si="69"/>
        <v>156875.06015522528</v>
      </c>
      <c r="X147" s="124">
        <f t="shared" si="69"/>
        <v>0</v>
      </c>
      <c r="Y147" s="124">
        <f t="shared" si="69"/>
        <v>6445.6587433078648</v>
      </c>
      <c r="Z147" s="124"/>
      <c r="AA147" s="124">
        <f t="shared" si="69"/>
        <v>189492.51420633984</v>
      </c>
      <c r="AB147" s="124">
        <f t="shared" si="69"/>
        <v>195938.17294964768</v>
      </c>
      <c r="AC147" s="124"/>
      <c r="AD147" s="124">
        <f t="shared" si="69"/>
        <v>21140.056877587609</v>
      </c>
      <c r="AE147" s="124">
        <f t="shared" si="69"/>
        <v>13132.389045931586</v>
      </c>
      <c r="AF147" s="124">
        <f t="shared" si="69"/>
        <v>504538.42319138587</v>
      </c>
      <c r="AG147" s="124">
        <f t="shared" si="69"/>
        <v>538810.86911490501</v>
      </c>
      <c r="AH147" s="162" t="s">
        <v>299</v>
      </c>
    </row>
    <row r="148" spans="1:34">
      <c r="A148" s="118" t="s">
        <v>361</v>
      </c>
      <c r="B148" s="118" t="s">
        <v>474</v>
      </c>
      <c r="C148" s="118"/>
      <c r="E148" s="118"/>
      <c r="F148" s="118"/>
      <c r="G148" s="118"/>
      <c r="H148" s="118"/>
      <c r="I148" s="118"/>
      <c r="J148" s="118"/>
      <c r="K148" s="118"/>
      <c r="L148" s="118"/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47"/>
      <c r="AA148" s="118">
        <f t="shared" ref="AA148:AB150" si="70">AA122</f>
        <v>11500</v>
      </c>
      <c r="AB148" s="118">
        <f t="shared" si="70"/>
        <v>11500</v>
      </c>
      <c r="AF148" s="118">
        <f t="shared" ref="AF148:AG150" si="71">AF122</f>
        <v>11500</v>
      </c>
      <c r="AG148" s="118">
        <f t="shared" si="71"/>
        <v>11500</v>
      </c>
    </row>
    <row r="149" spans="1:34">
      <c r="A149" s="118"/>
      <c r="B149" s="118"/>
      <c r="C149" s="118" t="s">
        <v>158</v>
      </c>
      <c r="E149" s="118"/>
      <c r="F149" s="118"/>
      <c r="G149" s="118"/>
      <c r="H149" s="118"/>
      <c r="I149" s="118"/>
      <c r="J149" s="118"/>
      <c r="K149" s="118"/>
      <c r="L149" s="118"/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47"/>
      <c r="AA149" s="118">
        <f t="shared" si="70"/>
        <v>10810</v>
      </c>
      <c r="AB149" s="118">
        <f t="shared" si="70"/>
        <v>10810</v>
      </c>
      <c r="AF149" s="118">
        <f t="shared" si="71"/>
        <v>10810</v>
      </c>
      <c r="AG149" s="118">
        <f t="shared" si="71"/>
        <v>10810</v>
      </c>
    </row>
    <row r="150" spans="1:34">
      <c r="A150" s="118"/>
      <c r="B150" s="118"/>
      <c r="C150" s="118" t="s">
        <v>159</v>
      </c>
      <c r="E150" s="118"/>
      <c r="F150" s="118"/>
      <c r="G150" s="118"/>
      <c r="H150" s="118"/>
      <c r="I150" s="118"/>
      <c r="J150" s="118"/>
      <c r="K150" s="118"/>
      <c r="L150" s="118"/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47"/>
      <c r="AA150" s="118">
        <f t="shared" si="70"/>
        <v>690</v>
      </c>
      <c r="AB150" s="118">
        <f t="shared" si="70"/>
        <v>690</v>
      </c>
      <c r="AF150" s="118">
        <f t="shared" si="71"/>
        <v>690</v>
      </c>
      <c r="AG150" s="118">
        <f t="shared" si="71"/>
        <v>690</v>
      </c>
    </row>
    <row r="151" spans="1:34" ht="16" thickBot="1">
      <c r="A151" s="118" t="s">
        <v>412</v>
      </c>
      <c r="B151" s="118" t="s">
        <v>370</v>
      </c>
      <c r="C151" s="118"/>
      <c r="E151" s="118"/>
      <c r="F151" s="118">
        <f t="shared" ref="F151:AB151" si="72">F125</f>
        <v>334.64121664888148</v>
      </c>
      <c r="G151" s="118">
        <f t="shared" si="72"/>
        <v>1896.3002276769951</v>
      </c>
      <c r="H151" s="118">
        <f t="shared" si="72"/>
        <v>2230.9414443258765</v>
      </c>
      <c r="I151" s="47"/>
      <c r="J151" s="118">
        <f t="shared" si="72"/>
        <v>2424.297</v>
      </c>
      <c r="K151" s="118">
        <f t="shared" si="72"/>
        <v>0</v>
      </c>
      <c r="L151" s="118">
        <f t="shared" si="72"/>
        <v>7160.4477108468218</v>
      </c>
      <c r="M151" s="118">
        <f t="shared" si="72"/>
        <v>9584.7447108468223</v>
      </c>
      <c r="N151" s="47"/>
      <c r="O151" s="118">
        <f t="shared" si="72"/>
        <v>112.758</v>
      </c>
      <c r="P151" s="5"/>
      <c r="Q151" s="118">
        <f t="shared" si="72"/>
        <v>9095.9011910659719</v>
      </c>
      <c r="R151" s="118">
        <f t="shared" si="72"/>
        <v>9208.6591910659718</v>
      </c>
      <c r="S151" s="47"/>
      <c r="T151" s="118">
        <f t="shared" si="72"/>
        <v>2537.0550000000003</v>
      </c>
      <c r="U151" s="118">
        <f t="shared" si="72"/>
        <v>0</v>
      </c>
      <c r="V151" s="118">
        <f t="shared" si="72"/>
        <v>16256.348901912796</v>
      </c>
      <c r="W151" s="118">
        <f t="shared" si="72"/>
        <v>18793.403901912796</v>
      </c>
      <c r="X151" s="47"/>
      <c r="Y151" s="118">
        <f t="shared" si="72"/>
        <v>0</v>
      </c>
      <c r="Z151" s="47"/>
      <c r="AA151" s="118">
        <f t="shared" si="72"/>
        <v>117030.65389008197</v>
      </c>
      <c r="AB151" s="118">
        <f t="shared" si="72"/>
        <v>117030.65389008197</v>
      </c>
      <c r="AD151" s="118">
        <f>E151+T151+Y151</f>
        <v>2537.0550000000003</v>
      </c>
      <c r="AE151" s="118">
        <f>F151+U151+Z151</f>
        <v>334.64121664888148</v>
      </c>
      <c r="AF151" s="118">
        <f>G151+V151+AA151</f>
        <v>135183.30301967176</v>
      </c>
      <c r="AG151" s="118">
        <f>H151+W151+AB151</f>
        <v>138054.99923632064</v>
      </c>
    </row>
    <row r="152" spans="1:34" ht="16" thickBot="1">
      <c r="C152" s="163" t="s">
        <v>288</v>
      </c>
      <c r="E152" s="118">
        <f>SUM(E134:E137)+E140+E141+SUM(E144:E146)+E148+E151</f>
        <v>3436.2013092215329</v>
      </c>
      <c r="F152" s="124">
        <f t="shared" ref="F152:AG152" si="73">SUM(F134:F137)+F140+F141+SUM(F144:F146)+F148+F151</f>
        <v>5461.054817485081</v>
      </c>
      <c r="G152" s="124">
        <f t="shared" si="73"/>
        <v>179331.3213276513</v>
      </c>
      <c r="H152" s="55">
        <f t="shared" si="73"/>
        <v>188228.57745435793</v>
      </c>
      <c r="I152" s="124"/>
      <c r="J152" s="124">
        <f t="shared" si="73"/>
        <v>6014.3463793838755</v>
      </c>
      <c r="K152" s="124">
        <f t="shared" si="73"/>
        <v>8005.9754450953878</v>
      </c>
      <c r="L152" s="124">
        <f t="shared" si="73"/>
        <v>40888.350669775456</v>
      </c>
      <c r="M152" s="55">
        <f t="shared" si="73"/>
        <v>54908.672494254715</v>
      </c>
      <c r="N152" s="124"/>
      <c r="O152" s="124">
        <f t="shared" si="73"/>
        <v>7780.9054456743343</v>
      </c>
      <c r="P152" s="124"/>
      <c r="Q152" s="124">
        <f t="shared" si="73"/>
        <v>112978.88611720903</v>
      </c>
      <c r="R152" s="55">
        <f t="shared" si="73"/>
        <v>120759.79156288336</v>
      </c>
      <c r="S152" s="124"/>
      <c r="T152" s="124">
        <f t="shared" si="73"/>
        <v>13795.251825058211</v>
      </c>
      <c r="U152" s="124">
        <f t="shared" si="73"/>
        <v>8005.9754450953878</v>
      </c>
      <c r="V152" s="124">
        <f t="shared" si="73"/>
        <v>153867.23678698449</v>
      </c>
      <c r="W152" s="55">
        <f t="shared" si="73"/>
        <v>175668.46405713807</v>
      </c>
      <c r="X152" s="124"/>
      <c r="Y152" s="168">
        <f>SUM(Y134:Y137)+Y140+Y141+SUM(Y144:Y146)+Y148+Y151</f>
        <v>6445.6587433078648</v>
      </c>
      <c r="Z152" s="124"/>
      <c r="AA152" s="124">
        <f t="shared" si="73"/>
        <v>318023.16809642181</v>
      </c>
      <c r="AB152" s="124">
        <f t="shared" si="73"/>
        <v>324468.82683972968</v>
      </c>
      <c r="AC152" s="124"/>
      <c r="AD152" s="124">
        <f t="shared" si="73"/>
        <v>23677.111877587609</v>
      </c>
      <c r="AE152" s="124">
        <f t="shared" si="73"/>
        <v>13467.030262580467</v>
      </c>
      <c r="AF152" s="124">
        <f t="shared" si="73"/>
        <v>651221.72621105763</v>
      </c>
      <c r="AG152" s="148">
        <f t="shared" si="73"/>
        <v>688365.86835122562</v>
      </c>
      <c r="AH152" s="164" t="s">
        <v>261</v>
      </c>
    </row>
    <row r="153" spans="1:34">
      <c r="E153" s="169" t="s">
        <v>204</v>
      </c>
      <c r="F153" s="170"/>
      <c r="G153" s="169"/>
      <c r="H153" s="169"/>
      <c r="I153" s="170"/>
      <c r="J153" s="169" t="s">
        <v>204</v>
      </c>
      <c r="K153" s="170"/>
      <c r="L153" s="169"/>
      <c r="M153" s="169"/>
      <c r="N153" s="170"/>
      <c r="O153" s="169" t="s">
        <v>204</v>
      </c>
      <c r="P153" s="170"/>
      <c r="Q153" s="169"/>
      <c r="R153" s="169"/>
      <c r="S153" s="170"/>
      <c r="T153" s="169" t="s">
        <v>204</v>
      </c>
      <c r="U153" s="170"/>
      <c r="V153" s="169"/>
      <c r="W153" s="169"/>
      <c r="X153" s="170"/>
      <c r="Y153" s="169" t="s">
        <v>204</v>
      </c>
      <c r="Z153" s="170"/>
      <c r="AA153" s="169"/>
      <c r="AB153" s="169"/>
      <c r="AD153" s="169" t="s">
        <v>204</v>
      </c>
      <c r="AE153" s="170"/>
      <c r="AF153" s="169"/>
      <c r="AG153" s="169"/>
      <c r="AH153" s="118"/>
    </row>
    <row r="154" spans="1:34">
      <c r="E154" s="171">
        <f>SUM(E134:E136)+E138+E139++E140+SUM(E142:E146)+SUM(E149:E151)</f>
        <v>3436.2013092215329</v>
      </c>
      <c r="F154" s="171">
        <f t="shared" ref="F154:H154" si="74">SUM(F134:F136)+F138+F139++F140+SUM(F142:F146)+SUM(F149:F151)</f>
        <v>5461.054817485081</v>
      </c>
      <c r="G154" s="171">
        <f t="shared" si="74"/>
        <v>179331.3213276513</v>
      </c>
      <c r="H154" s="171">
        <f t="shared" si="74"/>
        <v>188228.57745435793</v>
      </c>
      <c r="I154" s="169"/>
      <c r="J154" s="171">
        <f>SUM(J134:J136)+J138+J139++J140+SUM(J142:J146)+SUM(J149:J151)</f>
        <v>6014.3463793838764</v>
      </c>
      <c r="K154" s="171">
        <f t="shared" ref="K154:M154" si="75">SUM(K134:K136)+K138+K139++K140+SUM(K142:K146)+SUM(K149:K151)</f>
        <v>8005.9754450953878</v>
      </c>
      <c r="L154" s="171">
        <f t="shared" si="75"/>
        <v>40888.350669775456</v>
      </c>
      <c r="M154" s="171">
        <f t="shared" si="75"/>
        <v>54908.672494254715</v>
      </c>
      <c r="N154" s="169"/>
      <c r="O154" s="171">
        <f>SUM(O134:O136)+O138+O139++O140+SUM(O142:O146)+SUM(O149:O151)</f>
        <v>7780.9054456743343</v>
      </c>
      <c r="P154" s="171">
        <f t="shared" ref="P154:R154" si="76">SUM(P134:P136)+P138+P139++P140+SUM(P142:P146)+SUM(P149:P151)</f>
        <v>0</v>
      </c>
      <c r="Q154" s="171">
        <f t="shared" si="76"/>
        <v>112978.88611720903</v>
      </c>
      <c r="R154" s="171">
        <f t="shared" si="76"/>
        <v>120759.79156288337</v>
      </c>
      <c r="S154" s="170"/>
      <c r="T154" s="171">
        <f>SUM(T134:T136)+T138+T139++T140+SUM(T142:T146)+SUM(T149:T151)</f>
        <v>13795.251825058211</v>
      </c>
      <c r="U154" s="171">
        <f t="shared" ref="U154:W154" si="77">SUM(U134:U136)+U138+U139++U140+SUM(U142:U146)+SUM(U149:U151)</f>
        <v>8005.9754450953878</v>
      </c>
      <c r="V154" s="171">
        <f t="shared" si="77"/>
        <v>153867.23678698449</v>
      </c>
      <c r="W154" s="171">
        <f t="shared" si="77"/>
        <v>175668.46405713807</v>
      </c>
      <c r="X154" s="169"/>
      <c r="Y154" s="171">
        <f>SUM(Y134:Y136)+Y138+Y139++Y140+SUM(Y142:Y146)+SUM(Y149:Y151)</f>
        <v>6445.6587433078657</v>
      </c>
      <c r="Z154" s="171"/>
      <c r="AA154" s="171">
        <f t="shared" ref="AA154:AB154" si="78">SUM(AA134:AA136)+AA138+AA139++AA140+SUM(AA142:AA146)+SUM(AA149:AA151)</f>
        <v>318023.16809642181</v>
      </c>
      <c r="AB154" s="171">
        <f t="shared" si="78"/>
        <v>324468.82683972968</v>
      </c>
      <c r="AD154" s="171">
        <f>SUM(AD134:AD136)+AD138+AD139++AD140+SUM(AD142:AD146)+SUM(AD149:AD151)</f>
        <v>23677.111877587609</v>
      </c>
      <c r="AE154" s="171"/>
      <c r="AF154" s="171">
        <f t="shared" ref="AF154:AG154" si="79">SUM(AF134:AF136)+AF138+AF139++AF140+SUM(AF142:AF146)+SUM(AF149:AF151)</f>
        <v>651221.72621105751</v>
      </c>
      <c r="AG154" s="171">
        <f t="shared" si="79"/>
        <v>688365.86835122562</v>
      </c>
    </row>
    <row r="155" spans="1:34">
      <c r="Y155" s="168"/>
    </row>
    <row r="156" spans="1:34">
      <c r="B156" s="76" t="s">
        <v>166</v>
      </c>
    </row>
    <row r="157" spans="1:34">
      <c r="B157" s="34" t="s">
        <v>187</v>
      </c>
      <c r="Y157" s="168"/>
    </row>
    <row r="158" spans="1:34">
      <c r="C158" s="34" t="s">
        <v>214</v>
      </c>
      <c r="AA158" s="47" t="s">
        <v>273</v>
      </c>
    </row>
    <row r="159" spans="1:34">
      <c r="A159" s="176" t="s">
        <v>412</v>
      </c>
      <c r="B159" s="176" t="s">
        <v>370</v>
      </c>
      <c r="C159" s="47" t="s">
        <v>167</v>
      </c>
      <c r="E159" s="34">
        <v>0</v>
      </c>
      <c r="F159" s="179">
        <f>F151*0.4</f>
        <v>133.85648665955259</v>
      </c>
      <c r="G159" s="179">
        <f t="shared" ref="G159:H159" si="80">G151*0.4</f>
        <v>758.52009107079812</v>
      </c>
      <c r="H159" s="179">
        <f t="shared" si="80"/>
        <v>892.37657773035062</v>
      </c>
      <c r="J159" s="179">
        <f>J151*0.4</f>
        <v>969.7188000000001</v>
      </c>
      <c r="K159" s="179">
        <f t="shared" ref="K159:L159" si="81">K151*0.4</f>
        <v>0</v>
      </c>
      <c r="L159" s="179">
        <f t="shared" si="81"/>
        <v>2864.1790843387289</v>
      </c>
      <c r="O159" s="179">
        <f>O151*0.4</f>
        <v>45.103200000000001</v>
      </c>
      <c r="P159" s="179">
        <f t="shared" ref="P159:Q159" si="82">P151*0.4</f>
        <v>0</v>
      </c>
      <c r="Q159" s="179">
        <f t="shared" si="82"/>
        <v>3638.3604764263891</v>
      </c>
      <c r="T159" s="179">
        <f>T151*0.4</f>
        <v>1014.8220000000001</v>
      </c>
      <c r="U159" s="179">
        <f t="shared" ref="U159:V159" si="83">U151*0.4</f>
        <v>0</v>
      </c>
      <c r="V159" s="179">
        <f t="shared" si="83"/>
        <v>6502.5395607651189</v>
      </c>
      <c r="AA159" s="179">
        <f t="shared" ref="AA159" si="84">AA151*0.4</f>
        <v>46812.26155603279</v>
      </c>
      <c r="AH159" s="180" t="s">
        <v>348</v>
      </c>
    </row>
    <row r="160" spans="1:34">
      <c r="C160" s="47" t="s">
        <v>346</v>
      </c>
      <c r="E160" s="34">
        <v>0</v>
      </c>
      <c r="F160" s="179">
        <f>0.6*F151</f>
        <v>200.78472998932889</v>
      </c>
      <c r="G160" s="179">
        <f t="shared" ref="G160:H160" si="85">0.6*G151</f>
        <v>1137.7801366061969</v>
      </c>
      <c r="H160" s="179">
        <f t="shared" si="85"/>
        <v>1338.5648665955259</v>
      </c>
      <c r="J160" s="179">
        <f>0.6*J151</f>
        <v>1454.5781999999999</v>
      </c>
      <c r="K160" s="179">
        <f t="shared" ref="K160:L160" si="86">0.6*K151</f>
        <v>0</v>
      </c>
      <c r="L160" s="179">
        <f t="shared" si="86"/>
        <v>4296.2686265080929</v>
      </c>
      <c r="O160" s="179">
        <f>0.6*O151</f>
        <v>67.654799999999994</v>
      </c>
      <c r="P160" s="179">
        <f t="shared" ref="P160:Q160" si="87">0.6*P151</f>
        <v>0</v>
      </c>
      <c r="Q160" s="179">
        <f t="shared" si="87"/>
        <v>5457.5407146395828</v>
      </c>
      <c r="T160" s="179">
        <f>0.6*T151</f>
        <v>1522.2330000000002</v>
      </c>
      <c r="U160" s="179">
        <f t="shared" ref="U160:V160" si="88">0.6*U151</f>
        <v>0</v>
      </c>
      <c r="V160" s="179">
        <f t="shared" si="88"/>
        <v>9753.8093411476766</v>
      </c>
      <c r="AA160" s="179">
        <f t="shared" ref="AA160" si="89">0.6*AA151</f>
        <v>70218.392334049175</v>
      </c>
      <c r="AH160" s="180" t="s">
        <v>349</v>
      </c>
    </row>
    <row r="161" spans="3:34">
      <c r="C161" s="47" t="s">
        <v>274</v>
      </c>
      <c r="E161" s="34">
        <v>0</v>
      </c>
      <c r="F161" s="179">
        <f>F159+F160</f>
        <v>334.64121664888148</v>
      </c>
      <c r="G161" s="179">
        <f t="shared" ref="G161:H161" si="90">G159+G160</f>
        <v>1896.3002276769951</v>
      </c>
      <c r="H161" s="179">
        <f t="shared" si="90"/>
        <v>2230.9414443258765</v>
      </c>
      <c r="J161" s="179">
        <f>J159+J160</f>
        <v>2424.297</v>
      </c>
      <c r="K161" s="179">
        <f t="shared" ref="K161" si="91">K159+K160</f>
        <v>0</v>
      </c>
      <c r="L161" s="179">
        <f t="shared" ref="L161" si="92">L159+L160</f>
        <v>7160.4477108468218</v>
      </c>
      <c r="O161" s="179">
        <f>O159+O160</f>
        <v>112.758</v>
      </c>
      <c r="P161" s="179">
        <f t="shared" ref="P161" si="93">P159+P160</f>
        <v>0</v>
      </c>
      <c r="Q161" s="179">
        <f t="shared" ref="Q161" si="94">Q159+Q160</f>
        <v>9095.9011910659719</v>
      </c>
      <c r="T161" s="179">
        <f>T159+T160</f>
        <v>2537.0550000000003</v>
      </c>
      <c r="U161" s="179">
        <f t="shared" ref="U161" si="95">U159+U160</f>
        <v>0</v>
      </c>
      <c r="V161" s="179">
        <f t="shared" ref="V161" si="96">V159+V160</f>
        <v>16256.348901912796</v>
      </c>
      <c r="AA161" s="179">
        <f t="shared" ref="AA161" si="97">AA159+AA160</f>
        <v>117030.65389008197</v>
      </c>
      <c r="AH161" s="180" t="s">
        <v>350</v>
      </c>
    </row>
  </sheetData>
  <phoneticPr fontId="1" type="noConversion"/>
  <pageMargins left="0.75" right="0.75" top="1" bottom="1" header="0.5" footer="0.5"/>
  <ignoredErrors>
    <ignoredError sqref="M107" formulaRange="1"/>
  </ignoredErrors>
  <extLst>
    <ext xmlns:mx="http://schemas.microsoft.com/office/mac/excel/2008/main" uri="http://schemas.microsoft.com/office/mac/excel/2008/main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/>
  <dimension ref="A1:AK76"/>
  <sheetViews>
    <sheetView topLeftCell="A5" workbookViewId="0">
      <pane xSplit="12040" ySplit="3440" topLeftCell="X55" activePane="bottomRight"/>
      <selection activeCell="A4" sqref="A4:XFD5"/>
      <selection pane="topRight" activeCell="AF4" sqref="AF4"/>
      <selection pane="bottomLeft" activeCell="D45" sqref="D45"/>
      <selection pane="bottomRight" activeCell="W66" sqref="W66"/>
    </sheetView>
  </sheetViews>
  <sheetFormatPr baseColWidth="10" defaultRowHeight="15"/>
  <cols>
    <col min="1" max="2" width="10.7109375" style="124"/>
    <col min="3" max="3" width="6.85546875" style="124" customWidth="1"/>
    <col min="4" max="4" width="21.42578125" style="124" customWidth="1"/>
    <col min="5" max="8" width="10.7109375" style="124"/>
    <col min="9" max="9" width="3.7109375" style="124" customWidth="1"/>
    <col min="10" max="13" width="10.7109375" style="124"/>
    <col min="14" max="14" width="3.7109375" style="124" customWidth="1"/>
    <col min="15" max="18" width="10.7109375" style="124"/>
    <col min="19" max="19" width="3.7109375" style="124" customWidth="1"/>
    <col min="20" max="23" width="10.7109375" style="124"/>
    <col min="24" max="24" width="3.7109375" style="124" customWidth="1"/>
    <col min="25" max="28" width="10.7109375" style="124"/>
    <col min="29" max="29" width="3.7109375" style="124" customWidth="1"/>
    <col min="30" max="16384" width="10.7109375" style="124"/>
  </cols>
  <sheetData>
    <row r="1" spans="1:36" ht="18">
      <c r="B1" s="197" t="s">
        <v>407</v>
      </c>
    </row>
    <row r="2" spans="1:36">
      <c r="B2" s="200" t="s">
        <v>547</v>
      </c>
    </row>
    <row r="3" spans="1:36">
      <c r="B3" s="200" t="s">
        <v>524</v>
      </c>
    </row>
    <row r="4" spans="1:36" s="200" customFormat="1">
      <c r="B4" s="209" t="s">
        <v>533</v>
      </c>
    </row>
    <row r="5" spans="1:36" s="200" customFormat="1">
      <c r="B5" s="209" t="s">
        <v>458</v>
      </c>
    </row>
    <row r="7" spans="1:36" ht="17">
      <c r="A7" s="184"/>
      <c r="B7" s="195" t="s">
        <v>470</v>
      </c>
      <c r="C7" s="184"/>
      <c r="D7" s="184"/>
    </row>
    <row r="8" spans="1:36">
      <c r="A8" s="184"/>
      <c r="B8" s="182" t="s">
        <v>401</v>
      </c>
      <c r="C8" s="184"/>
      <c r="D8" s="184"/>
    </row>
    <row r="9" spans="1:36" ht="16" thickBot="1">
      <c r="A9" s="184"/>
      <c r="B9" s="184"/>
      <c r="C9" s="184"/>
      <c r="D9" s="184"/>
      <c r="E9" s="166"/>
    </row>
    <row r="10" spans="1:36" ht="18" thickBot="1">
      <c r="A10" s="184"/>
      <c r="B10" s="208" t="s">
        <v>459</v>
      </c>
      <c r="C10" s="184"/>
      <c r="D10" s="184"/>
      <c r="E10" s="130" t="s">
        <v>303</v>
      </c>
      <c r="F10" s="131"/>
      <c r="G10" s="131"/>
      <c r="H10" s="132"/>
      <c r="I10" s="133"/>
      <c r="J10" s="134" t="s">
        <v>389</v>
      </c>
      <c r="K10" s="135"/>
      <c r="L10" s="125" t="s">
        <v>464</v>
      </c>
      <c r="M10" s="136"/>
      <c r="N10" s="133"/>
      <c r="O10" s="137" t="s">
        <v>300</v>
      </c>
      <c r="P10" s="138"/>
      <c r="Q10" s="138"/>
      <c r="R10" s="139"/>
      <c r="T10" s="140" t="s">
        <v>182</v>
      </c>
      <c r="U10" s="141"/>
      <c r="V10" s="141"/>
      <c r="W10" s="142"/>
      <c r="X10" s="133"/>
      <c r="Y10" s="143" t="s">
        <v>298</v>
      </c>
      <c r="Z10" s="144"/>
      <c r="AA10" s="126" t="s">
        <v>357</v>
      </c>
      <c r="AB10" s="145"/>
      <c r="AC10" s="133"/>
      <c r="AD10" s="146" t="s">
        <v>294</v>
      </c>
      <c r="AE10" s="147"/>
      <c r="AF10" s="127" t="s">
        <v>285</v>
      </c>
      <c r="AG10" s="128"/>
    </row>
    <row r="11" spans="1:36">
      <c r="A11" s="189"/>
      <c r="B11" s="198" t="s">
        <v>469</v>
      </c>
      <c r="C11" s="189"/>
      <c r="D11" s="189"/>
      <c r="E11" s="129" t="s">
        <v>399</v>
      </c>
      <c r="F11" s="167" t="s">
        <v>409</v>
      </c>
      <c r="G11" s="129" t="s">
        <v>265</v>
      </c>
      <c r="H11" s="129" t="s">
        <v>421</v>
      </c>
      <c r="I11" s="129"/>
      <c r="J11" s="129" t="s">
        <v>234</v>
      </c>
      <c r="K11" s="167" t="s">
        <v>276</v>
      </c>
      <c r="L11" s="129" t="s">
        <v>265</v>
      </c>
      <c r="M11" s="129" t="s">
        <v>421</v>
      </c>
      <c r="N11" s="129"/>
      <c r="O11" s="129" t="s">
        <v>428</v>
      </c>
      <c r="P11" s="129"/>
      <c r="Q11" s="129" t="s">
        <v>321</v>
      </c>
      <c r="R11" s="129" t="s">
        <v>421</v>
      </c>
      <c r="S11" s="129"/>
      <c r="T11" s="129" t="s">
        <v>330</v>
      </c>
      <c r="U11" s="129" t="s">
        <v>233</v>
      </c>
      <c r="V11" s="129" t="s">
        <v>265</v>
      </c>
      <c r="W11" s="129" t="s">
        <v>421</v>
      </c>
      <c r="X11" s="129"/>
      <c r="Y11" s="129" t="s">
        <v>235</v>
      </c>
      <c r="Z11" s="129"/>
      <c r="AA11" s="129" t="s">
        <v>236</v>
      </c>
      <c r="AB11" s="129" t="s">
        <v>421</v>
      </c>
      <c r="AC11" s="129"/>
      <c r="AD11" s="129" t="s">
        <v>331</v>
      </c>
      <c r="AE11" s="129" t="s">
        <v>332</v>
      </c>
      <c r="AF11" s="129" t="s">
        <v>352</v>
      </c>
      <c r="AG11" s="129" t="s">
        <v>397</v>
      </c>
    </row>
    <row r="12" spans="1:36">
      <c r="A12" s="184"/>
      <c r="B12" s="184"/>
      <c r="C12" s="184"/>
      <c r="D12" s="184"/>
      <c r="AH12" s="155"/>
    </row>
    <row r="13" spans="1:36" s="184" customFormat="1">
      <c r="A13" s="184" t="s">
        <v>429</v>
      </c>
      <c r="B13" s="184" t="s">
        <v>287</v>
      </c>
      <c r="E13" s="192">
        <v>105.43175772950418</v>
      </c>
      <c r="F13" s="184">
        <v>170.1403763571187</v>
      </c>
      <c r="G13" s="184">
        <v>603.59067678241661</v>
      </c>
      <c r="H13" s="184">
        <v>879.1628108690395</v>
      </c>
      <c r="J13" s="184">
        <v>165.48165459600153</v>
      </c>
      <c r="K13" s="184">
        <v>37.544154949927176</v>
      </c>
      <c r="L13" s="184">
        <v>397.10428862165855</v>
      </c>
      <c r="M13" s="184">
        <v>600.13009816758722</v>
      </c>
      <c r="O13" s="184">
        <v>359.73645345851338</v>
      </c>
      <c r="Q13" s="184">
        <v>1263.466936038805</v>
      </c>
      <c r="R13" s="184">
        <v>1623.2033894973183</v>
      </c>
      <c r="T13" s="184">
        <v>525.21810805451491</v>
      </c>
      <c r="U13" s="184">
        <v>37.544154949927176</v>
      </c>
      <c r="V13" s="184">
        <v>1660.5712246604635</v>
      </c>
      <c r="W13" s="184">
        <v>2223.3334876649055</v>
      </c>
      <c r="Y13" s="184">
        <v>1237.6389588922204</v>
      </c>
      <c r="AA13" s="184">
        <v>9570.3181475204419</v>
      </c>
      <c r="AB13" s="184">
        <v>10807.957106412663</v>
      </c>
      <c r="AD13" s="184">
        <v>1868.2888246762395</v>
      </c>
      <c r="AE13" s="184">
        <v>207.68453130704586</v>
      </c>
      <c r="AF13" s="184">
        <v>11834.480048963322</v>
      </c>
      <c r="AG13" s="184">
        <v>13910.453404946609</v>
      </c>
      <c r="AI13" s="184" t="s">
        <v>429</v>
      </c>
      <c r="AJ13" s="184" t="s">
        <v>287</v>
      </c>
    </row>
    <row r="14" spans="1:36" s="184" customFormat="1">
      <c r="A14" s="184" t="s">
        <v>484</v>
      </c>
      <c r="B14" s="184" t="s">
        <v>256</v>
      </c>
      <c r="E14" s="192">
        <v>584.66702013634142</v>
      </c>
      <c r="F14" s="184">
        <v>0</v>
      </c>
      <c r="G14" s="184">
        <v>0</v>
      </c>
      <c r="H14" s="184">
        <v>584.66702013634142</v>
      </c>
      <c r="J14" s="184">
        <v>1105.0338073746518</v>
      </c>
      <c r="K14" s="184">
        <v>0</v>
      </c>
      <c r="L14" s="184">
        <v>0</v>
      </c>
      <c r="M14" s="184">
        <v>1105.0338073746518</v>
      </c>
      <c r="O14" s="184">
        <v>1891.8867120522691</v>
      </c>
      <c r="Q14" s="184">
        <v>0</v>
      </c>
      <c r="R14" s="184">
        <v>1891.8867120522691</v>
      </c>
      <c r="T14" s="184">
        <v>2996.9205194269207</v>
      </c>
      <c r="U14" s="184">
        <v>0</v>
      </c>
      <c r="V14" s="184">
        <v>0</v>
      </c>
      <c r="W14" s="184">
        <v>2996.9205194269207</v>
      </c>
      <c r="Y14" s="184">
        <v>1305.8284332113508</v>
      </c>
      <c r="AA14" s="184">
        <v>0</v>
      </c>
      <c r="AB14" s="184">
        <v>1305.8284332113508</v>
      </c>
      <c r="AD14" s="184">
        <v>4887.4159727746128</v>
      </c>
      <c r="AE14" s="184">
        <v>0</v>
      </c>
      <c r="AF14" s="184">
        <v>0</v>
      </c>
      <c r="AG14" s="184">
        <v>4887.4159727746128</v>
      </c>
      <c r="AI14" s="184" t="s">
        <v>484</v>
      </c>
      <c r="AJ14" s="184" t="s">
        <v>256</v>
      </c>
    </row>
    <row r="15" spans="1:36" s="184" customFormat="1">
      <c r="A15" s="184" t="s">
        <v>485</v>
      </c>
      <c r="B15" s="184" t="s">
        <v>424</v>
      </c>
      <c r="E15" s="189">
        <v>0</v>
      </c>
      <c r="F15" s="184">
        <v>1011.3900150117609</v>
      </c>
      <c r="G15" s="184">
        <v>2682.6252301440741</v>
      </c>
      <c r="H15" s="184">
        <v>3694.0152451558351</v>
      </c>
      <c r="J15" s="184">
        <v>0</v>
      </c>
      <c r="K15" s="184">
        <v>744.9603026530832</v>
      </c>
      <c r="L15" s="184">
        <v>1198.2049484675681</v>
      </c>
      <c r="M15" s="184">
        <v>1943.1652511206512</v>
      </c>
      <c r="O15" s="184">
        <v>0</v>
      </c>
      <c r="Q15" s="184">
        <v>6026.6083915027039</v>
      </c>
      <c r="R15" s="184">
        <v>6026.6083915027039</v>
      </c>
      <c r="T15" s="184">
        <v>0</v>
      </c>
      <c r="U15" s="184">
        <v>744.9603026530832</v>
      </c>
      <c r="V15" s="184">
        <v>7224.813339970272</v>
      </c>
      <c r="W15" s="184">
        <v>7969.773642623355</v>
      </c>
      <c r="Y15" s="184">
        <v>0</v>
      </c>
      <c r="AA15" s="184">
        <v>4395.4915745816406</v>
      </c>
      <c r="AB15" s="184">
        <v>4395.4915745816406</v>
      </c>
      <c r="AD15" s="184">
        <v>0</v>
      </c>
      <c r="AE15" s="184">
        <v>1756.3503176648442</v>
      </c>
      <c r="AF15" s="184">
        <v>14302.930144695987</v>
      </c>
      <c r="AG15" s="184">
        <v>16059.280462360832</v>
      </c>
      <c r="AI15" s="184" t="s">
        <v>485</v>
      </c>
      <c r="AJ15" s="184" t="s">
        <v>424</v>
      </c>
    </row>
    <row r="16" spans="1:36" s="184" customFormat="1">
      <c r="A16" s="184" t="s">
        <v>486</v>
      </c>
      <c r="B16" s="184" t="s">
        <v>384</v>
      </c>
      <c r="E16" s="192">
        <v>679.36390798793229</v>
      </c>
      <c r="F16" s="184">
        <v>1890.4486261902082</v>
      </c>
      <c r="G16" s="184">
        <v>12776.002658561149</v>
      </c>
      <c r="H16" s="184">
        <v>15345.81519273929</v>
      </c>
      <c r="J16" s="184">
        <v>581.03404091749292</v>
      </c>
      <c r="K16" s="184">
        <v>1624.7222872340692</v>
      </c>
      <c r="L16" s="184">
        <v>6564.3690395457879</v>
      </c>
      <c r="M16" s="184">
        <v>8770.1253676973502</v>
      </c>
      <c r="O16" s="184">
        <v>2179.6758748190873</v>
      </c>
      <c r="Q16" s="184">
        <v>26822.740636760413</v>
      </c>
      <c r="R16" s="184">
        <v>29002.4165115795</v>
      </c>
      <c r="T16" s="184">
        <v>2760.7099157365801</v>
      </c>
      <c r="U16" s="184">
        <v>1624.7222872340692</v>
      </c>
      <c r="V16" s="184">
        <v>33387.109676306201</v>
      </c>
      <c r="W16" s="184">
        <v>37772.541879276847</v>
      </c>
      <c r="Y16" s="184">
        <v>722.38224356828994</v>
      </c>
      <c r="AA16" s="184">
        <v>10901.883134506526</v>
      </c>
      <c r="AB16" s="184">
        <v>11624.265378074817</v>
      </c>
      <c r="AD16" s="184">
        <v>4162.4560672928019</v>
      </c>
      <c r="AE16" s="184">
        <v>3515.1709134242774</v>
      </c>
      <c r="AF16" s="184">
        <v>57064.995469373876</v>
      </c>
      <c r="AG16" s="184">
        <v>64742.622450090952</v>
      </c>
      <c r="AI16" s="184" t="s">
        <v>486</v>
      </c>
      <c r="AJ16" s="184" t="s">
        <v>384</v>
      </c>
    </row>
    <row r="17" spans="1:37" s="184" customFormat="1">
      <c r="A17" s="184" t="s">
        <v>489</v>
      </c>
      <c r="B17" s="184" t="s">
        <v>297</v>
      </c>
      <c r="E17" s="192">
        <v>393.91720580849477</v>
      </c>
      <c r="F17" s="184">
        <v>1493.4223736695681</v>
      </c>
      <c r="G17" s="184">
        <v>7920.1888010359999</v>
      </c>
      <c r="H17" s="184">
        <v>9807.5283805140625</v>
      </c>
      <c r="J17" s="184">
        <v>330.95799650389648</v>
      </c>
      <c r="K17" s="184">
        <v>1283.5633324485721</v>
      </c>
      <c r="L17" s="184">
        <v>4069.6508011163546</v>
      </c>
      <c r="M17" s="184">
        <v>5684.1721300688232</v>
      </c>
      <c r="O17" s="184">
        <v>1568.7472891336017</v>
      </c>
      <c r="Q17" s="184">
        <v>16630.476857306017</v>
      </c>
      <c r="R17" s="184">
        <v>18199.224146439617</v>
      </c>
      <c r="T17" s="184">
        <v>1899.7052856374983</v>
      </c>
      <c r="U17" s="184">
        <v>1283.5633324485721</v>
      </c>
      <c r="V17" s="184">
        <v>20700.127658422371</v>
      </c>
      <c r="W17" s="184">
        <v>23883.39627650844</v>
      </c>
      <c r="Y17" s="184">
        <v>419.38094053544523</v>
      </c>
      <c r="AA17" s="184">
        <v>6759.1864630110722</v>
      </c>
      <c r="AB17" s="184">
        <v>7178.5674035465172</v>
      </c>
      <c r="AD17" s="184">
        <v>2713.0034319814386</v>
      </c>
      <c r="AE17" s="184">
        <v>2776.9857061181401</v>
      </c>
      <c r="AF17" s="184">
        <v>35379.502922469444</v>
      </c>
      <c r="AG17" s="184">
        <v>40869.49206056902</v>
      </c>
      <c r="AI17" s="184" t="s">
        <v>489</v>
      </c>
      <c r="AJ17" s="184" t="s">
        <v>297</v>
      </c>
    </row>
    <row r="18" spans="1:37" s="184" customFormat="1">
      <c r="A18" s="184" t="s">
        <v>513</v>
      </c>
      <c r="B18" s="184" t="s">
        <v>437</v>
      </c>
      <c r="E18" s="192">
        <v>285.44670217943747</v>
      </c>
      <c r="F18" s="184">
        <v>397.02625252064001</v>
      </c>
      <c r="G18" s="184">
        <v>4855.8138575251505</v>
      </c>
      <c r="H18" s="184">
        <v>5538.2868122252275</v>
      </c>
      <c r="J18" s="184">
        <v>250.07604441359643</v>
      </c>
      <c r="K18" s="184">
        <v>341.15895478549726</v>
      </c>
      <c r="L18" s="184">
        <v>2494.7182384294333</v>
      </c>
      <c r="M18" s="184">
        <v>3085.9532376285269</v>
      </c>
      <c r="O18" s="184">
        <v>610.92858568548513</v>
      </c>
      <c r="Q18" s="184">
        <v>10192.263779454393</v>
      </c>
      <c r="R18" s="184">
        <v>10803.192365139879</v>
      </c>
      <c r="T18" s="184">
        <v>861.00463009908162</v>
      </c>
      <c r="U18" s="184">
        <v>341.15895478549726</v>
      </c>
      <c r="V18" s="184">
        <v>12686.982017883827</v>
      </c>
      <c r="W18" s="184">
        <v>13889.145602768407</v>
      </c>
      <c r="Y18" s="184">
        <v>303.00130303284459</v>
      </c>
      <c r="AA18" s="184">
        <v>4142.6966714954524</v>
      </c>
      <c r="AB18" s="184">
        <v>4445.697974528297</v>
      </c>
      <c r="AD18" s="184">
        <v>1449.4526353113638</v>
      </c>
      <c r="AE18" s="184">
        <v>738.18520730613727</v>
      </c>
      <c r="AF18" s="184">
        <v>21685.492546904432</v>
      </c>
      <c r="AG18" s="184">
        <v>23873.130389521932</v>
      </c>
      <c r="AI18" s="184" t="s">
        <v>513</v>
      </c>
      <c r="AJ18" s="184" t="s">
        <v>437</v>
      </c>
    </row>
    <row r="19" spans="1:37" s="184" customFormat="1">
      <c r="A19" s="184" t="s">
        <v>218</v>
      </c>
      <c r="B19" s="184" t="s">
        <v>386</v>
      </c>
      <c r="E19" s="192">
        <v>11.56419526275768</v>
      </c>
      <c r="F19" s="184">
        <v>0</v>
      </c>
      <c r="G19" s="184">
        <v>81697.513047271204</v>
      </c>
      <c r="H19" s="184">
        <v>81709.077242533967</v>
      </c>
      <c r="J19" s="184">
        <v>267.97940705590491</v>
      </c>
      <c r="K19" s="184">
        <v>218.3884343781809</v>
      </c>
      <c r="L19" s="184">
        <v>13279.064050329889</v>
      </c>
      <c r="M19" s="184">
        <v>13765.431891763976</v>
      </c>
      <c r="O19" s="184">
        <v>52.325302321238226</v>
      </c>
      <c r="Q19" s="184">
        <v>26719.406363150742</v>
      </c>
      <c r="R19" s="184">
        <v>26771.73166547198</v>
      </c>
      <c r="T19" s="184">
        <v>320.30470937714313</v>
      </c>
      <c r="U19" s="184">
        <v>218.3884343781809</v>
      </c>
      <c r="V19" s="184">
        <v>39998.470413480631</v>
      </c>
      <c r="W19" s="184">
        <v>40537.163557235952</v>
      </c>
      <c r="Y19" s="184">
        <v>539.54921555012083</v>
      </c>
      <c r="AA19" s="184">
        <v>142024.97951918226</v>
      </c>
      <c r="AB19" s="184">
        <v>142564.52873473239</v>
      </c>
      <c r="AD19" s="184">
        <v>871.41812019002168</v>
      </c>
      <c r="AE19" s="184">
        <v>218.3884343781809</v>
      </c>
      <c r="AF19" s="184">
        <v>263720.96297993406</v>
      </c>
      <c r="AG19" s="184">
        <v>264810.76953450229</v>
      </c>
      <c r="AI19" s="184" t="s">
        <v>218</v>
      </c>
      <c r="AJ19" s="184" t="s">
        <v>386</v>
      </c>
    </row>
    <row r="20" spans="1:37" s="184" customFormat="1">
      <c r="A20" s="184" t="s">
        <v>403</v>
      </c>
      <c r="B20" s="184" t="s">
        <v>385</v>
      </c>
      <c r="E20" s="192">
        <v>295.2089216426117</v>
      </c>
      <c r="F20" s="184">
        <v>406.44645463089466</v>
      </c>
      <c r="G20" s="184">
        <v>3453.8799838104951</v>
      </c>
      <c r="H20" s="184">
        <v>4155.5353600840017</v>
      </c>
      <c r="J20" s="184">
        <v>445.45367584582084</v>
      </c>
      <c r="K20" s="184">
        <v>1833.0980162019391</v>
      </c>
      <c r="L20" s="184">
        <v>252.49793150498235</v>
      </c>
      <c r="M20" s="184">
        <v>2531.0496235527421</v>
      </c>
      <c r="O20" s="184">
        <v>930.40928189951796</v>
      </c>
      <c r="Q20" s="184">
        <v>7397.5712513812859</v>
      </c>
      <c r="R20" s="184">
        <v>8327.9805332808046</v>
      </c>
      <c r="T20" s="184">
        <v>1375.8629577453389</v>
      </c>
      <c r="U20" s="184">
        <v>1833.0980162019391</v>
      </c>
      <c r="V20" s="184">
        <v>7650.0691828862682</v>
      </c>
      <c r="W20" s="184">
        <v>10859.030156833547</v>
      </c>
      <c r="Y20" s="184">
        <v>317.08105558395727</v>
      </c>
      <c r="AA20" s="184">
        <v>3321.9729427467469</v>
      </c>
      <c r="AB20" s="184">
        <v>3639.053998330704</v>
      </c>
      <c r="AD20" s="184">
        <v>1988.1529349719078</v>
      </c>
      <c r="AE20" s="184">
        <v>2239.5444708328337</v>
      </c>
      <c r="AF20" s="184">
        <v>14425.922109443509</v>
      </c>
      <c r="AG20" s="184">
        <v>18653.619515248251</v>
      </c>
      <c r="AH20" s="183"/>
      <c r="AI20" s="184" t="s">
        <v>403</v>
      </c>
      <c r="AJ20" s="184" t="s">
        <v>385</v>
      </c>
      <c r="AK20" s="184" t="s">
        <v>230</v>
      </c>
    </row>
    <row r="21" spans="1:37" s="184" customFormat="1">
      <c r="A21" s="184" t="s">
        <v>282</v>
      </c>
      <c r="B21" s="184" t="s">
        <v>158</v>
      </c>
      <c r="E21" s="192">
        <v>236.6389075186562</v>
      </c>
      <c r="F21" s="184">
        <v>341.97207976781414</v>
      </c>
      <c r="G21" s="184">
        <v>3350.4606296239003</v>
      </c>
      <c r="H21" s="184">
        <v>3929.0716169103707</v>
      </c>
      <c r="J21" s="184">
        <v>410.23690821395536</v>
      </c>
      <c r="K21" s="184">
        <v>1540.2759989382864</v>
      </c>
      <c r="L21" s="184">
        <v>245.38710767399169</v>
      </c>
      <c r="M21" s="184">
        <v>2195.9000148262335</v>
      </c>
      <c r="O21" s="184">
        <v>669.63313540954721</v>
      </c>
      <c r="Q21" s="184">
        <v>7175.3573048940616</v>
      </c>
      <c r="R21" s="184">
        <v>7844.9904403036089</v>
      </c>
      <c r="T21" s="184">
        <v>1079.8700436235026</v>
      </c>
      <c r="U21" s="184">
        <v>1540.2759989382864</v>
      </c>
      <c r="V21" s="184">
        <v>7420.7444125680531</v>
      </c>
      <c r="W21" s="184">
        <v>10040.890455129842</v>
      </c>
      <c r="Y21" s="184">
        <v>193.56043409328242</v>
      </c>
      <c r="AA21" s="184">
        <v>3221.7993993642735</v>
      </c>
      <c r="AB21" s="184">
        <v>3415.3598334575559</v>
      </c>
      <c r="AD21" s="184">
        <v>1510.0693852354411</v>
      </c>
      <c r="AE21" s="184">
        <v>1882.2480787061006</v>
      </c>
      <c r="AF21" s="184">
        <v>13993.004441556228</v>
      </c>
      <c r="AG21" s="184">
        <v>17385.321905497767</v>
      </c>
      <c r="AI21" s="184" t="s">
        <v>282</v>
      </c>
      <c r="AJ21" s="184" t="s">
        <v>158</v>
      </c>
    </row>
    <row r="22" spans="1:37" s="184" customFormat="1">
      <c r="A22" s="184" t="s">
        <v>488</v>
      </c>
      <c r="B22" s="184" t="s">
        <v>438</v>
      </c>
      <c r="E22" s="192">
        <v>58.570014123955495</v>
      </c>
      <c r="F22" s="184">
        <v>64.47437486308057</v>
      </c>
      <c r="G22" s="184">
        <v>103.41935418659453</v>
      </c>
      <c r="H22" s="184">
        <v>226.46374317363058</v>
      </c>
      <c r="J22" s="184">
        <v>35.21676763186553</v>
      </c>
      <c r="K22" s="184">
        <v>292.82201726365264</v>
      </c>
      <c r="L22" s="184">
        <v>7.110823830990638</v>
      </c>
      <c r="M22" s="184">
        <v>335.1496087265088</v>
      </c>
      <c r="O22" s="184">
        <v>260.77614648997081</v>
      </c>
      <c r="Q22" s="184">
        <v>222.21394648722438</v>
      </c>
      <c r="R22" s="184">
        <v>482.99009297719522</v>
      </c>
      <c r="T22" s="184">
        <v>295.99291412183635</v>
      </c>
      <c r="U22" s="184">
        <v>292.82201726365264</v>
      </c>
      <c r="V22" s="184">
        <v>229.324770318215</v>
      </c>
      <c r="W22" s="184">
        <v>818.13970170370408</v>
      </c>
      <c r="Y22" s="184">
        <v>123.52062149067484</v>
      </c>
      <c r="AA22" s="184">
        <v>100.17354338247333</v>
      </c>
      <c r="AB22" s="184">
        <v>223.69416487314817</v>
      </c>
      <c r="AD22" s="184">
        <v>478.08354973646669</v>
      </c>
      <c r="AE22" s="184">
        <v>357.29639212673322</v>
      </c>
      <c r="AF22" s="184">
        <v>432.91766788728285</v>
      </c>
      <c r="AG22" s="184">
        <v>1268.2976097504827</v>
      </c>
      <c r="AI22" s="184" t="s">
        <v>488</v>
      </c>
      <c r="AJ22" s="184" t="s">
        <v>438</v>
      </c>
    </row>
    <row r="23" spans="1:37" s="184" customFormat="1">
      <c r="A23" s="184" t="s">
        <v>405</v>
      </c>
      <c r="B23" s="184" t="s">
        <v>227</v>
      </c>
      <c r="E23" s="192">
        <v>151.43834292056056</v>
      </c>
      <c r="F23" s="184">
        <v>245.75832140472704</v>
      </c>
      <c r="G23" s="184">
        <v>29542.410346961609</v>
      </c>
      <c r="H23" s="184">
        <v>29939.607011286898</v>
      </c>
      <c r="J23" s="184">
        <v>598.77700007237286</v>
      </c>
      <c r="K23" s="184">
        <v>2256.950624686775</v>
      </c>
      <c r="L23" s="184">
        <v>9612.396826092443</v>
      </c>
      <c r="M23" s="184">
        <v>12468.124450851592</v>
      </c>
      <c r="O23" s="184">
        <v>832.71467213436836</v>
      </c>
      <c r="Q23" s="184">
        <v>28843.483283432295</v>
      </c>
      <c r="R23" s="184">
        <v>29676.197955566662</v>
      </c>
      <c r="T23" s="184">
        <v>1431.4916722067412</v>
      </c>
      <c r="U23" s="184">
        <v>2256.950624686775</v>
      </c>
      <c r="V23" s="184">
        <v>38455.88010952474</v>
      </c>
      <c r="W23" s="184">
        <v>42144.322406418258</v>
      </c>
      <c r="Y23" s="184">
        <v>790.57171788742039</v>
      </c>
      <c r="AA23" s="184">
        <v>9708.7663241755599</v>
      </c>
      <c r="AB23" s="184">
        <v>10499.33804206298</v>
      </c>
      <c r="AD23" s="184">
        <v>2373.501733014722</v>
      </c>
      <c r="AE23" s="184">
        <v>2502.7089460915022</v>
      </c>
      <c r="AF23" s="184">
        <v>77707.056780661907</v>
      </c>
      <c r="AG23" s="184">
        <v>82583.267459768147</v>
      </c>
      <c r="AI23" s="184" t="s">
        <v>405</v>
      </c>
      <c r="AJ23" s="184" t="s">
        <v>227</v>
      </c>
    </row>
    <row r="24" spans="1:37" s="184" customFormat="1">
      <c r="A24" s="184" t="s">
        <v>466</v>
      </c>
      <c r="B24" s="184" t="s">
        <v>174</v>
      </c>
      <c r="E24" s="192">
        <v>99.680934580622107</v>
      </c>
      <c r="F24" s="184">
        <v>151.23589009521666</v>
      </c>
      <c r="G24" s="184">
        <v>938.9188305504257</v>
      </c>
      <c r="H24" s="184">
        <v>1189.8356552262644</v>
      </c>
      <c r="J24" s="184">
        <v>44.004110944912796</v>
      </c>
      <c r="K24" s="184">
        <v>38.338713708673836</v>
      </c>
      <c r="L24" s="184">
        <v>512.91345791461424</v>
      </c>
      <c r="M24" s="184">
        <v>595.25628256820085</v>
      </c>
      <c r="O24" s="184">
        <v>245.2748546308045</v>
      </c>
      <c r="Q24" s="184">
        <v>1962.5831836445329</v>
      </c>
      <c r="R24" s="184">
        <v>2207.8580382753375</v>
      </c>
      <c r="T24" s="184">
        <v>289.27896557571728</v>
      </c>
      <c r="U24" s="184">
        <v>38.338713708673836</v>
      </c>
      <c r="V24" s="184">
        <v>2475.4966415591471</v>
      </c>
      <c r="W24" s="184">
        <v>2803.1143208435383</v>
      </c>
      <c r="Y24" s="184">
        <v>271.05316041854411</v>
      </c>
      <c r="AA24" s="184">
        <v>10830.78903748839</v>
      </c>
      <c r="AB24" s="184">
        <v>11101.842197906934</v>
      </c>
      <c r="AD24" s="184">
        <v>660.01306057488341</v>
      </c>
      <c r="AE24" s="184">
        <v>189.57460380389051</v>
      </c>
      <c r="AF24" s="184">
        <v>14245.204509597963</v>
      </c>
      <c r="AG24" s="184">
        <v>15094.792173976737</v>
      </c>
      <c r="AI24" s="184" t="s">
        <v>466</v>
      </c>
      <c r="AJ24" s="184" t="s">
        <v>174</v>
      </c>
    </row>
    <row r="25" spans="1:37" s="184" customFormat="1">
      <c r="A25" s="184" t="s">
        <v>383</v>
      </c>
      <c r="B25" s="184" t="s">
        <v>231</v>
      </c>
      <c r="E25" s="192">
        <v>1011.4795454355777</v>
      </c>
      <c r="F25" s="184">
        <v>0</v>
      </c>
      <c r="G25" s="184">
        <v>47488.434771554254</v>
      </c>
      <c r="H25" s="184">
        <v>48499.914316989831</v>
      </c>
      <c r="J25" s="184">
        <v>73.943686112568386</v>
      </c>
      <c r="K25" s="184">
        <v>0</v>
      </c>
      <c r="L25" s="184">
        <v>3471.6709495950636</v>
      </c>
      <c r="M25" s="184">
        <v>3545.6146357076318</v>
      </c>
      <c r="O25" s="184">
        <v>769.74771145355066</v>
      </c>
      <c r="Q25" s="184">
        <v>5253.7108047334559</v>
      </c>
      <c r="R25" s="184">
        <v>6023.4585161870064</v>
      </c>
      <c r="T25" s="184">
        <v>843.69139756611901</v>
      </c>
      <c r="U25" s="184">
        <v>0</v>
      </c>
      <c r="V25" s="184">
        <v>8725.3817543285186</v>
      </c>
      <c r="W25" s="184">
        <v>9569.0731518946377</v>
      </c>
      <c r="AD25" s="184">
        <v>1855.1709430016967</v>
      </c>
      <c r="AE25" s="184">
        <v>0</v>
      </c>
      <c r="AF25" s="184">
        <v>56213.816525882772</v>
      </c>
      <c r="AG25" s="184">
        <v>58068.987468884472</v>
      </c>
      <c r="AI25" s="184" t="s">
        <v>383</v>
      </c>
      <c r="AJ25" s="184" t="s">
        <v>231</v>
      </c>
    </row>
    <row r="26" spans="1:37" s="193" customFormat="1">
      <c r="D26" s="191" t="s">
        <v>175</v>
      </c>
      <c r="E26" s="193">
        <f>SUM(E13:E16)+E19+SUM(E21:E25)</f>
        <v>2938.8346256959076</v>
      </c>
      <c r="F26" s="193">
        <f>SUM(F13:F16)+F19+SUM(F21:F25)</f>
        <v>3875.4196836899264</v>
      </c>
      <c r="G26" s="193">
        <f>SUM(G13:G16)+G19+SUM(G21:G25)</f>
        <v>179183.37554563564</v>
      </c>
      <c r="H26" s="193">
        <f>SUM(H13:H16)+H19+SUM(H21:H25)</f>
        <v>185997.62985502149</v>
      </c>
      <c r="J26" s="193">
        <v>3281.707382919727</v>
      </c>
      <c r="K26" s="193">
        <v>6754.0025338126488</v>
      </c>
      <c r="L26" s="193">
        <v>35288.221492072007</v>
      </c>
      <c r="M26" s="193">
        <v>45323.931408804383</v>
      </c>
      <c r="O26" s="193">
        <v>7261.7708627693501</v>
      </c>
      <c r="Q26" s="193">
        <v>104289.57085064426</v>
      </c>
      <c r="R26" s="193">
        <v>111551.34171341357</v>
      </c>
      <c r="T26" s="193">
        <v>10543.478245689077</v>
      </c>
      <c r="U26" s="193">
        <v>6754.0025338126488</v>
      </c>
      <c r="V26" s="193">
        <v>139577.79234271625</v>
      </c>
      <c r="W26" s="193">
        <v>156875.27312221797</v>
      </c>
      <c r="Y26" s="193">
        <v>5184.1047851119047</v>
      </c>
      <c r="AA26" s="193">
        <v>190754.20068020155</v>
      </c>
      <c r="AB26" s="193">
        <v>195938.30546531346</v>
      </c>
      <c r="AD26" s="193">
        <v>18666.417656496888</v>
      </c>
      <c r="AE26" s="193">
        <v>10629.422217502573</v>
      </c>
      <c r="AF26" s="193">
        <v>509515.36856855353</v>
      </c>
      <c r="AG26" s="193">
        <v>538811.20844255295</v>
      </c>
      <c r="AH26" s="188" t="s">
        <v>299</v>
      </c>
    </row>
    <row r="27" spans="1:37" s="184" customFormat="1">
      <c r="A27" s="184" t="s">
        <v>361</v>
      </c>
      <c r="B27" s="184" t="s">
        <v>474</v>
      </c>
      <c r="E27" s="184">
        <f>SUM(E12:E25)</f>
        <v>3913.4074553264513</v>
      </c>
      <c r="X27" s="189"/>
      <c r="AA27" s="184">
        <v>11500</v>
      </c>
      <c r="AB27" s="184">
        <v>11500</v>
      </c>
      <c r="AF27" s="184">
        <v>11500</v>
      </c>
      <c r="AG27" s="193">
        <v>11500</v>
      </c>
      <c r="AI27" s="184" t="s">
        <v>361</v>
      </c>
      <c r="AJ27" s="184" t="s">
        <v>474</v>
      </c>
    </row>
    <row r="28" spans="1:37" s="184" customFormat="1">
      <c r="D28" s="184" t="s">
        <v>158</v>
      </c>
      <c r="X28" s="189"/>
      <c r="AA28" s="184">
        <v>10810</v>
      </c>
      <c r="AB28" s="184">
        <v>10810</v>
      </c>
      <c r="AF28" s="184">
        <v>10810</v>
      </c>
      <c r="AG28" s="184">
        <v>10810</v>
      </c>
      <c r="AI28" s="184" t="s">
        <v>260</v>
      </c>
      <c r="AJ28" s="184" t="s">
        <v>158</v>
      </c>
    </row>
    <row r="29" spans="1:37" s="184" customFormat="1">
      <c r="D29" s="184" t="s">
        <v>159</v>
      </c>
      <c r="X29" s="189"/>
      <c r="AA29" s="184">
        <v>690</v>
      </c>
      <c r="AB29" s="184">
        <v>690</v>
      </c>
      <c r="AF29" s="184">
        <v>690</v>
      </c>
      <c r="AG29" s="184">
        <v>690</v>
      </c>
      <c r="AI29" s="184" t="s">
        <v>260</v>
      </c>
      <c r="AJ29" s="184" t="s">
        <v>159</v>
      </c>
    </row>
    <row r="30" spans="1:37" s="184" customFormat="1" ht="16" thickBot="1">
      <c r="A30" s="184" t="s">
        <v>412</v>
      </c>
      <c r="B30" s="184" t="s">
        <v>370</v>
      </c>
      <c r="E30" s="184">
        <v>0</v>
      </c>
      <c r="F30" s="184">
        <v>334.64121664888148</v>
      </c>
      <c r="G30" s="184">
        <v>1896.3002276769951</v>
      </c>
      <c r="H30" s="184">
        <v>2230.9414443258765</v>
      </c>
      <c r="J30" s="184">
        <v>2424.297</v>
      </c>
      <c r="L30" s="184">
        <v>7160.4477108468218</v>
      </c>
      <c r="M30" s="184">
        <v>9584.7447108468223</v>
      </c>
      <c r="O30" s="184">
        <v>112.758</v>
      </c>
      <c r="Q30" s="184">
        <v>9095.9011910659719</v>
      </c>
      <c r="R30" s="184">
        <v>9208.6591910659718</v>
      </c>
      <c r="T30" s="184">
        <v>2537.0550000000003</v>
      </c>
      <c r="V30" s="184">
        <v>16256.348901912796</v>
      </c>
      <c r="W30" s="184">
        <v>18793.403901912796</v>
      </c>
      <c r="X30" s="189"/>
      <c r="AA30" s="184">
        <v>117030.65389008197</v>
      </c>
      <c r="AB30" s="184">
        <v>117030.65389008197</v>
      </c>
      <c r="AD30" s="184">
        <v>2537.0550000000003</v>
      </c>
      <c r="AE30" s="184">
        <v>334.64121664888148</v>
      </c>
      <c r="AF30" s="184">
        <v>135183.30301967176</v>
      </c>
      <c r="AG30" s="184">
        <v>138054.99923632064</v>
      </c>
      <c r="AI30" s="184" t="s">
        <v>412</v>
      </c>
      <c r="AJ30" s="184" t="s">
        <v>370</v>
      </c>
    </row>
    <row r="31" spans="1:37" s="193" customFormat="1" ht="16" thickBot="1">
      <c r="D31" s="191" t="s">
        <v>261</v>
      </c>
      <c r="E31" s="193">
        <f>E26+SUM(E27:E30)</f>
        <v>6852.2420810223593</v>
      </c>
      <c r="F31" s="193">
        <f>F26+SUM(F27:F30)</f>
        <v>4210.0609003388081</v>
      </c>
      <c r="G31" s="193">
        <f>G26+SUM(G27:G30)</f>
        <v>181079.67577331263</v>
      </c>
      <c r="H31" s="193">
        <f>H26+SUM(H27:H30)</f>
        <v>188228.57129934736</v>
      </c>
      <c r="J31" s="193">
        <v>5706.0043829197275</v>
      </c>
      <c r="K31" s="193">
        <v>6754.0025338126488</v>
      </c>
      <c r="L31" s="193">
        <v>42448.669202918827</v>
      </c>
      <c r="M31" s="193">
        <v>54908.676119651209</v>
      </c>
      <c r="O31" s="193">
        <v>7374.5288627693499</v>
      </c>
      <c r="Q31" s="193">
        <v>113385.47204171024</v>
      </c>
      <c r="R31" s="193">
        <v>120760.00090447954</v>
      </c>
      <c r="T31" s="193">
        <v>13080.533245689077</v>
      </c>
      <c r="U31" s="193">
        <v>6754.0025338126488</v>
      </c>
      <c r="V31" s="193">
        <v>155834.14124462905</v>
      </c>
      <c r="W31" s="193">
        <v>175668.67702413077</v>
      </c>
      <c r="X31" s="191"/>
      <c r="Y31" s="193">
        <v>5184.1047851119047</v>
      </c>
      <c r="AA31" s="193">
        <v>319284.85457028355</v>
      </c>
      <c r="AB31" s="193">
        <v>324468.9593553954</v>
      </c>
      <c r="AD31" s="193">
        <v>21203.472656496888</v>
      </c>
      <c r="AE31" s="193">
        <v>10964.063434151454</v>
      </c>
      <c r="AF31" s="193">
        <v>656198.67158822529</v>
      </c>
      <c r="AG31" s="194">
        <v>688366.20767887356</v>
      </c>
      <c r="AH31" s="193" t="s">
        <v>471</v>
      </c>
    </row>
    <row r="32" spans="1:37">
      <c r="E32" s="165"/>
      <c r="AF32" s="7" t="s">
        <v>448</v>
      </c>
      <c r="AG32" s="124">
        <v>2376399.1930450276</v>
      </c>
      <c r="AH32" s="133" t="s">
        <v>333</v>
      </c>
    </row>
    <row r="33" spans="1:37">
      <c r="AG33" s="157">
        <v>0.28966775649459187</v>
      </c>
      <c r="AH33" s="124" t="s">
        <v>447</v>
      </c>
    </row>
    <row r="34" spans="1:37" ht="17">
      <c r="B34" s="58" t="s">
        <v>328</v>
      </c>
    </row>
    <row r="35" spans="1:37">
      <c r="B35" s="34" t="s">
        <v>258</v>
      </c>
    </row>
    <row r="36" spans="1:37" ht="16" thickBot="1"/>
    <row r="37" spans="1:37" ht="16" thickBot="1">
      <c r="E37" s="130" t="s">
        <v>303</v>
      </c>
      <c r="F37" s="131"/>
      <c r="G37" s="131"/>
      <c r="H37" s="132"/>
      <c r="I37" s="133"/>
      <c r="J37" s="134" t="s">
        <v>389</v>
      </c>
      <c r="K37" s="135"/>
      <c r="L37" s="125" t="s">
        <v>464</v>
      </c>
      <c r="M37" s="136"/>
      <c r="N37" s="133"/>
      <c r="O37" s="137" t="s">
        <v>300</v>
      </c>
      <c r="P37" s="138"/>
      <c r="Q37" s="138"/>
      <c r="R37" s="139"/>
      <c r="T37" s="140" t="s">
        <v>182</v>
      </c>
      <c r="U37" s="141"/>
      <c r="V37" s="141"/>
      <c r="W37" s="142"/>
      <c r="X37" s="133"/>
      <c r="Y37" s="143" t="s">
        <v>298</v>
      </c>
      <c r="Z37" s="144"/>
      <c r="AA37" s="126" t="s">
        <v>357</v>
      </c>
      <c r="AB37" s="145"/>
      <c r="AC37" s="133"/>
      <c r="AD37" s="146" t="s">
        <v>294</v>
      </c>
      <c r="AE37" s="147"/>
      <c r="AF37" s="127" t="s">
        <v>285</v>
      </c>
      <c r="AG37" s="128"/>
    </row>
    <row r="38" spans="1:37">
      <c r="B38" s="129"/>
      <c r="C38" s="129"/>
      <c r="D38" s="129"/>
      <c r="E38" s="129" t="s">
        <v>399</v>
      </c>
      <c r="F38" s="129" t="s">
        <v>233</v>
      </c>
      <c r="G38" s="129" t="s">
        <v>265</v>
      </c>
      <c r="H38" s="129" t="s">
        <v>421</v>
      </c>
      <c r="I38" s="129"/>
      <c r="J38" s="129" t="s">
        <v>234</v>
      </c>
      <c r="K38" s="129" t="s">
        <v>233</v>
      </c>
      <c r="L38" s="129" t="s">
        <v>265</v>
      </c>
      <c r="M38" s="129" t="s">
        <v>421</v>
      </c>
      <c r="N38" s="129"/>
      <c r="O38" s="129" t="s">
        <v>428</v>
      </c>
      <c r="P38" s="129"/>
      <c r="Q38" s="129" t="s">
        <v>321</v>
      </c>
      <c r="R38" s="129" t="s">
        <v>421</v>
      </c>
      <c r="S38" s="129"/>
      <c r="T38" s="129" t="s">
        <v>330</v>
      </c>
      <c r="U38" s="129" t="s">
        <v>233</v>
      </c>
      <c r="V38" s="129" t="s">
        <v>265</v>
      </c>
      <c r="W38" s="129" t="s">
        <v>421</v>
      </c>
      <c r="X38" s="129"/>
      <c r="Y38" s="129" t="s">
        <v>235</v>
      </c>
      <c r="Z38" s="129"/>
      <c r="AA38" s="129" t="s">
        <v>236</v>
      </c>
      <c r="AB38" s="129" t="s">
        <v>421</v>
      </c>
      <c r="AC38" s="129"/>
      <c r="AD38" s="129" t="s">
        <v>331</v>
      </c>
      <c r="AE38" s="129" t="s">
        <v>332</v>
      </c>
      <c r="AF38" s="129" t="s">
        <v>352</v>
      </c>
      <c r="AG38" s="129" t="s">
        <v>397</v>
      </c>
    </row>
    <row r="40" spans="1:37">
      <c r="A40" s="124" t="s">
        <v>429</v>
      </c>
      <c r="B40" s="124" t="s">
        <v>287</v>
      </c>
      <c r="E40" s="124">
        <v>73.068323586118268</v>
      </c>
      <c r="F40" s="124">
        <v>117.91392216585365</v>
      </c>
      <c r="G40" s="124">
        <v>418.31189989123919</v>
      </c>
      <c r="H40" s="124">
        <f>E40+F40+G40</f>
        <v>609.2941456432111</v>
      </c>
      <c r="J40" s="124">
        <v>131.50211089773745</v>
      </c>
      <c r="K40" s="124">
        <v>29.834942367723077</v>
      </c>
      <c r="L40" s="124">
        <v>315.56399606820378</v>
      </c>
      <c r="M40" s="124">
        <f>J40+K40+L40</f>
        <v>476.90104933366433</v>
      </c>
      <c r="O40" s="124">
        <v>286.8724021987926</v>
      </c>
      <c r="Q40" s="124">
        <v>1007.553700926226</v>
      </c>
      <c r="R40" s="124">
        <f>O40+Q40</f>
        <v>1294.4261031250187</v>
      </c>
      <c r="T40" s="124">
        <f>J40+O40</f>
        <v>418.37451309653005</v>
      </c>
      <c r="U40" s="179">
        <f t="shared" ref="U40:V40" si="0">K40+P40</f>
        <v>29.834942367723077</v>
      </c>
      <c r="V40" s="179">
        <f t="shared" si="0"/>
        <v>1323.1176969944299</v>
      </c>
      <c r="W40" s="124">
        <f>T40+U40+V40</f>
        <v>1771.327152458683</v>
      </c>
      <c r="Y40" s="124">
        <v>882.38165577173538</v>
      </c>
      <c r="AA40" s="124">
        <v>6823.2121432489412</v>
      </c>
      <c r="AB40" s="124">
        <f>Y40+Z40+AA40</f>
        <v>7705.5937990206767</v>
      </c>
      <c r="AD40" s="124">
        <f>E40+T40+Y40</f>
        <v>1373.8244924543837</v>
      </c>
      <c r="AE40" s="213">
        <f t="shared" ref="AE40:AF40" si="1">F40+U40+Z40</f>
        <v>147.74886453357672</v>
      </c>
      <c r="AF40" s="213">
        <f t="shared" si="1"/>
        <v>8564.6417401346098</v>
      </c>
      <c r="AG40" s="124">
        <v>10086.215097122571</v>
      </c>
      <c r="AI40" s="124" t="s">
        <v>429</v>
      </c>
      <c r="AJ40" s="124" t="s">
        <v>287</v>
      </c>
    </row>
    <row r="41" spans="1:37">
      <c r="A41" s="124" t="s">
        <v>484</v>
      </c>
      <c r="B41" s="124" t="s">
        <v>256</v>
      </c>
      <c r="E41" s="124">
        <v>667.41576279998208</v>
      </c>
      <c r="F41" s="124">
        <v>0</v>
      </c>
      <c r="G41" s="124">
        <v>0</v>
      </c>
      <c r="H41" s="179">
        <f t="shared" ref="H41:H53" si="2">E41+F41+G41</f>
        <v>667.41576279998208</v>
      </c>
      <c r="J41" s="124">
        <v>1162.4489414991267</v>
      </c>
      <c r="K41" s="124">
        <v>0</v>
      </c>
      <c r="L41" s="124">
        <v>0</v>
      </c>
      <c r="M41" s="213">
        <f t="shared" ref="M41:M53" si="3">J41+K41+L41</f>
        <v>1162.4489414991267</v>
      </c>
      <c r="O41" s="124">
        <v>1917.8224471096701</v>
      </c>
      <c r="Q41" s="124">
        <v>0</v>
      </c>
      <c r="R41" s="213">
        <f t="shared" ref="R41:R53" si="4">O41+Q41</f>
        <v>1917.8224471096701</v>
      </c>
      <c r="T41" s="179">
        <f t="shared" ref="T41:T52" si="5">J41+O41</f>
        <v>3080.2713886087968</v>
      </c>
      <c r="U41" s="179">
        <f t="shared" ref="U41:U52" si="6">K41+P41</f>
        <v>0</v>
      </c>
      <c r="V41" s="179">
        <f t="shared" ref="V41:V52" si="7">L41+Q41</f>
        <v>0</v>
      </c>
      <c r="W41" s="179">
        <f t="shared" ref="W41:W53" si="8">T41+U41+V41</f>
        <v>3080.2713886087968</v>
      </c>
      <c r="Y41" s="124">
        <v>1178.1666052207909</v>
      </c>
      <c r="AA41" s="124">
        <v>0</v>
      </c>
      <c r="AB41" s="213">
        <f t="shared" ref="AB41:AB60" si="9">Y41+Z41+AA41</f>
        <v>1178.1666052207909</v>
      </c>
      <c r="AD41" s="213">
        <f t="shared" ref="AD41:AD52" si="10">E41+T41+Y41</f>
        <v>4925.8537566295699</v>
      </c>
      <c r="AE41" s="213">
        <f t="shared" ref="AE41:AE52" si="11">F41+U41+Z41</f>
        <v>0</v>
      </c>
      <c r="AF41" s="213">
        <f t="shared" ref="AF41:AF52" si="12">G41+V41+AA41</f>
        <v>0</v>
      </c>
      <c r="AG41" s="124">
        <v>4925.8537566295699</v>
      </c>
      <c r="AI41" s="124" t="s">
        <v>484</v>
      </c>
      <c r="AJ41" s="124" t="s">
        <v>256</v>
      </c>
    </row>
    <row r="42" spans="1:37">
      <c r="A42" s="124" t="s">
        <v>485</v>
      </c>
      <c r="B42" s="124" t="s">
        <v>424</v>
      </c>
      <c r="E42" s="124">
        <v>0</v>
      </c>
      <c r="F42" s="124">
        <v>1154.5334611142407</v>
      </c>
      <c r="G42" s="124">
        <v>3062.3009381742895</v>
      </c>
      <c r="H42" s="179">
        <f t="shared" si="2"/>
        <v>4216.8343992885302</v>
      </c>
      <c r="J42" s="124">
        <v>0</v>
      </c>
      <c r="K42" s="124">
        <v>783.66680684217613</v>
      </c>
      <c r="L42" s="124">
        <v>1260.461050829105</v>
      </c>
      <c r="M42" s="213">
        <f t="shared" si="3"/>
        <v>2044.1278576712812</v>
      </c>
      <c r="O42" s="124">
        <v>0</v>
      </c>
      <c r="Q42" s="124">
        <v>6109.2267203598094</v>
      </c>
      <c r="R42" s="213">
        <f t="shared" si="4"/>
        <v>6109.2267203598094</v>
      </c>
      <c r="T42" s="179">
        <f t="shared" si="5"/>
        <v>0</v>
      </c>
      <c r="U42" s="179">
        <f t="shared" si="6"/>
        <v>783.66680684217613</v>
      </c>
      <c r="V42" s="179">
        <f t="shared" si="7"/>
        <v>7369.6877711889147</v>
      </c>
      <c r="W42" s="179">
        <f t="shared" si="8"/>
        <v>8153.3545780310906</v>
      </c>
      <c r="Y42" s="124">
        <v>0</v>
      </c>
      <c r="AA42" s="124">
        <v>3965.7747181733102</v>
      </c>
      <c r="AB42" s="213">
        <f t="shared" si="9"/>
        <v>3965.7747181733102</v>
      </c>
      <c r="AD42" s="213">
        <f t="shared" si="10"/>
        <v>0</v>
      </c>
      <c r="AE42" s="213">
        <f t="shared" si="11"/>
        <v>1938.2002679564168</v>
      </c>
      <c r="AF42" s="213">
        <f t="shared" si="12"/>
        <v>14397.763427536514</v>
      </c>
      <c r="AG42" s="124">
        <v>16335.96369549293</v>
      </c>
      <c r="AI42" s="124" t="s">
        <v>485</v>
      </c>
      <c r="AJ42" s="124" t="s">
        <v>424</v>
      </c>
    </row>
    <row r="43" spans="1:37">
      <c r="A43" s="124" t="s">
        <v>486</v>
      </c>
      <c r="B43" s="124" t="s">
        <v>384</v>
      </c>
      <c r="E43" s="124">
        <v>775.51523388955275</v>
      </c>
      <c r="F43" s="124">
        <v>2158.0064693724134</v>
      </c>
      <c r="G43" s="124">
        <v>14584.20821805505</v>
      </c>
      <c r="H43" s="179">
        <f t="shared" si="2"/>
        <v>17517.729921317015</v>
      </c>
      <c r="J43" s="124">
        <v>611.22329591361006</v>
      </c>
      <c r="K43" s="124">
        <v>1709.1392954866872</v>
      </c>
      <c r="L43" s="124">
        <v>6905.4392641242557</v>
      </c>
      <c r="M43" s="213">
        <f t="shared" si="3"/>
        <v>9225.8018555245526</v>
      </c>
      <c r="O43" s="124">
        <v>2209.5568902309415</v>
      </c>
      <c r="Q43" s="124">
        <v>27190.451604989452</v>
      </c>
      <c r="R43" s="213">
        <f t="shared" si="4"/>
        <v>29400.008495220394</v>
      </c>
      <c r="T43" s="179">
        <f t="shared" si="5"/>
        <v>2820.7801861445514</v>
      </c>
      <c r="U43" s="179">
        <f t="shared" si="6"/>
        <v>1709.1392954866872</v>
      </c>
      <c r="V43" s="179">
        <f t="shared" si="7"/>
        <v>34095.890869113704</v>
      </c>
      <c r="W43" s="179">
        <f t="shared" si="8"/>
        <v>38625.810350744941</v>
      </c>
      <c r="Y43" s="124">
        <v>651.75992031633189</v>
      </c>
      <c r="AA43" s="124">
        <v>9836.0813077934272</v>
      </c>
      <c r="AB43" s="213">
        <f t="shared" si="9"/>
        <v>10487.841228109759</v>
      </c>
      <c r="AD43" s="213">
        <f t="shared" si="10"/>
        <v>4248.0553403504364</v>
      </c>
      <c r="AE43" s="213">
        <f t="shared" si="11"/>
        <v>3867.1457648591004</v>
      </c>
      <c r="AF43" s="213">
        <f t="shared" si="12"/>
        <v>58516.180394962183</v>
      </c>
      <c r="AG43" s="124">
        <v>66631.381500171716</v>
      </c>
      <c r="AI43" s="124" t="s">
        <v>486</v>
      </c>
      <c r="AJ43" s="124" t="s">
        <v>384</v>
      </c>
    </row>
    <row r="44" spans="1:37">
      <c r="A44" s="124" t="s">
        <v>489</v>
      </c>
      <c r="B44" s="124" t="s">
        <v>297</v>
      </c>
      <c r="E44" s="124">
        <v>449.66885994938718</v>
      </c>
      <c r="F44" s="124">
        <v>1704.7885349729515</v>
      </c>
      <c r="G44" s="124">
        <v>9041.1442207406108</v>
      </c>
      <c r="H44" s="179">
        <f t="shared" si="2"/>
        <v>11195.601615662948</v>
      </c>
      <c r="J44" s="124">
        <v>348.15384846066496</v>
      </c>
      <c r="K44" s="124">
        <v>1350.2544693151265</v>
      </c>
      <c r="L44" s="124">
        <v>4281.1009350638424</v>
      </c>
      <c r="M44" s="213">
        <f t="shared" si="3"/>
        <v>5979.5092528396335</v>
      </c>
      <c r="O44" s="124">
        <v>1590.2531297337769</v>
      </c>
      <c r="Q44" s="124">
        <v>16858.462834955513</v>
      </c>
      <c r="R44" s="213">
        <f t="shared" si="4"/>
        <v>18448.715964689291</v>
      </c>
      <c r="T44" s="179">
        <f t="shared" si="5"/>
        <v>1938.4069781944418</v>
      </c>
      <c r="U44" s="179">
        <f t="shared" si="6"/>
        <v>1350.2544693151265</v>
      </c>
      <c r="V44" s="179">
        <f t="shared" si="7"/>
        <v>21139.563770019355</v>
      </c>
      <c r="W44" s="179">
        <f t="shared" si="8"/>
        <v>24428.225217528925</v>
      </c>
      <c r="Y44" s="124">
        <v>378.38096218339638</v>
      </c>
      <c r="AA44" s="124">
        <v>6098.387480808653</v>
      </c>
      <c r="AB44" s="213">
        <f t="shared" si="9"/>
        <v>6476.7684429920491</v>
      </c>
      <c r="AD44" s="213">
        <f t="shared" si="10"/>
        <v>2766.4568003272252</v>
      </c>
      <c r="AE44" s="213">
        <f t="shared" si="11"/>
        <v>3055.043004288078</v>
      </c>
      <c r="AF44" s="213">
        <f t="shared" si="12"/>
        <v>36279.095471568617</v>
      </c>
      <c r="AG44" s="124">
        <v>42100.595276183922</v>
      </c>
      <c r="AI44" s="124" t="s">
        <v>489</v>
      </c>
      <c r="AJ44" s="124" t="s">
        <v>297</v>
      </c>
    </row>
    <row r="45" spans="1:37">
      <c r="A45" s="124" t="s">
        <v>513</v>
      </c>
      <c r="B45" s="124" t="s">
        <v>437</v>
      </c>
      <c r="E45" s="124">
        <v>326.13345886439072</v>
      </c>
      <c r="F45" s="124">
        <v>452.96313731165378</v>
      </c>
      <c r="G45" s="124">
        <v>5542.6216620135092</v>
      </c>
      <c r="H45" s="179">
        <f t="shared" si="2"/>
        <v>6321.718258189554</v>
      </c>
      <c r="J45" s="124">
        <v>263.43199940559822</v>
      </c>
      <c r="K45" s="124">
        <v>358.7440795925483</v>
      </c>
      <c r="L45" s="124">
        <v>2623.7297629240988</v>
      </c>
      <c r="M45" s="213">
        <f t="shared" si="3"/>
        <v>3245.9058419222456</v>
      </c>
      <c r="O45" s="124">
        <v>619.06736545191791</v>
      </c>
      <c r="Q45" s="124">
        <v>10332.19619382585</v>
      </c>
      <c r="R45" s="213">
        <f t="shared" si="4"/>
        <v>10951.263559277768</v>
      </c>
      <c r="T45" s="179">
        <f t="shared" si="5"/>
        <v>882.49936485751618</v>
      </c>
      <c r="U45" s="179">
        <f t="shared" si="6"/>
        <v>358.7440795925483</v>
      </c>
      <c r="V45" s="179">
        <f t="shared" si="7"/>
        <v>12955.925956749948</v>
      </c>
      <c r="W45" s="179">
        <f t="shared" si="8"/>
        <v>14197.169401200013</v>
      </c>
      <c r="Y45" s="116">
        <v>273.37895813293551</v>
      </c>
      <c r="Z45" s="116"/>
      <c r="AA45" s="116">
        <v>3737.6938269847751</v>
      </c>
      <c r="AB45" s="213">
        <f t="shared" si="9"/>
        <v>4011.0727851177107</v>
      </c>
      <c r="AD45" s="213">
        <f t="shared" si="10"/>
        <v>1482.0117818548424</v>
      </c>
      <c r="AE45" s="213">
        <f t="shared" si="11"/>
        <v>811.70721690420214</v>
      </c>
      <c r="AF45" s="213">
        <f t="shared" si="12"/>
        <v>22236.24144574823</v>
      </c>
      <c r="AG45" s="124">
        <v>24530.786223987794</v>
      </c>
      <c r="AI45" s="124" t="s">
        <v>513</v>
      </c>
      <c r="AJ45" s="124" t="s">
        <v>437</v>
      </c>
    </row>
    <row r="46" spans="1:37">
      <c r="A46" s="124" t="s">
        <v>218</v>
      </c>
      <c r="B46" s="124" t="s">
        <v>386</v>
      </c>
      <c r="E46" s="124">
        <v>13.200892023397401</v>
      </c>
      <c r="F46" s="124">
        <v>0</v>
      </c>
      <c r="G46" s="124">
        <v>93260.276552952768</v>
      </c>
      <c r="H46" s="179">
        <f t="shared" si="2"/>
        <v>93273.477444976161</v>
      </c>
      <c r="J46" s="124">
        <v>281.90302956956032</v>
      </c>
      <c r="K46" s="124">
        <v>229.73541866714768</v>
      </c>
      <c r="L46" s="124">
        <v>13969.015107400754</v>
      </c>
      <c r="M46" s="213">
        <f t="shared" si="3"/>
        <v>14480.653555637462</v>
      </c>
      <c r="O46" s="124">
        <v>53.042626022047934</v>
      </c>
      <c r="Q46" s="124">
        <v>27085.700729462966</v>
      </c>
      <c r="R46" s="213">
        <f t="shared" si="4"/>
        <v>27138.743355485014</v>
      </c>
      <c r="T46" s="179">
        <f t="shared" si="5"/>
        <v>334.94565559160827</v>
      </c>
      <c r="U46" s="179">
        <f t="shared" si="6"/>
        <v>229.73541866714768</v>
      </c>
      <c r="V46" s="179">
        <f t="shared" si="7"/>
        <v>41054.715836863717</v>
      </c>
      <c r="W46" s="179">
        <f t="shared" si="8"/>
        <v>41619.396911122472</v>
      </c>
      <c r="Y46" s="116">
        <v>486.80121482033985</v>
      </c>
      <c r="Z46" s="116"/>
      <c r="AA46" s="116">
        <v>128140.17808232605</v>
      </c>
      <c r="AB46" s="213">
        <f t="shared" si="9"/>
        <v>128626.97929714639</v>
      </c>
      <c r="AD46" s="213">
        <f t="shared" si="10"/>
        <v>834.94776243534557</v>
      </c>
      <c r="AE46" s="213">
        <f t="shared" si="11"/>
        <v>229.73541866714768</v>
      </c>
      <c r="AF46" s="213">
        <f t="shared" si="12"/>
        <v>262455.17047214252</v>
      </c>
      <c r="AG46" s="124">
        <v>263519.85365324502</v>
      </c>
      <c r="AI46" s="124" t="s">
        <v>218</v>
      </c>
      <c r="AJ46" s="124" t="s">
        <v>386</v>
      </c>
    </row>
    <row r="47" spans="1:37">
      <c r="A47" s="124" t="s">
        <v>403</v>
      </c>
      <c r="B47" s="124" t="s">
        <v>385</v>
      </c>
      <c r="E47" s="124">
        <v>1031.9708276701449</v>
      </c>
      <c r="F47" s="124">
        <v>1420.8272631300335</v>
      </c>
      <c r="G47" s="124">
        <v>12073.833560766536</v>
      </c>
      <c r="H47" s="179">
        <f t="shared" si="2"/>
        <v>14526.631651566713</v>
      </c>
      <c r="J47" s="124">
        <v>833.41748511090566</v>
      </c>
      <c r="K47" s="124">
        <v>3429.6179860318084</v>
      </c>
      <c r="L47" s="124">
        <v>472.40869810090794</v>
      </c>
      <c r="M47" s="213">
        <f t="shared" si="3"/>
        <v>4735.4441692436221</v>
      </c>
      <c r="O47" s="124">
        <v>1727.3721051827229</v>
      </c>
      <c r="Q47" s="124">
        <v>13734.125910319235</v>
      </c>
      <c r="R47" s="213">
        <f t="shared" si="4"/>
        <v>15461.498015501958</v>
      </c>
      <c r="T47" s="179">
        <f t="shared" si="5"/>
        <v>2560.7895902936284</v>
      </c>
      <c r="U47" s="179">
        <f t="shared" si="6"/>
        <v>3429.6179860318084</v>
      </c>
      <c r="V47" s="179">
        <f t="shared" si="7"/>
        <v>14206.534608420143</v>
      </c>
      <c r="W47" s="179">
        <f t="shared" si="8"/>
        <v>20196.942184745581</v>
      </c>
      <c r="Y47" s="116">
        <v>2489.6579199998127</v>
      </c>
      <c r="Z47" s="116"/>
      <c r="AA47" s="116">
        <v>26083.476452741361</v>
      </c>
      <c r="AB47" s="213">
        <f t="shared" si="9"/>
        <v>28573.134372741173</v>
      </c>
      <c r="AD47" s="213">
        <f t="shared" si="10"/>
        <v>6082.4183379635861</v>
      </c>
      <c r="AE47" s="213">
        <f t="shared" si="11"/>
        <v>4850.4452491618422</v>
      </c>
      <c r="AF47" s="213">
        <f t="shared" si="12"/>
        <v>52363.844621928045</v>
      </c>
      <c r="AG47" s="124">
        <v>63296.708209053468</v>
      </c>
      <c r="AH47" s="159"/>
      <c r="AI47" s="124" t="s">
        <v>403</v>
      </c>
      <c r="AJ47" s="124" t="s">
        <v>385</v>
      </c>
      <c r="AK47" s="155" t="s">
        <v>229</v>
      </c>
    </row>
    <row r="48" spans="1:37">
      <c r="A48" s="124" t="s">
        <v>282</v>
      </c>
      <c r="B48" s="124" t="s">
        <v>158</v>
      </c>
      <c r="E48" s="124">
        <v>711.72801376061216</v>
      </c>
      <c r="F48" s="124">
        <v>998.36719422879537</v>
      </c>
      <c r="G48" s="124">
        <v>8991.2477434132106</v>
      </c>
      <c r="H48" s="179">
        <f t="shared" si="2"/>
        <v>10701.342951402617</v>
      </c>
      <c r="J48" s="124">
        <v>670.85579847535359</v>
      </c>
      <c r="K48" s="124">
        <v>2605.0709880022291</v>
      </c>
      <c r="L48" s="124">
        <v>393.78226727664287</v>
      </c>
      <c r="M48" s="213">
        <f t="shared" si="3"/>
        <v>3669.7090537542258</v>
      </c>
      <c r="O48" s="124">
        <v>1228.7169460123723</v>
      </c>
      <c r="Q48" s="124">
        <v>11645.942577490867</v>
      </c>
      <c r="R48" s="213">
        <f t="shared" si="4"/>
        <v>12874.65952350324</v>
      </c>
      <c r="T48" s="179">
        <f t="shared" si="5"/>
        <v>1899.5727444877259</v>
      </c>
      <c r="U48" s="179">
        <f t="shared" si="6"/>
        <v>2605.0709880022291</v>
      </c>
      <c r="V48" s="179">
        <f t="shared" si="7"/>
        <v>12039.72484476751</v>
      </c>
      <c r="W48" s="179">
        <f t="shared" si="8"/>
        <v>16544.368577257464</v>
      </c>
      <c r="Y48" s="116">
        <v>1843.2220611182631</v>
      </c>
      <c r="Z48" s="116"/>
      <c r="AA48" s="116">
        <v>20388.139406585877</v>
      </c>
      <c r="AB48" s="213">
        <f t="shared" si="9"/>
        <v>22231.361467704141</v>
      </c>
      <c r="AD48" s="213">
        <f t="shared" si="10"/>
        <v>4454.5228193666007</v>
      </c>
      <c r="AE48" s="213">
        <f t="shared" si="11"/>
        <v>3603.4381822310243</v>
      </c>
      <c r="AF48" s="213">
        <f t="shared" si="12"/>
        <v>41419.111994766601</v>
      </c>
      <c r="AG48" s="124">
        <v>49477.072996364222</v>
      </c>
      <c r="AI48" s="124" t="s">
        <v>282</v>
      </c>
      <c r="AJ48" s="124" t="s">
        <v>158</v>
      </c>
    </row>
    <row r="49" spans="1:37">
      <c r="A49" s="124" t="s">
        <v>488</v>
      </c>
      <c r="B49" s="124" t="s">
        <v>438</v>
      </c>
      <c r="E49" s="124">
        <v>320.91598953793118</v>
      </c>
      <c r="F49" s="124">
        <v>422.98178606575613</v>
      </c>
      <c r="G49" s="124">
        <v>3083.1233620870157</v>
      </c>
      <c r="H49" s="179">
        <f t="shared" si="2"/>
        <v>3827.0211376907027</v>
      </c>
      <c r="J49" s="124">
        <v>162.58094192296906</v>
      </c>
      <c r="K49" s="124">
        <v>824.95107240310938</v>
      </c>
      <c r="L49" s="124">
        <v>79.0888175246087</v>
      </c>
      <c r="M49" s="213">
        <f t="shared" si="3"/>
        <v>1066.6208318506872</v>
      </c>
      <c r="O49" s="124">
        <v>498.71064728012857</v>
      </c>
      <c r="Q49" s="124">
        <v>2087.922915073977</v>
      </c>
      <c r="R49" s="213">
        <f t="shared" si="4"/>
        <v>2586.6335623541054</v>
      </c>
      <c r="T49" s="179">
        <f t="shared" si="5"/>
        <v>661.2915892030976</v>
      </c>
      <c r="U49" s="179">
        <f t="shared" si="6"/>
        <v>824.95107240310938</v>
      </c>
      <c r="V49" s="179">
        <f t="shared" si="7"/>
        <v>2167.0117325985857</v>
      </c>
      <c r="W49" s="179">
        <f t="shared" si="8"/>
        <v>3653.2543942047928</v>
      </c>
      <c r="Y49" s="116">
        <v>646.43585888154973</v>
      </c>
      <c r="Z49" s="116"/>
      <c r="AA49" s="116">
        <v>5695.3370461554823</v>
      </c>
      <c r="AB49" s="213">
        <f t="shared" si="9"/>
        <v>6341.7729050370317</v>
      </c>
      <c r="AD49" s="213">
        <f t="shared" si="10"/>
        <v>1628.6434376225784</v>
      </c>
      <c r="AE49" s="213">
        <f t="shared" si="11"/>
        <v>1247.9328584688656</v>
      </c>
      <c r="AF49" s="213">
        <f t="shared" si="12"/>
        <v>10945.472140841084</v>
      </c>
      <c r="AG49" s="124">
        <v>13819.635212689242</v>
      </c>
      <c r="AI49" s="124" t="s">
        <v>488</v>
      </c>
      <c r="AJ49" s="124" t="s">
        <v>438</v>
      </c>
    </row>
    <row r="50" spans="1:37">
      <c r="A50" s="124" t="s">
        <v>405</v>
      </c>
      <c r="B50" s="124" t="s">
        <v>227</v>
      </c>
      <c r="E50" s="124">
        <v>104.9526829691517</v>
      </c>
      <c r="F50" s="124">
        <v>170.32010979512197</v>
      </c>
      <c r="G50" s="124">
        <v>20474.043544676762</v>
      </c>
      <c r="H50" s="179">
        <f t="shared" si="2"/>
        <v>20749.316337441036</v>
      </c>
      <c r="J50" s="124">
        <v>475.82579264610706</v>
      </c>
      <c r="K50" s="124">
        <v>1793.5146470637806</v>
      </c>
      <c r="L50" s="124">
        <v>7638.613938831204</v>
      </c>
      <c r="M50" s="213">
        <f t="shared" si="3"/>
        <v>9907.9543785410915</v>
      </c>
      <c r="O50" s="124">
        <v>664.04962867883341</v>
      </c>
      <c r="Q50" s="124">
        <v>23001.281237274405</v>
      </c>
      <c r="R50" s="213">
        <f t="shared" si="4"/>
        <v>23665.330865953238</v>
      </c>
      <c r="T50" s="179">
        <f t="shared" si="5"/>
        <v>1139.8754213249404</v>
      </c>
      <c r="U50" s="179">
        <f t="shared" si="6"/>
        <v>1793.5146470637806</v>
      </c>
      <c r="V50" s="179">
        <f t="shared" si="7"/>
        <v>30639.895176105609</v>
      </c>
      <c r="W50" s="179">
        <f t="shared" si="8"/>
        <v>33573.285244494327</v>
      </c>
      <c r="Y50" s="124">
        <v>563.64255215446599</v>
      </c>
      <c r="AA50" s="124">
        <v>6921.9195493771931</v>
      </c>
      <c r="AB50" s="213">
        <f t="shared" si="9"/>
        <v>7485.5621015316592</v>
      </c>
      <c r="AD50" s="213">
        <f t="shared" si="10"/>
        <v>1808.4706564485582</v>
      </c>
      <c r="AE50" s="213">
        <f t="shared" si="11"/>
        <v>1963.8347568589024</v>
      </c>
      <c r="AF50" s="213">
        <f t="shared" si="12"/>
        <v>58035.858270159566</v>
      </c>
      <c r="AG50" s="124">
        <v>61808.163683467021</v>
      </c>
      <c r="AI50" s="124" t="s">
        <v>405</v>
      </c>
      <c r="AJ50" s="124" t="s">
        <v>227</v>
      </c>
    </row>
    <row r="51" spans="1:37">
      <c r="A51" s="124" t="s">
        <v>466</v>
      </c>
      <c r="B51" s="124" t="s">
        <v>174</v>
      </c>
      <c r="E51" s="124">
        <v>69.082778663239068</v>
      </c>
      <c r="F51" s="124">
        <v>104.8123752585366</v>
      </c>
      <c r="G51" s="124">
        <v>650.70739983081648</v>
      </c>
      <c r="H51" s="179">
        <f t="shared" si="2"/>
        <v>824.60255375259214</v>
      </c>
      <c r="J51" s="124">
        <v>34.968428926828516</v>
      </c>
      <c r="K51" s="124">
        <v>30.466348636064776</v>
      </c>
      <c r="L51" s="124">
        <v>407.5932319404024</v>
      </c>
      <c r="M51" s="213">
        <f t="shared" si="3"/>
        <v>473.02800950329572</v>
      </c>
      <c r="O51" s="124">
        <v>195.5948196809949</v>
      </c>
      <c r="Q51" s="124">
        <v>1565.0650552488157</v>
      </c>
      <c r="R51" s="213">
        <f t="shared" si="4"/>
        <v>1760.6598749298107</v>
      </c>
      <c r="T51" s="179">
        <f t="shared" si="5"/>
        <v>230.56324860782343</v>
      </c>
      <c r="U51" s="179">
        <f t="shared" si="6"/>
        <v>30.466348636064776</v>
      </c>
      <c r="V51" s="179">
        <f t="shared" si="7"/>
        <v>1972.6582871892181</v>
      </c>
      <c r="W51" s="179">
        <f t="shared" si="8"/>
        <v>2233.6878844331063</v>
      </c>
      <c r="Y51" s="124">
        <v>193.24887502438833</v>
      </c>
      <c r="AA51" s="124">
        <v>7721.8719526795594</v>
      </c>
      <c r="AB51" s="213">
        <f t="shared" si="9"/>
        <v>7915.1208277039477</v>
      </c>
      <c r="AD51" s="213">
        <f t="shared" si="10"/>
        <v>492.89490229545083</v>
      </c>
      <c r="AE51" s="213">
        <f t="shared" si="11"/>
        <v>135.27872389460137</v>
      </c>
      <c r="AF51" s="213">
        <f t="shared" si="12"/>
        <v>10345.237639699593</v>
      </c>
      <c r="AG51" s="124">
        <v>10973.411265889647</v>
      </c>
      <c r="AI51" s="124" t="s">
        <v>466</v>
      </c>
      <c r="AJ51" s="124" t="s">
        <v>174</v>
      </c>
    </row>
    <row r="52" spans="1:37">
      <c r="A52" s="124" t="s">
        <v>383</v>
      </c>
      <c r="B52" s="124" t="s">
        <v>231</v>
      </c>
      <c r="E52" s="124">
        <v>700.99480761994664</v>
      </c>
      <c r="F52" s="124">
        <v>0</v>
      </c>
      <c r="G52" s="124">
        <v>32911.338985626855</v>
      </c>
      <c r="H52" s="179">
        <f t="shared" si="2"/>
        <v>33612.333793246798</v>
      </c>
      <c r="J52" s="124">
        <v>58.760294819999999</v>
      </c>
      <c r="K52" s="124">
        <v>0</v>
      </c>
      <c r="L52" s="124">
        <v>2758.8076716337991</v>
      </c>
      <c r="M52" s="213">
        <f t="shared" si="3"/>
        <v>2817.5679664537993</v>
      </c>
      <c r="O52" s="124">
        <v>613.83652657033031</v>
      </c>
      <c r="Q52" s="124">
        <v>4189.5799675621411</v>
      </c>
      <c r="R52" s="213">
        <f t="shared" si="4"/>
        <v>4803.4164941324716</v>
      </c>
      <c r="T52" s="179">
        <f t="shared" si="5"/>
        <v>672.59682139033032</v>
      </c>
      <c r="U52" s="179">
        <f t="shared" si="6"/>
        <v>0</v>
      </c>
      <c r="V52" s="179">
        <f t="shared" si="7"/>
        <v>6948.3876391959402</v>
      </c>
      <c r="W52" s="179">
        <f t="shared" si="8"/>
        <v>7620.9844605862709</v>
      </c>
      <c r="Y52" s="124">
        <v>0</v>
      </c>
      <c r="AA52" s="213"/>
      <c r="AB52" s="213"/>
      <c r="AD52" s="213">
        <f t="shared" si="10"/>
        <v>1373.5916290102768</v>
      </c>
      <c r="AE52" s="213">
        <f t="shared" si="11"/>
        <v>0</v>
      </c>
      <c r="AF52" s="213">
        <f t="shared" si="12"/>
        <v>39859.726624822797</v>
      </c>
      <c r="AG52" s="124">
        <v>41233.318253833066</v>
      </c>
      <c r="AI52" s="124" t="s">
        <v>383</v>
      </c>
      <c r="AJ52" s="124" t="s">
        <v>231</v>
      </c>
    </row>
    <row r="53" spans="1:37" s="133" customFormat="1">
      <c r="C53" s="133" t="s">
        <v>175</v>
      </c>
      <c r="D53" s="160"/>
      <c r="E53" s="181">
        <f>SUM(E40:E42)+SUM(E44:E46)+SUM(E48:E52)</f>
        <v>3437.1615697741563</v>
      </c>
      <c r="F53" s="181">
        <f t="shared" ref="F53:G53" si="13">SUM(F40:F42)+SUM(F44:F46)+SUM(F48:F52)</f>
        <v>5126.6805209129097</v>
      </c>
      <c r="G53" s="181">
        <f t="shared" si="13"/>
        <v>177435.11630940705</v>
      </c>
      <c r="H53" s="133">
        <f t="shared" si="2"/>
        <v>185998.95840009412</v>
      </c>
      <c r="J53" s="181">
        <f>SUM(J40:J42)+SUM(J44:J46)+SUM(J48:J52)</f>
        <v>3590.4311866239459</v>
      </c>
      <c r="K53" s="181">
        <f t="shared" ref="K53:L53" si="14">SUM(K40:K42)+SUM(K44:K46)+SUM(K48:K52)</f>
        <v>8006.2387728899048</v>
      </c>
      <c r="L53" s="181">
        <f t="shared" si="14"/>
        <v>33727.756779492658</v>
      </c>
      <c r="M53" s="133">
        <f t="shared" si="3"/>
        <v>45324.426739006507</v>
      </c>
      <c r="O53" s="181">
        <f t="shared" ref="O53" si="15">SUM(O40:O42)+SUM(O44:O46)+SUM(O48:O52)</f>
        <v>7667.966538738865</v>
      </c>
      <c r="Q53" s="181">
        <f t="shared" ref="Q53" si="16">SUM(Q40:Q42)+SUM(Q44:Q46)+SUM(Q48:Q52)</f>
        <v>103882.93193218057</v>
      </c>
      <c r="R53" s="133">
        <f t="shared" si="4"/>
        <v>111550.89847091943</v>
      </c>
      <c r="T53" s="181">
        <f t="shared" ref="T53" si="17">SUM(T40:T42)+SUM(T44:T46)+SUM(T48:T52)</f>
        <v>11258.397725362811</v>
      </c>
      <c r="U53" s="181">
        <f t="shared" ref="U53" si="18">SUM(U40:U42)+SUM(U44:U46)+SUM(U48:U52)</f>
        <v>8006.2387728899048</v>
      </c>
      <c r="V53" s="181">
        <f t="shared" ref="V53" si="19">SUM(V40:V42)+SUM(V44:V46)+SUM(V48:V52)</f>
        <v>137610.68871167323</v>
      </c>
      <c r="W53" s="133">
        <f t="shared" si="8"/>
        <v>156875.32520992594</v>
      </c>
      <c r="Y53" s="181">
        <f t="shared" ref="Y53" si="20">SUM(Y40:Y42)+SUM(Y44:Y46)+SUM(Y48:Y52)</f>
        <v>6445.6587433078657</v>
      </c>
      <c r="AA53" s="181">
        <f t="shared" ref="AA53" si="21">SUM(AA40:AA42)+SUM(AA44:AA46)+SUM(AA48:AA52)</f>
        <v>189492.51420633984</v>
      </c>
      <c r="AB53" s="213">
        <f t="shared" si="9"/>
        <v>195938.17294964771</v>
      </c>
      <c r="AD53" s="181">
        <f t="shared" ref="AD53:AG53" si="22">SUM(AD40:AD42)+SUM(AD44:AD46)+SUM(AD48:AD52)</f>
        <v>21141.218038444833</v>
      </c>
      <c r="AE53" s="181">
        <f t="shared" si="22"/>
        <v>13132.919293802814</v>
      </c>
      <c r="AF53" s="181">
        <f t="shared" si="22"/>
        <v>504538.31922742008</v>
      </c>
      <c r="AG53" s="181">
        <f t="shared" si="22"/>
        <v>538810.86911490501</v>
      </c>
      <c r="AH53" s="162" t="s">
        <v>299</v>
      </c>
    </row>
    <row r="54" spans="1:37">
      <c r="A54" s="124" t="s">
        <v>361</v>
      </c>
      <c r="B54" s="124" t="s">
        <v>474</v>
      </c>
      <c r="AA54" s="124">
        <v>11500</v>
      </c>
      <c r="AB54" s="213">
        <f t="shared" si="9"/>
        <v>11500</v>
      </c>
      <c r="AF54" s="124">
        <v>11500</v>
      </c>
      <c r="AG54" s="124">
        <v>11500</v>
      </c>
      <c r="AI54" s="124" t="s">
        <v>361</v>
      </c>
      <c r="AJ54" s="124" t="s">
        <v>474</v>
      </c>
    </row>
    <row r="55" spans="1:37">
      <c r="C55" s="124" t="s">
        <v>158</v>
      </c>
      <c r="AA55" s="124">
        <v>10810</v>
      </c>
      <c r="AB55" s="213">
        <f t="shared" si="9"/>
        <v>10810</v>
      </c>
      <c r="AF55" s="124">
        <v>10810</v>
      </c>
      <c r="AG55" s="124">
        <v>10810</v>
      </c>
      <c r="AI55" s="124" t="s">
        <v>260</v>
      </c>
      <c r="AJ55" s="124" t="s">
        <v>158</v>
      </c>
    </row>
    <row r="56" spans="1:37">
      <c r="C56" s="124" t="s">
        <v>159</v>
      </c>
      <c r="AA56" s="124">
        <v>690</v>
      </c>
      <c r="AB56" s="213">
        <f t="shared" si="9"/>
        <v>690</v>
      </c>
      <c r="AF56" s="124">
        <v>690</v>
      </c>
      <c r="AG56" s="124">
        <v>690</v>
      </c>
      <c r="AI56" s="124" t="s">
        <v>260</v>
      </c>
      <c r="AJ56" s="124" t="s">
        <v>159</v>
      </c>
    </row>
    <row r="57" spans="1:37" ht="16" thickBot="1">
      <c r="A57" s="124" t="s">
        <v>412</v>
      </c>
      <c r="B57" s="124" t="s">
        <v>370</v>
      </c>
      <c r="E57" s="124">
        <v>0</v>
      </c>
      <c r="F57" s="124">
        <v>334.64121664888148</v>
      </c>
      <c r="G57" s="124">
        <v>1896.3002276769951</v>
      </c>
      <c r="H57" s="124">
        <v>2230.9414443258765</v>
      </c>
      <c r="J57" s="124">
        <v>2424.297</v>
      </c>
      <c r="K57" s="124">
        <v>0</v>
      </c>
      <c r="L57" s="124">
        <v>7160.4477108468218</v>
      </c>
      <c r="M57" s="124">
        <v>9584.7447108468223</v>
      </c>
      <c r="O57" s="124">
        <v>112.758</v>
      </c>
      <c r="Q57" s="124">
        <v>9095.9011910659719</v>
      </c>
      <c r="R57" s="124">
        <v>9208.6591910659718</v>
      </c>
      <c r="T57" s="124">
        <v>2537.0550000000003</v>
      </c>
      <c r="U57" s="124">
        <v>0</v>
      </c>
      <c r="V57" s="38">
        <f>W57-T57</f>
        <v>16242.581609038461</v>
      </c>
      <c r="W57" s="38">
        <v>18779.636609038462</v>
      </c>
      <c r="X57" s="38" t="s">
        <v>96</v>
      </c>
      <c r="Y57" s="124">
        <v>0</v>
      </c>
      <c r="AA57" s="124">
        <v>228698.23062868664</v>
      </c>
      <c r="AB57" s="213">
        <f t="shared" si="9"/>
        <v>228698.23062868664</v>
      </c>
      <c r="AD57" s="213">
        <f t="shared" ref="AD57" si="23">E57+T57+Y57</f>
        <v>2537.0550000000003</v>
      </c>
      <c r="AE57" s="213">
        <f t="shared" ref="AE57" si="24">F57+U57+Z57</f>
        <v>334.64121664888148</v>
      </c>
      <c r="AF57" s="213">
        <f t="shared" ref="AF57" si="25">G57+V57+AA57</f>
        <v>246837.11246540208</v>
      </c>
      <c r="AG57" s="124">
        <f>AD57+AE57+AF57</f>
        <v>249708.80868205096</v>
      </c>
      <c r="AI57" s="124" t="s">
        <v>412</v>
      </c>
      <c r="AJ57" s="124" t="s">
        <v>370</v>
      </c>
    </row>
    <row r="58" spans="1:37" s="133" customFormat="1" ht="16" thickBot="1">
      <c r="D58" s="160" t="s">
        <v>261</v>
      </c>
      <c r="E58" s="181">
        <f>SUM(E40:E42)+SUM(E44:E46)+SUM(E48:E52)+SUM(E55:E57)</f>
        <v>3437.1615697741563</v>
      </c>
      <c r="F58" s="181">
        <f t="shared" ref="F58:G58" si="26">SUM(F40:F42)+SUM(F44:F46)+SUM(F48:F52)+SUM(F55:F57)</f>
        <v>5461.3217375617915</v>
      </c>
      <c r="G58" s="181">
        <f t="shared" si="26"/>
        <v>179331.41653708403</v>
      </c>
      <c r="H58" s="133">
        <f t="shared" ref="H58" si="27">E58+F58+G58</f>
        <v>188229.89984441997</v>
      </c>
      <c r="J58" s="133">
        <v>6014.3463793838755</v>
      </c>
      <c r="K58" s="133">
        <v>8005.9754450953878</v>
      </c>
      <c r="L58" s="133">
        <v>40888.350669775456</v>
      </c>
      <c r="M58" s="133">
        <v>54908.672494254715</v>
      </c>
      <c r="O58" s="133">
        <v>7780.9054456743343</v>
      </c>
      <c r="Q58" s="133">
        <v>112978.88611720903</v>
      </c>
      <c r="R58" s="133">
        <v>120759.79156288336</v>
      </c>
      <c r="T58" s="133">
        <v>13795.251825058211</v>
      </c>
      <c r="U58" s="133">
        <v>8005.9754450953878</v>
      </c>
      <c r="V58" s="215">
        <f>V57+V53</f>
        <v>153853.27032071169</v>
      </c>
      <c r="W58" s="215">
        <f>SUM(T58:V58)</f>
        <v>175654.4975908653</v>
      </c>
      <c r="X58" s="38" t="s">
        <v>96</v>
      </c>
      <c r="Y58" s="133">
        <v>6445.6587433078648</v>
      </c>
      <c r="AA58" s="133">
        <f>AA53+SUM(AA55:AA57)</f>
        <v>429690.74483502645</v>
      </c>
      <c r="AB58" s="213">
        <f t="shared" si="9"/>
        <v>436136.40357833431</v>
      </c>
      <c r="AD58" s="133">
        <f>AD53+SUM(AD55:AD57)</f>
        <v>23678.273038444833</v>
      </c>
      <c r="AE58" s="133">
        <f t="shared" ref="AE58:AF58" si="28">AE53+SUM(AE55:AE57)</f>
        <v>13467.560510451694</v>
      </c>
      <c r="AF58" s="133">
        <f t="shared" si="28"/>
        <v>762875.43169282214</v>
      </c>
      <c r="AG58" s="161">
        <f>AD58+AE58+AF58</f>
        <v>800021.26524171862</v>
      </c>
      <c r="AH58" s="133" t="s">
        <v>471</v>
      </c>
    </row>
    <row r="59" spans="1:37">
      <c r="E59" s="171" t="s">
        <v>213</v>
      </c>
      <c r="F59" s="171"/>
      <c r="G59" s="171"/>
      <c r="H59" s="171"/>
      <c r="J59" s="171" t="s">
        <v>213</v>
      </c>
      <c r="K59" s="171"/>
      <c r="L59" s="171"/>
      <c r="M59" s="171"/>
      <c r="O59" s="171" t="s">
        <v>213</v>
      </c>
      <c r="P59" s="171"/>
      <c r="Q59" s="171"/>
      <c r="R59" s="171"/>
      <c r="T59" s="171" t="s">
        <v>213</v>
      </c>
      <c r="U59" s="171"/>
      <c r="V59" s="171"/>
      <c r="W59" s="171"/>
      <c r="Y59" s="171" t="s">
        <v>213</v>
      </c>
      <c r="Z59" s="171"/>
      <c r="AA59" s="171"/>
      <c r="AB59" s="213"/>
      <c r="AD59" s="171" t="s">
        <v>213</v>
      </c>
      <c r="AE59" s="171"/>
      <c r="AF59" s="171"/>
      <c r="AG59" s="171"/>
      <c r="AH59" s="133"/>
      <c r="AI59" s="133"/>
      <c r="AJ59" s="133"/>
      <c r="AK59" s="133"/>
    </row>
    <row r="60" spans="1:37">
      <c r="E60" s="171">
        <f>SUM(E40:E42)+SUM(E44:E46)+SUM(E48:E52)+SUM(E55:E57)</f>
        <v>3437.1615697741563</v>
      </c>
      <c r="F60" s="171">
        <f t="shared" ref="F60:H60" si="29">SUM(F40:F42)+SUM(F44:F46)+SUM(F48:F52)+SUM(F55:F57)</f>
        <v>5461.3217375617915</v>
      </c>
      <c r="G60" s="171">
        <f t="shared" si="29"/>
        <v>179331.41653708403</v>
      </c>
      <c r="H60" s="171">
        <f t="shared" si="29"/>
        <v>188229.89984442</v>
      </c>
      <c r="J60" s="171">
        <f>SUM(J40:J42)+SUM(J44:J46)+SUM(J48:J52)+SUM(J55:J57)</f>
        <v>6014.7281866239464</v>
      </c>
      <c r="K60" s="171">
        <f t="shared" ref="K60:M60" si="30">SUM(K40:K42)+SUM(K44:K46)+SUM(K48:K52)+SUM(K55:K57)</f>
        <v>8006.2387728899048</v>
      </c>
      <c r="L60" s="171">
        <f t="shared" si="30"/>
        <v>40888.204490339478</v>
      </c>
      <c r="M60" s="171">
        <f t="shared" si="30"/>
        <v>54909.17144985334</v>
      </c>
      <c r="O60" s="171">
        <f>SUM(O40:O42)+SUM(O44:O46)+SUM(O48:O52)+SUM(O55:O57)</f>
        <v>7780.7245387388648</v>
      </c>
      <c r="P60" s="171"/>
      <c r="Q60" s="171">
        <f t="shared" ref="Q60:R60" si="31">SUM(Q40:Q42)+SUM(Q44:Q46)+SUM(Q48:Q52)+SUM(Q55:Q57)</f>
        <v>112978.83312324654</v>
      </c>
      <c r="R60" s="171">
        <f t="shared" si="31"/>
        <v>120759.55766198543</v>
      </c>
      <c r="S60" s="168"/>
      <c r="T60" s="171">
        <f>SUM(T40:T42)+SUM(T44:T46)+SUM(T48:T52)+SUM(T55:T57)</f>
        <v>13795.452725362811</v>
      </c>
      <c r="U60" s="171">
        <f t="shared" ref="U60:W60" si="32">SUM(U40:U42)+SUM(U44:U46)+SUM(U48:U52)+SUM(U55:U57)</f>
        <v>8006.2387728899048</v>
      </c>
      <c r="V60" s="171">
        <f t="shared" si="32"/>
        <v>153853.27032071169</v>
      </c>
      <c r="W60" s="171">
        <f t="shared" si="32"/>
        <v>175654.9618189644</v>
      </c>
      <c r="X60" s="168"/>
      <c r="Y60" s="171">
        <f>SUM(Y40:Y42)+SUM(Y44:Y46)+SUM(Y48:Y52)+SUM(Y55:Y57)</f>
        <v>6445.6587433078657</v>
      </c>
      <c r="Z60" s="171"/>
      <c r="AA60" s="171">
        <f t="shared" ref="AA60" si="33">SUM(AA40:AA42)+SUM(AA44:AA46)+SUM(AA48:AA52)+SUM(AA55:AA57)</f>
        <v>429690.74483502645</v>
      </c>
      <c r="AB60" s="213">
        <f t="shared" si="9"/>
        <v>436136.40357833431</v>
      </c>
      <c r="AC60" s="168"/>
      <c r="AD60" s="171">
        <f>SUM(AD40:AD42)+SUM(AD44:AD46)+SUM(AD48:AD52)+SUM(AD55:AD57)</f>
        <v>23678.273038444833</v>
      </c>
      <c r="AE60" s="171">
        <f t="shared" ref="AE60:AG60" si="34">SUM(AE40:AE42)+SUM(AE44:AE46)+SUM(AE48:AE52)+SUM(AE55:AE57)</f>
        <v>13467.560510451694</v>
      </c>
      <c r="AF60" s="171">
        <f t="shared" si="34"/>
        <v>762875.43169282214</v>
      </c>
      <c r="AG60" s="171">
        <f t="shared" si="34"/>
        <v>800019.67779695592</v>
      </c>
      <c r="AH60" s="133"/>
      <c r="AI60" s="133"/>
      <c r="AJ60" s="133"/>
      <c r="AK60" s="133"/>
    </row>
    <row r="61" spans="1:37">
      <c r="E61" s="171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68"/>
      <c r="AD61" s="168"/>
      <c r="AF61" s="7" t="s">
        <v>448</v>
      </c>
      <c r="AG61" s="124">
        <v>2376399.1930450276</v>
      </c>
      <c r="AH61" s="133" t="s">
        <v>333</v>
      </c>
    </row>
    <row r="62" spans="1:37">
      <c r="E62" s="179"/>
      <c r="AG62" s="157">
        <v>0.28966775649459187</v>
      </c>
      <c r="AH62" s="124" t="s">
        <v>447</v>
      </c>
    </row>
    <row r="63" spans="1:37">
      <c r="B63" s="179" t="s">
        <v>480</v>
      </c>
      <c r="C63" s="179"/>
      <c r="D63" s="179" t="s">
        <v>481</v>
      </c>
      <c r="E63" s="179"/>
      <c r="F63" s="179"/>
      <c r="G63" s="167" t="s">
        <v>482</v>
      </c>
      <c r="H63" s="167">
        <v>188228.57452819473</v>
      </c>
      <c r="I63" s="167"/>
      <c r="J63" s="167"/>
      <c r="K63" s="167"/>
      <c r="L63" s="167" t="s">
        <v>514</v>
      </c>
      <c r="M63" s="167">
        <v>54908.674985714766</v>
      </c>
      <c r="N63" s="179"/>
      <c r="O63" s="179"/>
      <c r="P63" s="179"/>
      <c r="Q63" s="167" t="s">
        <v>515</v>
      </c>
      <c r="R63" s="179">
        <v>120760.00826309522</v>
      </c>
      <c r="S63" s="179"/>
      <c r="T63" s="179"/>
      <c r="U63" s="179"/>
      <c r="V63" s="167" t="s">
        <v>516</v>
      </c>
      <c r="W63" s="38">
        <f>W60</f>
        <v>175654.9618189644</v>
      </c>
      <c r="X63" s="38" t="s">
        <v>96</v>
      </c>
      <c r="Y63" s="179"/>
      <c r="Z63" s="179"/>
      <c r="AA63" s="167" t="s">
        <v>482</v>
      </c>
      <c r="AB63" s="179">
        <v>324468.96500790701</v>
      </c>
      <c r="AC63" s="179"/>
      <c r="AD63" s="179"/>
      <c r="AE63" s="179"/>
      <c r="AF63" s="167" t="s">
        <v>342</v>
      </c>
      <c r="AG63" s="179">
        <v>688366.22278491163</v>
      </c>
      <c r="AH63" s="179">
        <v>688366.22278491175</v>
      </c>
    </row>
    <row r="64" spans="1:37">
      <c r="A64" s="179"/>
      <c r="B64" s="179" t="s">
        <v>333</v>
      </c>
      <c r="C64" s="179"/>
      <c r="D64" s="179"/>
      <c r="E64" s="179"/>
      <c r="F64" s="179"/>
      <c r="G64" s="167" t="s">
        <v>517</v>
      </c>
      <c r="H64" s="167">
        <v>661563.15852400009</v>
      </c>
      <c r="I64" s="167"/>
      <c r="J64" s="167"/>
      <c r="K64" s="167"/>
      <c r="L64" s="167" t="s">
        <v>517</v>
      </c>
      <c r="M64" s="167">
        <v>176251.65201766195</v>
      </c>
      <c r="N64" s="179"/>
      <c r="O64" s="179"/>
      <c r="P64" s="179"/>
      <c r="Q64" s="167" t="s">
        <v>517</v>
      </c>
      <c r="R64" s="179">
        <v>437433.71202142845</v>
      </c>
      <c r="S64" s="179"/>
      <c r="T64" s="179"/>
      <c r="U64" s="179"/>
      <c r="V64" s="167" t="s">
        <v>517</v>
      </c>
      <c r="W64" s="179">
        <v>613685.36403909046</v>
      </c>
      <c r="X64" s="179"/>
      <c r="Y64" s="179"/>
      <c r="Z64" s="179"/>
      <c r="AA64" s="167" t="s">
        <v>517</v>
      </c>
      <c r="AB64" s="179">
        <v>1101150.6704819372</v>
      </c>
      <c r="AC64" s="179"/>
      <c r="AD64" s="179"/>
      <c r="AE64" s="179"/>
      <c r="AF64" s="167" t="s">
        <v>517</v>
      </c>
      <c r="AG64" s="179">
        <v>2376399.1930450276</v>
      </c>
      <c r="AH64" s="179" t="s">
        <v>333</v>
      </c>
    </row>
    <row r="65" spans="1:34" s="201" customFormat="1">
      <c r="B65" s="201" t="s">
        <v>447</v>
      </c>
      <c r="G65" s="203" t="s">
        <v>537</v>
      </c>
      <c r="H65" s="203">
        <v>0.28452094422571478</v>
      </c>
      <c r="I65" s="203"/>
      <c r="J65" s="203"/>
      <c r="K65" s="203"/>
      <c r="L65" s="203" t="s">
        <v>537</v>
      </c>
      <c r="M65" s="203">
        <v>0.31153566140879313</v>
      </c>
      <c r="Q65" s="203" t="s">
        <v>537</v>
      </c>
      <c r="R65" s="201">
        <v>0.27606470407836237</v>
      </c>
      <c r="V65" s="203" t="s">
        <v>537</v>
      </c>
      <c r="W65" s="201">
        <v>0.2862520332774634</v>
      </c>
      <c r="AA65" s="203" t="s">
        <v>537</v>
      </c>
      <c r="AB65" s="201">
        <v>0.29466354941771744</v>
      </c>
      <c r="AF65" s="203" t="s">
        <v>537</v>
      </c>
      <c r="AG65" s="201">
        <v>0.28966775649459187</v>
      </c>
      <c r="AH65" s="201" t="s">
        <v>447</v>
      </c>
    </row>
    <row r="66" spans="1:34" s="202" customFormat="1">
      <c r="B66" s="202" t="s">
        <v>518</v>
      </c>
      <c r="G66" s="204" t="s">
        <v>519</v>
      </c>
      <c r="H66" s="204">
        <v>1.4602272435087211</v>
      </c>
      <c r="I66" s="204"/>
      <c r="J66" s="204"/>
      <c r="K66" s="204"/>
      <c r="L66" s="204"/>
      <c r="M66" s="204">
        <v>1.5245108531077807</v>
      </c>
      <c r="Q66" s="204" t="s">
        <v>519</v>
      </c>
      <c r="R66" s="202">
        <v>1.3575130539064697</v>
      </c>
      <c r="V66" s="204" t="s">
        <v>520</v>
      </c>
      <c r="W66" s="202">
        <v>1.4056414513274245</v>
      </c>
      <c r="AA66" s="204" t="s">
        <v>519</v>
      </c>
      <c r="AB66" s="202">
        <v>2.3226903558203329</v>
      </c>
      <c r="AF66" s="204" t="s">
        <v>519</v>
      </c>
      <c r="AG66" s="202">
        <v>1.7490180394278969</v>
      </c>
    </row>
    <row r="67" spans="1:34">
      <c r="A67" s="179"/>
      <c r="B67" s="179"/>
      <c r="C67" s="179"/>
      <c r="D67" s="179"/>
      <c r="E67" s="179"/>
      <c r="F67" s="179"/>
      <c r="G67" s="167"/>
      <c r="H67" s="167"/>
      <c r="I67" s="167"/>
      <c r="J67" s="167"/>
      <c r="K67" s="167"/>
      <c r="L67" s="167"/>
      <c r="M67" s="167"/>
      <c r="N67" s="179"/>
      <c r="O67" s="179"/>
      <c r="P67" s="179"/>
      <c r="Q67" s="167"/>
      <c r="R67" s="179"/>
      <c r="S67" s="179"/>
      <c r="T67" s="179"/>
      <c r="U67" s="179"/>
      <c r="V67" s="167"/>
      <c r="W67" s="179"/>
      <c r="X67" s="179"/>
      <c r="Y67" s="179"/>
      <c r="Z67" s="179"/>
      <c r="AA67" s="167"/>
      <c r="AB67" s="179"/>
      <c r="AC67" s="179"/>
      <c r="AD67" s="179"/>
      <c r="AE67" s="179"/>
      <c r="AF67" s="167"/>
      <c r="AG67" s="179"/>
      <c r="AH67" s="179"/>
    </row>
    <row r="68" spans="1:34">
      <c r="A68" s="179"/>
      <c r="B68" s="179"/>
      <c r="C68" s="179"/>
      <c r="D68" s="179"/>
      <c r="E68" s="179"/>
      <c r="F68" s="179"/>
      <c r="G68" s="167" t="s">
        <v>463</v>
      </c>
      <c r="H68" s="167">
        <v>185997.63308386886</v>
      </c>
      <c r="I68" s="167"/>
      <c r="J68" s="167"/>
      <c r="K68" s="167"/>
      <c r="L68" s="167" t="s">
        <v>463</v>
      </c>
      <c r="M68" s="167">
        <v>45323.930274867947</v>
      </c>
      <c r="N68" s="179"/>
      <c r="O68" s="179"/>
      <c r="P68" s="179"/>
      <c r="Q68" s="167" t="s">
        <v>463</v>
      </c>
      <c r="R68" s="179">
        <v>111551.34907202925</v>
      </c>
      <c r="S68" s="179"/>
      <c r="T68" s="179"/>
      <c r="U68" s="179"/>
      <c r="V68" s="167" t="s">
        <v>463</v>
      </c>
      <c r="W68" s="179">
        <v>156875.27934689718</v>
      </c>
      <c r="X68" s="179"/>
      <c r="Y68" s="179"/>
      <c r="Z68" s="179"/>
      <c r="AA68" s="167" t="s">
        <v>463</v>
      </c>
      <c r="AB68" s="179">
        <v>195938.31111782504</v>
      </c>
      <c r="AC68" s="179"/>
      <c r="AD68" s="179"/>
      <c r="AE68" s="179"/>
      <c r="AF68" s="167" t="s">
        <v>463</v>
      </c>
      <c r="AG68" s="179">
        <v>538811.22354859102</v>
      </c>
      <c r="AH68" s="179"/>
    </row>
    <row r="69" spans="1:34">
      <c r="A69" s="179"/>
      <c r="B69" s="179"/>
      <c r="C69" s="179"/>
      <c r="D69" s="179"/>
      <c r="E69" s="179"/>
      <c r="F69" s="179"/>
      <c r="G69" s="167" t="s">
        <v>461</v>
      </c>
      <c r="H69" s="167">
        <v>659332.21707967424</v>
      </c>
      <c r="I69" s="167"/>
      <c r="J69" s="167"/>
      <c r="K69" s="167"/>
      <c r="L69" s="167" t="s">
        <v>461</v>
      </c>
      <c r="M69" s="167">
        <v>166666.90730681512</v>
      </c>
      <c r="N69" s="179"/>
      <c r="O69" s="179"/>
      <c r="P69" s="179"/>
      <c r="Q69" s="167" t="s">
        <v>461</v>
      </c>
      <c r="R69" s="179">
        <v>428225.05283036246</v>
      </c>
      <c r="S69" s="179"/>
      <c r="T69" s="179"/>
      <c r="U69" s="179"/>
      <c r="V69" s="167" t="s">
        <v>461</v>
      </c>
      <c r="W69" s="179">
        <v>594891.96013717772</v>
      </c>
      <c r="X69" s="179"/>
      <c r="Y69" s="179"/>
      <c r="Z69" s="179"/>
      <c r="AA69" s="167" t="s">
        <v>461</v>
      </c>
      <c r="AB69" s="213">
        <v>719874.75715603644</v>
      </c>
      <c r="AC69" s="179"/>
      <c r="AD69" s="179"/>
      <c r="AE69" s="179"/>
      <c r="AF69" s="167" t="s">
        <v>461</v>
      </c>
      <c r="AG69" s="179">
        <v>2226844.1938087069</v>
      </c>
      <c r="AH69" s="179"/>
    </row>
    <row r="70" spans="1:34" s="201" customFormat="1">
      <c r="G70" s="203" t="s">
        <v>338</v>
      </c>
      <c r="H70" s="203">
        <v>0.28210002221291841</v>
      </c>
      <c r="I70" s="203"/>
      <c r="J70" s="203"/>
      <c r="K70" s="203"/>
      <c r="L70" s="203" t="s">
        <v>338</v>
      </c>
      <c r="M70" s="203">
        <v>0.27194318900651143</v>
      </c>
      <c r="Q70" s="203" t="s">
        <v>338</v>
      </c>
      <c r="R70" s="201">
        <v>0.26049701747884263</v>
      </c>
      <c r="V70" s="203" t="s">
        <v>338</v>
      </c>
      <c r="W70" s="201">
        <v>0.26370381490905154</v>
      </c>
      <c r="AA70" s="203" t="s">
        <v>338</v>
      </c>
      <c r="AB70" s="201">
        <f>AB68/AB69</f>
        <v>0.27218388916970238</v>
      </c>
      <c r="AF70" s="203" t="s">
        <v>338</v>
      </c>
      <c r="AG70" s="201">
        <v>0.24196179734830459</v>
      </c>
    </row>
    <row r="71" spans="1:34" s="202" customFormat="1">
      <c r="G71" s="204" t="s">
        <v>340</v>
      </c>
      <c r="H71" s="204">
        <v>1.442920192845224</v>
      </c>
      <c r="I71" s="204"/>
      <c r="J71" s="204"/>
      <c r="K71" s="204"/>
      <c r="L71" s="204" t="s">
        <v>340</v>
      </c>
      <c r="M71" s="204">
        <v>1.258395392486032</v>
      </c>
      <c r="Q71" s="204" t="s">
        <v>340</v>
      </c>
      <c r="R71" s="202">
        <v>1.2539947183196363</v>
      </c>
      <c r="V71" s="204" t="s">
        <v>340</v>
      </c>
      <c r="W71" s="202">
        <v>1.2552629829088304</v>
      </c>
      <c r="AA71" s="204" t="s">
        <v>340</v>
      </c>
      <c r="AB71" s="202">
        <v>1.4026118817188129</v>
      </c>
      <c r="AF71" s="204" t="s">
        <v>340</v>
      </c>
      <c r="AG71" s="202">
        <v>1.3690249733929265</v>
      </c>
    </row>
    <row r="72" spans="1:34">
      <c r="B72" s="179"/>
      <c r="C72" s="179"/>
      <c r="D72" s="179"/>
      <c r="E72" s="179"/>
      <c r="F72" s="179"/>
      <c r="G72" s="179"/>
      <c r="H72" s="179"/>
      <c r="I72" s="179"/>
      <c r="J72" s="179"/>
      <c r="K72" s="179"/>
      <c r="L72" s="179"/>
      <c r="M72" s="179"/>
      <c r="N72" s="179"/>
      <c r="O72" s="179"/>
      <c r="P72" s="179"/>
      <c r="Q72" s="179"/>
      <c r="R72" s="179"/>
      <c r="S72" s="179"/>
      <c r="T72" s="179"/>
      <c r="U72" s="179"/>
      <c r="V72" s="179"/>
      <c r="W72" s="179"/>
      <c r="X72" s="179"/>
      <c r="Y72" s="179"/>
      <c r="Z72" s="179"/>
      <c r="AA72" s="179"/>
      <c r="AB72" s="179"/>
      <c r="AC72" s="179"/>
      <c r="AD72" s="179"/>
      <c r="AE72" s="179"/>
      <c r="AF72" s="179"/>
      <c r="AG72" s="179"/>
    </row>
    <row r="73" spans="1:34">
      <c r="B73" s="179"/>
      <c r="C73" s="179"/>
      <c r="D73" s="179"/>
      <c r="E73" s="179"/>
      <c r="F73" s="179"/>
      <c r="G73" s="179"/>
      <c r="H73" s="179"/>
      <c r="I73" s="179"/>
      <c r="J73" s="179"/>
      <c r="K73" s="179"/>
      <c r="L73" s="179"/>
      <c r="M73" s="179"/>
      <c r="N73" s="179"/>
      <c r="O73" s="179"/>
      <c r="P73" s="179"/>
      <c r="Q73" s="179"/>
      <c r="R73" s="179"/>
      <c r="S73" s="179"/>
      <c r="T73" s="179"/>
      <c r="U73" s="179"/>
      <c r="V73" s="179"/>
      <c r="W73" s="179"/>
      <c r="X73" s="179"/>
      <c r="Y73" s="179"/>
      <c r="Z73" s="179"/>
      <c r="AA73" s="167" t="s">
        <v>184</v>
      </c>
      <c r="AB73" s="213">
        <f>AB63-AB68</f>
        <v>128530.65389008197</v>
      </c>
      <c r="AC73" s="179"/>
      <c r="AD73" s="179"/>
      <c r="AE73" s="179"/>
      <c r="AF73" s="179"/>
      <c r="AG73" s="179"/>
    </row>
    <row r="74" spans="1:34">
      <c r="B74" s="179"/>
      <c r="C74" s="179"/>
      <c r="D74" s="179"/>
      <c r="E74" s="179"/>
      <c r="F74" s="179"/>
      <c r="G74" s="179"/>
      <c r="H74" s="179"/>
      <c r="I74" s="179"/>
      <c r="J74" s="179"/>
      <c r="K74" s="179"/>
      <c r="L74" s="179"/>
      <c r="M74" s="179"/>
      <c r="N74" s="179"/>
      <c r="O74" s="179"/>
      <c r="P74" s="179"/>
      <c r="Q74" s="179"/>
      <c r="R74" s="179"/>
      <c r="S74" s="179"/>
      <c r="T74" s="179"/>
      <c r="U74" s="179"/>
      <c r="V74" s="179"/>
      <c r="W74" s="179"/>
      <c r="X74" s="179"/>
      <c r="Y74" s="179"/>
      <c r="Z74" s="179"/>
      <c r="AA74" s="167" t="s">
        <v>185</v>
      </c>
      <c r="AB74" s="179">
        <f>AB64-AB69</f>
        <v>381275.91332590079</v>
      </c>
      <c r="AC74" s="179"/>
      <c r="AD74" s="179"/>
      <c r="AE74" s="179"/>
      <c r="AF74" s="179"/>
      <c r="AG74" s="179"/>
    </row>
    <row r="75" spans="1:34">
      <c r="B75" s="179"/>
      <c r="C75" s="179"/>
      <c r="D75" s="179"/>
      <c r="E75" s="179"/>
      <c r="F75" s="179"/>
      <c r="G75" s="179"/>
      <c r="H75" s="179"/>
      <c r="I75" s="179"/>
      <c r="J75" s="179"/>
      <c r="K75" s="179"/>
      <c r="L75" s="179"/>
      <c r="M75" s="179"/>
      <c r="N75" s="179"/>
      <c r="O75" s="179"/>
      <c r="P75" s="179"/>
      <c r="Q75" s="179"/>
      <c r="R75" s="179"/>
      <c r="S75" s="179"/>
      <c r="T75" s="179"/>
      <c r="U75" s="179"/>
      <c r="V75" s="179"/>
      <c r="W75" s="179"/>
      <c r="X75" s="179"/>
      <c r="Y75" s="179"/>
      <c r="Z75" s="179"/>
      <c r="AA75" s="203" t="s">
        <v>93</v>
      </c>
      <c r="AB75" s="179"/>
      <c r="AC75" s="179"/>
      <c r="AD75" s="179"/>
      <c r="AE75" s="179"/>
      <c r="AF75" s="179"/>
      <c r="AG75" s="179"/>
    </row>
    <row r="76" spans="1:34">
      <c r="AA76" s="204" t="s">
        <v>208</v>
      </c>
    </row>
  </sheetData>
  <phoneticPr fontId="1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Sources &amp; notes</vt:lpstr>
      <vt:lpstr>(1) Labor force by colony</vt:lpstr>
      <vt:lpstr>(2) HH occ's by region</vt:lpstr>
      <vt:lpstr>(3) Giving occ's to non-heads</vt:lpstr>
      <vt:lpstr>(4) Summary LF totals</vt:lpstr>
    </vt:vector>
  </TitlesOfParts>
  <Company>UC Davis</Company>
  <LinksUpToDate>false</LinksUpToDate>
  <SharedDoc>false</SharedDoc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Lindert</dc:creator>
  <cp:lastModifiedBy>Peter Lindert</cp:lastModifiedBy>
  <cp:lastPrinted>2010-11-28T15:25:46Z</cp:lastPrinted>
  <dcterms:created xsi:type="dcterms:W3CDTF">2010-11-03T20:19:19Z</dcterms:created>
  <dcterms:modified xsi:type="dcterms:W3CDTF">2013-01-07T03:31:48Z</dcterms:modified>
</cp:coreProperties>
</file>