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20" windowWidth="25200" windowHeight="9560" tabRatio="500" firstSheet="3" activeTab="5"/>
  </bookViews>
  <sheets>
    <sheet name="Sources &amp; notes" sheetId="1" r:id="rId1"/>
    <sheet name="(1) Sheldon-Wolcott totals" sheetId="2" r:id="rId2"/>
    <sheet name="(2) Pitkin's summary" sheetId="3" r:id="rId3"/>
    <sheet name="(3) Interp South &lt; $100" sheetId="4" r:id="rId4"/>
    <sheet name="(4) Underassessment" sheetId="5" r:id="rId5"/>
    <sheet name="(5) All prop income 1798-1800" sheetId="6" r:id="rId6"/>
  </sheets>
  <definedNames/>
  <calcPr fullCalcOnLoad="1"/>
</workbook>
</file>

<file path=xl/sharedStrings.xml><?xml version="1.0" encoding="utf-8"?>
<sst xmlns="http://schemas.openxmlformats.org/spreadsheetml/2006/main" count="1077" uniqueCount="618">
  <si>
    <t>In 1774, (New England + Mid-Col's) real estate per HH with property =</t>
  </si>
  <si>
    <t>Ratio =</t>
  </si>
  <si>
    <r>
      <t>(C.) Our adjustments for realty under-assessment</t>
    </r>
    <r>
      <rPr>
        <b/>
        <sz val="12"/>
        <color indexed="8"/>
        <rFont val="Arial"/>
        <family val="0"/>
      </rPr>
      <t>:</t>
    </r>
  </si>
  <si>
    <t>net income from</t>
  </si>
  <si>
    <t>income from realty</t>
  </si>
  <si>
    <t>(1) One of these is a distortion implying that our 1798-1800 estimates of Southern incomes should be raised a bit:</t>
  </si>
  <si>
    <t xml:space="preserve">This is the underassessment of real estate in the South. </t>
  </si>
  <si>
    <t>The South’s share of realty valuation and of taxes paid in 1798 = 38.1% (see Pitkin's summary),</t>
  </si>
  <si>
    <t>just like the North</t>
  </si>
  <si>
    <r>
      <t xml:space="preserve">ratio of </t>
    </r>
    <r>
      <rPr>
        <u val="single"/>
        <sz val="12"/>
        <color indexed="10"/>
        <rFont val="Arial"/>
        <family val="0"/>
      </rPr>
      <t>net</t>
    </r>
    <r>
      <rPr>
        <sz val="12"/>
        <color indexed="10"/>
        <rFont val="Arial"/>
        <family val="0"/>
      </rPr>
      <t xml:space="preserve"> non-</t>
    </r>
  </si>
  <si>
    <r>
      <t xml:space="preserve">income to all </t>
    </r>
    <r>
      <rPr>
        <u val="single"/>
        <sz val="12"/>
        <color indexed="10"/>
        <rFont val="Arial"/>
        <family val="0"/>
      </rPr>
      <t>net</t>
    </r>
  </si>
  <si>
    <t>"1774 k</t>
  </si>
  <si>
    <t>share, gross"</t>
  </si>
  <si>
    <t>share, net"</t>
  </si>
  <si>
    <t>"1774a</t>
  </si>
  <si>
    <t>ratio, gross"</t>
  </si>
  <si>
    <t>to 35.7%.  For the whole thirteen colonies (= 15 states and DC), however, the slave population share declined</t>
  </si>
  <si>
    <t xml:space="preserve">Yet its share of realty income and wealth back in 1774 was much higher, at 57.7% (possibly even 60.9%).  </t>
  </si>
  <si>
    <t>[6% for realty, different</t>
  </si>
  <si>
    <t xml:space="preserve">formula for slaves - see </t>
  </si>
  <si>
    <t>Realty</t>
  </si>
  <si>
    <t>States</t>
  </si>
  <si>
    <t>income $</t>
  </si>
  <si>
    <t>valued ≤ $100</t>
  </si>
  <si>
    <t>property</t>
  </si>
  <si>
    <t>Lower South (NC, SC, GA)</t>
  </si>
  <si>
    <t xml:space="preserve">In sharp contrast, the value of slaves as a percent of all slave plus realty value in 1774 = 45.6%.  </t>
  </si>
  <si>
    <t>(1) Since slaves were productive from age 10 on, as in the 1774 estimates,</t>
  </si>
  <si>
    <t>versus its 35.0% share of the free population and its 45.2% share of total population.</t>
  </si>
  <si>
    <t>The Sheldon-Wolcott tables were transcribed by Peter Lindert and Nick Zolas, September 2010.</t>
  </si>
  <si>
    <r>
      <t>Net</t>
    </r>
    <r>
      <rPr>
        <sz val="12"/>
        <color indexed="8"/>
        <rFont val="Arial"/>
        <family val="2"/>
      </rPr>
      <t xml:space="preserve"> NIPA-type income from all property, now adjusted for under-assessment</t>
    </r>
  </si>
  <si>
    <t xml:space="preserve">Soltow (1989, pp. 37, 256-257) cites correspondence he found in the Oliver Wolcott papers showing that </t>
  </si>
  <si>
    <t>5th class above 6,000 and not more than 10,000 dollars in value</t>
  </si>
  <si>
    <t>(1) All states' reported assessments for realty and slaves</t>
  </si>
  <si>
    <t>That implies $154.52 per household head having any property of any kind.</t>
  </si>
  <si>
    <t>Between 1774 and 1800, slaves rose slightly as a share of Southern Atlantic population, from 34.0%</t>
  </si>
  <si>
    <t>slave</t>
  </si>
  <si>
    <t>product</t>
  </si>
  <si>
    <t>product</t>
  </si>
  <si>
    <t>(2) Next, since the 1798 return did not reveal its asset assessment of slaves,</t>
  </si>
  <si>
    <t>3rd class above 1000 and not more than 3000 dollars in value</t>
  </si>
  <si>
    <t>dollars of real estate in 1800.</t>
  </si>
  <si>
    <t>£</t>
  </si>
  <si>
    <t>$</t>
  </si>
  <si>
    <r>
      <t>Gross</t>
    </r>
    <r>
      <rPr>
        <sz val="12"/>
        <color indexed="8"/>
        <rFont val="Arial"/>
        <family val="2"/>
      </rPr>
      <t xml:space="preserve"> NIPA-type income from all property, now adjusted for under-assessment</t>
    </r>
  </si>
  <si>
    <r>
      <t xml:space="preserve">(C.2.a) As </t>
    </r>
    <r>
      <rPr>
        <b/>
        <u val="single"/>
        <sz val="12"/>
        <color indexed="8"/>
        <rFont val="Arial"/>
        <family val="0"/>
      </rPr>
      <t>"South, Variant a"</t>
    </r>
    <r>
      <rPr>
        <sz val="12"/>
        <color indexed="8"/>
        <rFont val="Arial"/>
        <family val="2"/>
      </rPr>
      <t>, or "South a", we try a transparent assumption that</t>
    </r>
  </si>
  <si>
    <t>For the resulting final estimates, see Worksheet (5).</t>
  </si>
  <si>
    <t>Quantities of lands, lots, &amp;c exempted from valuation</t>
  </si>
  <si>
    <t>Acres</t>
  </si>
  <si>
    <t>Number of dwelling houses &amp; outhouses subject to &amp; included in the valuation</t>
  </si>
  <si>
    <t>realty under-</t>
  </si>
  <si>
    <t>Adjustment ratio</t>
  </si>
  <si>
    <t>#1 (1.0845), for</t>
  </si>
  <si>
    <t>for 212,730 household heads with positive property in New England plus the Middle Colonies in 1774.</t>
  </si>
  <si>
    <t>[Assume 1 acre = 160 perches = 43,560 square feet]</t>
  </si>
  <si>
    <t>owner</t>
  </si>
  <si>
    <t>Total</t>
  </si>
  <si>
    <t>slave</t>
  </si>
  <si>
    <t>7th class above 15,000 and not more than 20,000 dollars in value</t>
  </si>
  <si>
    <t>assessment, as</t>
  </si>
  <si>
    <t xml:space="preserve">found in CT </t>
  </si>
  <si>
    <t>by Wolcott</t>
  </si>
  <si>
    <t>ratio #1 = 1/0.845</t>
  </si>
  <si>
    <t>Just revert to</t>
  </si>
  <si>
    <t>assuming that</t>
  </si>
  <si>
    <t>the South assesed</t>
  </si>
  <si>
    <r>
      <t>(A.) Underassessment in New England and the Middle Colonies in 1798</t>
    </r>
    <r>
      <rPr>
        <b/>
        <sz val="12"/>
        <rFont val="Arial"/>
        <family val="2"/>
      </rPr>
      <t xml:space="preserve">: </t>
    </r>
  </si>
  <si>
    <r>
      <t>(B.) Three ways that southern wealth was hidden from the tax man in 1798</t>
    </r>
    <r>
      <rPr>
        <b/>
        <sz val="12"/>
        <color indexed="8"/>
        <rFont val="Arial"/>
        <family val="0"/>
      </rPr>
      <t>:</t>
    </r>
  </si>
  <si>
    <t xml:space="preserve">(3) Another southern underassessment that does not affect our estimates: Slave taxes as a percent of all reported (realty + slave) taxes in 1798 = 9.8%.  </t>
  </si>
  <si>
    <t>ratio, net"</t>
  </si>
  <si>
    <t xml:space="preserve">1774 regional </t>
  </si>
  <si>
    <t>plus real estate</t>
  </si>
  <si>
    <t>income from labor</t>
  </si>
  <si>
    <t>and "South a"</t>
  </si>
  <si>
    <t>"1774 a", gross</t>
  </si>
  <si>
    <t>and South b</t>
  </si>
  <si>
    <t>"1774 a", net</t>
  </si>
  <si>
    <t>(5.C) Extending to estimate total NIPA-type property income for 1800</t>
  </si>
  <si>
    <r>
      <t xml:space="preserve">income to all </t>
    </r>
    <r>
      <rPr>
        <u val="single"/>
        <sz val="12"/>
        <color indexed="10"/>
        <rFont val="Arial"/>
        <family val="0"/>
      </rPr>
      <t>gross</t>
    </r>
  </si>
  <si>
    <t>Massachusetts (incl. Maine)</t>
  </si>
  <si>
    <t>North Carolina</t>
  </si>
  <si>
    <t>South Carolina</t>
  </si>
  <si>
    <t>Georgia</t>
  </si>
  <si>
    <t>[Assume that the perches and square feet for PA,</t>
  </si>
  <si>
    <t>4th class</t>
  </si>
  <si>
    <t>5th class</t>
  </si>
  <si>
    <t>6th class</t>
  </si>
  <si>
    <r>
      <t>(A.1) DWELLINGS</t>
    </r>
    <r>
      <rPr>
        <sz val="12"/>
        <rFont val="Arial"/>
        <family val="0"/>
      </rPr>
      <t xml:space="preserve"> &amp; out- </t>
    </r>
  </si>
  <si>
    <t>(A.2) LLBW = lots, lands, buildings, and wharfes</t>
  </si>
  <si>
    <t>slaves 10-up</t>
  </si>
  <si>
    <t>realty, non-slave</t>
  </si>
  <si>
    <r>
      <t xml:space="preserve">ratio of </t>
    </r>
    <r>
      <rPr>
        <u val="single"/>
        <sz val="12"/>
        <color indexed="10"/>
        <rFont val="Arial"/>
        <family val="0"/>
      </rPr>
      <t>gross</t>
    </r>
    <r>
      <rPr>
        <sz val="12"/>
        <color indexed="10"/>
        <rFont val="Arial"/>
        <family val="0"/>
      </rPr>
      <t xml:space="preserve"> non-</t>
    </r>
  </si>
  <si>
    <t>gross income from</t>
  </si>
  <si>
    <t>regional ratio of</t>
  </si>
  <si>
    <t>(5) Aggregating total property income 1798-1800</t>
  </si>
  <si>
    <t>Dwelling houses</t>
  </si>
  <si>
    <t>Outhouses</t>
  </si>
  <si>
    <t>Quantity of land in the lots</t>
  </si>
  <si>
    <t>[Exploring different assumptions about real estate underassessment in the South Atlantic]</t>
  </si>
  <si>
    <t>Variant c</t>
  </si>
  <si>
    <t>Variant c</t>
  </si>
  <si>
    <t>4th class above 3000 and not more than 6000 dollars in value</t>
  </si>
  <si>
    <t>Slaves'</t>
  </si>
  <si>
    <t>Total gross</t>
  </si>
  <si>
    <t>Total net</t>
  </si>
  <si>
    <t>Number of slaves above the age of 12 and under the age of 50 years subject to taxation</t>
  </si>
  <si>
    <t>to estimate the owner's annual return per productive slave.</t>
  </si>
  <si>
    <t>with South</t>
  </si>
  <si>
    <t>LW used --</t>
  </si>
  <si>
    <t>Gross</t>
  </si>
  <si>
    <t>Variant d</t>
  </si>
  <si>
    <t>Net,</t>
  </si>
  <si>
    <t>and South d</t>
  </si>
  <si>
    <t>See the final calculations in our file "Aggreg property 1774 South".</t>
  </si>
  <si>
    <t>(For the original document's fuller headings, see the "Source &amp; notes" worksheet.)</t>
  </si>
  <si>
    <t>(3) Interpolating for the missing valuations of under-$100 dwellings in 4 Southern states</t>
  </si>
  <si>
    <r>
      <t xml:space="preserve">(A.) </t>
    </r>
    <r>
      <rPr>
        <b/>
        <u val="single"/>
        <sz val="12"/>
        <rFont val="Arial"/>
        <family val="0"/>
      </rPr>
      <t>The assessment totals themselves,</t>
    </r>
  </si>
  <si>
    <t>there should have been a market value of real estate worth $366.21 per Southern holder of any kind of property.</t>
  </si>
  <si>
    <r>
      <t xml:space="preserve">That yields </t>
    </r>
    <r>
      <rPr>
        <u val="single"/>
        <sz val="12"/>
        <color indexed="8"/>
        <rFont val="Arial"/>
        <family val="0"/>
      </rPr>
      <t>$51,197,079</t>
    </r>
    <r>
      <rPr>
        <sz val="12"/>
        <color indexed="8"/>
        <rFont val="Arial"/>
        <family val="2"/>
      </rPr>
      <t xml:space="preserve"> in Southern real estate (for the 139,783 Southern household heads having any kind of property).</t>
    </r>
  </si>
  <si>
    <t>Estimated total Eastern real estate =</t>
  </si>
  <si>
    <t>This times 1.07 =</t>
  </si>
  <si>
    <t>above $20,000 to $30,000</t>
  </si>
  <si>
    <r>
      <t>Source (3) = Lee Soltow</t>
    </r>
    <r>
      <rPr>
        <sz val="12"/>
        <rFont val="Arial"/>
        <family val="0"/>
      </rPr>
      <t xml:space="preserve">'s essential guide to the 1798 tax and its inequality implications: </t>
    </r>
  </si>
  <si>
    <t>Acres</t>
  </si>
  <si>
    <t>(1.) Estimating value per dwelling under $100</t>
  </si>
  <si>
    <t>Quantity of land in the lots</t>
  </si>
  <si>
    <t>Reported "Total Valuation"</t>
  </si>
  <si>
    <t>is estimated in three steps.</t>
  </si>
  <si>
    <t xml:space="preserve">In 1774, South real estate per HH with property = </t>
  </si>
  <si>
    <t>Perches</t>
  </si>
  <si>
    <t>State</t>
  </si>
  <si>
    <t>New York</t>
  </si>
  <si>
    <t xml:space="preserve"> </t>
  </si>
  <si>
    <r>
      <t xml:space="preserve">Number </t>
    </r>
    <r>
      <rPr>
        <u val="single"/>
        <sz val="12"/>
        <rFont val="Arial"/>
        <family val="0"/>
      </rPr>
      <t>exempted</t>
    </r>
    <r>
      <rPr>
        <sz val="12"/>
        <rFont val="Arial"/>
        <family val="0"/>
      </rPr>
      <t xml:space="preserve"> from taxation</t>
    </r>
  </si>
  <si>
    <t>all ages</t>
  </si>
  <si>
    <t xml:space="preserve">  --  to derive the total value of slave production.</t>
  </si>
  <si>
    <t>We see no reason why the South's share of the three regions' property income should have dropped at all, 1774-1798.</t>
  </si>
  <si>
    <t>Extrapolating the values for dwellings under $100 to four southern states missed by Sheldon-Wolcott: See Worksheet (3).</t>
  </si>
  <si>
    <t>Number exempted from taxation</t>
  </si>
  <si>
    <t>(A.4) Dwelling houses &amp;c</t>
  </si>
  <si>
    <t>(B.4) Dwelling houses &amp;c</t>
  </si>
  <si>
    <t>We apply the rural rates to the 1798 state returns</t>
  </si>
  <si>
    <t xml:space="preserve">over-$100 </t>
  </si>
  <si>
    <t>9th class above 30,000 dollars</t>
  </si>
  <si>
    <t>8th class above 20,000 and not more than 30,000 dollars in value</t>
  </si>
  <si>
    <t>"1774 k, gross</t>
  </si>
  <si>
    <t>"1774 k, gross</t>
  </si>
  <si>
    <t>"1774 k", net</t>
  </si>
  <si>
    <r>
      <t>Columns in the microfilm of the Sheldon-Wolcott returns</t>
    </r>
    <r>
      <rPr>
        <sz val="12"/>
        <rFont val="Arial"/>
        <family val="0"/>
      </rPr>
      <t>:</t>
    </r>
  </si>
  <si>
    <t>Dwelling houses &amp; out houses of a value not exceeding $100</t>
  </si>
  <si>
    <t>This would have changed our estimates if we had used the numbers of slaves reported in the 1798 returns.</t>
  </si>
  <si>
    <t>However, we have used the numbers of slaves over 10 years of age as reported in the 1800 census.</t>
  </si>
  <si>
    <t>for 518 Connecticut properties sold in 1798, the average ratio of US-assessed value to market value was 0.845.</t>
  </si>
  <si>
    <t>Multiplying this ratio by the $154.52 from (C.1) above implies that in the South in 1798</t>
  </si>
  <si>
    <t>$ value</t>
  </si>
  <si>
    <t>per acre</t>
  </si>
  <si>
    <t>Checking for inconsistencies</t>
  </si>
  <si>
    <t>Sum of</t>
  </si>
  <si>
    <t>classes</t>
  </si>
  <si>
    <t>Check for dwelling valuations</t>
  </si>
  <si>
    <t>Williamson</t>
  </si>
  <si>
    <r>
      <t>Source (4) = Robin Einhorn</t>
    </r>
    <r>
      <rPr>
        <sz val="12"/>
        <rFont val="Arial"/>
        <family val="0"/>
      </rPr>
      <t xml:space="preserve"> on the political maneuvering over the specifics of the 1798 assessment: </t>
    </r>
  </si>
  <si>
    <r>
      <t xml:space="preserve">houses </t>
    </r>
    <r>
      <rPr>
        <b/>
        <sz val="12"/>
        <color indexed="10"/>
        <rFont val="Arial"/>
        <family val="0"/>
      </rPr>
      <t>valued ≤ $100</t>
    </r>
  </si>
  <si>
    <t>Deriving property totals for 1798 and 1800</t>
  </si>
  <si>
    <t>Notes to Worksheet (1) Sheldon-Wolcott Summary of the 1798 Direct Tax in the United States</t>
  </si>
  <si>
    <t>Square feet</t>
  </si>
  <si>
    <t>Valuations as revised &amp; equalized by the Commissions</t>
  </si>
  <si>
    <t>Quantities of lands, lots, &amp;c subject to &amp; included in the valuation</t>
  </si>
  <si>
    <t>Adjusting for underassessment in the original returns: See Worksheet (4).</t>
  </si>
  <si>
    <t>Using --</t>
  </si>
  <si>
    <t>and South c</t>
  </si>
  <si>
    <t>"1774 k, net</t>
  </si>
  <si>
    <t>1800 (k, c)</t>
  </si>
  <si>
    <t>retained</t>
  </si>
  <si>
    <t>earnings</t>
  </si>
  <si>
    <t>Middle Atlantic with DE</t>
  </si>
  <si>
    <t>Middle Atlantic excl. DE</t>
  </si>
  <si>
    <r>
      <t>Source (1)</t>
    </r>
    <r>
      <rPr>
        <sz val="12"/>
        <rFont val="Arial"/>
        <family val="0"/>
      </rPr>
      <t xml:space="preserve"> = Microfilm of "Statements of the 1st Direct Tax of the United States from Valuations by the Commissions</t>
    </r>
  </si>
  <si>
    <t>Abstract of dwelling houses &amp;c above the value of 100 dollars owned &amp;c on the 1st day of October 1798</t>
  </si>
  <si>
    <t>Number of dwelling houses &amp; outhouses exempted from taxation</t>
  </si>
  <si>
    <t>from 17.0 percent to 17.0 percent.  The South's relative slave endowment thus rose slightly in importance.</t>
  </si>
  <si>
    <t>this should have helped raise their real estate values as well.</t>
  </si>
  <si>
    <t>Southern real estate needs to be assessed upward for 1798 and 1800.</t>
  </si>
  <si>
    <t>Second edition. New York: James Eastburn &amp; Co. Downloaded from Google Books, August 2010.</t>
  </si>
  <si>
    <t>above $10,000 to $15,000</t>
  </si>
  <si>
    <t>above $15,000 to $20,000</t>
  </si>
  <si>
    <t>Value $</t>
  </si>
  <si>
    <t>Virginia</t>
  </si>
  <si>
    <t>Kentucky</t>
  </si>
  <si>
    <t>Tennessee</t>
  </si>
  <si>
    <t>Total</t>
  </si>
  <si>
    <t>Difference</t>
  </si>
  <si>
    <t>under $100</t>
  </si>
  <si>
    <t>Ratio</t>
  </si>
  <si>
    <t>per house</t>
  </si>
  <si>
    <t>dwellings</t>
  </si>
  <si>
    <t>New Hampshire</t>
  </si>
  <si>
    <r>
      <t xml:space="preserve">Soltow, Lee. 1989. </t>
    </r>
    <r>
      <rPr>
        <i/>
        <sz val="12"/>
        <rFont val="Arial"/>
        <family val="0"/>
      </rPr>
      <t>Distribution of Wealth and Income in the United States in 1798</t>
    </r>
    <r>
      <rPr>
        <sz val="12"/>
        <rFont val="Arial"/>
        <family val="0"/>
      </rPr>
      <t xml:space="preserve">.  Pittsburgh: Pittsburgh University Press.  </t>
    </r>
  </si>
  <si>
    <t>Per over-$100</t>
  </si>
  <si>
    <t>Quantities of lands, lots, &amp;c</t>
  </si>
  <si>
    <t>Number of</t>
  </si>
  <si>
    <t>Exempted</t>
  </si>
  <si>
    <t>Ages 12-50</t>
  </si>
  <si>
    <t>assessed</t>
  </si>
  <si>
    <t>assume</t>
  </si>
  <si>
    <t>(3) To this must be added the part of their product that</t>
  </si>
  <si>
    <t>Connecticut</t>
  </si>
  <si>
    <t>New York</t>
  </si>
  <si>
    <t>New Jersey</t>
  </si>
  <si>
    <t>yet the 1798 returns only taxed those 16-50, we apply the age group</t>
  </si>
  <si>
    <t>ratio (10-up)/(16-50) to get the slave productive population.</t>
  </si>
  <si>
    <t>Productive</t>
  </si>
  <si>
    <t>[* For the interpolations of values of dwellings under $100 to the four southern states</t>
  </si>
  <si>
    <t>dwellings</t>
  </si>
  <si>
    <t>under $100</t>
  </si>
  <si>
    <t>over $100</t>
  </si>
  <si>
    <t>Big city</t>
  </si>
  <si>
    <t xml:space="preserve">(10-up) </t>
  </si>
  <si>
    <t>slaves</t>
  </si>
  <si>
    <t>Estimated</t>
  </si>
  <si>
    <t>Note that applying regional multpliers may misrepresent the unknown state-level under-assessment rates.</t>
  </si>
  <si>
    <t>"Valuations as revised</t>
  </si>
  <si>
    <t>by the Commissions"</t>
  </si>
  <si>
    <t>Sheldon-Wolcott</t>
  </si>
  <si>
    <t>Sources and notes</t>
  </si>
  <si>
    <t>dwellings' inc.</t>
  </si>
  <si>
    <t>realty +</t>
  </si>
  <si>
    <t>Property</t>
  </si>
  <si>
    <t>income</t>
  </si>
  <si>
    <t>MidAtl (w DE)</t>
  </si>
  <si>
    <t>South (no DE)</t>
  </si>
  <si>
    <t>All 13 col's</t>
  </si>
  <si>
    <t>not reported in the Sheldon-Wolcott tables, see Worksheet (3) in this Excel file.]</t>
  </si>
  <si>
    <t>Number of dwelling houses</t>
  </si>
  <si>
    <t>Value - dollars</t>
  </si>
  <si>
    <t>Value - cents</t>
  </si>
  <si>
    <t>by the Commissioners"</t>
  </si>
  <si>
    <t>3rd class</t>
  </si>
  <si>
    <t>No. of Acres</t>
  </si>
  <si>
    <r>
      <t xml:space="preserve">(B.) </t>
    </r>
    <r>
      <rPr>
        <b/>
        <u val="single"/>
        <sz val="12"/>
        <rFont val="Arial"/>
        <family val="0"/>
      </rPr>
      <t>Estimated gross property incomes</t>
    </r>
  </si>
  <si>
    <t>Sq. feet</t>
  </si>
  <si>
    <t>Decimal</t>
  </si>
  <si>
    <t>acres</t>
  </si>
  <si>
    <t>[Assume 1 acre = 160 perches = 43,560 square feet]</t>
  </si>
  <si>
    <t>slave earnings divided,the literature suggests that slaves retain</t>
  </si>
  <si>
    <t>Using</t>
  </si>
  <si>
    <t>South,</t>
  </si>
  <si>
    <t>Variant a</t>
  </si>
  <si>
    <r>
      <t>Robin L. Einhorn, AmericanTaxation, American Slavery</t>
    </r>
    <r>
      <rPr>
        <sz val="12"/>
        <rFont val="Arial"/>
        <family val="0"/>
      </rPr>
      <t xml:space="preserve"> (Chicago: University of Chicago Press, 2006, pp. 192-194).</t>
    </r>
  </si>
  <si>
    <t>The value of slave product</t>
  </si>
  <si>
    <t>7th class</t>
  </si>
  <si>
    <t>8th class</t>
  </si>
  <si>
    <t>9th class</t>
  </si>
  <si>
    <t>Valuations as revised &amp; equalized by the Commissioners</t>
  </si>
  <si>
    <t>Dollars</t>
  </si>
  <si>
    <t>Cents</t>
  </si>
  <si>
    <t>(A.3) SLAVES</t>
  </si>
  <si>
    <t>Perches</t>
  </si>
  <si>
    <t xml:space="preserve">Summary abstract of slaves </t>
  </si>
  <si>
    <t>Whole number of slaves of all ages</t>
  </si>
  <si>
    <t xml:space="preserve">Queens College, Flushing, New York on October 3, 1969.  </t>
  </si>
  <si>
    <t>[Sheldon-Wolcott returns]</t>
  </si>
  <si>
    <t>Number of houses of each class &amp;c</t>
  </si>
  <si>
    <t>per Pitkin</t>
  </si>
  <si>
    <t>and Soltow</t>
  </si>
  <si>
    <t>Value</t>
  </si>
  <si>
    <t>(NB: per slave of any age)</t>
  </si>
  <si>
    <t>Numbers of slaves exempted by the laws of the state or their disability</t>
  </si>
  <si>
    <t>1st class above 100 and not more than 500 dollars in value</t>
  </si>
  <si>
    <t>Number</t>
  </si>
  <si>
    <t>New England</t>
  </si>
  <si>
    <t>All 17 states</t>
  </si>
  <si>
    <t>Sum of classes does not match totals</t>
  </si>
  <si>
    <t>these shares (%) of their earnings:</t>
  </si>
  <si>
    <t>South</t>
  </si>
  <si>
    <t>North</t>
  </si>
  <si>
    <t>Slaves, from 1800</t>
  </si>
  <si>
    <t>Males 10+</t>
  </si>
  <si>
    <t>Females 10+</t>
  </si>
  <si>
    <t xml:space="preserve">The lead page on the microfim indicates a total of 88 pages, yet our copy showed only 74 pages of substance, ignoring blanks.  </t>
  </si>
  <si>
    <t>we use the 12-month slave hired rate for 207 slaves in Queen Anne's County,</t>
  </si>
  <si>
    <t>$</t>
  </si>
  <si>
    <t>¢</t>
  </si>
  <si>
    <t>dwelling</t>
  </si>
  <si>
    <t>all ages</t>
  </si>
  <si>
    <t>or disability</t>
  </si>
  <si>
    <t>taxation</t>
  </si>
  <si>
    <t>houses</t>
  </si>
  <si>
    <t>Value/acre</t>
  </si>
  <si>
    <t>Number</t>
  </si>
  <si>
    <t>Estimated</t>
  </si>
  <si>
    <t>rental</t>
  </si>
  <si>
    <t>per acre</t>
  </si>
  <si>
    <t>Rental $</t>
  </si>
  <si>
    <t>[Reminder: These are houses only, not LLBW or slaves]</t>
  </si>
  <si>
    <t>($)</t>
  </si>
  <si>
    <t>census, via Tom Weiss</t>
  </si>
  <si>
    <t>Tennessee</t>
  </si>
  <si>
    <t>Reported "Total Numbers"</t>
  </si>
  <si>
    <t>Reminder: No error ranges are given here, and of course the figures are not imagined to be accurate to the last digit.</t>
  </si>
  <si>
    <t>($)</t>
  </si>
  <si>
    <t>($1,000s)</t>
  </si>
  <si>
    <t>Massachusetts [incl. Maine]</t>
  </si>
  <si>
    <t>Apportion this among the Southern</t>
  </si>
  <si>
    <t>(5.A) Without any adjustment for underassessment</t>
  </si>
  <si>
    <t>Dwelling-Houses</t>
  </si>
  <si>
    <t>of total real estate, then total real estate income would have been</t>
  </si>
  <si>
    <t>[NB: No return of the number of owners of LLBW.]</t>
  </si>
  <si>
    <t>income</t>
  </si>
  <si>
    <t>Number</t>
  </si>
  <si>
    <t>Valuation</t>
  </si>
  <si>
    <t>real estate</t>
  </si>
  <si>
    <t>Middle Atlantic</t>
  </si>
  <si>
    <t>(but not slaves) by multiplying by 1 / 0.845 , following that Connecticut experiment conducted soon after 1798.</t>
  </si>
  <si>
    <t>(2) Estimating number of dwellings under $100</t>
  </si>
  <si>
    <t>No. of</t>
  </si>
  <si>
    <t>Pennsylvania</t>
  </si>
  <si>
    <t>Delaware</t>
  </si>
  <si>
    <t>Maryland</t>
  </si>
  <si>
    <t>6th class above 10,000 and not more than 15,000 dollars in value</t>
  </si>
  <si>
    <t>Virginia</t>
  </si>
  <si>
    <t>North Carolina</t>
  </si>
  <si>
    <t>Jones-based 1774</t>
  </si>
  <si>
    <t>Soltow ($)</t>
  </si>
  <si>
    <t>per Pitkin,</t>
  </si>
  <si>
    <t>Summary Abstract of [dwellings and] Lands, Lots, Buildings, &amp; Wharves [LLBW] owned and possessed or occupied on the 1st day of October 1798</t>
  </si>
  <si>
    <t>Divisions</t>
  </si>
  <si>
    <t>Assessment districts</t>
  </si>
  <si>
    <t>Towns composing each assessment district</t>
  </si>
  <si>
    <t>that slaves retained for their subsistence.</t>
  </si>
  <si>
    <t>Dwelling houses &amp;c exempted</t>
  </si>
  <si>
    <t>realty</t>
  </si>
  <si>
    <t>income</t>
  </si>
  <si>
    <t>Total 1798</t>
  </si>
  <si>
    <t>Total 1800</t>
  </si>
  <si>
    <t>and slaves</t>
  </si>
  <si>
    <t>Lindert &amp;</t>
  </si>
  <si>
    <t>(2) Timothy Pitkin's Summary of the 1798 U.S. Direct Tax</t>
  </si>
  <si>
    <t>South Atlantic's</t>
  </si>
  <si>
    <t>share of Eastern realty =</t>
  </si>
  <si>
    <t>New Jersey</t>
  </si>
  <si>
    <t>Pennsylvania</t>
  </si>
  <si>
    <t>Delaware</t>
  </si>
  <si>
    <t>Maryland</t>
  </si>
  <si>
    <t>There are two valuations for all of the dwellings. I used the higher valuation (page RI 4)</t>
  </si>
  <si>
    <t>[Note: Pitkin seems to have omitted the dwellings valued under $100.  See the Sheldon-Wolcott worksheet.]</t>
  </si>
  <si>
    <t>South, Variant b:</t>
  </si>
  <si>
    <t>South, Variant a:</t>
  </si>
  <si>
    <t>Variant b</t>
  </si>
  <si>
    <t xml:space="preserve">(C.1) For New England and the Middle Atlantic States (still including Delaware), we adjust all reported values of real estate </t>
  </si>
  <si>
    <t>"LLBW"</t>
  </si>
  <si>
    <t>income at</t>
  </si>
  <si>
    <t>6% return</t>
  </si>
  <si>
    <t>Slave-holders'</t>
  </si>
  <si>
    <r>
      <t>(B.1) DWELLINGS</t>
    </r>
    <r>
      <rPr>
        <sz val="12"/>
        <rFont val="Arial"/>
        <family val="0"/>
      </rPr>
      <t xml:space="preserve"> &amp; out- </t>
    </r>
  </si>
  <si>
    <t>States</t>
  </si>
  <si>
    <t>Realty</t>
  </si>
  <si>
    <t>income $</t>
  </si>
  <si>
    <t>the Southern</t>
  </si>
  <si>
    <t>income in</t>
  </si>
  <si>
    <t>Slaves, from</t>
  </si>
  <si>
    <t>Pitkin (1816)</t>
  </si>
  <si>
    <t>and Soltow</t>
  </si>
  <si>
    <t>2nd class above 500 and not more than 1000 dollars in value</t>
  </si>
  <si>
    <t>of States (1798) prepared by Daniel Sheldon, Esq. for Oliver Wolcott."  Obtained from</t>
  </si>
  <si>
    <t>Diana McCain of the library of the Connecticut Historical Society Museum (CHSM).</t>
  </si>
  <si>
    <r>
      <t>(C.2) For southern real estate</t>
    </r>
    <r>
      <rPr>
        <sz val="12"/>
        <color indexed="8"/>
        <rFont val="Arial"/>
        <family val="2"/>
      </rPr>
      <t xml:space="preserve"> </t>
    </r>
  </si>
  <si>
    <t>dollars of real estate in 1798, where Eastern = former 13 colonies = 15 states and DC.</t>
  </si>
  <si>
    <t>Kentucky + Tennessee</t>
  </si>
  <si>
    <t>Maryland, 1796-1804 (Fogel-Engerman ICPSR data) = $28.44</t>
  </si>
  <si>
    <r>
      <t>Source (2) = Pitkin</t>
    </r>
    <r>
      <rPr>
        <sz val="12"/>
        <rFont val="Arial"/>
        <family val="0"/>
      </rPr>
      <t xml:space="preserve">, Timothy. 1817. </t>
    </r>
    <r>
      <rPr>
        <i/>
        <sz val="12"/>
        <rFont val="Arial"/>
        <family val="0"/>
      </rPr>
      <t>A statistical view of the commerce of the United States of America:</t>
    </r>
  </si>
  <si>
    <t>Rural</t>
  </si>
  <si>
    <t xml:space="preserve">its connection with agriculture and manufactures: and an account of the public debt, </t>
  </si>
  <si>
    <t>*</t>
  </si>
  <si>
    <t>with extrapolation to four Southern states coverd by Pitkin but not by Sheldon-Wolcott</t>
  </si>
  <si>
    <t xml:space="preserve">previous to their independence. Accompanied with tables, illustrative of the principles and objects of the work. </t>
  </si>
  <si>
    <t>above $30,000</t>
  </si>
  <si>
    <t>dwellings</t>
  </si>
  <si>
    <t>No. of</t>
  </si>
  <si>
    <t>Value</t>
  </si>
  <si>
    <t>Value per</t>
  </si>
  <si>
    <t>exempted from valuation</t>
  </si>
  <si>
    <t>subject to the valuation</t>
  </si>
  <si>
    <t>Small city</t>
  </si>
  <si>
    <t>above $6000 to $10,000</t>
  </si>
  <si>
    <t>Pink shading = some difficulty in reading the writing on the microfilm here.</t>
  </si>
  <si>
    <t>Dwelling houses &amp;c valued &gt; $100</t>
  </si>
  <si>
    <t>Rental</t>
  </si>
  <si>
    <t>Rental ($)</t>
  </si>
  <si>
    <t>income per</t>
  </si>
  <si>
    <t xml:space="preserve">states, 1800 </t>
  </si>
  <si>
    <t>states as shown in the next column.</t>
  </si>
  <si>
    <t>slaves**</t>
  </si>
  <si>
    <t>Reported "Total Tax"</t>
  </si>
  <si>
    <t>Land</t>
  </si>
  <si>
    <t>If the total real estate income of $32,814,602 in New England plus the Middle Colonies were only 100 - 57.7 = 42.3%</t>
  </si>
  <si>
    <t xml:space="preserve">the ratio of property income per free household head, (South/North) did not change </t>
  </si>
  <si>
    <t>property income</t>
  </si>
  <si>
    <t>under-assessment</t>
  </si>
  <si>
    <t>England and the</t>
  </si>
  <si>
    <t>Adjusted</t>
  </si>
  <si>
    <t>income in New</t>
  </si>
  <si>
    <t>Realty plus slave</t>
  </si>
  <si>
    <t>at the regional level for the 1798 direct tax.  We use these to adjust the 1798 totals and their extapolation to 1800.</t>
  </si>
  <si>
    <t xml:space="preserve">(2) A way that doesn’t change our estimates: The tax return of 1798 reported 86,840 slaves of taxable age 12-50 and 323,905 slaves overall.  </t>
  </si>
  <si>
    <t xml:space="preserve">Dwelling </t>
  </si>
  <si>
    <t>houses</t>
  </si>
  <si>
    <t>(B.3) SLAVES (repeated from above)</t>
  </si>
  <si>
    <t>(B.2) LLBW</t>
  </si>
  <si>
    <t>Middle Atlantic excl. DE</t>
  </si>
  <si>
    <t>Over-$100</t>
  </si>
  <si>
    <t>dwellings'</t>
  </si>
  <si>
    <t>income</t>
  </si>
  <si>
    <t>at 6% return</t>
  </si>
  <si>
    <t>dwellings'</t>
  </si>
  <si>
    <t>income</t>
  </si>
  <si>
    <t>at 6% return</t>
  </si>
  <si>
    <t>Over-$100</t>
  </si>
  <si>
    <t>LLBW property</t>
  </si>
  <si>
    <t>Check for dwellings</t>
  </si>
  <si>
    <t>Massachusetts (incl. Maine)</t>
  </si>
  <si>
    <t>Discrepancy</t>
  </si>
  <si>
    <t>"Valuations as revised</t>
  </si>
  <si>
    <t>Tax, $ per $1,000 of</t>
  </si>
  <si>
    <t>Tax per slave</t>
  </si>
  <si>
    <t>States</t>
  </si>
  <si>
    <t>Dwellings &amp; outhouses subject to &amp; included in the valuation</t>
  </si>
  <si>
    <t>1st class</t>
  </si>
  <si>
    <t>2nd class</t>
  </si>
  <si>
    <t>Slave holders'</t>
  </si>
  <si>
    <t>gross</t>
  </si>
  <si>
    <t>income from</t>
  </si>
  <si>
    <t>net</t>
  </si>
  <si>
    <t>Gross,</t>
  </si>
  <si>
    <t>dwelling</t>
  </si>
  <si>
    <t>Notes</t>
  </si>
  <si>
    <t>Slave totals do not add up correctly</t>
  </si>
  <si>
    <t xml:space="preserve">By its very nature, bias in tax assessment is difficult to quantify.  We have, however, some valuable clues </t>
  </si>
  <si>
    <t>Sq. feet</t>
  </si>
  <si>
    <t>at 6% return</t>
  </si>
  <si>
    <t>MD, and TN were summed but not carried over.]</t>
  </si>
  <si>
    <t>As noted in the "own-labor income 1774" file, worksheet on</t>
  </si>
  <si>
    <t>[Repeat:] income from</t>
  </si>
  <si>
    <t xml:space="preserve"> real estate (gross = net)</t>
  </si>
  <si>
    <t>($1,000s)</t>
  </si>
  <si>
    <t>with South,</t>
  </si>
  <si>
    <t>Variant a</t>
  </si>
  <si>
    <t>Variant b</t>
  </si>
  <si>
    <t>Variant c</t>
  </si>
  <si>
    <t>(DC incl in MD)</t>
  </si>
  <si>
    <t>Free</t>
  </si>
  <si>
    <t>Slave</t>
  </si>
  <si>
    <t>labor</t>
  </si>
  <si>
    <t>retained</t>
  </si>
  <si>
    <t>incomes</t>
  </si>
  <si>
    <t>earnings</t>
  </si>
  <si>
    <t>(1000s)</t>
  </si>
  <si>
    <t>labor (including all slave earnings)</t>
  </si>
  <si>
    <t>Regional measured income, from</t>
  </si>
  <si>
    <t>plus real estate</t>
  </si>
  <si>
    <t>[Repeat]</t>
  </si>
  <si>
    <t>H22*($T$45/$H$35)</t>
  </si>
  <si>
    <t>H22*$V$35/$H$35</t>
  </si>
  <si>
    <t>Summary: Estimated total gross property income</t>
  </si>
  <si>
    <t>(5.B) Adjusted for real estate underassessment in the returns, year 1800</t>
  </si>
  <si>
    <t>Dwellings</t>
  </si>
  <si>
    <t>Slave-based incomes</t>
  </si>
  <si>
    <t>(1989, p. 255)</t>
  </si>
  <si>
    <t>Valuations</t>
  </si>
  <si>
    <r>
      <t>South, Variant a</t>
    </r>
    <r>
      <rPr>
        <sz val="12"/>
        <color indexed="8"/>
        <rFont val="Arial"/>
        <family val="2"/>
      </rPr>
      <t>:</t>
    </r>
  </si>
  <si>
    <t>The apportionment is also extended</t>
  </si>
  <si>
    <t>Slave totals do not add up correctly, Sum of classes does not match totals</t>
  </si>
  <si>
    <t>North Carolina</t>
  </si>
  <si>
    <t>South Carolina</t>
  </si>
  <si>
    <t>Georgia</t>
  </si>
  <si>
    <t>(4) Adjusting for under-assessment of realty and slave counts in the original returns</t>
  </si>
  <si>
    <t>(market val/</t>
  </si>
  <si>
    <t>asessed val)</t>
  </si>
  <si>
    <t>This implied that the owners' returns should be multiplied by these ratios --</t>
  </si>
  <si>
    <t>"sources &amp; notes"]</t>
  </si>
  <si>
    <t>Assessment</t>
  </si>
  <si>
    <t>All 15 eastern states &amp; DC</t>
  </si>
  <si>
    <t xml:space="preserve">to include KY and TN.  </t>
  </si>
  <si>
    <t>Implied</t>
  </si>
  <si>
    <t>markup,</t>
  </si>
  <si>
    <t>"middle evasion"</t>
  </si>
  <si>
    <t>LW used, regarding Southern underassessment --</t>
  </si>
  <si>
    <t>no extra evasion</t>
  </si>
  <si>
    <t>heavy evasion</t>
  </si>
  <si>
    <t>slaves 10-up</t>
  </si>
  <si>
    <t>income from</t>
  </si>
  <si>
    <t>instead of the 38.1 percent reported in the 1798 assessments.</t>
  </si>
  <si>
    <r>
      <t xml:space="preserve">As calculated on Worksheet (5), this raises these two regions' total real estate income to </t>
    </r>
    <r>
      <rPr>
        <u val="single"/>
        <sz val="12"/>
        <color indexed="8"/>
        <rFont val="Arial"/>
        <family val="0"/>
      </rPr>
      <t>$32,814,602</t>
    </r>
    <r>
      <rPr>
        <sz val="12"/>
        <color indexed="8"/>
        <rFont val="Arial"/>
        <family val="2"/>
      </rPr>
      <t>,</t>
    </r>
  </si>
  <si>
    <r>
      <t xml:space="preserve">total </t>
    </r>
    <r>
      <rPr>
        <u val="single"/>
        <sz val="12"/>
        <color indexed="10"/>
        <rFont val="Arial"/>
        <family val="0"/>
      </rPr>
      <t>gross</t>
    </r>
    <r>
      <rPr>
        <sz val="12"/>
        <color indexed="10"/>
        <rFont val="Arial"/>
        <family val="0"/>
      </rPr>
      <t xml:space="preserve"> property</t>
    </r>
  </si>
  <si>
    <r>
      <t xml:space="preserve">income to </t>
    </r>
    <r>
      <rPr>
        <u val="single"/>
        <sz val="12"/>
        <color indexed="10"/>
        <rFont val="Arial"/>
        <family val="0"/>
      </rPr>
      <t>gross</t>
    </r>
  </si>
  <si>
    <t>(1000s)</t>
  </si>
  <si>
    <t>South Atlantic without DE</t>
  </si>
  <si>
    <t>South Atlantic with DE</t>
  </si>
  <si>
    <t xml:space="preserve">The original microfilm on file with the CHSM was apparently assembled by E. James Ferguson of </t>
  </si>
  <si>
    <t>Val/house</t>
  </si>
  <si>
    <t>New Hampshire</t>
  </si>
  <si>
    <t>Rhode Island</t>
  </si>
  <si>
    <t>Connecticut</t>
  </si>
  <si>
    <t>Vermont</t>
  </si>
  <si>
    <t>predicted</t>
  </si>
  <si>
    <t>slaves of</t>
  </si>
  <si>
    <t>by state law</t>
  </si>
  <si>
    <t>subject to</t>
  </si>
  <si>
    <t xml:space="preserve">Dwelling </t>
  </si>
  <si>
    <t>Out-</t>
  </si>
  <si>
    <t>above $100 to $500</t>
  </si>
  <si>
    <t>above $500 to $1000</t>
  </si>
  <si>
    <t>above $1000 to $3000</t>
  </si>
  <si>
    <t>above $3000 to $6000</t>
  </si>
  <si>
    <t>For both types of realty =</t>
  </si>
  <si>
    <t>Slave taxes / total taxes =</t>
  </si>
  <si>
    <t>Ditto, South only without DE =</t>
  </si>
  <si>
    <t>between 1774 and 1798-or-1800.  This seems conservative in terms of the relative property income of the South.</t>
  </si>
  <si>
    <t xml:space="preserve">That's an extraordinary dependency rate. Yet the 1800 census, more plausibly, gives 513,905 slaves ages 10-up and 835,490 slaves overall.  </t>
  </si>
  <si>
    <t>Net,</t>
  </si>
  <si>
    <t>Gross</t>
  </si>
  <si>
    <t>now adjusted for</t>
  </si>
  <si>
    <t xml:space="preserve">from all property, </t>
  </si>
  <si>
    <r>
      <t xml:space="preserve">total </t>
    </r>
    <r>
      <rPr>
        <u val="single"/>
        <sz val="12"/>
        <color indexed="10"/>
        <rFont val="Arial"/>
        <family val="0"/>
      </rPr>
      <t>net</t>
    </r>
    <r>
      <rPr>
        <sz val="12"/>
        <color indexed="10"/>
        <rFont val="Arial"/>
        <family val="0"/>
      </rPr>
      <t xml:space="preserve"> property</t>
    </r>
  </si>
  <si>
    <t>Rhode Island</t>
  </si>
  <si>
    <t>Vermont</t>
  </si>
  <si>
    <t>South Carolina</t>
  </si>
  <si>
    <t>Kentucky</t>
  </si>
  <si>
    <t>vs. sum of the state totals</t>
  </si>
  <si>
    <r>
      <t>Implied regional totals</t>
    </r>
    <r>
      <rPr>
        <sz val="12"/>
        <color indexed="8"/>
        <rFont val="Arial"/>
        <family val="2"/>
      </rPr>
      <t>:</t>
    </r>
  </si>
  <si>
    <r>
      <t>(C.2.c) "</t>
    </r>
    <r>
      <rPr>
        <b/>
        <u val="single"/>
        <sz val="12"/>
        <color indexed="8"/>
        <rFont val="Arial"/>
        <family val="0"/>
      </rPr>
      <t>South, variant c", or the "no extra evasion" assumption</t>
    </r>
    <r>
      <rPr>
        <sz val="12"/>
        <color indexed="8"/>
        <rFont val="Arial"/>
        <family val="2"/>
      </rPr>
      <t xml:space="preserve">, ignores the evidence </t>
    </r>
  </si>
  <si>
    <r>
      <t>(C.2.b) "</t>
    </r>
    <r>
      <rPr>
        <b/>
        <u val="single"/>
        <sz val="12"/>
        <color indexed="8"/>
        <rFont val="Arial"/>
        <family val="0"/>
      </rPr>
      <t>South, variant b</t>
    </r>
    <r>
      <rPr>
        <u val="single"/>
        <sz val="12"/>
        <color indexed="8"/>
        <rFont val="Arial"/>
        <family val="0"/>
      </rPr>
      <t xml:space="preserve">" or South b" of the </t>
    </r>
    <r>
      <rPr>
        <b/>
        <u val="single"/>
        <sz val="12"/>
        <color indexed="8"/>
        <rFont val="Arial"/>
        <family val="0"/>
      </rPr>
      <t>"heavy Southern evasion"</t>
    </r>
    <r>
      <rPr>
        <u val="single"/>
        <sz val="12"/>
        <color indexed="8"/>
        <rFont val="Arial"/>
        <family val="0"/>
      </rPr>
      <t xml:space="preserve"> assumption --</t>
    </r>
  </si>
  <si>
    <r>
      <t xml:space="preserve">(C.2.d) </t>
    </r>
    <r>
      <rPr>
        <b/>
        <u val="single"/>
        <sz val="12"/>
        <color indexed="8"/>
        <rFont val="Arial"/>
        <family val="0"/>
      </rPr>
      <t>"South, variant d", of the "middle evasion" assumption</t>
    </r>
    <r>
      <rPr>
        <sz val="12"/>
        <color indexed="8"/>
        <rFont val="Arial"/>
        <family val="2"/>
      </rPr>
      <t>, assumes an extra Southern underassessment that is halfway between b and c.</t>
    </r>
  </si>
  <si>
    <t>A general view of the assessment and apportionment of the Direct Tax, laid by the acts of Congress, on July 9th and July 14th, 1798.</t>
  </si>
  <si>
    <t>Implied rates</t>
  </si>
  <si>
    <t>Slaves</t>
  </si>
  <si>
    <t>Amount of tax on</t>
  </si>
  <si>
    <t>land value</t>
  </si>
  <si>
    <t>House value</t>
  </si>
  <si>
    <t>Numbers</t>
  </si>
  <si>
    <t>Lands</t>
  </si>
  <si>
    <t>Dwelling-houses</t>
  </si>
  <si>
    <t>$/acre</t>
  </si>
  <si>
    <t>$/dwelling</t>
  </si>
  <si>
    <t>land</t>
  </si>
  <si>
    <t>(5.A) Without any adjustment for underassessment,continued</t>
  </si>
  <si>
    <t>Times 1.07=</t>
  </si>
  <si>
    <t>South, Variant c:</t>
  </si>
  <si>
    <r>
      <t xml:space="preserve">income to </t>
    </r>
    <r>
      <rPr>
        <u val="single"/>
        <sz val="12"/>
        <color indexed="10"/>
        <rFont val="Arial"/>
        <family val="0"/>
      </rPr>
      <t>net</t>
    </r>
  </si>
  <si>
    <r>
      <t xml:space="preserve">(B.4) </t>
    </r>
    <r>
      <rPr>
        <b/>
        <u val="single"/>
        <sz val="12"/>
        <rFont val="Arial"/>
        <family val="0"/>
      </rPr>
      <t>Estimated gross property incomes, continued</t>
    </r>
  </si>
  <si>
    <t>per  assessed</t>
  </si>
  <si>
    <t>of greater Southern underassessment, and assumes the same 15.5% underassessment for all states.</t>
  </si>
  <si>
    <t>Realty, all states (gross = net here)</t>
  </si>
  <si>
    <t xml:space="preserve">Alternatively, one might assume that this region's share of real estate wealth and income was 57.7%, as it was back in 1774, </t>
  </si>
  <si>
    <t>Using Worksheet (4)'s underassessment</t>
  </si>
  <si>
    <t>adjustment (C.2) yields a total Southern</t>
  </si>
  <si>
    <t xml:space="preserve">Atlantic real estate of </t>
  </si>
  <si>
    <t>revenues, and expenditures of the United States. With a brief review of the trade, agriculture, and manufactures</t>
  </si>
  <si>
    <t>The South</t>
  </si>
  <si>
    <r>
      <t>1800</t>
    </r>
    <r>
      <rPr>
        <sz val="12"/>
        <color indexed="8"/>
        <rFont val="Arial"/>
        <family val="2"/>
      </rPr>
      <t xml:space="preserve"> (=1798 value * 1.07)</t>
    </r>
  </si>
  <si>
    <t>6 sept '13</t>
  </si>
  <si>
    <t>re-format to</t>
  </si>
  <si>
    <t>(no Maine)</t>
  </si>
  <si>
    <t>Maine</t>
  </si>
  <si>
    <t>Middle Atlantic w DC, DE, MD</t>
  </si>
  <si>
    <t>District of Columbia</t>
  </si>
  <si>
    <t>(incl DC)</t>
  </si>
  <si>
    <t>(incl DC, WV)</t>
  </si>
  <si>
    <t>(not sep.)</t>
  </si>
  <si>
    <r>
      <t xml:space="preserve">South </t>
    </r>
    <r>
      <rPr>
        <b/>
        <sz val="10"/>
        <color indexed="10"/>
        <rFont val="Arial"/>
        <family val="0"/>
      </rPr>
      <t>Atlantic</t>
    </r>
    <r>
      <rPr>
        <b/>
        <sz val="10"/>
        <rFont val="Arial"/>
        <family val="0"/>
      </rPr>
      <t xml:space="preserve"> - DE (</t>
    </r>
    <r>
      <rPr>
        <b/>
        <sz val="10"/>
        <color indexed="10"/>
        <rFont val="Arial"/>
        <family val="0"/>
      </rPr>
      <t>for comparison with 1774</t>
    </r>
    <r>
      <rPr>
        <b/>
        <sz val="10"/>
        <rFont val="Arial"/>
        <family val="0"/>
      </rPr>
      <t>)</t>
    </r>
  </si>
  <si>
    <r>
      <t xml:space="preserve">South </t>
    </r>
    <r>
      <rPr>
        <b/>
        <sz val="10"/>
        <color indexed="10"/>
        <rFont val="Arial"/>
        <family val="0"/>
      </rPr>
      <t xml:space="preserve">Atlantic </t>
    </r>
    <r>
      <rPr>
        <b/>
        <sz val="10"/>
        <rFont val="Arial"/>
        <family val="0"/>
      </rPr>
      <t>- DE - DC - MD</t>
    </r>
  </si>
  <si>
    <r>
      <t>South</t>
    </r>
    <r>
      <rPr>
        <b/>
        <sz val="10"/>
        <color indexed="10"/>
        <rFont val="Arial"/>
        <family val="0"/>
      </rPr>
      <t xml:space="preserve"> Atlantic (with DE)</t>
    </r>
  </si>
  <si>
    <t>Mississippi</t>
  </si>
  <si>
    <t>(not in property returns)</t>
  </si>
  <si>
    <t>Total (13 original + DC + ME +VT + West)</t>
  </si>
  <si>
    <t>West (KY + MS +TN)</t>
  </si>
  <si>
    <t>Total (13 original, incl DC + ME + VT)</t>
  </si>
  <si>
    <t>"Orig 13"</t>
  </si>
  <si>
    <t>All US in 1800 (minus Mississippi property)</t>
  </si>
  <si>
    <t>averages BC &amp; BD</t>
  </si>
  <si>
    <t>"heavy evasion"</t>
  </si>
  <si>
    <t>"Heavy evasion"</t>
  </si>
  <si>
    <t>"no extra evasion"</t>
  </si>
  <si>
    <t>"middle evasion"</t>
  </si>
  <si>
    <t>"heavy</t>
  </si>
  <si>
    <t>Southern</t>
  </si>
  <si>
    <t>evasion"</t>
  </si>
  <si>
    <t>"no extra</t>
  </si>
  <si>
    <t>own-labor file;</t>
  </si>
  <si>
    <t>more re-formatting</t>
  </si>
  <si>
    <t>match rows with</t>
  </si>
  <si>
    <t>To compare with Piketty-Zucman (21may2014)</t>
  </si>
  <si>
    <t>Slaves</t>
  </si>
  <si>
    <t>Other</t>
  </si>
  <si>
    <t>Uses Col. AF</t>
  </si>
  <si>
    <t>Uses Col. AG</t>
  </si>
  <si>
    <t>Uses AA+AC</t>
  </si>
  <si>
    <t>Uses AB+AC</t>
  </si>
  <si>
    <t>AA &amp; AB)</t>
  </si>
  <si>
    <t>(Average</t>
  </si>
  <si>
    <t>(Repeat</t>
  </si>
  <si>
    <t>AC)</t>
  </si>
  <si>
    <t>BE)</t>
  </si>
  <si>
    <t>(current $)</t>
  </si>
  <si>
    <t>Gross property incomes for 1800, again</t>
  </si>
  <si>
    <t>(5.D) Backing out total private wealth and non-human private wealth, 1800</t>
  </si>
  <si>
    <t>Total (resid)</t>
  </si>
  <si>
    <t>Gross rates of return, 1774 (%)</t>
  </si>
  <si>
    <t>Implied wealth values for 1800</t>
  </si>
  <si>
    <t>(current $ millions)</t>
  </si>
  <si>
    <t>USA (13 original + DC + ME +VT + West)</t>
  </si>
  <si>
    <t>USA = All 17 states, again</t>
  </si>
  <si>
    <t>USA's GNI =</t>
  </si>
  <si>
    <t>LW 1800 private wealth, with slaveholding</t>
  </si>
  <si>
    <t>LW 1800 private wealth, no slaveholding</t>
  </si>
  <si>
    <t>With slaveholding</t>
  </si>
  <si>
    <t>No slaveholding</t>
  </si>
  <si>
    <t>Ratio, private wealth / GNI for 1800 (%):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</si>
</sst>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_(* #,##0.000_);_(* \(#,##0.000\);_(* &quot;-&quot;???_);_(@_)"/>
    <numFmt numFmtId="173" formatCode="0,000"/>
    <numFmt numFmtId="174" formatCode="_(* #,##0.0_);_(* \(#,##0.0\);_(* &quot;-&quot;?_);_(@_)"/>
    <numFmt numFmtId="175" formatCode="0.00000000"/>
    <numFmt numFmtId="176" formatCode="\(\1#,000"/>
    <numFmt numFmtId="177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Verdana"/>
      <family val="2"/>
    </font>
    <font>
      <sz val="12"/>
      <name val="Arial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b/>
      <sz val="12"/>
      <color indexed="10"/>
      <name val="Arial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name val="Verdana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u val="single"/>
      <sz val="12"/>
      <name val="Arial"/>
      <family val="0"/>
    </font>
    <font>
      <u val="single"/>
      <sz val="10"/>
      <name val="Arial"/>
      <family val="0"/>
    </font>
    <font>
      <sz val="12"/>
      <color indexed="8"/>
      <name val="Arial"/>
      <family val="2"/>
    </font>
    <font>
      <b/>
      <i/>
      <sz val="12"/>
      <color indexed="10"/>
      <name val="Arial"/>
      <family val="0"/>
    </font>
    <font>
      <u val="single"/>
      <sz val="12"/>
      <color indexed="8"/>
      <name val="Arial"/>
      <family val="0"/>
    </font>
    <font>
      <i/>
      <sz val="10"/>
      <color indexed="10"/>
      <name val="Arial"/>
      <family val="0"/>
    </font>
    <font>
      <b/>
      <sz val="14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name val="Times New Roman"/>
      <family val="0"/>
    </font>
    <font>
      <u val="single"/>
      <sz val="12"/>
      <color indexed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10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i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39" fillId="23" borderId="0" applyNumberFormat="0" applyBorder="0" applyAlignment="0" applyProtection="0"/>
    <xf numFmtId="0" fontId="54" fillId="24" borderId="1" applyNumberFormat="0" applyAlignment="0" applyProtection="0"/>
    <xf numFmtId="0" fontId="5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6" applyNumberFormat="0" applyFill="0" applyAlignment="0" applyProtection="0"/>
    <xf numFmtId="0" fontId="60" fillId="28" borderId="0" applyNumberFormat="0" applyBorder="0" applyAlignment="0" applyProtection="0"/>
    <xf numFmtId="0" fontId="3" fillId="0" borderId="0">
      <alignment/>
      <protection/>
    </xf>
    <xf numFmtId="0" fontId="1" fillId="29" borderId="7" applyNumberFormat="0" applyFont="0" applyAlignment="0" applyProtection="0"/>
    <xf numFmtId="0" fontId="61" fillId="24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70" fontId="10" fillId="0" borderId="0" xfId="42" applyNumberFormat="1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0" xfId="42" applyFont="1" applyBorder="1" applyAlignment="1">
      <alignment/>
    </xf>
    <xf numFmtId="43" fontId="8" fillId="0" borderId="11" xfId="42" applyFont="1" applyBorder="1" applyAlignment="1">
      <alignment/>
    </xf>
    <xf numFmtId="170" fontId="11" fillId="0" borderId="0" xfId="42" applyNumberFormat="1" applyFont="1" applyAlignment="1">
      <alignment/>
    </xf>
    <xf numFmtId="170" fontId="11" fillId="0" borderId="11" xfId="42" applyNumberFormat="1" applyFont="1" applyBorder="1" applyAlignment="1">
      <alignment/>
    </xf>
    <xf numFmtId="170" fontId="12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17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57" applyFont="1">
      <alignment/>
      <protection/>
    </xf>
    <xf numFmtId="170" fontId="8" fillId="0" borderId="10" xfId="42" applyNumberFormat="1" applyFont="1" applyBorder="1" applyAlignment="1">
      <alignment/>
    </xf>
    <xf numFmtId="170" fontId="8" fillId="0" borderId="11" xfId="42" applyNumberFormat="1" applyFont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170" fontId="12" fillId="0" borderId="0" xfId="42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70" fontId="8" fillId="0" borderId="0" xfId="42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15" xfId="0" applyFont="1" applyFill="1" applyBorder="1" applyAlignment="1">
      <alignment horizontal="right"/>
    </xf>
    <xf numFmtId="0" fontId="4" fillId="24" borderId="16" xfId="0" applyFont="1" applyFill="1" applyBorder="1" applyAlignment="1">
      <alignment horizontal="right"/>
    </xf>
    <xf numFmtId="170" fontId="12" fillId="24" borderId="0" xfId="42" applyNumberFormat="1" applyFont="1" applyFill="1" applyAlignment="1">
      <alignment/>
    </xf>
    <xf numFmtId="43" fontId="8" fillId="24" borderId="10" xfId="42" applyFont="1" applyFill="1" applyBorder="1" applyAlignment="1">
      <alignment/>
    </xf>
    <xf numFmtId="43" fontId="8" fillId="24" borderId="11" xfId="42" applyFont="1" applyFill="1" applyBorder="1" applyAlignment="1">
      <alignment/>
    </xf>
    <xf numFmtId="0" fontId="10" fillId="24" borderId="0" xfId="0" applyFont="1" applyFill="1" applyBorder="1" applyAlignment="1">
      <alignment/>
    </xf>
    <xf numFmtId="170" fontId="8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70" fontId="11" fillId="0" borderId="0" xfId="42" applyNumberFormat="1" applyFont="1" applyBorder="1" applyAlignment="1">
      <alignment/>
    </xf>
    <xf numFmtId="0" fontId="4" fillId="24" borderId="15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1" fillId="30" borderId="0" xfId="0" applyFont="1" applyFill="1" applyAlignment="1">
      <alignment horizontal="right"/>
    </xf>
    <xf numFmtId="0" fontId="21" fillId="30" borderId="15" xfId="0" applyFont="1" applyFill="1" applyBorder="1" applyAlignment="1">
      <alignment horizontal="right"/>
    </xf>
    <xf numFmtId="170" fontId="11" fillId="3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9" fillId="30" borderId="0" xfId="0" applyFont="1" applyFill="1" applyAlignment="1">
      <alignment horizontal="right"/>
    </xf>
    <xf numFmtId="0" fontId="4" fillId="30" borderId="0" xfId="0" applyFont="1" applyFill="1" applyAlignment="1">
      <alignment horizontal="right"/>
    </xf>
    <xf numFmtId="170" fontId="8" fillId="30" borderId="0" xfId="42" applyNumberFormat="1" applyFont="1" applyFill="1" applyBorder="1" applyAlignment="1">
      <alignment/>
    </xf>
    <xf numFmtId="0" fontId="4" fillId="30" borderId="15" xfId="0" applyFont="1" applyFill="1" applyBorder="1" applyAlignment="1">
      <alignment horizontal="right"/>
    </xf>
    <xf numFmtId="170" fontId="8" fillId="3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1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3" fontId="24" fillId="0" borderId="11" xfId="42" applyFont="1" applyBorder="1" applyAlignment="1">
      <alignment/>
    </xf>
    <xf numFmtId="0" fontId="25" fillId="0" borderId="0" xfId="0" applyFont="1" applyAlignment="1">
      <alignment/>
    </xf>
    <xf numFmtId="1" fontId="21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70" fontId="24" fillId="0" borderId="0" xfId="42" applyNumberFormat="1" applyFont="1" applyAlignment="1">
      <alignment/>
    </xf>
    <xf numFmtId="170" fontId="24" fillId="0" borderId="0" xfId="0" applyNumberFormat="1" applyFont="1" applyBorder="1" applyAlignment="1">
      <alignment/>
    </xf>
    <xf numFmtId="170" fontId="24" fillId="30" borderId="0" xfId="0" applyNumberFormat="1" applyFont="1" applyFill="1" applyBorder="1" applyAlignment="1">
      <alignment/>
    </xf>
    <xf numFmtId="43" fontId="24" fillId="0" borderId="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NumberFormat="1" applyFont="1" applyAlignment="1">
      <alignment/>
    </xf>
    <xf numFmtId="0" fontId="26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70" fontId="12" fillId="0" borderId="1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71" fontId="8" fillId="0" borderId="0" xfId="0" applyNumberFormat="1" applyFont="1" applyAlignment="1" applyProtection="1">
      <alignment/>
      <protection locked="0"/>
    </xf>
    <xf numFmtId="169" fontId="12" fillId="0" borderId="11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69" fontId="12" fillId="0" borderId="0" xfId="42" applyNumberFormat="1" applyFont="1" applyFill="1" applyBorder="1" applyAlignment="1">
      <alignment/>
    </xf>
    <xf numFmtId="170" fontId="12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1" fillId="24" borderId="0" xfId="0" applyFont="1" applyFill="1" applyAlignment="1">
      <alignment/>
    </xf>
    <xf numFmtId="0" fontId="4" fillId="30" borderId="0" xfId="0" applyFont="1" applyFill="1" applyBorder="1" applyAlignment="1">
      <alignment horizontal="right"/>
    </xf>
    <xf numFmtId="1" fontId="21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173" fontId="21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73" fontId="21" fillId="0" borderId="2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30" fillId="30" borderId="0" xfId="0" applyFont="1" applyFill="1" applyAlignment="1">
      <alignment/>
    </xf>
    <xf numFmtId="169" fontId="10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166" fontId="21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0" fontId="25" fillId="30" borderId="0" xfId="0" applyFont="1" applyFill="1" applyAlignment="1">
      <alignment/>
    </xf>
    <xf numFmtId="173" fontId="30" fillId="30" borderId="0" xfId="0" applyNumberFormat="1" applyFont="1" applyFill="1" applyAlignment="1">
      <alignment/>
    </xf>
    <xf numFmtId="173" fontId="23" fillId="0" borderId="0" xfId="0" applyNumberFormat="1" applyFont="1" applyAlignment="1">
      <alignment/>
    </xf>
    <xf numFmtId="173" fontId="21" fillId="0" borderId="0" xfId="0" applyNumberFormat="1" applyFont="1" applyAlignment="1">
      <alignment horizontal="right"/>
    </xf>
    <xf numFmtId="173" fontId="29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30" borderId="0" xfId="0" applyFont="1" applyFill="1" applyAlignment="1">
      <alignment horizontal="center"/>
    </xf>
    <xf numFmtId="1" fontId="29" fillId="0" borderId="0" xfId="0" applyNumberFormat="1" applyFont="1" applyAlignment="1">
      <alignment horizontal="center"/>
    </xf>
    <xf numFmtId="17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1" fillId="0" borderId="13" xfId="0" applyNumberFormat="1" applyFont="1" applyBorder="1" applyAlignment="1">
      <alignment horizontal="right"/>
    </xf>
    <xf numFmtId="1" fontId="21" fillId="0" borderId="14" xfId="0" applyNumberFormat="1" applyFont="1" applyBorder="1" applyAlignment="1">
      <alignment horizontal="right"/>
    </xf>
    <xf numFmtId="1" fontId="21" fillId="0" borderId="12" xfId="0" applyNumberFormat="1" applyFont="1" applyBorder="1" applyAlignment="1">
      <alignment horizontal="left"/>
    </xf>
    <xf numFmtId="173" fontId="23" fillId="0" borderId="0" xfId="0" applyNumberFormat="1" applyFont="1" applyAlignment="1">
      <alignment horizontal="right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165" fontId="15" fillId="0" borderId="0" xfId="0" applyNumberFormat="1" applyFont="1" applyAlignment="1">
      <alignment horizontal="center"/>
    </xf>
    <xf numFmtId="1" fontId="21" fillId="0" borderId="13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5" xfId="0" applyFont="1" applyBorder="1" applyAlignment="1">
      <alignment/>
    </xf>
    <xf numFmtId="0" fontId="21" fillId="30" borderId="0" xfId="0" applyFont="1" applyFill="1" applyAlignment="1">
      <alignment/>
    </xf>
    <xf numFmtId="173" fontId="21" fillId="3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25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73" fontId="30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31" borderId="0" xfId="0" applyFont="1" applyFill="1" applyAlignment="1">
      <alignment/>
    </xf>
    <xf numFmtId="0" fontId="21" fillId="4" borderId="0" xfId="0" applyFont="1" applyFill="1" applyAlignment="1">
      <alignment/>
    </xf>
    <xf numFmtId="1" fontId="25" fillId="32" borderId="12" xfId="0" applyNumberFormat="1" applyFont="1" applyFill="1" applyBorder="1" applyAlignment="1">
      <alignment/>
    </xf>
    <xf numFmtId="1" fontId="21" fillId="32" borderId="13" xfId="0" applyNumberFormat="1" applyFont="1" applyFill="1" applyBorder="1" applyAlignment="1">
      <alignment/>
    </xf>
    <xf numFmtId="0" fontId="21" fillId="32" borderId="14" xfId="0" applyFont="1" applyFill="1" applyBorder="1" applyAlignment="1">
      <alignment/>
    </xf>
    <xf numFmtId="0" fontId="25" fillId="10" borderId="12" xfId="0" applyFont="1" applyFill="1" applyBorder="1" applyAlignment="1">
      <alignment/>
    </xf>
    <xf numFmtId="0" fontId="21" fillId="10" borderId="13" xfId="0" applyFont="1" applyFill="1" applyBorder="1" applyAlignment="1">
      <alignment/>
    </xf>
    <xf numFmtId="0" fontId="21" fillId="10" borderId="14" xfId="0" applyFont="1" applyFill="1" applyBorder="1" applyAlignment="1">
      <alignment/>
    </xf>
    <xf numFmtId="1" fontId="21" fillId="10" borderId="13" xfId="0" applyNumberFormat="1" applyFont="1" applyFill="1" applyBorder="1" applyAlignment="1">
      <alignment horizontal="right"/>
    </xf>
    <xf numFmtId="1" fontId="21" fillId="0" borderId="0" xfId="0" applyNumberFormat="1" applyFont="1" applyAlignment="1">
      <alignment horizontal="left"/>
    </xf>
    <xf numFmtId="17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10" borderId="0" xfId="0" applyFont="1" applyFill="1" applyAlignment="1">
      <alignment/>
    </xf>
    <xf numFmtId="1" fontId="21" fillId="10" borderId="0" xfId="0" applyNumberFormat="1" applyFont="1" applyFill="1" applyAlignment="1">
      <alignment/>
    </xf>
    <xf numFmtId="1" fontId="23" fillId="10" borderId="0" xfId="0" applyNumberFormat="1" applyFont="1" applyFill="1" applyAlignment="1">
      <alignment/>
    </xf>
    <xf numFmtId="176" fontId="21" fillId="0" borderId="0" xfId="0" applyNumberFormat="1" applyFont="1" applyAlignment="1">
      <alignment horizontal="right"/>
    </xf>
    <xf numFmtId="1" fontId="25" fillId="32" borderId="13" xfId="0" applyNumberFormat="1" applyFont="1" applyFill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Alignment="1">
      <alignment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73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71" fontId="21" fillId="0" borderId="0" xfId="0" applyNumberFormat="1" applyFont="1" applyAlignment="1">
      <alignment horizontal="right"/>
    </xf>
    <xf numFmtId="171" fontId="21" fillId="10" borderId="13" xfId="0" applyNumberFormat="1" applyFont="1" applyFill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" fontId="21" fillId="0" borderId="21" xfId="0" applyNumberFormat="1" applyFon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22" xfId="0" applyNumberFormat="1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73" fontId="21" fillId="0" borderId="0" xfId="0" applyNumberFormat="1" applyFont="1" applyAlignment="1" quotePrefix="1">
      <alignment horizontal="right"/>
    </xf>
    <xf numFmtId="173" fontId="21" fillId="0" borderId="0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171" fontId="23" fillId="0" borderId="0" xfId="0" applyNumberFormat="1" applyFont="1" applyAlignment="1">
      <alignment horizontal="right"/>
    </xf>
    <xf numFmtId="0" fontId="26" fillId="4" borderId="0" xfId="0" applyFont="1" applyFill="1" applyAlignment="1">
      <alignment horizontal="left"/>
    </xf>
    <xf numFmtId="0" fontId="26" fillId="31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173" fontId="21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64" fillId="0" borderId="0" xfId="0" applyFont="1" applyAlignment="1">
      <alignment/>
    </xf>
    <xf numFmtId="0" fontId="21" fillId="0" borderId="0" xfId="0" applyFont="1" applyFill="1" applyAlignment="1">
      <alignment horizontal="right"/>
    </xf>
    <xf numFmtId="15" fontId="21" fillId="0" borderId="0" xfId="0" applyNumberFormat="1" applyFont="1" applyAlignment="1">
      <alignment/>
    </xf>
    <xf numFmtId="0" fontId="25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177" fontId="21" fillId="0" borderId="0" xfId="0" applyNumberFormat="1" applyFont="1" applyAlignment="1">
      <alignment/>
    </xf>
    <xf numFmtId="177" fontId="21" fillId="0" borderId="20" xfId="0" applyNumberFormat="1" applyFont="1" applyBorder="1" applyAlignment="1">
      <alignment/>
    </xf>
    <xf numFmtId="0" fontId="29" fillId="0" borderId="0" xfId="0" applyFont="1" applyAlignment="1">
      <alignment/>
    </xf>
    <xf numFmtId="171" fontId="21" fillId="0" borderId="20" xfId="0" applyNumberFormat="1" applyFont="1" applyBorder="1" applyAlignment="1">
      <alignment/>
    </xf>
    <xf numFmtId="0" fontId="21" fillId="35" borderId="0" xfId="0" applyFont="1" applyFill="1" applyAlignment="1">
      <alignment/>
    </xf>
    <xf numFmtId="1" fontId="21" fillId="35" borderId="0" xfId="0" applyNumberFormat="1" applyFont="1" applyFill="1" applyAlignment="1">
      <alignment/>
    </xf>
    <xf numFmtId="3" fontId="21" fillId="35" borderId="0" xfId="0" applyNumberFormat="1" applyFont="1" applyFill="1" applyAlignment="1">
      <alignment/>
    </xf>
    <xf numFmtId="173" fontId="21" fillId="35" borderId="0" xfId="0" applyNumberFormat="1" applyFont="1" applyFill="1" applyAlignment="1">
      <alignment/>
    </xf>
    <xf numFmtId="166" fontId="21" fillId="35" borderId="0" xfId="0" applyNumberFormat="1" applyFont="1" applyFill="1" applyAlignment="1">
      <alignment/>
    </xf>
    <xf numFmtId="173" fontId="21" fillId="35" borderId="0" xfId="0" applyNumberFormat="1" applyFont="1" applyFill="1" applyAlignment="1">
      <alignment/>
    </xf>
    <xf numFmtId="2" fontId="21" fillId="35" borderId="0" xfId="0" applyNumberFormat="1" applyFont="1" applyFill="1" applyAlignment="1">
      <alignment horizontal="center"/>
    </xf>
    <xf numFmtId="173" fontId="21" fillId="35" borderId="0" xfId="0" applyNumberFormat="1" applyFont="1" applyFill="1" applyAlignment="1">
      <alignment horizontal="center"/>
    </xf>
    <xf numFmtId="173" fontId="29" fillId="35" borderId="0" xfId="0" applyNumberFormat="1" applyFont="1" applyFill="1" applyAlignment="1">
      <alignment/>
    </xf>
    <xf numFmtId="165" fontId="15" fillId="35" borderId="0" xfId="0" applyNumberFormat="1" applyFont="1" applyFill="1" applyAlignment="1">
      <alignment horizontal="center"/>
    </xf>
    <xf numFmtId="173" fontId="21" fillId="35" borderId="0" xfId="0" applyNumberFormat="1" applyFont="1" applyFill="1" applyAlignment="1">
      <alignment horizontal="right"/>
    </xf>
    <xf numFmtId="171" fontId="21" fillId="35" borderId="0" xfId="0" applyNumberFormat="1" applyFont="1" applyFill="1" applyAlignment="1">
      <alignment horizontal="right"/>
    </xf>
    <xf numFmtId="173" fontId="21" fillId="35" borderId="0" xfId="0" applyNumberFormat="1" applyFont="1" applyFill="1" applyAlignment="1" quotePrefix="1">
      <alignment horizontal="right"/>
    </xf>
    <xf numFmtId="171" fontId="21" fillId="35" borderId="0" xfId="0" applyNumberFormat="1" applyFont="1" applyFill="1" applyAlignment="1">
      <alignment/>
    </xf>
    <xf numFmtId="177" fontId="21" fillId="35" borderId="0" xfId="0" applyNumberFormat="1" applyFont="1" applyFill="1" applyAlignment="1">
      <alignment/>
    </xf>
    <xf numFmtId="0" fontId="64" fillId="35" borderId="0" xfId="0" applyFont="1" applyFill="1" applyAlignment="1">
      <alignment/>
    </xf>
    <xf numFmtId="177" fontId="21" fillId="35" borderId="20" xfId="0" applyNumberFormat="1" applyFont="1" applyFill="1" applyBorder="1" applyAlignment="1">
      <alignment/>
    </xf>
    <xf numFmtId="0" fontId="29" fillId="35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0">
      <selection activeCell="G24" sqref="G24"/>
    </sheetView>
  </sheetViews>
  <sheetFormatPr defaultColWidth="11.421875" defaultRowHeight="15"/>
  <cols>
    <col min="1" max="11" width="10.8515625" style="90" customWidth="1"/>
    <col min="12" max="12" width="12.28125" style="90" customWidth="1"/>
    <col min="13" max="13" width="4.8515625" style="90" customWidth="1"/>
    <col min="14" max="17" width="10.8515625" style="90" customWidth="1"/>
    <col min="18" max="19" width="13.00390625" style="90" customWidth="1"/>
    <col min="20" max="20" width="4.8515625" style="90" customWidth="1"/>
    <col min="21" max="16384" width="10.8515625" style="90" customWidth="1"/>
  </cols>
  <sheetData>
    <row r="1" ht="16.5">
      <c r="B1" s="34" t="s">
        <v>163</v>
      </c>
    </row>
    <row r="2" ht="16.5">
      <c r="B2" s="34" t="s">
        <v>224</v>
      </c>
    </row>
    <row r="3" ht="16.5">
      <c r="B3" s="146" t="s">
        <v>46</v>
      </c>
    </row>
    <row r="4" ht="16.5">
      <c r="B4" s="146" t="s">
        <v>299</v>
      </c>
    </row>
    <row r="5" spans="1:3" ht="15">
      <c r="A5" s="15"/>
      <c r="B5" s="15"/>
      <c r="C5" s="15"/>
    </row>
    <row r="6" spans="1:20" ht="15">
      <c r="A6" s="50" t="s">
        <v>177</v>
      </c>
      <c r="B6" s="15"/>
      <c r="C6" s="15"/>
      <c r="M6" s="135"/>
      <c r="N6" s="135"/>
      <c r="O6" s="135"/>
      <c r="P6" s="135"/>
      <c r="Q6" s="135"/>
      <c r="R6" s="135"/>
      <c r="S6" s="135"/>
      <c r="T6" s="135"/>
    </row>
    <row r="7" spans="1:20" ht="15">
      <c r="A7" s="15" t="s">
        <v>364</v>
      </c>
      <c r="B7" s="15"/>
      <c r="C7" s="15"/>
      <c r="M7" s="135"/>
      <c r="N7" s="113" t="s">
        <v>249</v>
      </c>
      <c r="T7" s="135"/>
    </row>
    <row r="8" spans="1:20" ht="15">
      <c r="A8" s="15" t="s">
        <v>365</v>
      </c>
      <c r="B8" s="15"/>
      <c r="C8" s="15"/>
      <c r="M8" s="135"/>
      <c r="N8" s="90" t="s">
        <v>127</v>
      </c>
      <c r="T8" s="135"/>
    </row>
    <row r="9" spans="1:20" ht="15">
      <c r="A9" s="15" t="s">
        <v>498</v>
      </c>
      <c r="B9" s="15"/>
      <c r="C9" s="15"/>
      <c r="M9" s="135"/>
      <c r="T9" s="135"/>
    </row>
    <row r="10" spans="1:20" ht="15">
      <c r="A10" s="15" t="s">
        <v>260</v>
      </c>
      <c r="B10" s="15"/>
      <c r="C10" s="15"/>
      <c r="M10" s="135"/>
      <c r="N10" s="90" t="s">
        <v>27</v>
      </c>
      <c r="T10" s="135"/>
    </row>
    <row r="11" spans="1:20" ht="15">
      <c r="A11" s="15" t="s">
        <v>279</v>
      </c>
      <c r="B11" s="15"/>
      <c r="C11" s="15"/>
      <c r="M11" s="135"/>
      <c r="N11" s="90" t="s">
        <v>209</v>
      </c>
      <c r="T11" s="135"/>
    </row>
    <row r="12" spans="1:20" ht="15">
      <c r="A12" s="15"/>
      <c r="B12" s="15"/>
      <c r="C12" s="15"/>
      <c r="M12" s="135"/>
      <c r="N12" s="90" t="s">
        <v>210</v>
      </c>
      <c r="T12" s="135"/>
    </row>
    <row r="13" spans="1:20" ht="15">
      <c r="A13" s="50" t="s">
        <v>370</v>
      </c>
      <c r="B13" s="15"/>
      <c r="M13" s="135"/>
      <c r="S13" s="134"/>
      <c r="T13" s="135"/>
    </row>
    <row r="14" spans="1:20" ht="15">
      <c r="A14" s="51" t="s">
        <v>372</v>
      </c>
      <c r="B14" s="15"/>
      <c r="M14" s="135"/>
      <c r="N14" s="90" t="s">
        <v>39</v>
      </c>
      <c r="T14" s="135"/>
    </row>
    <row r="15" spans="1:20" ht="15">
      <c r="A15" s="51" t="s">
        <v>557</v>
      </c>
      <c r="B15" s="15"/>
      <c r="M15" s="135"/>
      <c r="N15" s="90" t="s">
        <v>280</v>
      </c>
      <c r="T15" s="135"/>
    </row>
    <row r="16" spans="1:20" ht="15">
      <c r="A16" s="51" t="s">
        <v>375</v>
      </c>
      <c r="B16" s="15"/>
      <c r="M16" s="135"/>
      <c r="N16" s="90" t="s">
        <v>369</v>
      </c>
      <c r="T16" s="135"/>
    </row>
    <row r="17" spans="1:20" ht="15">
      <c r="A17" s="15" t="s">
        <v>183</v>
      </c>
      <c r="B17" s="15"/>
      <c r="M17" s="135"/>
      <c r="N17" s="90" t="s">
        <v>106</v>
      </c>
      <c r="T17" s="135"/>
    </row>
    <row r="18" spans="13:20" ht="15">
      <c r="M18" s="135"/>
      <c r="T18" s="135"/>
    </row>
    <row r="19" spans="1:20" ht="15">
      <c r="A19" s="50" t="s">
        <v>122</v>
      </c>
      <c r="B19" s="15"/>
      <c r="M19" s="135"/>
      <c r="N19" s="90" t="s">
        <v>205</v>
      </c>
      <c r="T19" s="135"/>
    </row>
    <row r="20" spans="1:20" ht="15">
      <c r="A20" s="15" t="s">
        <v>197</v>
      </c>
      <c r="B20" s="15"/>
      <c r="M20" s="135"/>
      <c r="N20" s="90" t="s">
        <v>329</v>
      </c>
      <c r="T20" s="135"/>
    </row>
    <row r="21" spans="1:20" ht="15">
      <c r="A21" s="15"/>
      <c r="B21" s="15"/>
      <c r="M21" s="135"/>
      <c r="N21" s="90" t="s">
        <v>441</v>
      </c>
      <c r="T21" s="135"/>
    </row>
    <row r="22" spans="1:20" ht="15">
      <c r="A22" s="50" t="s">
        <v>161</v>
      </c>
      <c r="B22" s="15"/>
      <c r="M22" s="135"/>
      <c r="N22" s="90" t="s">
        <v>244</v>
      </c>
      <c r="T22" s="135"/>
    </row>
    <row r="23" spans="1:20" ht="15">
      <c r="A23" s="51" t="s">
        <v>248</v>
      </c>
      <c r="B23" s="15"/>
      <c r="M23" s="135"/>
      <c r="N23" s="112" t="s">
        <v>273</v>
      </c>
      <c r="O23" s="109"/>
      <c r="P23" s="110"/>
      <c r="T23" s="135"/>
    </row>
    <row r="24" spans="1:20" ht="15">
      <c r="A24" s="15"/>
      <c r="B24" s="15"/>
      <c r="M24" s="135"/>
      <c r="N24" s="108"/>
      <c r="O24" s="114" t="s">
        <v>274</v>
      </c>
      <c r="P24" s="55" t="s">
        <v>275</v>
      </c>
      <c r="T24" s="135"/>
    </row>
    <row r="25" spans="1:20" ht="15">
      <c r="A25" s="15"/>
      <c r="B25" s="15"/>
      <c r="M25" s="135"/>
      <c r="N25" s="111" t="s">
        <v>371</v>
      </c>
      <c r="O25" s="22">
        <v>41.4</v>
      </c>
      <c r="P25" s="111">
        <v>40.1</v>
      </c>
      <c r="T25" s="135"/>
    </row>
    <row r="26" spans="1:20" ht="15">
      <c r="A26" s="18" t="s">
        <v>137</v>
      </c>
      <c r="B26" s="15"/>
      <c r="M26" s="135"/>
      <c r="N26" s="111" t="s">
        <v>383</v>
      </c>
      <c r="O26" s="111">
        <v>47.5</v>
      </c>
      <c r="P26" s="111">
        <v>47.1</v>
      </c>
      <c r="T26" s="135"/>
    </row>
    <row r="27" spans="1:20" ht="15">
      <c r="A27" s="18" t="s">
        <v>168</v>
      </c>
      <c r="B27" s="15"/>
      <c r="M27" s="135"/>
      <c r="N27" s="111" t="s">
        <v>216</v>
      </c>
      <c r="O27" s="111">
        <v>52.7</v>
      </c>
      <c r="P27" s="111">
        <v>52.3</v>
      </c>
      <c r="T27" s="135"/>
    </row>
    <row r="28" spans="1:20" ht="15">
      <c r="A28" s="15"/>
      <c r="B28" s="15"/>
      <c r="M28" s="135"/>
      <c r="N28" s="90" t="s">
        <v>141</v>
      </c>
      <c r="O28" s="80"/>
      <c r="P28" s="80"/>
      <c r="T28" s="135"/>
    </row>
    <row r="29" spans="1:20" ht="16.5">
      <c r="A29" s="100" t="s">
        <v>164</v>
      </c>
      <c r="B29" s="15"/>
      <c r="M29" s="135"/>
      <c r="O29" s="80"/>
      <c r="P29" s="80"/>
      <c r="T29" s="135"/>
    </row>
    <row r="30" spans="1:20" ht="15">
      <c r="A30" s="15" t="s">
        <v>29</v>
      </c>
      <c r="B30" s="15"/>
      <c r="M30" s="135"/>
      <c r="N30" s="90" t="s">
        <v>478</v>
      </c>
      <c r="O30" s="80"/>
      <c r="P30" s="80"/>
      <c r="T30" s="135"/>
    </row>
    <row r="31" spans="1:20" ht="15">
      <c r="A31" s="15"/>
      <c r="B31" s="15"/>
      <c r="M31" s="135"/>
      <c r="O31" s="114" t="s">
        <v>274</v>
      </c>
      <c r="P31" s="55" t="s">
        <v>275</v>
      </c>
      <c r="T31" s="135"/>
    </row>
    <row r="32" spans="1:20" ht="15">
      <c r="A32" s="2" t="s">
        <v>148</v>
      </c>
      <c r="B32" s="1"/>
      <c r="C32" s="1"/>
      <c r="D32" s="1"/>
      <c r="E32" s="1"/>
      <c r="F32" s="1"/>
      <c r="G32" s="1"/>
      <c r="H32" s="1"/>
      <c r="I32" s="1"/>
      <c r="M32" s="135"/>
      <c r="O32" s="91">
        <f>1/(1-(O25/100))</f>
        <v>1.706484641638225</v>
      </c>
      <c r="P32" s="91">
        <f>1/(1-(P25/100))</f>
        <v>1.669449081803005</v>
      </c>
      <c r="T32" s="135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M33" s="135"/>
      <c r="N33" s="90" t="s">
        <v>135</v>
      </c>
      <c r="T33" s="135"/>
    </row>
    <row r="34" spans="1:20" ht="15">
      <c r="A34" s="1" t="s">
        <v>325</v>
      </c>
      <c r="B34" s="1"/>
      <c r="C34" s="1"/>
      <c r="D34" s="1"/>
      <c r="E34" s="1"/>
      <c r="F34" s="1"/>
      <c r="G34" s="1"/>
      <c r="H34" s="1"/>
      <c r="I34" s="1"/>
      <c r="M34" s="135"/>
      <c r="N34" s="135"/>
      <c r="O34" s="135"/>
      <c r="P34" s="135"/>
      <c r="Q34" s="135"/>
      <c r="R34" s="135"/>
      <c r="S34" s="135"/>
      <c r="T34" s="135"/>
    </row>
    <row r="35" spans="1:9" ht="15">
      <c r="A35" s="1"/>
      <c r="B35" s="1" t="s">
        <v>326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327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 t="s">
        <v>328</v>
      </c>
      <c r="C37" s="1"/>
      <c r="D37" s="1"/>
      <c r="E37" s="1"/>
      <c r="F37" s="1"/>
      <c r="G37" s="1"/>
      <c r="H37" s="1"/>
      <c r="I37" s="1"/>
    </row>
    <row r="38" spans="1:9" ht="15">
      <c r="A38" s="1"/>
      <c r="B38" s="1" t="s">
        <v>149</v>
      </c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 t="s">
        <v>233</v>
      </c>
      <c r="D39" s="1"/>
      <c r="E39" s="1"/>
      <c r="F39" s="1"/>
      <c r="G39" s="1"/>
      <c r="H39" s="1"/>
      <c r="I39" s="1"/>
    </row>
    <row r="40" spans="1:9" ht="15">
      <c r="A40" s="1"/>
      <c r="B40" s="1"/>
      <c r="C40" s="1" t="s">
        <v>234</v>
      </c>
      <c r="D40" s="1"/>
      <c r="E40" s="1"/>
      <c r="F40" s="1"/>
      <c r="G40" s="1"/>
      <c r="H40" s="1"/>
      <c r="I40" s="1"/>
    </row>
    <row r="41" spans="1:9" ht="15">
      <c r="A41" s="1"/>
      <c r="B41" s="1"/>
      <c r="C41" s="1" t="s">
        <v>235</v>
      </c>
      <c r="D41" s="1"/>
      <c r="E41" s="1"/>
      <c r="F41" s="1"/>
      <c r="G41" s="1"/>
      <c r="H41" s="1"/>
      <c r="I41" s="1"/>
    </row>
    <row r="42" spans="1:9" ht="15">
      <c r="A42" s="1"/>
      <c r="B42" s="1" t="s">
        <v>47</v>
      </c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 t="s">
        <v>48</v>
      </c>
      <c r="D43" s="1"/>
      <c r="E43" s="1"/>
      <c r="F43" s="1"/>
      <c r="G43" s="1" t="s">
        <v>54</v>
      </c>
      <c r="H43" s="1"/>
      <c r="I43" s="1"/>
    </row>
    <row r="44" spans="1:9" ht="15">
      <c r="A44" s="1"/>
      <c r="B44" s="1"/>
      <c r="C44" s="1" t="s">
        <v>257</v>
      </c>
      <c r="D44" s="1"/>
      <c r="E44" s="1"/>
      <c r="F44" s="1"/>
      <c r="G44" s="1"/>
      <c r="H44" s="1"/>
      <c r="I44" s="1"/>
    </row>
    <row r="45" spans="1:9" ht="15">
      <c r="A45" s="1"/>
      <c r="B45" s="1"/>
      <c r="C45" s="1" t="s">
        <v>165</v>
      </c>
      <c r="D45" s="1"/>
      <c r="E45" s="1"/>
      <c r="F45" s="1"/>
      <c r="G45" s="1"/>
      <c r="H45" s="1"/>
      <c r="I45" s="1"/>
    </row>
    <row r="46" spans="1:9" ht="15">
      <c r="A46" s="1"/>
      <c r="B46" s="1" t="s">
        <v>167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 t="s">
        <v>48</v>
      </c>
      <c r="D47" s="1"/>
      <c r="E47" s="1"/>
      <c r="F47" s="1"/>
      <c r="G47" s="1"/>
      <c r="H47" s="1"/>
      <c r="I47" s="1"/>
    </row>
    <row r="48" spans="1:9" ht="15">
      <c r="A48" s="1"/>
      <c r="B48" s="1"/>
      <c r="C48" s="1" t="s">
        <v>257</v>
      </c>
      <c r="D48" s="1"/>
      <c r="E48" s="1"/>
      <c r="F48" s="1"/>
      <c r="G48" s="1"/>
      <c r="H48" s="1"/>
      <c r="I48" s="1"/>
    </row>
    <row r="49" spans="1:9" ht="15">
      <c r="A49" s="1"/>
      <c r="B49" s="1"/>
      <c r="C49" s="1" t="s">
        <v>165</v>
      </c>
      <c r="D49" s="1"/>
      <c r="E49" s="1"/>
      <c r="F49" s="1"/>
      <c r="G49" s="1"/>
      <c r="H49" s="1"/>
      <c r="I49" s="1"/>
    </row>
    <row r="50" spans="1:9" ht="15">
      <c r="A50" s="1"/>
      <c r="B50" s="1" t="s">
        <v>253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 t="s">
        <v>254</v>
      </c>
      <c r="D51" s="1"/>
      <c r="E51" s="1"/>
      <c r="F51" s="1"/>
      <c r="G51" s="1"/>
      <c r="H51" s="1"/>
      <c r="I51" s="1"/>
    </row>
    <row r="52" spans="1:9" ht="15">
      <c r="A52" s="1"/>
      <c r="B52" s="1"/>
      <c r="C52" s="1" t="s">
        <v>255</v>
      </c>
      <c r="D52" s="1"/>
      <c r="E52" s="1"/>
      <c r="F52" s="1"/>
      <c r="G52" s="1"/>
      <c r="H52" s="1"/>
      <c r="I52" s="1"/>
    </row>
    <row r="53" spans="1:9" ht="15">
      <c r="A53" s="1" t="s">
        <v>258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259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 t="s">
        <v>267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105</v>
      </c>
      <c r="C56" s="1"/>
      <c r="D56" s="1"/>
      <c r="E56" s="1"/>
      <c r="F56" s="1"/>
      <c r="G56" s="1"/>
      <c r="H56" s="1"/>
      <c r="I56" s="1"/>
    </row>
    <row r="57" spans="1:9" ht="15">
      <c r="A57" s="1" t="s">
        <v>178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 t="s">
        <v>326</v>
      </c>
      <c r="C58" s="1"/>
      <c r="D58" s="1"/>
      <c r="E58" s="1"/>
      <c r="F58" s="1"/>
      <c r="G58" s="1"/>
      <c r="H58" s="1"/>
      <c r="I58" s="1"/>
    </row>
    <row r="59" spans="1:9" ht="15">
      <c r="A59" s="1"/>
      <c r="B59" s="1" t="s">
        <v>327</v>
      </c>
      <c r="C59" s="1"/>
      <c r="D59" s="1"/>
      <c r="E59" s="1"/>
      <c r="F59" s="1"/>
      <c r="G59" s="1"/>
      <c r="H59" s="1"/>
      <c r="I59" s="1"/>
    </row>
    <row r="60" spans="1:9" ht="15">
      <c r="A60" s="1"/>
      <c r="B60" s="1" t="s">
        <v>179</v>
      </c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 t="s">
        <v>95</v>
      </c>
      <c r="D61" s="1"/>
      <c r="E61" s="1"/>
      <c r="F61" s="1"/>
      <c r="G61" s="1"/>
      <c r="H61" s="1"/>
      <c r="I61" s="1"/>
    </row>
    <row r="62" spans="1:9" ht="15">
      <c r="A62" s="1"/>
      <c r="B62" s="1"/>
      <c r="C62" s="1" t="s">
        <v>96</v>
      </c>
      <c r="D62" s="1"/>
      <c r="E62" s="1"/>
      <c r="F62" s="1"/>
      <c r="G62" s="1"/>
      <c r="H62" s="1"/>
      <c r="I62" s="1"/>
    </row>
    <row r="63" spans="1:9" ht="15">
      <c r="A63" s="1"/>
      <c r="B63" s="1"/>
      <c r="C63" s="1" t="s">
        <v>97</v>
      </c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 t="s">
        <v>48</v>
      </c>
      <c r="E64" s="1"/>
      <c r="F64" s="1"/>
      <c r="G64" s="1"/>
      <c r="H64" s="1"/>
      <c r="I64" s="1"/>
    </row>
    <row r="65" spans="1:9" ht="15">
      <c r="A65" s="1"/>
      <c r="B65" s="1"/>
      <c r="C65" s="1"/>
      <c r="D65" s="1" t="s">
        <v>257</v>
      </c>
      <c r="E65" s="1"/>
      <c r="F65" s="1"/>
      <c r="G65" s="1"/>
      <c r="H65" s="1"/>
      <c r="I65" s="1"/>
    </row>
    <row r="66" spans="1:9" ht="15">
      <c r="A66" s="1"/>
      <c r="B66" s="1"/>
      <c r="C66" s="1"/>
      <c r="D66" s="1" t="s">
        <v>165</v>
      </c>
      <c r="E66" s="1"/>
      <c r="F66" s="1"/>
      <c r="G66" s="1"/>
      <c r="H66" s="1"/>
      <c r="I66" s="1"/>
    </row>
    <row r="67" spans="1:9" ht="15">
      <c r="A67" s="1"/>
      <c r="B67" s="1" t="s">
        <v>49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 t="s">
        <v>95</v>
      </c>
      <c r="D68" s="1"/>
      <c r="E68" s="1"/>
      <c r="F68" s="1"/>
      <c r="G68" s="1"/>
      <c r="H68" s="1"/>
      <c r="I68" s="1"/>
    </row>
    <row r="69" spans="1:9" ht="15">
      <c r="A69" s="1"/>
      <c r="B69" s="1"/>
      <c r="C69" s="1" t="s">
        <v>96</v>
      </c>
      <c r="D69" s="1"/>
      <c r="E69" s="1"/>
      <c r="F69" s="1"/>
      <c r="G69" s="1"/>
      <c r="H69" s="1"/>
      <c r="I69" s="1"/>
    </row>
    <row r="70" spans="1:9" ht="15">
      <c r="A70" s="1"/>
      <c r="B70" s="1"/>
      <c r="C70" s="1" t="s">
        <v>97</v>
      </c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 t="s">
        <v>48</v>
      </c>
      <c r="E71" s="1"/>
      <c r="F71" s="1"/>
      <c r="G71" s="1"/>
      <c r="H71" s="1"/>
      <c r="I71" s="1"/>
    </row>
    <row r="72" spans="1:9" ht="15">
      <c r="A72" s="1"/>
      <c r="B72" s="1"/>
      <c r="C72" s="1"/>
      <c r="D72" s="1" t="s">
        <v>257</v>
      </c>
      <c r="E72" s="1"/>
      <c r="F72" s="1"/>
      <c r="G72" s="1"/>
      <c r="H72" s="1"/>
      <c r="I72" s="1"/>
    </row>
    <row r="73" spans="1:9" ht="15">
      <c r="A73" s="1"/>
      <c r="B73" s="1"/>
      <c r="C73" s="1"/>
      <c r="D73" s="1" t="s">
        <v>165</v>
      </c>
      <c r="E73" s="1"/>
      <c r="F73" s="1"/>
      <c r="G73" s="1"/>
      <c r="H73" s="1"/>
      <c r="I73" s="1"/>
    </row>
    <row r="74" spans="1:9" ht="15">
      <c r="A74" s="1"/>
      <c r="B74" s="1" t="s">
        <v>166</v>
      </c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 t="s">
        <v>254</v>
      </c>
      <c r="D75" s="1"/>
      <c r="E75" s="1"/>
      <c r="F75" s="1"/>
      <c r="G75" s="1"/>
      <c r="H75" s="1"/>
      <c r="I75" s="1"/>
    </row>
    <row r="76" spans="1:9" ht="15">
      <c r="A76" s="1"/>
      <c r="B76" s="1"/>
      <c r="C76" s="1" t="s">
        <v>255</v>
      </c>
      <c r="D76" s="1"/>
      <c r="E76" s="1"/>
      <c r="F76" s="1"/>
      <c r="G76" s="1"/>
      <c r="H76" s="1"/>
      <c r="I76" s="1"/>
    </row>
    <row r="77" spans="1:9" ht="15">
      <c r="A77" s="1"/>
      <c r="B77" s="1" t="s">
        <v>262</v>
      </c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 t="s">
        <v>268</v>
      </c>
      <c r="D78" s="1"/>
      <c r="E78" s="1"/>
      <c r="F78" s="1"/>
      <c r="G78" s="1"/>
      <c r="H78" s="1"/>
      <c r="I78" s="1"/>
    </row>
    <row r="79" spans="1:9" ht="15">
      <c r="A79" s="1"/>
      <c r="B79" s="1"/>
      <c r="C79" s="1" t="s">
        <v>269</v>
      </c>
      <c r="D79" s="1"/>
      <c r="E79" s="1"/>
      <c r="F79" s="1"/>
      <c r="G79" s="1"/>
      <c r="H79" s="1"/>
      <c r="I79" s="1"/>
    </row>
    <row r="80" spans="1:9" ht="15">
      <c r="A80" s="1"/>
      <c r="B80" s="1"/>
      <c r="C80" s="1" t="s">
        <v>265</v>
      </c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 t="s">
        <v>254</v>
      </c>
      <c r="E81" s="1"/>
      <c r="F81" s="1"/>
      <c r="G81" s="1"/>
      <c r="H81" s="1"/>
      <c r="I81" s="1"/>
    </row>
    <row r="82" spans="1:9" ht="15">
      <c r="A82" s="1"/>
      <c r="B82" s="1"/>
      <c r="C82" s="1"/>
      <c r="D82" s="1" t="s">
        <v>255</v>
      </c>
      <c r="E82" s="1"/>
      <c r="F82" s="1"/>
      <c r="G82" s="1"/>
      <c r="H82" s="1"/>
      <c r="I82" s="1"/>
    </row>
    <row r="83" spans="1:9" ht="15">
      <c r="A83" s="1"/>
      <c r="B83" s="1"/>
      <c r="C83" s="1" t="s">
        <v>363</v>
      </c>
      <c r="D83" s="1"/>
      <c r="E83" s="1"/>
      <c r="F83" s="1"/>
      <c r="G83" s="1"/>
      <c r="H83" s="1"/>
      <c r="I83" s="1"/>
    </row>
    <row r="84" spans="1:9" ht="15">
      <c r="A84" s="1"/>
      <c r="B84" s="1"/>
      <c r="C84" s="1" t="s">
        <v>269</v>
      </c>
      <c r="D84" s="1"/>
      <c r="E84" s="1"/>
      <c r="F84" s="1"/>
      <c r="G84" s="1"/>
      <c r="H84" s="1"/>
      <c r="I84" s="1"/>
    </row>
    <row r="85" spans="1:9" ht="15">
      <c r="A85" s="1"/>
      <c r="B85" s="1"/>
      <c r="C85" s="1" t="s">
        <v>265</v>
      </c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 t="s">
        <v>254</v>
      </c>
      <c r="E86" s="1"/>
      <c r="F86" s="1"/>
      <c r="G86" s="1"/>
      <c r="H86" s="1"/>
      <c r="I86" s="1"/>
    </row>
    <row r="87" spans="1:9" ht="15">
      <c r="A87" s="1"/>
      <c r="B87" s="1"/>
      <c r="C87" s="1"/>
      <c r="D87" s="1" t="s">
        <v>255</v>
      </c>
      <c r="E87" s="1"/>
      <c r="F87" s="1"/>
      <c r="G87" s="1"/>
      <c r="H87" s="1"/>
      <c r="I87" s="1"/>
    </row>
    <row r="88" spans="1:9" ht="15">
      <c r="A88" s="1"/>
      <c r="B88" s="1"/>
      <c r="C88" s="1" t="s">
        <v>40</v>
      </c>
      <c r="D88" s="1"/>
      <c r="E88" s="1"/>
      <c r="F88" s="1"/>
      <c r="G88" s="1"/>
      <c r="H88" s="1"/>
      <c r="I88" s="1"/>
    </row>
    <row r="89" spans="1:9" ht="15">
      <c r="A89" s="1"/>
      <c r="B89" s="1"/>
      <c r="C89" s="1" t="s">
        <v>269</v>
      </c>
      <c r="D89" s="1"/>
      <c r="E89" s="1"/>
      <c r="F89" s="1"/>
      <c r="G89" s="1"/>
      <c r="H89" s="1"/>
      <c r="I89" s="1"/>
    </row>
    <row r="90" spans="1:9" ht="15">
      <c r="A90" s="1"/>
      <c r="B90" s="1"/>
      <c r="C90" s="1" t="s">
        <v>265</v>
      </c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 t="s">
        <v>254</v>
      </c>
      <c r="E91" s="1"/>
      <c r="F91" s="1"/>
      <c r="G91" s="1"/>
      <c r="H91" s="1"/>
      <c r="I91" s="1"/>
    </row>
    <row r="92" spans="1:9" ht="15">
      <c r="A92" s="1"/>
      <c r="B92" s="1"/>
      <c r="C92" s="1"/>
      <c r="D92" s="1" t="s">
        <v>255</v>
      </c>
      <c r="E92" s="1"/>
      <c r="F92" s="1"/>
      <c r="G92" s="1"/>
      <c r="H92" s="1"/>
      <c r="I92" s="1"/>
    </row>
    <row r="93" spans="1:9" ht="15">
      <c r="A93" s="1"/>
      <c r="B93" s="1"/>
      <c r="C93" s="1" t="s">
        <v>101</v>
      </c>
      <c r="D93" s="1"/>
      <c r="E93" s="1"/>
      <c r="F93" s="1"/>
      <c r="G93" s="1"/>
      <c r="H93" s="1"/>
      <c r="I93" s="1"/>
    </row>
    <row r="94" spans="1:9" ht="15">
      <c r="A94" s="1"/>
      <c r="B94" s="1"/>
      <c r="C94" s="1" t="s">
        <v>269</v>
      </c>
      <c r="D94" s="1"/>
      <c r="E94" s="1"/>
      <c r="F94" s="1"/>
      <c r="G94" s="1"/>
      <c r="H94" s="1"/>
      <c r="I94" s="1"/>
    </row>
    <row r="95" spans="1:9" ht="15">
      <c r="A95" s="1"/>
      <c r="B95" s="1"/>
      <c r="C95" s="1" t="s">
        <v>265</v>
      </c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 t="s">
        <v>254</v>
      </c>
      <c r="E96" s="1"/>
      <c r="F96" s="1"/>
      <c r="G96" s="1"/>
      <c r="H96" s="1"/>
      <c r="I96" s="1"/>
    </row>
    <row r="97" spans="1:9" ht="15">
      <c r="A97" s="1"/>
      <c r="B97" s="1"/>
      <c r="C97" s="1"/>
      <c r="D97" s="1" t="s">
        <v>255</v>
      </c>
      <c r="E97" s="1"/>
      <c r="F97" s="1"/>
      <c r="G97" s="1"/>
      <c r="H97" s="1"/>
      <c r="I97" s="1"/>
    </row>
    <row r="98" spans="1:9" ht="15">
      <c r="A98" s="1"/>
      <c r="B98" s="1"/>
      <c r="C98" s="1" t="s">
        <v>32</v>
      </c>
      <c r="D98" s="1"/>
      <c r="E98" s="1"/>
      <c r="F98" s="1"/>
      <c r="G98" s="1"/>
      <c r="H98" s="1"/>
      <c r="I98" s="1"/>
    </row>
    <row r="99" spans="1:9" ht="15">
      <c r="A99" s="1"/>
      <c r="B99" s="1"/>
      <c r="C99" s="1" t="s">
        <v>269</v>
      </c>
      <c r="D99" s="1"/>
      <c r="E99" s="1"/>
      <c r="F99" s="1"/>
      <c r="G99" s="1"/>
      <c r="H99" s="1"/>
      <c r="I99" s="1"/>
    </row>
    <row r="100" spans="1:9" ht="15">
      <c r="A100" s="1"/>
      <c r="B100" s="1"/>
      <c r="C100" s="1" t="s">
        <v>265</v>
      </c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 t="s">
        <v>254</v>
      </c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 t="s">
        <v>255</v>
      </c>
      <c r="E102" s="1"/>
      <c r="F102" s="1"/>
      <c r="G102" s="1"/>
      <c r="H102" s="1"/>
      <c r="I102" s="1"/>
    </row>
    <row r="103" spans="1:9" ht="15">
      <c r="A103" s="1"/>
      <c r="B103" s="1"/>
      <c r="C103" s="1" t="s">
        <v>319</v>
      </c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 t="s">
        <v>269</v>
      </c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 t="s">
        <v>265</v>
      </c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 t="s">
        <v>254</v>
      </c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 t="s">
        <v>255</v>
      </c>
      <c r="E107" s="1"/>
      <c r="F107" s="1"/>
      <c r="G107" s="1"/>
      <c r="H107" s="1"/>
      <c r="I107" s="1"/>
    </row>
    <row r="108" spans="1:9" ht="15">
      <c r="A108" s="1"/>
      <c r="B108" s="1"/>
      <c r="C108" s="1" t="s">
        <v>58</v>
      </c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 t="s">
        <v>269</v>
      </c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 t="s">
        <v>265</v>
      </c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 t="s">
        <v>254</v>
      </c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 t="s">
        <v>255</v>
      </c>
      <c r="E112" s="1"/>
      <c r="F112" s="1"/>
      <c r="G112" s="1"/>
      <c r="H112" s="1"/>
      <c r="I112" s="1"/>
    </row>
    <row r="113" spans="1:9" ht="15">
      <c r="A113" s="1"/>
      <c r="B113" s="1"/>
      <c r="C113" s="1" t="s">
        <v>144</v>
      </c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 t="s">
        <v>269</v>
      </c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 t="s">
        <v>265</v>
      </c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 t="s">
        <v>254</v>
      </c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 t="s">
        <v>255</v>
      </c>
      <c r="E117" s="1"/>
      <c r="F117" s="1"/>
      <c r="G117" s="1"/>
      <c r="H117" s="1"/>
      <c r="I117" s="1"/>
    </row>
    <row r="118" spans="1:9" ht="15">
      <c r="A118" s="1"/>
      <c r="B118" s="1"/>
      <c r="C118" s="1" t="s">
        <v>143</v>
      </c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 t="s">
        <v>269</v>
      </c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 t="s">
        <v>265</v>
      </c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 t="s">
        <v>254</v>
      </c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 t="s">
        <v>255</v>
      </c>
      <c r="E122" s="1"/>
      <c r="F122" s="1"/>
      <c r="G122" s="1"/>
      <c r="H122" s="1"/>
      <c r="I12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14"/>
  <sheetViews>
    <sheetView workbookViewId="0" topLeftCell="CH1">
      <selection activeCell="A1" sqref="A1"/>
    </sheetView>
  </sheetViews>
  <sheetFormatPr defaultColWidth="9.140625" defaultRowHeight="15"/>
  <cols>
    <col min="1" max="1" width="13.421875" style="6" customWidth="1"/>
    <col min="2" max="2" width="8.28125" style="6" customWidth="1"/>
    <col min="3" max="3" width="10.28125" style="6" bestFit="1" customWidth="1"/>
    <col min="4" max="4" width="11.28125" style="6" bestFit="1" customWidth="1"/>
    <col min="5" max="5" width="4.7109375" style="6" customWidth="1"/>
    <col min="6" max="6" width="11.00390625" style="6" customWidth="1"/>
    <col min="7" max="7" width="14.00390625" style="6" bestFit="1" customWidth="1"/>
    <col min="8" max="8" width="9.28125" style="6" bestFit="1" customWidth="1"/>
    <col min="9" max="9" width="10.28125" style="6" bestFit="1" customWidth="1"/>
    <col min="10" max="10" width="12.8515625" style="6" bestFit="1" customWidth="1"/>
    <col min="11" max="11" width="9.28125" style="6" bestFit="1" customWidth="1"/>
    <col min="12" max="12" width="11.28125" style="6" bestFit="1" customWidth="1"/>
    <col min="13" max="13" width="11.28125" style="6" customWidth="1"/>
    <col min="14" max="14" width="12.8515625" style="6" customWidth="1"/>
    <col min="15" max="15" width="14.00390625" style="6" bestFit="1" customWidth="1"/>
    <col min="16" max="16" width="7.00390625" style="6" customWidth="1"/>
    <col min="17" max="17" width="10.140625" style="6" customWidth="1"/>
    <col min="18" max="18" width="14.00390625" style="6" customWidth="1"/>
    <col min="19" max="19" width="11.7109375" style="6" customWidth="1"/>
    <col min="20" max="20" width="12.421875" style="6" customWidth="1"/>
    <col min="21" max="21" width="13.8515625" style="6" customWidth="1"/>
    <col min="22" max="23" width="12.421875" style="6" customWidth="1"/>
    <col min="24" max="24" width="12.421875" style="123" customWidth="1"/>
    <col min="25" max="25" width="9.8515625" style="133" customWidth="1"/>
    <col min="26" max="30" width="9.140625" style="77" customWidth="1"/>
    <col min="31" max="31" width="9.28125" style="77" customWidth="1"/>
    <col min="32" max="35" width="9.140625" style="6" customWidth="1"/>
    <col min="36" max="36" width="10.421875" style="6" customWidth="1"/>
    <col min="37" max="38" width="10.00390625" style="6" customWidth="1"/>
    <col min="39" max="39" width="12.8515625" style="6" customWidth="1"/>
    <col min="40" max="40" width="14.140625" style="6" customWidth="1"/>
    <col min="41" max="41" width="12.421875" style="6" customWidth="1"/>
    <col min="42" max="42" width="5.28125" style="6" customWidth="1"/>
    <col min="43" max="43" width="10.140625" style="6" customWidth="1"/>
    <col min="44" max="44" width="7.7109375" style="6" customWidth="1"/>
    <col min="45" max="45" width="10.28125" style="6" bestFit="1" customWidth="1"/>
    <col min="46" max="46" width="4.140625" style="6" customWidth="1"/>
    <col min="47" max="47" width="9.421875" style="6" customWidth="1"/>
    <col min="48" max="48" width="9.140625" style="6" customWidth="1"/>
    <col min="49" max="49" width="10.28125" style="6" bestFit="1" customWidth="1"/>
    <col min="50" max="50" width="6.7109375" style="6" customWidth="1"/>
    <col min="51" max="52" width="9.140625" style="6" customWidth="1"/>
    <col min="53" max="53" width="10.28125" style="6" bestFit="1" customWidth="1"/>
    <col min="54" max="54" width="6.28125" style="6" customWidth="1"/>
    <col min="55" max="56" width="9.140625" style="6" customWidth="1"/>
    <col min="57" max="57" width="10.28125" style="6" bestFit="1" customWidth="1"/>
    <col min="58" max="58" width="5.8515625" style="6" customWidth="1"/>
    <col min="59" max="60" width="9.140625" style="6" customWidth="1"/>
    <col min="61" max="61" width="10.28125" style="6" bestFit="1" customWidth="1"/>
    <col min="62" max="62" width="4.7109375" style="6" customWidth="1"/>
    <col min="63" max="65" width="9.140625" style="6" customWidth="1"/>
    <col min="66" max="66" width="4.8515625" style="6" customWidth="1"/>
    <col min="67" max="67" width="10.28125" style="6" bestFit="1" customWidth="1"/>
    <col min="68" max="69" width="9.140625" style="6" customWidth="1"/>
    <col min="70" max="70" width="4.8515625" style="6" customWidth="1"/>
    <col min="71" max="71" width="10.28125" style="6" bestFit="1" customWidth="1"/>
    <col min="72" max="73" width="9.140625" style="6" customWidth="1"/>
    <col min="74" max="74" width="4.8515625" style="6" customWidth="1"/>
    <col min="75" max="75" width="10.28125" style="6" bestFit="1" customWidth="1"/>
    <col min="76" max="76" width="9.00390625" style="6" customWidth="1"/>
    <col min="77" max="77" width="9.140625" style="6" customWidth="1"/>
    <col min="78" max="78" width="4.421875" style="6" customWidth="1"/>
    <col min="79" max="79" width="10.28125" style="6" bestFit="1" customWidth="1"/>
    <col min="80" max="86" width="12.7109375" style="6" customWidth="1"/>
    <col min="87" max="16384" width="9.140625" style="6" customWidth="1"/>
  </cols>
  <sheetData>
    <row r="1" spans="1:31" s="3" customFormat="1" ht="16.5">
      <c r="A1" s="35" t="s">
        <v>336</v>
      </c>
      <c r="C1" s="34" t="s">
        <v>33</v>
      </c>
      <c r="G1" s="4" t="s">
        <v>385</v>
      </c>
      <c r="X1" s="115"/>
      <c r="Y1" s="115"/>
      <c r="Z1" s="61"/>
      <c r="AA1" s="62"/>
      <c r="AB1" s="62"/>
      <c r="AC1" s="62"/>
      <c r="AD1" s="62"/>
      <c r="AE1" s="62"/>
    </row>
    <row r="2" spans="1:31" s="15" customFormat="1" ht="15">
      <c r="A2" s="35" t="s">
        <v>160</v>
      </c>
      <c r="C2" s="15" t="s">
        <v>114</v>
      </c>
      <c r="X2" s="116"/>
      <c r="Y2" s="116"/>
      <c r="Z2" s="63"/>
      <c r="AA2" s="64"/>
      <c r="AB2" s="64"/>
      <c r="AC2" s="64"/>
      <c r="AD2" s="64"/>
      <c r="AE2" s="64"/>
    </row>
    <row r="3" spans="1:34" s="15" customFormat="1" ht="15">
      <c r="A3" s="35">
        <v>40634</v>
      </c>
      <c r="X3" s="116"/>
      <c r="Y3" s="116"/>
      <c r="Z3" s="63"/>
      <c r="AA3" s="64"/>
      <c r="AB3" s="64"/>
      <c r="AC3" s="64"/>
      <c r="AD3" s="64"/>
      <c r="AE3" s="64"/>
      <c r="AH3" s="40" t="s">
        <v>243</v>
      </c>
    </row>
    <row r="4" spans="1:34" s="15" customFormat="1" ht="15">
      <c r="A4" s="36"/>
      <c r="C4" s="32" t="s">
        <v>116</v>
      </c>
      <c r="X4" s="116"/>
      <c r="Y4" s="116"/>
      <c r="Z4" s="63"/>
      <c r="AA4" s="64"/>
      <c r="AB4" s="64"/>
      <c r="AC4" s="64"/>
      <c r="AD4" s="64"/>
      <c r="AE4" s="64"/>
      <c r="AH4" s="3" t="s">
        <v>83</v>
      </c>
    </row>
    <row r="5" spans="4:44" s="15" customFormat="1" ht="15">
      <c r="D5" s="15" t="s">
        <v>374</v>
      </c>
      <c r="E5" s="16"/>
      <c r="F5" s="16"/>
      <c r="G5" s="15" t="s">
        <v>307</v>
      </c>
      <c r="X5" s="116"/>
      <c r="Y5" s="116"/>
      <c r="Z5" s="63"/>
      <c r="AA5" s="64"/>
      <c r="AB5" s="64"/>
      <c r="AC5" s="64"/>
      <c r="AD5" s="64"/>
      <c r="AE5" s="64"/>
      <c r="AH5" s="3" t="s">
        <v>440</v>
      </c>
      <c r="AR5" s="17" t="s">
        <v>386</v>
      </c>
    </row>
    <row r="6" spans="1:80" s="15" customFormat="1" ht="15">
      <c r="A6" s="16"/>
      <c r="B6" s="16"/>
      <c r="C6" s="18" t="s">
        <v>87</v>
      </c>
      <c r="E6" s="16"/>
      <c r="F6" s="19"/>
      <c r="G6" s="18" t="s">
        <v>88</v>
      </c>
      <c r="O6" s="15" t="s">
        <v>223</v>
      </c>
      <c r="Q6" s="19"/>
      <c r="R6" s="18" t="s">
        <v>256</v>
      </c>
      <c r="S6" s="15" t="s">
        <v>261</v>
      </c>
      <c r="T6" s="16"/>
      <c r="U6" s="16" t="s">
        <v>360</v>
      </c>
      <c r="V6" s="16"/>
      <c r="W6" s="16"/>
      <c r="X6" s="117"/>
      <c r="Y6" s="117"/>
      <c r="Z6" s="65" t="s">
        <v>330</v>
      </c>
      <c r="AA6" s="64"/>
      <c r="AB6" s="64"/>
      <c r="AC6" s="64"/>
      <c r="AD6" s="64"/>
      <c r="AE6" s="64"/>
      <c r="AF6" s="17" t="s">
        <v>139</v>
      </c>
      <c r="AO6" s="15" t="s">
        <v>223</v>
      </c>
      <c r="AR6" s="15" t="s">
        <v>294</v>
      </c>
      <c r="BP6" s="20"/>
      <c r="CB6" s="18" t="s">
        <v>156</v>
      </c>
    </row>
    <row r="7" spans="1:85" s="15" customFormat="1" ht="15">
      <c r="A7" s="16"/>
      <c r="B7" s="16"/>
      <c r="C7" s="15" t="s">
        <v>162</v>
      </c>
      <c r="E7" s="16"/>
      <c r="F7" s="21" t="s">
        <v>295</v>
      </c>
      <c r="G7" s="15" t="s">
        <v>199</v>
      </c>
      <c r="J7" s="15" t="s">
        <v>199</v>
      </c>
      <c r="N7" s="22" t="s">
        <v>468</v>
      </c>
      <c r="O7" s="15" t="s">
        <v>422</v>
      </c>
      <c r="Q7" s="19"/>
      <c r="R7" s="22" t="s">
        <v>200</v>
      </c>
      <c r="S7" s="15" t="s">
        <v>201</v>
      </c>
      <c r="T7" s="16" t="s">
        <v>202</v>
      </c>
      <c r="U7" s="16" t="s">
        <v>361</v>
      </c>
      <c r="V7" s="16" t="s">
        <v>276</v>
      </c>
      <c r="W7" s="16"/>
      <c r="X7" s="124" t="s">
        <v>211</v>
      </c>
      <c r="Y7" s="127"/>
      <c r="Z7" s="63" t="s">
        <v>133</v>
      </c>
      <c r="AA7" s="64"/>
      <c r="AB7" s="64"/>
      <c r="AC7" s="64"/>
      <c r="AD7" s="64"/>
      <c r="AE7" s="66"/>
      <c r="AF7" s="15" t="s">
        <v>426</v>
      </c>
      <c r="AK7" s="19"/>
      <c r="AL7" s="16" t="s">
        <v>405</v>
      </c>
      <c r="AM7" s="22" t="s">
        <v>468</v>
      </c>
      <c r="AN7" s="22" t="s">
        <v>468</v>
      </c>
      <c r="AO7" s="15" t="s">
        <v>221</v>
      </c>
      <c r="AQ7" s="19"/>
      <c r="AR7" s="23" t="s">
        <v>427</v>
      </c>
      <c r="AS7" s="24"/>
      <c r="AT7" s="24"/>
      <c r="AU7" s="25"/>
      <c r="AV7" s="15" t="s">
        <v>428</v>
      </c>
      <c r="AZ7" s="23" t="s">
        <v>237</v>
      </c>
      <c r="BA7" s="24"/>
      <c r="BB7" s="24"/>
      <c r="BC7" s="25"/>
      <c r="BD7" s="15" t="s">
        <v>84</v>
      </c>
      <c r="BH7" s="23" t="s">
        <v>85</v>
      </c>
      <c r="BI7" s="24"/>
      <c r="BJ7" s="24"/>
      <c r="BK7" s="25"/>
      <c r="BL7" s="15" t="s">
        <v>86</v>
      </c>
      <c r="BP7" s="23" t="s">
        <v>250</v>
      </c>
      <c r="BQ7" s="24"/>
      <c r="BR7" s="24"/>
      <c r="BS7" s="25"/>
      <c r="BT7" s="15" t="s">
        <v>251</v>
      </c>
      <c r="BX7" s="23" t="s">
        <v>252</v>
      </c>
      <c r="BY7" s="24"/>
      <c r="BZ7" s="24"/>
      <c r="CA7" s="25"/>
      <c r="CB7" s="15" t="s">
        <v>419</v>
      </c>
      <c r="CD7" s="19"/>
      <c r="CE7" s="15" t="s">
        <v>159</v>
      </c>
      <c r="CG7" s="19"/>
    </row>
    <row r="8" spans="1:85" s="15" customFormat="1" ht="15">
      <c r="A8" s="33" t="s">
        <v>480</v>
      </c>
      <c r="B8" s="16"/>
      <c r="C8" s="22" t="s">
        <v>378</v>
      </c>
      <c r="D8" s="22" t="s">
        <v>379</v>
      </c>
      <c r="E8" s="26"/>
      <c r="F8" s="21" t="s">
        <v>380</v>
      </c>
      <c r="G8" s="15" t="s">
        <v>381</v>
      </c>
      <c r="J8" s="15" t="s">
        <v>382</v>
      </c>
      <c r="M8" s="21" t="s">
        <v>241</v>
      </c>
      <c r="N8" s="26" t="s">
        <v>263</v>
      </c>
      <c r="O8" s="15" t="s">
        <v>236</v>
      </c>
      <c r="Q8" s="21" t="s">
        <v>154</v>
      </c>
      <c r="R8" s="22" t="s">
        <v>505</v>
      </c>
      <c r="S8" s="15" t="s">
        <v>506</v>
      </c>
      <c r="T8" s="16" t="s">
        <v>507</v>
      </c>
      <c r="U8" s="15" t="s">
        <v>362</v>
      </c>
      <c r="V8" s="16" t="s">
        <v>296</v>
      </c>
      <c r="W8" s="16"/>
      <c r="X8" s="124" t="s">
        <v>217</v>
      </c>
      <c r="Y8" s="127"/>
      <c r="Z8" s="67" t="s">
        <v>508</v>
      </c>
      <c r="AA8" s="68" t="s">
        <v>509</v>
      </c>
      <c r="AB8" s="79" t="s">
        <v>125</v>
      </c>
      <c r="AC8" s="79"/>
      <c r="AD8" s="79"/>
      <c r="AE8" s="69" t="s">
        <v>241</v>
      </c>
      <c r="AF8" s="22" t="s">
        <v>508</v>
      </c>
      <c r="AG8" s="22" t="s">
        <v>509</v>
      </c>
      <c r="AH8" s="27" t="s">
        <v>125</v>
      </c>
      <c r="AI8" s="27"/>
      <c r="AJ8" s="27"/>
      <c r="AK8" s="21" t="s">
        <v>241</v>
      </c>
      <c r="AL8" s="26" t="s">
        <v>406</v>
      </c>
      <c r="AM8" s="26" t="s">
        <v>324</v>
      </c>
      <c r="AN8" s="26" t="s">
        <v>550</v>
      </c>
      <c r="AO8" s="15" t="s">
        <v>222</v>
      </c>
      <c r="AQ8" s="19"/>
      <c r="AR8" s="15" t="s">
        <v>510</v>
      </c>
      <c r="AV8" s="15" t="s">
        <v>511</v>
      </c>
      <c r="AZ8" s="15" t="s">
        <v>512</v>
      </c>
      <c r="BD8" s="15" t="s">
        <v>513</v>
      </c>
      <c r="BH8" s="15" t="s">
        <v>384</v>
      </c>
      <c r="BL8" s="15" t="s">
        <v>184</v>
      </c>
      <c r="BP8" s="15" t="s">
        <v>185</v>
      </c>
      <c r="BT8" s="15" t="s">
        <v>121</v>
      </c>
      <c r="BX8" s="15" t="s">
        <v>376</v>
      </c>
      <c r="CA8" s="19"/>
      <c r="CB8" s="22"/>
      <c r="CC8" s="22" t="s">
        <v>157</v>
      </c>
      <c r="CD8" s="21"/>
      <c r="CE8" s="22"/>
      <c r="CF8" s="22" t="s">
        <v>157</v>
      </c>
      <c r="CG8" s="21"/>
    </row>
    <row r="9" spans="1:86" s="15" customFormat="1" ht="15">
      <c r="A9" s="27" t="s">
        <v>130</v>
      </c>
      <c r="B9" s="28"/>
      <c r="C9" s="29" t="s">
        <v>377</v>
      </c>
      <c r="D9" s="29" t="s">
        <v>281</v>
      </c>
      <c r="E9" s="29" t="s">
        <v>282</v>
      </c>
      <c r="F9" s="30" t="s">
        <v>283</v>
      </c>
      <c r="G9" s="29" t="s">
        <v>123</v>
      </c>
      <c r="H9" s="29" t="s">
        <v>129</v>
      </c>
      <c r="I9" s="29" t="s">
        <v>240</v>
      </c>
      <c r="J9" s="29" t="s">
        <v>123</v>
      </c>
      <c r="K9" s="29" t="s">
        <v>129</v>
      </c>
      <c r="L9" s="29" t="s">
        <v>240</v>
      </c>
      <c r="M9" s="30" t="s">
        <v>242</v>
      </c>
      <c r="N9" s="29" t="s">
        <v>264</v>
      </c>
      <c r="O9" s="29" t="s">
        <v>281</v>
      </c>
      <c r="P9" s="29" t="s">
        <v>282</v>
      </c>
      <c r="Q9" s="31" t="s">
        <v>155</v>
      </c>
      <c r="R9" s="29" t="s">
        <v>134</v>
      </c>
      <c r="S9" s="27" t="s">
        <v>285</v>
      </c>
      <c r="T9" s="29" t="s">
        <v>286</v>
      </c>
      <c r="U9" s="29" t="s">
        <v>467</v>
      </c>
      <c r="V9" s="29" t="s">
        <v>277</v>
      </c>
      <c r="W9" s="29" t="s">
        <v>278</v>
      </c>
      <c r="X9" s="31" t="s">
        <v>218</v>
      </c>
      <c r="Y9" s="128"/>
      <c r="Z9" s="70" t="s">
        <v>287</v>
      </c>
      <c r="AA9" s="70" t="s">
        <v>287</v>
      </c>
      <c r="AB9" s="70" t="s">
        <v>123</v>
      </c>
      <c r="AC9" s="70" t="s">
        <v>129</v>
      </c>
      <c r="AD9" s="70" t="s">
        <v>240</v>
      </c>
      <c r="AE9" s="71" t="s">
        <v>242</v>
      </c>
      <c r="AF9" s="29" t="s">
        <v>287</v>
      </c>
      <c r="AG9" s="29" t="s">
        <v>287</v>
      </c>
      <c r="AH9" s="29" t="s">
        <v>123</v>
      </c>
      <c r="AI9" s="29" t="s">
        <v>129</v>
      </c>
      <c r="AJ9" s="29" t="s">
        <v>240</v>
      </c>
      <c r="AK9" s="30" t="s">
        <v>242</v>
      </c>
      <c r="AL9" s="29" t="s">
        <v>263</v>
      </c>
      <c r="AM9" s="29" t="s">
        <v>323</v>
      </c>
      <c r="AN9" s="29" t="s">
        <v>434</v>
      </c>
      <c r="AO9" s="29" t="s">
        <v>281</v>
      </c>
      <c r="AP9" s="29" t="s">
        <v>282</v>
      </c>
      <c r="AQ9" s="30" t="s">
        <v>288</v>
      </c>
      <c r="AR9" s="29" t="s">
        <v>289</v>
      </c>
      <c r="AS9" s="29" t="s">
        <v>186</v>
      </c>
      <c r="AT9" s="29" t="s">
        <v>282</v>
      </c>
      <c r="AU9" s="29" t="s">
        <v>499</v>
      </c>
      <c r="AV9" s="29" t="s">
        <v>289</v>
      </c>
      <c r="AW9" s="29" t="s">
        <v>186</v>
      </c>
      <c r="AX9" s="29" t="s">
        <v>282</v>
      </c>
      <c r="AY9" s="29" t="s">
        <v>499</v>
      </c>
      <c r="AZ9" s="29" t="s">
        <v>289</v>
      </c>
      <c r="BA9" s="29" t="s">
        <v>186</v>
      </c>
      <c r="BB9" s="29" t="s">
        <v>282</v>
      </c>
      <c r="BC9" s="29" t="s">
        <v>499</v>
      </c>
      <c r="BD9" s="29" t="s">
        <v>289</v>
      </c>
      <c r="BE9" s="29" t="s">
        <v>186</v>
      </c>
      <c r="BF9" s="29" t="s">
        <v>282</v>
      </c>
      <c r="BG9" s="29" t="s">
        <v>499</v>
      </c>
      <c r="BH9" s="29" t="s">
        <v>289</v>
      </c>
      <c r="BI9" s="29" t="s">
        <v>186</v>
      </c>
      <c r="BJ9" s="29" t="s">
        <v>282</v>
      </c>
      <c r="BK9" s="29" t="s">
        <v>499</v>
      </c>
      <c r="BL9" s="29" t="s">
        <v>289</v>
      </c>
      <c r="BM9" s="29" t="s">
        <v>186</v>
      </c>
      <c r="BN9" s="29" t="s">
        <v>282</v>
      </c>
      <c r="BO9" s="29" t="s">
        <v>499</v>
      </c>
      <c r="BP9" s="29" t="s">
        <v>289</v>
      </c>
      <c r="BQ9" s="29" t="s">
        <v>186</v>
      </c>
      <c r="BR9" s="29" t="s">
        <v>282</v>
      </c>
      <c r="BS9" s="29" t="s">
        <v>499</v>
      </c>
      <c r="BT9" s="29" t="s">
        <v>289</v>
      </c>
      <c r="BU9" s="29" t="s">
        <v>186</v>
      </c>
      <c r="BV9" s="29" t="s">
        <v>282</v>
      </c>
      <c r="BW9" s="29" t="s">
        <v>499</v>
      </c>
      <c r="BX9" s="29" t="s">
        <v>289</v>
      </c>
      <c r="BY9" s="29" t="s">
        <v>186</v>
      </c>
      <c r="BZ9" s="29" t="s">
        <v>282</v>
      </c>
      <c r="CA9" s="30" t="s">
        <v>499</v>
      </c>
      <c r="CB9" s="29" t="s">
        <v>190</v>
      </c>
      <c r="CC9" s="29" t="s">
        <v>158</v>
      </c>
      <c r="CD9" s="30" t="s">
        <v>191</v>
      </c>
      <c r="CE9" s="29" t="s">
        <v>190</v>
      </c>
      <c r="CF9" s="29" t="s">
        <v>158</v>
      </c>
      <c r="CG9" s="30" t="s">
        <v>191</v>
      </c>
      <c r="CH9" s="27" t="s">
        <v>435</v>
      </c>
    </row>
    <row r="10" spans="1:98" ht="12.75">
      <c r="A10" s="5" t="s">
        <v>500</v>
      </c>
      <c r="B10" s="5"/>
      <c r="C10" s="14">
        <v>11648</v>
      </c>
      <c r="D10" s="14">
        <v>437059</v>
      </c>
      <c r="E10" s="14">
        <v>95</v>
      </c>
      <c r="F10" s="10">
        <f>(D10+E10/100)/C10</f>
        <v>37.52231713598901</v>
      </c>
      <c r="G10" s="14">
        <v>68381</v>
      </c>
      <c r="H10" s="14">
        <v>135</v>
      </c>
      <c r="I10" s="14"/>
      <c r="J10" s="14">
        <v>3749061</v>
      </c>
      <c r="K10" s="14">
        <v>55</v>
      </c>
      <c r="L10" s="14">
        <v>225</v>
      </c>
      <c r="M10" s="41">
        <f>J10+(K10/160)+(L10/43560)</f>
        <v>3749061.348915289</v>
      </c>
      <c r="N10" s="84">
        <v>19028108.03</v>
      </c>
      <c r="O10" s="14">
        <v>18958458</v>
      </c>
      <c r="P10" s="14">
        <v>87</v>
      </c>
      <c r="Q10" s="10">
        <f>(O10+P10/100)/(J10+K10/160+L10/43560)</f>
        <v>5.056854797931014</v>
      </c>
      <c r="R10" s="14"/>
      <c r="S10" s="14"/>
      <c r="T10" s="45"/>
      <c r="U10" s="45"/>
      <c r="V10" s="125">
        <v>2.7</v>
      </c>
      <c r="W10" s="125">
        <v>2.7</v>
      </c>
      <c r="X10" s="126">
        <f>V10+W10</f>
        <v>5.4</v>
      </c>
      <c r="Y10" s="129"/>
      <c r="Z10" s="72">
        <v>99</v>
      </c>
      <c r="AA10" s="72">
        <v>37</v>
      </c>
      <c r="AB10" s="72">
        <v>98</v>
      </c>
      <c r="AC10" s="72">
        <v>53</v>
      </c>
      <c r="AD10" s="72">
        <v>145</v>
      </c>
      <c r="AE10" s="73">
        <f>AB10+(AC10/160)+(AD10/43560)</f>
        <v>98.3345787419651</v>
      </c>
      <c r="AF10" s="14">
        <v>11130</v>
      </c>
      <c r="AG10" s="14">
        <v>3074</v>
      </c>
      <c r="AH10" s="14">
        <v>11989</v>
      </c>
      <c r="AI10" s="14">
        <v>59</v>
      </c>
      <c r="AJ10" s="14">
        <v>225</v>
      </c>
      <c r="AK10" s="9">
        <f>AH10+(AI10/160)+(AJ10/43560)</f>
        <v>11989.373915289256</v>
      </c>
      <c r="AL10" s="3">
        <v>11142</v>
      </c>
      <c r="AM10" s="78">
        <v>4146938.9</v>
      </c>
      <c r="AN10" s="78">
        <f>AM10/AL10</f>
        <v>372.1898133189732</v>
      </c>
      <c r="AO10" s="14">
        <v>4143935</v>
      </c>
      <c r="AP10" s="14">
        <v>20</v>
      </c>
      <c r="AQ10" s="10">
        <f>(AO10+AP10/100)/AK10</f>
        <v>345.63399467552796</v>
      </c>
      <c r="AR10" s="14">
        <v>9268</v>
      </c>
      <c r="AS10" s="14">
        <v>2170371</v>
      </c>
      <c r="AT10" s="14">
        <v>70</v>
      </c>
      <c r="AU10" s="9">
        <f>(AS10+AT10/100)/AR10</f>
        <v>234.17907854984895</v>
      </c>
      <c r="AV10" s="14">
        <v>1330</v>
      </c>
      <c r="AW10" s="14">
        <v>906512</v>
      </c>
      <c r="AX10" s="14">
        <v>60</v>
      </c>
      <c r="AY10" s="9">
        <f>(AW10+AX10/100)/AV10</f>
        <v>681.5884210526316</v>
      </c>
      <c r="AZ10" s="14">
        <v>474</v>
      </c>
      <c r="BA10" s="14">
        <v>754210</v>
      </c>
      <c r="BB10" s="14">
        <v>90</v>
      </c>
      <c r="BC10" s="9">
        <f>(BA10+BB10/100)/AZ10</f>
        <v>1591.1622362869198</v>
      </c>
      <c r="BD10" s="14">
        <v>60</v>
      </c>
      <c r="BE10" s="14">
        <v>242340</v>
      </c>
      <c r="BF10" s="14"/>
      <c r="BG10" s="9">
        <f>(BE10+BF10/100)/BD10</f>
        <v>4039</v>
      </c>
      <c r="BH10" s="14">
        <v>7</v>
      </c>
      <c r="BI10" s="14">
        <v>55500</v>
      </c>
      <c r="BJ10" s="14"/>
      <c r="BK10" s="9">
        <f>(BI10+BJ10/100)/BH10</f>
        <v>7928.571428571428</v>
      </c>
      <c r="BL10" s="14">
        <v>1</v>
      </c>
      <c r="BM10" s="14">
        <v>15000</v>
      </c>
      <c r="BN10" s="14"/>
      <c r="BO10" s="9">
        <f>(BM10+BN10/100)/BL10</f>
        <v>15000</v>
      </c>
      <c r="BP10" s="14"/>
      <c r="BQ10" s="14"/>
      <c r="BR10" s="14"/>
      <c r="BS10" s="9"/>
      <c r="BT10" s="14"/>
      <c r="BU10" s="14"/>
      <c r="BV10" s="14"/>
      <c r="BW10" s="9"/>
      <c r="BX10" s="14"/>
      <c r="BY10" s="14"/>
      <c r="BZ10" s="14"/>
      <c r="CA10" s="11"/>
      <c r="CB10" s="12">
        <f>AF10</f>
        <v>11130</v>
      </c>
      <c r="CC10" s="12">
        <f>AR10+AV10+AZ10+BD10+BH10+BL10+BP10+BT10+BX10</f>
        <v>11140</v>
      </c>
      <c r="CD10" s="13">
        <f>CB10-CC10</f>
        <v>-10</v>
      </c>
      <c r="CE10" s="12">
        <f>AO10</f>
        <v>4143935</v>
      </c>
      <c r="CF10" s="12">
        <f>AS10+AW10+BA10+BE10+BI10+BM10+BQ10+BU10+BY10</f>
        <v>4143933</v>
      </c>
      <c r="CG10" s="13">
        <f>CE10-CF10</f>
        <v>2</v>
      </c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98" ht="12.75">
      <c r="A11" s="5" t="s">
        <v>420</v>
      </c>
      <c r="B11" s="5"/>
      <c r="C11" s="14">
        <v>18733.33</v>
      </c>
      <c r="D11" s="14">
        <v>848195</v>
      </c>
      <c r="E11" s="14">
        <v>43</v>
      </c>
      <c r="F11" s="11">
        <f aca="true" t="shared" si="0" ref="F11:F25">(D11+E11/100)/C11</f>
        <v>45.27734417746338</v>
      </c>
      <c r="G11" s="14">
        <v>13000384</v>
      </c>
      <c r="H11" s="14">
        <v>79</v>
      </c>
      <c r="I11" s="14">
        <v>167</v>
      </c>
      <c r="J11" s="14">
        <v>7831028</v>
      </c>
      <c r="K11" s="14">
        <v>46</v>
      </c>
      <c r="L11" s="14">
        <v>23</v>
      </c>
      <c r="M11" s="42">
        <f>J11+(K11/160)+(L11/43560)</f>
        <v>7831028.288028007</v>
      </c>
      <c r="N11" s="84">
        <v>59445642.64</v>
      </c>
      <c r="O11" s="14">
        <v>62587332</v>
      </c>
      <c r="P11" s="14">
        <v>80</v>
      </c>
      <c r="Q11" s="11">
        <f>(O11+P11/100)/(J11+K11/160+L11/43560)</f>
        <v>7.992224073010035</v>
      </c>
      <c r="R11" s="14"/>
      <c r="S11" s="14"/>
      <c r="T11" s="45"/>
      <c r="U11" s="45"/>
      <c r="V11" s="48">
        <v>0</v>
      </c>
      <c r="W11" s="48">
        <v>0</v>
      </c>
      <c r="X11" s="119">
        <f aca="true" t="shared" si="1" ref="X11:X25">V11+W11</f>
        <v>0</v>
      </c>
      <c r="Y11" s="130"/>
      <c r="Z11" s="72">
        <v>675.125</v>
      </c>
      <c r="AA11" s="72">
        <v>262</v>
      </c>
      <c r="AB11" s="72">
        <v>594</v>
      </c>
      <c r="AC11" s="72">
        <v>141</v>
      </c>
      <c r="AD11" s="72">
        <v>119</v>
      </c>
      <c r="AE11" s="74">
        <f aca="true" t="shared" si="2" ref="AE11:AE18">AB11+AC11/160+AD11/43560</f>
        <v>594.8839818640955</v>
      </c>
      <c r="AF11" s="14">
        <v>50447.875</v>
      </c>
      <c r="AG11" s="14">
        <v>10807</v>
      </c>
      <c r="AH11" s="14">
        <v>28732</v>
      </c>
      <c r="AI11" s="14">
        <v>54</v>
      </c>
      <c r="AJ11" s="14">
        <v>26</v>
      </c>
      <c r="AK11" s="9">
        <f aca="true" t="shared" si="3" ref="AK11:AK25">AH11+(AI11/160)+(AJ11/43560)</f>
        <v>28732.33809687787</v>
      </c>
      <c r="AL11" s="3">
        <v>48984</v>
      </c>
      <c r="AM11" s="78">
        <v>24546826.46</v>
      </c>
      <c r="AN11" s="78">
        <f aca="true" t="shared" si="4" ref="AN11:AN25">AM11/AL11</f>
        <v>501.1192728237792</v>
      </c>
      <c r="AO11" s="14">
        <v>25003215</v>
      </c>
      <c r="AP11" s="14">
        <v>79</v>
      </c>
      <c r="AQ11" s="11">
        <f aca="true" t="shared" si="5" ref="AQ11:AQ25">(AO11+AP11/100)/AK11</f>
        <v>870.211665535041</v>
      </c>
      <c r="AR11" s="14">
        <v>38771.375</v>
      </c>
      <c r="AS11" s="14">
        <v>9413733</v>
      </c>
      <c r="AT11" s="14">
        <v>6</v>
      </c>
      <c r="AU11" s="9">
        <f aca="true" t="shared" si="6" ref="AU11:AU25">(AS11+AT11/100)/AR11</f>
        <v>242.80111448201154</v>
      </c>
      <c r="AV11" s="14">
        <v>7409</v>
      </c>
      <c r="AW11" s="14">
        <v>5298839</v>
      </c>
      <c r="AX11" s="14">
        <v>88</v>
      </c>
      <c r="AY11" s="9">
        <f aca="true" t="shared" si="7" ref="AY11:AY25">(AW11+AX11/100)/AV11</f>
        <v>715.1896180321231</v>
      </c>
      <c r="AZ11" s="14">
        <v>3378.5</v>
      </c>
      <c r="BA11" s="14">
        <v>5551816</v>
      </c>
      <c r="BB11" s="14">
        <v>35</v>
      </c>
      <c r="BC11" s="9">
        <f aca="true" t="shared" si="8" ref="BC11:BC25">(BA11+BB11/100)/AZ11</f>
        <v>1643.2784815746631</v>
      </c>
      <c r="BD11" s="14">
        <v>694</v>
      </c>
      <c r="BE11" s="14">
        <v>2864376</v>
      </c>
      <c r="BF11" s="14">
        <v>50</v>
      </c>
      <c r="BG11" s="9">
        <f aca="true" t="shared" si="9" ref="BG11:BG25">(BE11+BF11/100)/BD11</f>
        <v>4127.343659942363</v>
      </c>
      <c r="BH11" s="14">
        <v>143</v>
      </c>
      <c r="BI11" s="14">
        <v>1086050</v>
      </c>
      <c r="BJ11" s="14"/>
      <c r="BK11" s="9">
        <f aca="true" t="shared" si="10" ref="BK11:BK24">(BI11+BJ11/100)/BH11</f>
        <v>7594.755244755244</v>
      </c>
      <c r="BL11" s="14">
        <v>33</v>
      </c>
      <c r="BM11" s="14">
        <v>406050</v>
      </c>
      <c r="BN11" s="14"/>
      <c r="BO11" s="9">
        <f aca="true" t="shared" si="11" ref="BO11:BO20">(BM11+BN11/100)/BL11</f>
        <v>12304.545454545454</v>
      </c>
      <c r="BP11" s="14">
        <v>13</v>
      </c>
      <c r="BQ11" s="14">
        <v>224400</v>
      </c>
      <c r="BR11" s="14"/>
      <c r="BS11" s="9">
        <f aca="true" t="shared" si="12" ref="BS11:BS20">(BQ11+BR11/100)/BP11</f>
        <v>17261.53846153846</v>
      </c>
      <c r="BT11" s="14">
        <v>5</v>
      </c>
      <c r="BU11" s="14">
        <v>120450</v>
      </c>
      <c r="BV11" s="14"/>
      <c r="BW11" s="9">
        <f aca="true" t="shared" si="13" ref="BW11:BW20">(BU11+BV11/100)/BT11</f>
        <v>24090</v>
      </c>
      <c r="BX11" s="14">
        <v>1</v>
      </c>
      <c r="BY11" s="14">
        <v>37500</v>
      </c>
      <c r="BZ11" s="14"/>
      <c r="CA11" s="11">
        <f>(BY11+BZ11/100)/BX11</f>
        <v>37500</v>
      </c>
      <c r="CB11" s="12">
        <f aca="true" t="shared" si="14" ref="CB11:CB25">AF11</f>
        <v>50447.875</v>
      </c>
      <c r="CC11" s="12">
        <f aca="true" t="shared" si="15" ref="CC11:CC25">AR11+AV11+AZ11+BD11+BH11+BL11+BP11+BT11+BX11</f>
        <v>50447.875</v>
      </c>
      <c r="CD11" s="13">
        <f aca="true" t="shared" si="16" ref="CD11:CD25">CB11-CC11</f>
        <v>0</v>
      </c>
      <c r="CE11" s="12">
        <f aca="true" t="shared" si="17" ref="CE11:CE25">AO11</f>
        <v>25003215</v>
      </c>
      <c r="CF11" s="12">
        <f aca="true" t="shared" si="18" ref="CF11:CF25">AS11+AW11+BA11+BE11+BI11+BM11+BQ11+BU11+BY11</f>
        <v>25003214</v>
      </c>
      <c r="CG11" s="13">
        <f aca="true" t="shared" si="19" ref="CG11:CG25">CE11-CF11</f>
        <v>1</v>
      </c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98" ht="12.75">
      <c r="A12" s="5" t="s">
        <v>501</v>
      </c>
      <c r="B12" s="5"/>
      <c r="C12" s="14">
        <v>2525</v>
      </c>
      <c r="D12" s="14">
        <v>65579</v>
      </c>
      <c r="E12" s="14">
        <v>42</v>
      </c>
      <c r="F12" s="11">
        <f t="shared" si="0"/>
        <v>25.972047524752476</v>
      </c>
      <c r="G12" s="14">
        <v>924</v>
      </c>
      <c r="H12" s="14">
        <v>55</v>
      </c>
      <c r="I12" s="14">
        <v>166</v>
      </c>
      <c r="J12" s="14">
        <v>565843</v>
      </c>
      <c r="K12" s="14">
        <v>146</v>
      </c>
      <c r="L12" s="14">
        <v>205</v>
      </c>
      <c r="M12" s="42">
        <f aca="true" t="shared" si="20" ref="M12:M20">J12+(K12/160)+(L12/43560)</f>
        <v>565843.9172061525</v>
      </c>
      <c r="N12" s="84">
        <v>8082355.21</v>
      </c>
      <c r="O12" s="14">
        <v>8131711</v>
      </c>
      <c r="P12" s="14">
        <v>41</v>
      </c>
      <c r="Q12" s="11">
        <f aca="true" t="shared" si="21" ref="Q12:Q25">(O12+P12/100)/(J12+K12/160+L12/43560)</f>
        <v>14.37094428822391</v>
      </c>
      <c r="R12" s="14">
        <v>168</v>
      </c>
      <c r="S12" s="14">
        <v>24</v>
      </c>
      <c r="T12" s="45">
        <v>144</v>
      </c>
      <c r="U12" s="45">
        <v>143</v>
      </c>
      <c r="V12" s="49">
        <v>86.4</v>
      </c>
      <c r="W12" s="49">
        <v>144.9</v>
      </c>
      <c r="X12" s="119">
        <f t="shared" si="1"/>
        <v>231.3</v>
      </c>
      <c r="Y12" s="130"/>
      <c r="Z12" s="72">
        <v>36</v>
      </c>
      <c r="AA12" s="72">
        <v>19</v>
      </c>
      <c r="AB12" s="72">
        <v>24</v>
      </c>
      <c r="AC12" s="72">
        <v>99</v>
      </c>
      <c r="AD12" s="72">
        <v>256</v>
      </c>
      <c r="AE12" s="74">
        <f t="shared" si="2"/>
        <v>24.624626951331496</v>
      </c>
      <c r="AF12" s="14">
        <v>7023</v>
      </c>
      <c r="AG12" s="14">
        <v>4100</v>
      </c>
      <c r="AH12" s="14">
        <v>9093</v>
      </c>
      <c r="AI12" s="14">
        <v>153</v>
      </c>
      <c r="AJ12" s="14">
        <v>233</v>
      </c>
      <c r="AK12" s="9">
        <f t="shared" si="3"/>
        <v>9093.961598943984</v>
      </c>
      <c r="AL12" s="3">
        <v>7034</v>
      </c>
      <c r="AM12" s="78">
        <v>2984002.87</v>
      </c>
      <c r="AN12" s="78">
        <f t="shared" si="4"/>
        <v>424.2255999431334</v>
      </c>
      <c r="AO12" s="14">
        <v>2982282</v>
      </c>
      <c r="AP12" s="14">
        <v>75</v>
      </c>
      <c r="AQ12" s="11">
        <f t="shared" si="5"/>
        <v>327.94098782496627</v>
      </c>
      <c r="AR12" s="14">
        <v>5407</v>
      </c>
      <c r="AS12" s="14">
        <v>1363526</v>
      </c>
      <c r="AT12" s="14">
        <v>25</v>
      </c>
      <c r="AU12" s="9">
        <f t="shared" si="6"/>
        <v>252.17796375069355</v>
      </c>
      <c r="AV12" s="14">
        <v>1193</v>
      </c>
      <c r="AW12" s="14">
        <v>898756</v>
      </c>
      <c r="AX12" s="14">
        <v>50</v>
      </c>
      <c r="AY12" s="9">
        <f t="shared" si="7"/>
        <v>753.3583403185247</v>
      </c>
      <c r="AZ12" s="14">
        <v>408</v>
      </c>
      <c r="BA12" s="14">
        <v>645100</v>
      </c>
      <c r="BB12" s="14"/>
      <c r="BC12" s="9">
        <f t="shared" si="8"/>
        <v>1581.1274509803923</v>
      </c>
      <c r="BD12" s="14">
        <v>13</v>
      </c>
      <c r="BE12" s="14">
        <v>56900</v>
      </c>
      <c r="BF12" s="14"/>
      <c r="BG12" s="9">
        <f t="shared" si="9"/>
        <v>4376.923076923077</v>
      </c>
      <c r="BH12" s="14">
        <v>2</v>
      </c>
      <c r="BI12" s="14">
        <v>18000</v>
      </c>
      <c r="BJ12" s="14"/>
      <c r="BK12" s="9">
        <f t="shared" si="10"/>
        <v>9000</v>
      </c>
      <c r="BL12" s="14"/>
      <c r="BM12" s="14"/>
      <c r="BN12" s="14"/>
      <c r="BO12" s="9"/>
      <c r="BP12" s="14"/>
      <c r="BQ12" s="14"/>
      <c r="BR12" s="14"/>
      <c r="BS12" s="9"/>
      <c r="BT12" s="14"/>
      <c r="BU12" s="14"/>
      <c r="BV12" s="14"/>
      <c r="BW12" s="9"/>
      <c r="BX12" s="14"/>
      <c r="BY12" s="14"/>
      <c r="BZ12" s="14"/>
      <c r="CA12" s="11"/>
      <c r="CB12" s="12">
        <f t="shared" si="14"/>
        <v>7023</v>
      </c>
      <c r="CC12" s="12">
        <f t="shared" si="15"/>
        <v>7023</v>
      </c>
      <c r="CD12" s="13">
        <f t="shared" si="16"/>
        <v>0</v>
      </c>
      <c r="CE12" s="12">
        <f t="shared" si="17"/>
        <v>2982282</v>
      </c>
      <c r="CF12" s="12">
        <f t="shared" si="18"/>
        <v>2982282</v>
      </c>
      <c r="CG12" s="13">
        <f t="shared" si="19"/>
        <v>0</v>
      </c>
      <c r="CH12" s="12" t="s">
        <v>344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spans="1:98" ht="12.75">
      <c r="A13" s="5" t="s">
        <v>502</v>
      </c>
      <c r="B13" s="5"/>
      <c r="C13" s="14">
        <f>10989+1/6</f>
        <v>10989.166666666666</v>
      </c>
      <c r="D13" s="14">
        <v>595095</v>
      </c>
      <c r="E13" s="14">
        <v>69</v>
      </c>
      <c r="F13" s="11">
        <f t="shared" si="0"/>
        <v>54.152940623341166</v>
      </c>
      <c r="G13" s="14">
        <v>30754</v>
      </c>
      <c r="H13" s="14">
        <v>78</v>
      </c>
      <c r="I13" s="14">
        <v>82.75</v>
      </c>
      <c r="J13" s="14">
        <v>2649148</v>
      </c>
      <c r="K13" s="14">
        <v>132</v>
      </c>
      <c r="L13" s="14">
        <v>1.25</v>
      </c>
      <c r="M13" s="42">
        <f t="shared" si="20"/>
        <v>2649148.825028696</v>
      </c>
      <c r="N13" s="84">
        <v>40163955.34</v>
      </c>
      <c r="O13" s="14">
        <v>40170630</v>
      </c>
      <c r="P13" s="14">
        <v>74</v>
      </c>
      <c r="Q13" s="11">
        <f t="shared" si="21"/>
        <v>15.163599100388355</v>
      </c>
      <c r="R13" s="14">
        <v>884</v>
      </c>
      <c r="S13" s="14">
        <v>231</v>
      </c>
      <c r="T13" s="45">
        <v>653</v>
      </c>
      <c r="U13" s="45">
        <v>654</v>
      </c>
      <c r="V13" s="49">
        <v>219.6</v>
      </c>
      <c r="W13" s="49">
        <v>359.1</v>
      </c>
      <c r="X13" s="119">
        <f t="shared" si="1"/>
        <v>578.7</v>
      </c>
      <c r="Y13" s="130"/>
      <c r="Z13" s="72">
        <v>355.33</v>
      </c>
      <c r="AA13" s="72">
        <v>156</v>
      </c>
      <c r="AB13" s="72">
        <v>134</v>
      </c>
      <c r="AC13" s="72">
        <v>112</v>
      </c>
      <c r="AD13" s="72">
        <v>111</v>
      </c>
      <c r="AE13" s="74">
        <f t="shared" si="2"/>
        <v>134.70254820936637</v>
      </c>
      <c r="AF13" s="14">
        <f>23568+2/3</f>
        <v>23568.666666666668</v>
      </c>
      <c r="AG13" s="14">
        <v>7112</v>
      </c>
      <c r="AH13" s="14">
        <v>8506</v>
      </c>
      <c r="AI13" s="14">
        <v>67.5</v>
      </c>
      <c r="AJ13" s="14">
        <v>141.5</v>
      </c>
      <c r="AK13" s="9">
        <f t="shared" si="3"/>
        <v>8506.42512339302</v>
      </c>
      <c r="AL13" s="3">
        <v>23565</v>
      </c>
      <c r="AM13" s="78">
        <v>8149479.28</v>
      </c>
      <c r="AN13" s="78">
        <f t="shared" si="4"/>
        <v>345.8298018247401</v>
      </c>
      <c r="AO13" s="14">
        <v>8149598</v>
      </c>
      <c r="AP13" s="14">
        <v>94</v>
      </c>
      <c r="AQ13" s="11">
        <f t="shared" si="5"/>
        <v>958.0521572556098</v>
      </c>
      <c r="AR13" s="14">
        <f>19981+2/3</f>
        <v>19981.666666666668</v>
      </c>
      <c r="AS13" s="14">
        <v>4657391</v>
      </c>
      <c r="AT13" s="14">
        <v>95</v>
      </c>
      <c r="AU13" s="9">
        <f t="shared" si="6"/>
        <v>233.08325715238968</v>
      </c>
      <c r="AV13" s="14">
        <v>2653</v>
      </c>
      <c r="AW13" s="14">
        <v>1876111</v>
      </c>
      <c r="AX13" s="14">
        <v>99</v>
      </c>
      <c r="AY13" s="9">
        <f t="shared" si="7"/>
        <v>707.166223143611</v>
      </c>
      <c r="AZ13" s="14">
        <v>880</v>
      </c>
      <c r="BA13" s="14">
        <v>1400867</v>
      </c>
      <c r="BB13" s="14">
        <v>50</v>
      </c>
      <c r="BC13" s="9">
        <f t="shared" si="8"/>
        <v>1591.8948863636363</v>
      </c>
      <c r="BD13" s="14">
        <v>51</v>
      </c>
      <c r="BE13" s="14">
        <v>194177</v>
      </c>
      <c r="BF13" s="14">
        <v>50</v>
      </c>
      <c r="BG13" s="9">
        <f t="shared" si="9"/>
        <v>3807.401960784314</v>
      </c>
      <c r="BH13" s="14">
        <v>3</v>
      </c>
      <c r="BI13" s="14">
        <v>21050</v>
      </c>
      <c r="BJ13" s="14"/>
      <c r="BK13" s="9">
        <f t="shared" si="10"/>
        <v>7016.666666666667</v>
      </c>
      <c r="BL13" s="14"/>
      <c r="BM13" s="14"/>
      <c r="BN13" s="14"/>
      <c r="BO13" s="9"/>
      <c r="BP13" s="14"/>
      <c r="BQ13" s="14"/>
      <c r="BR13" s="14"/>
      <c r="BS13" s="9"/>
      <c r="BT13" s="14"/>
      <c r="BU13" s="14"/>
      <c r="BV13" s="14"/>
      <c r="BW13" s="9"/>
      <c r="BX13" s="14"/>
      <c r="BY13" s="14"/>
      <c r="BZ13" s="14"/>
      <c r="CA13" s="11"/>
      <c r="CB13" s="12">
        <f t="shared" si="14"/>
        <v>23568.666666666668</v>
      </c>
      <c r="CC13" s="12">
        <f t="shared" si="15"/>
        <v>23568.666666666668</v>
      </c>
      <c r="CD13" s="13">
        <f t="shared" si="16"/>
        <v>0</v>
      </c>
      <c r="CE13" s="12">
        <f t="shared" si="17"/>
        <v>8149598</v>
      </c>
      <c r="CF13" s="12">
        <f t="shared" si="18"/>
        <v>8149596</v>
      </c>
      <c r="CG13" s="13">
        <f t="shared" si="19"/>
        <v>2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spans="1:98" ht="12.75">
      <c r="A14" s="5" t="s">
        <v>503</v>
      </c>
      <c r="B14" s="5"/>
      <c r="C14" s="14">
        <v>29225.8</v>
      </c>
      <c r="D14" s="14">
        <v>1343074</v>
      </c>
      <c r="E14" s="14">
        <v>65</v>
      </c>
      <c r="F14" s="11">
        <f t="shared" si="0"/>
        <v>45.95510302540905</v>
      </c>
      <c r="G14" s="14">
        <v>278648</v>
      </c>
      <c r="H14" s="14">
        <v>96</v>
      </c>
      <c r="I14" s="14"/>
      <c r="J14" s="14">
        <v>4918722</v>
      </c>
      <c r="K14" s="14">
        <v>34</v>
      </c>
      <c r="L14" s="14">
        <v>3</v>
      </c>
      <c r="M14" s="42">
        <f t="shared" si="20"/>
        <v>4918722.212568871</v>
      </c>
      <c r="N14" s="84">
        <v>15165484.02</v>
      </c>
      <c r="O14" s="14">
        <v>15165484</v>
      </c>
      <c r="P14" s="14">
        <v>2</v>
      </c>
      <c r="Q14" s="11">
        <f t="shared" si="21"/>
        <v>3.0832162022176113</v>
      </c>
      <c r="R14" s="14"/>
      <c r="S14" s="14"/>
      <c r="T14" s="45"/>
      <c r="U14" s="45"/>
      <c r="V14" s="48">
        <v>0</v>
      </c>
      <c r="W14" s="48">
        <v>0</v>
      </c>
      <c r="X14" s="119">
        <f t="shared" si="1"/>
        <v>0</v>
      </c>
      <c r="Y14" s="130"/>
      <c r="Z14" s="72">
        <v>60</v>
      </c>
      <c r="AA14" s="72">
        <v>20</v>
      </c>
      <c r="AB14" s="72">
        <v>71</v>
      </c>
      <c r="AC14" s="72">
        <v>15</v>
      </c>
      <c r="AD14" s="72">
        <v>129.5</v>
      </c>
      <c r="AE14" s="74">
        <f t="shared" si="2"/>
        <v>71.09672291092745</v>
      </c>
      <c r="AF14" s="14">
        <v>5517.5</v>
      </c>
      <c r="AG14" s="14">
        <v>1104</v>
      </c>
      <c r="AH14" s="14">
        <v>5699</v>
      </c>
      <c r="AI14" s="14">
        <v>22</v>
      </c>
      <c r="AJ14" s="14">
        <v>126</v>
      </c>
      <c r="AK14" s="9">
        <f t="shared" si="3"/>
        <v>5699.140392561983</v>
      </c>
      <c r="AL14" s="3">
        <v>5437</v>
      </c>
      <c r="AM14" s="78">
        <v>1558389.36</v>
      </c>
      <c r="AN14" s="78">
        <f t="shared" si="4"/>
        <v>286.6266985469928</v>
      </c>
      <c r="AO14" s="14">
        <v>1558419</v>
      </c>
      <c r="AP14" s="14">
        <v>86</v>
      </c>
      <c r="AQ14" s="11">
        <f t="shared" si="5"/>
        <v>273.4482312514906</v>
      </c>
      <c r="AR14" s="14">
        <v>4960.5</v>
      </c>
      <c r="AS14" s="14">
        <v>1090994</v>
      </c>
      <c r="AT14" s="14">
        <v>74</v>
      </c>
      <c r="AU14" s="9">
        <f t="shared" si="6"/>
        <v>219.93644592279003</v>
      </c>
      <c r="AV14" s="14">
        <v>441</v>
      </c>
      <c r="AW14" s="14">
        <v>314758</v>
      </c>
      <c r="AX14" s="14">
        <v>70</v>
      </c>
      <c r="AY14" s="9">
        <f t="shared" si="7"/>
        <v>713.7385487528345</v>
      </c>
      <c r="AZ14" s="14">
        <v>116</v>
      </c>
      <c r="BA14" s="14">
        <v>152666</v>
      </c>
      <c r="BB14" s="14">
        <v>42</v>
      </c>
      <c r="BC14" s="9">
        <f t="shared" si="8"/>
        <v>1316.089827586207</v>
      </c>
      <c r="BD14" s="14"/>
      <c r="BE14" s="14"/>
      <c r="BF14" s="14"/>
      <c r="BG14" s="9"/>
      <c r="BH14" s="14"/>
      <c r="BI14" s="14"/>
      <c r="BJ14" s="14"/>
      <c r="BK14" s="9"/>
      <c r="BL14" s="14"/>
      <c r="BM14" s="14"/>
      <c r="BN14" s="14"/>
      <c r="BO14" s="9"/>
      <c r="BP14" s="14"/>
      <c r="BQ14" s="14"/>
      <c r="BR14" s="14"/>
      <c r="BS14" s="9"/>
      <c r="BT14" s="14"/>
      <c r="BU14" s="14"/>
      <c r="BV14" s="14"/>
      <c r="BW14" s="9"/>
      <c r="BX14" s="14"/>
      <c r="BY14" s="14"/>
      <c r="BZ14" s="14"/>
      <c r="CA14" s="11"/>
      <c r="CB14" s="12">
        <f t="shared" si="14"/>
        <v>5517.5</v>
      </c>
      <c r="CC14" s="12">
        <f t="shared" si="15"/>
        <v>5517.5</v>
      </c>
      <c r="CD14" s="13">
        <f t="shared" si="16"/>
        <v>0</v>
      </c>
      <c r="CE14" s="12">
        <f t="shared" si="17"/>
        <v>1558419</v>
      </c>
      <c r="CF14" s="12">
        <f t="shared" si="18"/>
        <v>1558418</v>
      </c>
      <c r="CG14" s="13">
        <f t="shared" si="19"/>
        <v>1</v>
      </c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</row>
    <row r="15" spans="1:98" ht="12.75">
      <c r="A15" s="5" t="s">
        <v>131</v>
      </c>
      <c r="B15" s="5"/>
      <c r="C15" s="14">
        <v>39993</v>
      </c>
      <c r="D15" s="14">
        <v>1144058</v>
      </c>
      <c r="E15" s="14">
        <v>25</v>
      </c>
      <c r="F15" s="11">
        <f t="shared" si="0"/>
        <v>28.60646238091666</v>
      </c>
      <c r="G15" s="14">
        <v>96542</v>
      </c>
      <c r="H15" s="14">
        <v>52</v>
      </c>
      <c r="I15" s="14">
        <v>261</v>
      </c>
      <c r="J15" s="14">
        <v>14408713</v>
      </c>
      <c r="K15" s="14">
        <v>14</v>
      </c>
      <c r="L15" s="14">
        <v>23</v>
      </c>
      <c r="M15" s="42">
        <f t="shared" si="20"/>
        <v>14408713.088028008</v>
      </c>
      <c r="N15" s="84">
        <v>74885075.69</v>
      </c>
      <c r="O15" s="14">
        <v>71154480</v>
      </c>
      <c r="P15" s="14">
        <v>75</v>
      </c>
      <c r="Q15" s="11">
        <f t="shared" si="21"/>
        <v>4.93829534360853</v>
      </c>
      <c r="R15" s="14">
        <v>18400</v>
      </c>
      <c r="S15" s="14">
        <v>1004</v>
      </c>
      <c r="T15" s="45">
        <v>10026</v>
      </c>
      <c r="U15" s="45">
        <v>9994</v>
      </c>
      <c r="V15" s="49">
        <v>5923.193960415252</v>
      </c>
      <c r="W15" s="49">
        <v>6445.436882701078</v>
      </c>
      <c r="X15" s="119">
        <f t="shared" si="1"/>
        <v>12368.63084311633</v>
      </c>
      <c r="Y15" s="130"/>
      <c r="Z15" s="72">
        <v>105</v>
      </c>
      <c r="AA15" s="72">
        <v>13</v>
      </c>
      <c r="AB15" s="72">
        <v>72</v>
      </c>
      <c r="AC15" s="72">
        <v>121</v>
      </c>
      <c r="AD15" s="72">
        <v>258</v>
      </c>
      <c r="AE15" s="74">
        <f t="shared" si="2"/>
        <v>72.76217286501377</v>
      </c>
      <c r="AF15" s="14">
        <v>33187</v>
      </c>
      <c r="AG15" s="14">
        <v>6253</v>
      </c>
      <c r="AH15" s="14">
        <v>27832</v>
      </c>
      <c r="AI15" s="14">
        <v>27</v>
      </c>
      <c r="AJ15" s="14">
        <v>232</v>
      </c>
      <c r="AK15" s="9">
        <f t="shared" si="3"/>
        <v>27832.174075987146</v>
      </c>
      <c r="AL15" s="3">
        <v>33416</v>
      </c>
      <c r="AM15" s="78">
        <v>25495631.39</v>
      </c>
      <c r="AN15" s="78">
        <f t="shared" si="4"/>
        <v>762.9767593368447</v>
      </c>
      <c r="AO15" s="14">
        <v>25398509</v>
      </c>
      <c r="AP15" s="14">
        <v>39</v>
      </c>
      <c r="AQ15" s="11">
        <f t="shared" si="5"/>
        <v>912.559303511728</v>
      </c>
      <c r="AR15" s="14">
        <v>21413</v>
      </c>
      <c r="AS15" s="14">
        <v>5450898</v>
      </c>
      <c r="AT15" s="14">
        <v>21</v>
      </c>
      <c r="AU15" s="9">
        <f t="shared" si="6"/>
        <v>254.56023023397</v>
      </c>
      <c r="AV15" s="14">
        <v>5640</v>
      </c>
      <c r="AW15" s="14">
        <v>4241014</v>
      </c>
      <c r="AX15" s="14">
        <v>87</v>
      </c>
      <c r="AY15" s="9">
        <f t="shared" si="7"/>
        <v>751.9529911347518</v>
      </c>
      <c r="AZ15" s="14">
        <v>4561</v>
      </c>
      <c r="BA15" s="14">
        <v>7313267</v>
      </c>
      <c r="BB15" s="14">
        <v>57</v>
      </c>
      <c r="BC15" s="9">
        <f t="shared" si="8"/>
        <v>1603.4351172988381</v>
      </c>
      <c r="BD15" s="14">
        <v>1180</v>
      </c>
      <c r="BE15" s="14">
        <v>5061173</v>
      </c>
      <c r="BF15" s="14">
        <v>24</v>
      </c>
      <c r="BG15" s="9">
        <f t="shared" si="9"/>
        <v>4289.12986440678</v>
      </c>
      <c r="BH15" s="14">
        <v>340</v>
      </c>
      <c r="BI15" s="14">
        <v>2586322</v>
      </c>
      <c r="BJ15" s="14"/>
      <c r="BK15" s="9">
        <f t="shared" si="10"/>
        <v>7606.829411764706</v>
      </c>
      <c r="BL15" s="14">
        <v>45</v>
      </c>
      <c r="BM15" s="14">
        <v>567300</v>
      </c>
      <c r="BN15" s="14"/>
      <c r="BO15" s="9">
        <f t="shared" si="11"/>
        <v>12606.666666666666</v>
      </c>
      <c r="BP15" s="14">
        <v>3</v>
      </c>
      <c r="BQ15" s="14">
        <v>53500</v>
      </c>
      <c r="BR15" s="14"/>
      <c r="BS15" s="9">
        <f t="shared" si="12"/>
        <v>17833.333333333332</v>
      </c>
      <c r="BT15" s="14">
        <v>4</v>
      </c>
      <c r="BU15" s="14">
        <v>92533</v>
      </c>
      <c r="BV15" s="14"/>
      <c r="BW15" s="9">
        <f t="shared" si="13"/>
        <v>23133.25</v>
      </c>
      <c r="BX15" s="14">
        <v>1</v>
      </c>
      <c r="BY15" s="14">
        <v>32500</v>
      </c>
      <c r="BZ15" s="14"/>
      <c r="CA15" s="11">
        <f>(BY15+BZ15/100)/BX15</f>
        <v>32500</v>
      </c>
      <c r="CB15" s="12">
        <f t="shared" si="14"/>
        <v>33187</v>
      </c>
      <c r="CC15" s="12">
        <f t="shared" si="15"/>
        <v>33187</v>
      </c>
      <c r="CD15" s="13">
        <f t="shared" si="16"/>
        <v>0</v>
      </c>
      <c r="CE15" s="12">
        <f t="shared" si="17"/>
        <v>25398509</v>
      </c>
      <c r="CF15" s="12">
        <f t="shared" si="18"/>
        <v>25398507</v>
      </c>
      <c r="CG15" s="13">
        <f t="shared" si="19"/>
        <v>2</v>
      </c>
      <c r="CH15" s="12" t="s">
        <v>436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98" ht="12.75">
      <c r="A16" s="5" t="s">
        <v>340</v>
      </c>
      <c r="B16" s="5"/>
      <c r="C16" s="14">
        <v>11833.5</v>
      </c>
      <c r="D16" s="14">
        <v>628131</v>
      </c>
      <c r="E16" s="14"/>
      <c r="F16" s="11">
        <f t="shared" si="0"/>
        <v>53.08074534161491</v>
      </c>
      <c r="G16" s="14"/>
      <c r="H16" s="14"/>
      <c r="I16" s="14"/>
      <c r="J16" s="14">
        <v>2788281</v>
      </c>
      <c r="K16" s="14">
        <v>128</v>
      </c>
      <c r="L16" s="14">
        <v>99</v>
      </c>
      <c r="M16" s="42">
        <f t="shared" si="20"/>
        <v>2788281.8022727272</v>
      </c>
      <c r="N16" s="84">
        <v>27287981.89</v>
      </c>
      <c r="O16" s="14">
        <v>27367081</v>
      </c>
      <c r="P16" s="14">
        <v>44</v>
      </c>
      <c r="Q16" s="11">
        <f t="shared" si="21"/>
        <v>9.815034268664347</v>
      </c>
      <c r="R16" s="14">
        <v>10128</v>
      </c>
      <c r="S16" s="14">
        <v>7698</v>
      </c>
      <c r="T16" s="45">
        <v>2430</v>
      </c>
      <c r="U16" s="45">
        <v>2433</v>
      </c>
      <c r="V16" s="49">
        <v>3617.1</v>
      </c>
      <c r="W16" s="49">
        <v>3935.7</v>
      </c>
      <c r="X16" s="119">
        <f t="shared" si="1"/>
        <v>7552.799999999999</v>
      </c>
      <c r="Y16" s="130"/>
      <c r="Z16" s="72">
        <v>12</v>
      </c>
      <c r="AA16" s="72"/>
      <c r="AB16" s="72">
        <v>24</v>
      </c>
      <c r="AC16" s="72"/>
      <c r="AD16" s="72"/>
      <c r="AE16" s="74">
        <f t="shared" si="2"/>
        <v>24</v>
      </c>
      <c r="AF16" s="14">
        <v>19624</v>
      </c>
      <c r="AG16" s="14">
        <v>7123</v>
      </c>
      <c r="AH16" s="14">
        <v>31062</v>
      </c>
      <c r="AI16" s="14">
        <v>125</v>
      </c>
      <c r="AJ16" s="14">
        <v>113</v>
      </c>
      <c r="AK16" s="9">
        <f t="shared" si="3"/>
        <v>31062.78384412305</v>
      </c>
      <c r="AL16" s="3">
        <v>19624</v>
      </c>
      <c r="AM16" s="78">
        <v>9149918.84</v>
      </c>
      <c r="AN16" s="78">
        <f t="shared" si="4"/>
        <v>466.2616612311455</v>
      </c>
      <c r="AO16" s="14">
        <v>9153343</v>
      </c>
      <c r="AP16" s="14">
        <v>54</v>
      </c>
      <c r="AQ16" s="11">
        <f t="shared" si="5"/>
        <v>294.6723508727559</v>
      </c>
      <c r="AR16" s="14">
        <v>13997</v>
      </c>
      <c r="AS16" s="14">
        <v>3707870</v>
      </c>
      <c r="AT16" s="14">
        <v>38</v>
      </c>
      <c r="AU16" s="9">
        <f t="shared" si="6"/>
        <v>264.9046495677645</v>
      </c>
      <c r="AV16" s="14">
        <v>4174</v>
      </c>
      <c r="AW16" s="14">
        <v>2957099</v>
      </c>
      <c r="AX16" s="14">
        <v>74</v>
      </c>
      <c r="AY16" s="9">
        <f t="shared" si="7"/>
        <v>708.457053186392</v>
      </c>
      <c r="AZ16" s="14">
        <v>1360</v>
      </c>
      <c r="BA16" s="14">
        <v>2109328</v>
      </c>
      <c r="BB16" s="14">
        <v>42</v>
      </c>
      <c r="BC16" s="9">
        <f t="shared" si="8"/>
        <v>1550.9767794117647</v>
      </c>
      <c r="BD16" s="14">
        <v>92</v>
      </c>
      <c r="BE16" s="14">
        <v>372545</v>
      </c>
      <c r="BF16" s="14"/>
      <c r="BG16" s="9">
        <f t="shared" si="9"/>
        <v>4049.4021739130435</v>
      </c>
      <c r="BH16" s="14">
        <v>1</v>
      </c>
      <c r="BI16" s="14">
        <v>6500</v>
      </c>
      <c r="BJ16" s="14"/>
      <c r="BK16" s="9">
        <f t="shared" si="10"/>
        <v>6500</v>
      </c>
      <c r="BL16" s="14"/>
      <c r="BM16" s="14"/>
      <c r="BN16" s="14"/>
      <c r="BO16" s="9"/>
      <c r="BP16" s="14"/>
      <c r="BQ16" s="14"/>
      <c r="BR16" s="14"/>
      <c r="BS16" s="9"/>
      <c r="BT16" s="14"/>
      <c r="BU16" s="14"/>
      <c r="BV16" s="14"/>
      <c r="BW16" s="9"/>
      <c r="BX16" s="14"/>
      <c r="BY16" s="14"/>
      <c r="BZ16" s="14"/>
      <c r="CA16" s="11"/>
      <c r="CB16" s="12">
        <f t="shared" si="14"/>
        <v>19624</v>
      </c>
      <c r="CC16" s="12">
        <f t="shared" si="15"/>
        <v>19624</v>
      </c>
      <c r="CD16" s="13">
        <f t="shared" si="16"/>
        <v>0</v>
      </c>
      <c r="CE16" s="12">
        <f t="shared" si="17"/>
        <v>9153343</v>
      </c>
      <c r="CF16" s="12">
        <f t="shared" si="18"/>
        <v>9153342</v>
      </c>
      <c r="CG16" s="13">
        <f t="shared" si="19"/>
        <v>1</v>
      </c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</row>
    <row r="17" spans="1:98" ht="12.75">
      <c r="A17" s="5" t="s">
        <v>341</v>
      </c>
      <c r="B17" s="5"/>
      <c r="C17" s="14">
        <v>30109</v>
      </c>
      <c r="D17" s="14">
        <v>855828</v>
      </c>
      <c r="E17" s="14">
        <v>73</v>
      </c>
      <c r="F17" s="11">
        <f t="shared" si="0"/>
        <v>28.424349197914243</v>
      </c>
      <c r="G17" s="14">
        <v>4342952</v>
      </c>
      <c r="H17" s="14">
        <v>528</v>
      </c>
      <c r="I17" s="14">
        <v>2698538</v>
      </c>
      <c r="J17" s="14">
        <v>11958626.5</v>
      </c>
      <c r="K17" s="14">
        <v>26100</v>
      </c>
      <c r="L17" s="14">
        <v>46886433</v>
      </c>
      <c r="M17" s="42">
        <f t="shared" si="20"/>
        <v>11959865.98939394</v>
      </c>
      <c r="N17" s="84">
        <v>72824852.6</v>
      </c>
      <c r="O17" s="14">
        <v>72534746</v>
      </c>
      <c r="P17" s="14">
        <v>48</v>
      </c>
      <c r="Q17" s="11">
        <f t="shared" si="21"/>
        <v>6.06484608977426</v>
      </c>
      <c r="R17" s="14">
        <v>1302</v>
      </c>
      <c r="S17" s="14">
        <v>195</v>
      </c>
      <c r="T17" s="45">
        <v>1107</v>
      </c>
      <c r="U17" s="45">
        <v>1100</v>
      </c>
      <c r="V17" s="49">
        <v>496.8</v>
      </c>
      <c r="W17" s="49">
        <v>540.9</v>
      </c>
      <c r="X17" s="119">
        <f t="shared" si="1"/>
        <v>1037.7</v>
      </c>
      <c r="Y17" s="130"/>
      <c r="Z17" s="72">
        <v>163</v>
      </c>
      <c r="AA17" s="72">
        <v>92</v>
      </c>
      <c r="AB17" s="72">
        <v>109</v>
      </c>
      <c r="AC17" s="72">
        <v>255</v>
      </c>
      <c r="AD17" s="72">
        <v>316190</v>
      </c>
      <c r="AE17" s="74">
        <f t="shared" si="2"/>
        <v>117.85247359963269</v>
      </c>
      <c r="AF17" s="14">
        <v>51739</v>
      </c>
      <c r="AG17" s="14">
        <v>28487</v>
      </c>
      <c r="AH17" s="14">
        <v>53777</v>
      </c>
      <c r="AI17" s="14">
        <v>42840.25</v>
      </c>
      <c r="AJ17" s="14">
        <v>40811157.25</v>
      </c>
      <c r="AK17" s="9">
        <f t="shared" si="3"/>
        <v>54981.646816173095</v>
      </c>
      <c r="AL17" s="3">
        <v>51772</v>
      </c>
      <c r="AM17" s="78">
        <v>29321048.33</v>
      </c>
      <c r="AN17" s="78">
        <f t="shared" si="4"/>
        <v>566.3495389399675</v>
      </c>
      <c r="AO17" s="14">
        <v>29362721</v>
      </c>
      <c r="AP17" s="14">
        <v>94</v>
      </c>
      <c r="AQ17" s="11">
        <f t="shared" si="5"/>
        <v>534.0458796763946</v>
      </c>
      <c r="AR17" s="14">
        <v>36125</v>
      </c>
      <c r="AS17" s="14">
        <v>9542443</v>
      </c>
      <c r="AT17" s="14">
        <v>78</v>
      </c>
      <c r="AU17" s="9">
        <f t="shared" si="6"/>
        <v>264.1506928719723</v>
      </c>
      <c r="AV17" s="14">
        <v>9867</v>
      </c>
      <c r="AW17" s="14">
        <v>6902230</v>
      </c>
      <c r="AX17" s="14">
        <v>73</v>
      </c>
      <c r="AY17" s="9">
        <f t="shared" si="7"/>
        <v>699.5267791628662</v>
      </c>
      <c r="AZ17" s="14">
        <v>4770</v>
      </c>
      <c r="BA17" s="14">
        <v>7811208</v>
      </c>
      <c r="BB17" s="14">
        <v>19</v>
      </c>
      <c r="BC17" s="9">
        <f t="shared" si="8"/>
        <v>1637.56985115304</v>
      </c>
      <c r="BD17" s="14">
        <v>736</v>
      </c>
      <c r="BE17" s="14">
        <v>3175814</v>
      </c>
      <c r="BF17" s="14">
        <v>49</v>
      </c>
      <c r="BG17" s="9">
        <f t="shared" si="9"/>
        <v>4314.965339673913</v>
      </c>
      <c r="BH17" s="14">
        <v>219</v>
      </c>
      <c r="BI17" s="14">
        <v>1641456</v>
      </c>
      <c r="BJ17" s="14"/>
      <c r="BK17" s="9">
        <f t="shared" si="10"/>
        <v>7495.232876712329</v>
      </c>
      <c r="BL17" s="14">
        <v>19</v>
      </c>
      <c r="BM17" s="14">
        <v>229212</v>
      </c>
      <c r="BN17" s="14">
        <v>50</v>
      </c>
      <c r="BO17" s="9">
        <f t="shared" si="11"/>
        <v>12063.815789473685</v>
      </c>
      <c r="BP17" s="14">
        <v>2</v>
      </c>
      <c r="BQ17" s="14">
        <v>33750</v>
      </c>
      <c r="BR17" s="14"/>
      <c r="BS17" s="9">
        <f t="shared" si="12"/>
        <v>16875</v>
      </c>
      <c r="BT17" s="14">
        <v>1</v>
      </c>
      <c r="BU17" s="14">
        <v>26606</v>
      </c>
      <c r="BV17" s="14">
        <v>25</v>
      </c>
      <c r="BW17" s="9">
        <f t="shared" si="13"/>
        <v>26606.25</v>
      </c>
      <c r="BX17" s="14"/>
      <c r="BY17" s="14"/>
      <c r="BZ17" s="14"/>
      <c r="CA17" s="11"/>
      <c r="CB17" s="12">
        <f t="shared" si="14"/>
        <v>51739</v>
      </c>
      <c r="CC17" s="12">
        <f t="shared" si="15"/>
        <v>51739</v>
      </c>
      <c r="CD17" s="13">
        <f t="shared" si="16"/>
        <v>0</v>
      </c>
      <c r="CE17" s="12">
        <f t="shared" si="17"/>
        <v>29362721</v>
      </c>
      <c r="CF17" s="12">
        <f t="shared" si="18"/>
        <v>29362719</v>
      </c>
      <c r="CG17" s="13">
        <f t="shared" si="19"/>
        <v>2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98" ht="12.75">
      <c r="A18" s="5" t="s">
        <v>342</v>
      </c>
      <c r="B18" s="5"/>
      <c r="C18" s="14">
        <v>4101</v>
      </c>
      <c r="D18" s="14">
        <v>75108</v>
      </c>
      <c r="E18" s="14">
        <v>46</v>
      </c>
      <c r="F18" s="11">
        <f t="shared" si="0"/>
        <v>18.31466959278225</v>
      </c>
      <c r="G18" s="14">
        <v>135</v>
      </c>
      <c r="H18" s="14">
        <v>40</v>
      </c>
      <c r="I18" s="14"/>
      <c r="J18" s="14">
        <v>1074105</v>
      </c>
      <c r="K18" s="14">
        <v>27</v>
      </c>
      <c r="L18" s="14">
        <v>224</v>
      </c>
      <c r="M18" s="42">
        <f t="shared" si="20"/>
        <v>1074105.1738923325</v>
      </c>
      <c r="N18" s="84">
        <v>4053248.42</v>
      </c>
      <c r="O18" s="14">
        <v>4053268</v>
      </c>
      <c r="P18" s="14">
        <v>42</v>
      </c>
      <c r="Q18" s="11">
        <f t="shared" si="21"/>
        <v>3.7736234016188592</v>
      </c>
      <c r="R18" s="14">
        <v>5516</v>
      </c>
      <c r="S18" s="14">
        <v>2572</v>
      </c>
      <c r="T18" s="45">
        <v>3125</v>
      </c>
      <c r="U18" s="45">
        <v>3125</v>
      </c>
      <c r="V18" s="49">
        <v>2097.9</v>
      </c>
      <c r="W18" s="49">
        <v>1681.2</v>
      </c>
      <c r="X18" s="119">
        <f t="shared" si="1"/>
        <v>3779.1000000000004</v>
      </c>
      <c r="Y18" s="130"/>
      <c r="Z18" s="72">
        <v>1</v>
      </c>
      <c r="AA18" s="72">
        <v>7</v>
      </c>
      <c r="AB18" s="72">
        <v>12</v>
      </c>
      <c r="AC18" s="72">
        <v>90</v>
      </c>
      <c r="AD18" s="72">
        <v>148</v>
      </c>
      <c r="AE18" s="74">
        <f t="shared" si="2"/>
        <v>12.565897612488522</v>
      </c>
      <c r="AF18" s="14">
        <v>5082</v>
      </c>
      <c r="AG18" s="14">
        <v>15084</v>
      </c>
      <c r="AH18" s="14">
        <v>7717</v>
      </c>
      <c r="AI18" s="14">
        <v>899</v>
      </c>
      <c r="AJ18" s="14">
        <v>998</v>
      </c>
      <c r="AK18" s="9">
        <f t="shared" si="3"/>
        <v>7722.641660927456</v>
      </c>
      <c r="AL18" s="3">
        <v>5094</v>
      </c>
      <c r="AM18" s="78">
        <v>2180165.83</v>
      </c>
      <c r="AN18" s="78">
        <f t="shared" si="4"/>
        <v>427.98701020808795</v>
      </c>
      <c r="AO18" s="14">
        <v>2180165</v>
      </c>
      <c r="AP18" s="14">
        <v>83</v>
      </c>
      <c r="AQ18" s="11">
        <f t="shared" si="5"/>
        <v>282.3082988597676</v>
      </c>
      <c r="AR18" s="14">
        <v>3794</v>
      </c>
      <c r="AS18" s="14">
        <v>835934</v>
      </c>
      <c r="AT18" s="14"/>
      <c r="AU18" s="9">
        <f t="shared" si="6"/>
        <v>220.33052187664734</v>
      </c>
      <c r="AV18" s="14">
        <v>838</v>
      </c>
      <c r="AW18" s="14">
        <v>629910</v>
      </c>
      <c r="AX18" s="14"/>
      <c r="AY18" s="9">
        <f t="shared" si="7"/>
        <v>751.6825775656324</v>
      </c>
      <c r="AZ18" s="14">
        <v>438</v>
      </c>
      <c r="BA18" s="14">
        <v>670625</v>
      </c>
      <c r="BB18" s="14"/>
      <c r="BC18" s="9">
        <f t="shared" si="8"/>
        <v>1531.107305936073</v>
      </c>
      <c r="BD18" s="14">
        <v>12</v>
      </c>
      <c r="BE18" s="14">
        <v>43700</v>
      </c>
      <c r="BF18" s="14"/>
      <c r="BG18" s="9">
        <f t="shared" si="9"/>
        <v>3641.6666666666665</v>
      </c>
      <c r="BH18" s="14"/>
      <c r="BI18" s="14"/>
      <c r="BJ18" s="14"/>
      <c r="BK18" s="9"/>
      <c r="BL18" s="14"/>
      <c r="BM18" s="14"/>
      <c r="BN18" s="14"/>
      <c r="BO18" s="9"/>
      <c r="BP18" s="14"/>
      <c r="BQ18" s="14"/>
      <c r="BR18" s="14"/>
      <c r="BS18" s="9"/>
      <c r="BT18" s="14"/>
      <c r="BU18" s="14"/>
      <c r="BV18" s="14"/>
      <c r="BW18" s="9"/>
      <c r="BX18" s="14"/>
      <c r="BY18" s="14"/>
      <c r="BZ18" s="14"/>
      <c r="CA18" s="11"/>
      <c r="CB18" s="12">
        <f t="shared" si="14"/>
        <v>5082</v>
      </c>
      <c r="CC18" s="12">
        <f t="shared" si="15"/>
        <v>5082</v>
      </c>
      <c r="CD18" s="13">
        <f t="shared" si="16"/>
        <v>0</v>
      </c>
      <c r="CE18" s="12">
        <f t="shared" si="17"/>
        <v>2180165</v>
      </c>
      <c r="CF18" s="12">
        <f t="shared" si="18"/>
        <v>2180169</v>
      </c>
      <c r="CG18" s="13">
        <f t="shared" si="19"/>
        <v>-4</v>
      </c>
      <c r="CH18" s="12" t="s">
        <v>436</v>
      </c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ht="12.75">
      <c r="A19" s="5" t="s">
        <v>343</v>
      </c>
      <c r="B19" s="5"/>
      <c r="C19" s="14">
        <v>14218</v>
      </c>
      <c r="D19" s="14">
        <v>568007</v>
      </c>
      <c r="E19" s="14">
        <v>2</v>
      </c>
      <c r="F19" s="11">
        <f t="shared" si="0"/>
        <v>39.94985370656914</v>
      </c>
      <c r="G19" s="14">
        <v>2467</v>
      </c>
      <c r="H19" s="14">
        <v>120</v>
      </c>
      <c r="I19" s="14"/>
      <c r="J19" s="14">
        <v>5442787</v>
      </c>
      <c r="K19" s="14">
        <v>13878</v>
      </c>
      <c r="L19" s="14">
        <v>60919015</v>
      </c>
      <c r="M19" s="42">
        <f t="shared" si="20"/>
        <v>5444272.245649679</v>
      </c>
      <c r="N19" s="84">
        <v>21634004.57</v>
      </c>
      <c r="O19" s="14">
        <v>21552790</v>
      </c>
      <c r="P19" s="14">
        <v>58</v>
      </c>
      <c r="Q19" s="11">
        <f t="shared" si="21"/>
        <v>3.958801031161154</v>
      </c>
      <c r="R19" s="14">
        <v>96760</v>
      </c>
      <c r="S19" s="14">
        <v>753</v>
      </c>
      <c r="T19" s="45">
        <v>47940</v>
      </c>
      <c r="U19" s="45">
        <v>48254</v>
      </c>
      <c r="V19" s="49">
        <v>32260.5</v>
      </c>
      <c r="W19" s="49">
        <v>30069</v>
      </c>
      <c r="X19" s="119">
        <f t="shared" si="1"/>
        <v>62329.5</v>
      </c>
      <c r="Y19" s="130"/>
      <c r="Z19" s="72">
        <v>24</v>
      </c>
      <c r="AA19" s="72">
        <v>33</v>
      </c>
      <c r="AB19" s="72">
        <v>63</v>
      </c>
      <c r="AC19" s="72">
        <v>120</v>
      </c>
      <c r="AD19" s="72">
        <v>11</v>
      </c>
      <c r="AE19" s="74">
        <f>AB19+AC19/160+AD19/43560</f>
        <v>63.75025252525253</v>
      </c>
      <c r="AF19" s="14">
        <v>16892</v>
      </c>
      <c r="AG19" s="14">
        <v>36555</v>
      </c>
      <c r="AH19" s="14">
        <v>20330</v>
      </c>
      <c r="AI19" s="14">
        <v>11512</v>
      </c>
      <c r="AJ19" s="14">
        <v>4330382</v>
      </c>
      <c r="AK19" s="9">
        <f t="shared" si="3"/>
        <v>20501.36189164371</v>
      </c>
      <c r="AL19" s="3">
        <v>16932</v>
      </c>
      <c r="AM19" s="78">
        <v>10738286.63</v>
      </c>
      <c r="AN19" s="78">
        <f t="shared" si="4"/>
        <v>634.2007223009687</v>
      </c>
      <c r="AO19" s="14">
        <v>10645563</v>
      </c>
      <c r="AP19" s="14">
        <v>0</v>
      </c>
      <c r="AQ19" s="11">
        <f t="shared" si="5"/>
        <v>519.2612596307125</v>
      </c>
      <c r="AR19" s="14">
        <v>12429</v>
      </c>
      <c r="AS19" s="14">
        <v>2739614</v>
      </c>
      <c r="AT19" s="14"/>
      <c r="AU19" s="9">
        <f t="shared" si="6"/>
        <v>220.42111191568108</v>
      </c>
      <c r="AV19" s="14">
        <v>2271</v>
      </c>
      <c r="AW19" s="14">
        <v>1729410</v>
      </c>
      <c r="AX19" s="14"/>
      <c r="AY19" s="9">
        <f t="shared" si="7"/>
        <v>761.5191545574637</v>
      </c>
      <c r="AZ19" s="14">
        <v>1566</v>
      </c>
      <c r="BA19" s="14">
        <v>2822068</v>
      </c>
      <c r="BB19" s="14"/>
      <c r="BC19" s="9">
        <f t="shared" si="8"/>
        <v>1802.0868454661559</v>
      </c>
      <c r="BD19" s="14">
        <v>499</v>
      </c>
      <c r="BE19" s="14">
        <v>2217845</v>
      </c>
      <c r="BF19" s="14"/>
      <c r="BG19" s="9">
        <f t="shared" si="9"/>
        <v>4444.579158316633</v>
      </c>
      <c r="BH19" s="14">
        <v>104</v>
      </c>
      <c r="BI19" s="14">
        <v>837226</v>
      </c>
      <c r="BJ19" s="14"/>
      <c r="BK19" s="9">
        <f t="shared" si="10"/>
        <v>8050.25</v>
      </c>
      <c r="BL19" s="14">
        <v>19</v>
      </c>
      <c r="BM19" s="14">
        <v>229400</v>
      </c>
      <c r="BN19" s="14"/>
      <c r="BO19" s="9">
        <f t="shared" si="11"/>
        <v>12073.684210526315</v>
      </c>
      <c r="BP19" s="14">
        <v>3</v>
      </c>
      <c r="BQ19" s="14">
        <v>48000</v>
      </c>
      <c r="BR19" s="14"/>
      <c r="BS19" s="9">
        <f t="shared" si="12"/>
        <v>16000</v>
      </c>
      <c r="BT19" s="14">
        <v>1</v>
      </c>
      <c r="BU19" s="14">
        <v>22000</v>
      </c>
      <c r="BV19" s="14"/>
      <c r="BW19" s="9">
        <f t="shared" si="13"/>
        <v>22000</v>
      </c>
      <c r="BX19" s="14"/>
      <c r="BY19" s="14"/>
      <c r="BZ19" s="14"/>
      <c r="CA19" s="11"/>
      <c r="CB19" s="12">
        <f t="shared" si="14"/>
        <v>16892</v>
      </c>
      <c r="CC19" s="12">
        <f t="shared" si="15"/>
        <v>16892</v>
      </c>
      <c r="CD19" s="13">
        <f t="shared" si="16"/>
        <v>0</v>
      </c>
      <c r="CE19" s="12">
        <f t="shared" si="17"/>
        <v>10645563</v>
      </c>
      <c r="CF19" s="12">
        <f t="shared" si="18"/>
        <v>10645563</v>
      </c>
      <c r="CG19" s="13">
        <f t="shared" si="19"/>
        <v>0</v>
      </c>
      <c r="CH19" s="12" t="s">
        <v>436</v>
      </c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ht="12.75">
      <c r="A20" s="5" t="s">
        <v>187</v>
      </c>
      <c r="B20" s="145" t="s">
        <v>373</v>
      </c>
      <c r="C20" s="104">
        <v>23254.13855421687</v>
      </c>
      <c r="D20" s="104">
        <f>C20*F20</f>
        <v>590331.4350492411</v>
      </c>
      <c r="E20" s="14"/>
      <c r="F20" s="99">
        <v>25.38608057541617</v>
      </c>
      <c r="G20" s="14"/>
      <c r="H20" s="14"/>
      <c r="I20" s="14"/>
      <c r="J20" s="14">
        <v>40458644</v>
      </c>
      <c r="K20" s="14">
        <v>8</v>
      </c>
      <c r="L20" s="14">
        <v>205</v>
      </c>
      <c r="M20" s="42">
        <f t="shared" si="20"/>
        <v>40458644.05470615</v>
      </c>
      <c r="N20" s="84">
        <v>59976860.06</v>
      </c>
      <c r="O20" s="14">
        <v>61249084</v>
      </c>
      <c r="P20" s="14">
        <v>30</v>
      </c>
      <c r="Q20" s="11">
        <f t="shared" si="21"/>
        <v>1.5138689328585027</v>
      </c>
      <c r="R20" s="14">
        <v>152158</v>
      </c>
      <c r="S20" s="14"/>
      <c r="T20" s="45"/>
      <c r="U20" s="45">
        <v>153087</v>
      </c>
      <c r="V20" s="49">
        <v>100761.3</v>
      </c>
      <c r="W20" s="49">
        <v>97365.6</v>
      </c>
      <c r="X20" s="119">
        <f t="shared" si="1"/>
        <v>198126.90000000002</v>
      </c>
      <c r="Y20" s="130"/>
      <c r="Z20" s="72"/>
      <c r="AA20" s="72"/>
      <c r="AB20" s="72"/>
      <c r="AC20" s="72"/>
      <c r="AD20" s="72"/>
      <c r="AE20" s="74">
        <f>AB20+AC20/160+AD20/43560</f>
        <v>0</v>
      </c>
      <c r="AF20" s="14">
        <v>27693</v>
      </c>
      <c r="AG20" s="14">
        <v>55779</v>
      </c>
      <c r="AH20" s="14">
        <v>34600</v>
      </c>
      <c r="AI20" s="14">
        <v>84</v>
      </c>
      <c r="AJ20" s="14">
        <v>49</v>
      </c>
      <c r="AK20" s="9">
        <f t="shared" si="3"/>
        <v>34600.52612488522</v>
      </c>
      <c r="AL20" s="3">
        <v>27693</v>
      </c>
      <c r="AM20" s="78">
        <v>11248267.67</v>
      </c>
      <c r="AN20" s="78">
        <f t="shared" si="4"/>
        <v>406.1772892066587</v>
      </c>
      <c r="AO20" s="14">
        <v>11172171</v>
      </c>
      <c r="AP20" s="14">
        <v>53</v>
      </c>
      <c r="AQ20" s="11">
        <f t="shared" si="5"/>
        <v>322.8902210814883</v>
      </c>
      <c r="AR20" s="14">
        <v>22591</v>
      </c>
      <c r="AS20" s="14">
        <v>4768422</v>
      </c>
      <c r="AT20" s="14">
        <v>2</v>
      </c>
      <c r="AU20" s="9">
        <f t="shared" si="6"/>
        <v>211.0761816652649</v>
      </c>
      <c r="AV20" s="14">
        <v>3032</v>
      </c>
      <c r="AW20" s="14">
        <v>2193397</v>
      </c>
      <c r="AX20" s="14">
        <v>28</v>
      </c>
      <c r="AY20" s="9">
        <f t="shared" si="7"/>
        <v>723.4159894459102</v>
      </c>
      <c r="AZ20" s="14">
        <v>1729</v>
      </c>
      <c r="BA20" s="14">
        <v>2836677</v>
      </c>
      <c r="BB20" s="14">
        <v>60</v>
      </c>
      <c r="BC20" s="9">
        <f t="shared" si="8"/>
        <v>1640.6463851937538</v>
      </c>
      <c r="BD20" s="14">
        <v>222</v>
      </c>
      <c r="BE20" s="14">
        <v>1007018</v>
      </c>
      <c r="BF20" s="14">
        <v>35</v>
      </c>
      <c r="BG20" s="9">
        <f t="shared" si="9"/>
        <v>4536.118693693694</v>
      </c>
      <c r="BH20" s="14">
        <v>22</v>
      </c>
      <c r="BI20" s="14">
        <v>163258</v>
      </c>
      <c r="BJ20" s="14"/>
      <c r="BK20" s="9">
        <f t="shared" si="10"/>
        <v>7420.818181818182</v>
      </c>
      <c r="BL20" s="14">
        <v>6</v>
      </c>
      <c r="BM20" s="14">
        <v>86566</v>
      </c>
      <c r="BN20" s="14"/>
      <c r="BO20" s="9">
        <f t="shared" si="11"/>
        <v>14427.666666666666</v>
      </c>
      <c r="BP20" s="14">
        <v>2</v>
      </c>
      <c r="BQ20" s="14">
        <v>38000</v>
      </c>
      <c r="BR20" s="14"/>
      <c r="BS20" s="9">
        <f t="shared" si="12"/>
        <v>19000</v>
      </c>
      <c r="BT20" s="14">
        <v>1</v>
      </c>
      <c r="BU20" s="14">
        <v>23000</v>
      </c>
      <c r="BV20" s="14"/>
      <c r="BW20" s="9">
        <f t="shared" si="13"/>
        <v>23000</v>
      </c>
      <c r="BX20" s="14"/>
      <c r="BY20" s="14"/>
      <c r="BZ20" s="14"/>
      <c r="CA20" s="11"/>
      <c r="CB20" s="12">
        <f t="shared" si="14"/>
        <v>27693</v>
      </c>
      <c r="CC20" s="12">
        <f t="shared" si="15"/>
        <v>27605</v>
      </c>
      <c r="CD20" s="13">
        <f t="shared" si="16"/>
        <v>88</v>
      </c>
      <c r="CE20" s="12">
        <f t="shared" si="17"/>
        <v>11172171</v>
      </c>
      <c r="CF20" s="12">
        <f t="shared" si="18"/>
        <v>11116338</v>
      </c>
      <c r="CG20" s="13">
        <f t="shared" si="19"/>
        <v>55833</v>
      </c>
      <c r="CH20" s="12" t="s">
        <v>272</v>
      </c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</row>
    <row r="21" spans="1:98" ht="12.75">
      <c r="A21" s="5" t="s">
        <v>472</v>
      </c>
      <c r="B21" s="145" t="s">
        <v>373</v>
      </c>
      <c r="C21" s="104">
        <v>19600</v>
      </c>
      <c r="D21" s="104">
        <f>C21*F21</f>
        <v>305509.69687499997</v>
      </c>
      <c r="E21" s="14"/>
      <c r="F21" s="99">
        <v>15.587229432397958</v>
      </c>
      <c r="G21" s="14"/>
      <c r="H21" s="14"/>
      <c r="I21" s="14"/>
      <c r="J21" s="14"/>
      <c r="K21" s="14"/>
      <c r="L21" s="14"/>
      <c r="M21" s="12">
        <v>20956467</v>
      </c>
      <c r="N21" s="84">
        <v>27909479.7</v>
      </c>
      <c r="O21" s="14"/>
      <c r="P21" s="14"/>
      <c r="Q21" s="11"/>
      <c r="R21" s="14"/>
      <c r="S21" s="14"/>
      <c r="T21" s="45"/>
      <c r="U21" s="45">
        <v>59968</v>
      </c>
      <c r="V21" s="49">
        <v>37735.2</v>
      </c>
      <c r="W21" s="49">
        <v>36467.1</v>
      </c>
      <c r="X21" s="119">
        <f t="shared" si="1"/>
        <v>74202.29999999999</v>
      </c>
      <c r="Y21" s="130"/>
      <c r="Z21" s="72"/>
      <c r="AA21" s="72"/>
      <c r="AB21" s="72"/>
      <c r="AC21" s="72"/>
      <c r="AD21" s="72"/>
      <c r="AE21" s="74"/>
      <c r="AF21" s="14"/>
      <c r="AG21" s="14"/>
      <c r="AH21" s="14"/>
      <c r="AI21" s="14"/>
      <c r="AJ21" s="14"/>
      <c r="AK21" s="14"/>
      <c r="AL21" s="3">
        <v>11760</v>
      </c>
      <c r="AM21" s="12">
        <v>2932893.09</v>
      </c>
      <c r="AN21" s="78">
        <f t="shared" si="4"/>
        <v>249.39567091836733</v>
      </c>
      <c r="AO21" s="14"/>
      <c r="AP21" s="14"/>
      <c r="AQ21" s="11"/>
      <c r="AR21" s="14"/>
      <c r="AS21" s="14"/>
      <c r="AT21" s="14"/>
      <c r="AU21" s="9"/>
      <c r="AV21" s="14"/>
      <c r="AW21" s="14"/>
      <c r="AX21" s="14"/>
      <c r="AY21" s="9"/>
      <c r="AZ21" s="14"/>
      <c r="BA21" s="14"/>
      <c r="BB21" s="14"/>
      <c r="BC21" s="9"/>
      <c r="BD21" s="14"/>
      <c r="BE21" s="14"/>
      <c r="BF21" s="14"/>
      <c r="BG21" s="9"/>
      <c r="BH21" s="14"/>
      <c r="BI21" s="14"/>
      <c r="BJ21" s="14"/>
      <c r="BK21" s="9"/>
      <c r="BL21" s="14"/>
      <c r="BM21" s="14"/>
      <c r="BN21" s="14"/>
      <c r="BO21" s="9"/>
      <c r="BP21" s="14"/>
      <c r="BQ21" s="14"/>
      <c r="BR21" s="14"/>
      <c r="BS21" s="9"/>
      <c r="BT21" s="14"/>
      <c r="BU21" s="14"/>
      <c r="BV21" s="14"/>
      <c r="BW21" s="9"/>
      <c r="BX21" s="14"/>
      <c r="BY21" s="14"/>
      <c r="BZ21" s="14"/>
      <c r="CA21" s="11"/>
      <c r="CB21" s="12"/>
      <c r="CC21" s="12"/>
      <c r="CD21" s="13"/>
      <c r="CE21" s="12"/>
      <c r="CF21" s="12"/>
      <c r="CG21" s="13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98" ht="12.75">
      <c r="A22" s="5" t="s">
        <v>473</v>
      </c>
      <c r="B22" s="145" t="s">
        <v>373</v>
      </c>
      <c r="C22" s="104">
        <v>5396.827663595559</v>
      </c>
      <c r="D22" s="104">
        <f>C22*F22</f>
        <v>262845.16329560895</v>
      </c>
      <c r="E22" s="14"/>
      <c r="F22" s="99">
        <v>48.70364215419325</v>
      </c>
      <c r="G22" s="14"/>
      <c r="H22" s="14"/>
      <c r="I22" s="14"/>
      <c r="J22" s="14"/>
      <c r="K22" s="14"/>
      <c r="L22" s="14"/>
      <c r="M22" s="12">
        <v>9772587</v>
      </c>
      <c r="N22" s="84">
        <v>12456720.94</v>
      </c>
      <c r="O22" s="14"/>
      <c r="P22" s="14"/>
      <c r="Q22" s="11"/>
      <c r="R22" s="14"/>
      <c r="S22" s="14"/>
      <c r="T22" s="45"/>
      <c r="U22" s="45">
        <v>65586</v>
      </c>
      <c r="V22" s="49">
        <v>43148.7</v>
      </c>
      <c r="W22" s="49">
        <v>45721.8</v>
      </c>
      <c r="X22" s="119">
        <f t="shared" si="1"/>
        <v>88870.5</v>
      </c>
      <c r="Y22" s="130"/>
      <c r="Z22" s="72"/>
      <c r="AA22" s="72"/>
      <c r="AB22" s="72"/>
      <c r="AC22" s="72"/>
      <c r="AD22" s="72"/>
      <c r="AE22" s="74"/>
      <c r="AF22" s="14"/>
      <c r="AG22" s="14"/>
      <c r="AH22" s="14"/>
      <c r="AI22" s="14"/>
      <c r="AJ22" s="14"/>
      <c r="AK22" s="14"/>
      <c r="AL22" s="3">
        <v>6427</v>
      </c>
      <c r="AM22" s="12">
        <v>5008292.93</v>
      </c>
      <c r="AN22" s="78">
        <f t="shared" si="4"/>
        <v>779.258274467092</v>
      </c>
      <c r="AO22" s="14"/>
      <c r="AP22" s="14"/>
      <c r="AQ22" s="11"/>
      <c r="AR22" s="14"/>
      <c r="AS22" s="14"/>
      <c r="AT22" s="14"/>
      <c r="AU22" s="9"/>
      <c r="AV22" s="14"/>
      <c r="AW22" s="14"/>
      <c r="AX22" s="14"/>
      <c r="AY22" s="9"/>
      <c r="AZ22" s="14"/>
      <c r="BA22" s="14"/>
      <c r="BB22" s="14"/>
      <c r="BC22" s="9"/>
      <c r="BD22" s="14"/>
      <c r="BE22" s="14"/>
      <c r="BF22" s="14"/>
      <c r="BG22" s="9"/>
      <c r="BH22" s="14"/>
      <c r="BI22" s="14"/>
      <c r="BJ22" s="14"/>
      <c r="BK22" s="9"/>
      <c r="BL22" s="14"/>
      <c r="BM22" s="14"/>
      <c r="BN22" s="14"/>
      <c r="BO22" s="9"/>
      <c r="BP22" s="14"/>
      <c r="BQ22" s="14"/>
      <c r="BR22" s="14"/>
      <c r="BS22" s="9"/>
      <c r="BT22" s="14"/>
      <c r="BU22" s="14"/>
      <c r="BV22" s="14"/>
      <c r="BW22" s="9"/>
      <c r="BX22" s="14"/>
      <c r="BY22" s="14"/>
      <c r="BZ22" s="14"/>
      <c r="CA22" s="11"/>
      <c r="CB22" s="12"/>
      <c r="CC22" s="12"/>
      <c r="CD22" s="13"/>
      <c r="CE22" s="12"/>
      <c r="CF22" s="12"/>
      <c r="CG22" s="13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ht="12.75">
      <c r="A23" s="5" t="s">
        <v>474</v>
      </c>
      <c r="B23" s="145" t="s">
        <v>373</v>
      </c>
      <c r="C23" s="104">
        <v>5743.333333333334</v>
      </c>
      <c r="D23" s="104">
        <f>C23*F23</f>
        <v>187253.25520833337</v>
      </c>
      <c r="E23" s="14"/>
      <c r="F23" s="99">
        <v>32.60358477219965</v>
      </c>
      <c r="G23" s="14"/>
      <c r="H23" s="14"/>
      <c r="I23" s="14"/>
      <c r="J23" s="14"/>
      <c r="K23" s="14"/>
      <c r="L23" s="14"/>
      <c r="M23" s="12">
        <v>13534159</v>
      </c>
      <c r="N23" s="84">
        <v>10263506.95</v>
      </c>
      <c r="O23" s="14"/>
      <c r="P23" s="14"/>
      <c r="Q23" s="11"/>
      <c r="R23" s="14"/>
      <c r="S23" s="14"/>
      <c r="T23" s="45"/>
      <c r="U23" s="45">
        <v>27704</v>
      </c>
      <c r="V23" s="49">
        <v>17360.288882560846</v>
      </c>
      <c r="W23" s="49">
        <v>17739.10767014523</v>
      </c>
      <c r="X23" s="119">
        <f t="shared" si="1"/>
        <v>35099.39655270608</v>
      </c>
      <c r="Y23" s="130"/>
      <c r="Z23" s="72"/>
      <c r="AA23" s="72"/>
      <c r="AB23" s="72"/>
      <c r="AC23" s="72"/>
      <c r="AD23" s="72"/>
      <c r="AE23" s="74"/>
      <c r="AF23" s="14"/>
      <c r="AG23" s="14"/>
      <c r="AH23" s="14"/>
      <c r="AI23" s="14"/>
      <c r="AJ23" s="14"/>
      <c r="AK23" s="14"/>
      <c r="AL23" s="3">
        <v>3446</v>
      </c>
      <c r="AM23" s="12">
        <v>1797631.25</v>
      </c>
      <c r="AN23" s="78">
        <f t="shared" si="4"/>
        <v>521.6573563551945</v>
      </c>
      <c r="AO23" s="14"/>
      <c r="AP23" s="14"/>
      <c r="AQ23" s="11"/>
      <c r="AR23" s="14"/>
      <c r="AS23" s="14"/>
      <c r="AT23" s="14"/>
      <c r="AU23" s="9"/>
      <c r="AV23" s="14"/>
      <c r="AW23" s="14"/>
      <c r="AX23" s="14"/>
      <c r="AY23" s="9"/>
      <c r="AZ23" s="14"/>
      <c r="BA23" s="14"/>
      <c r="BB23" s="14"/>
      <c r="BC23" s="9"/>
      <c r="BD23" s="14"/>
      <c r="BE23" s="14"/>
      <c r="BF23" s="14"/>
      <c r="BG23" s="9"/>
      <c r="BH23" s="14"/>
      <c r="BI23" s="14"/>
      <c r="BJ23" s="14"/>
      <c r="BK23" s="9"/>
      <c r="BL23" s="14"/>
      <c r="BM23" s="14"/>
      <c r="BN23" s="14"/>
      <c r="BO23" s="9"/>
      <c r="BP23" s="14"/>
      <c r="BQ23" s="14"/>
      <c r="BR23" s="14"/>
      <c r="BS23" s="9"/>
      <c r="BT23" s="14"/>
      <c r="BU23" s="14"/>
      <c r="BV23" s="14"/>
      <c r="BW23" s="9"/>
      <c r="BX23" s="14"/>
      <c r="BY23" s="14"/>
      <c r="BZ23" s="14"/>
      <c r="CA23" s="11"/>
      <c r="CB23" s="12"/>
      <c r="CC23" s="12"/>
      <c r="CD23" s="13"/>
      <c r="CE23" s="12"/>
      <c r="CF23" s="12"/>
      <c r="CG23" s="13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</row>
    <row r="24" spans="1:98" ht="12.75">
      <c r="A24" s="5" t="s">
        <v>188</v>
      </c>
      <c r="B24" s="5"/>
      <c r="C24" s="14">
        <v>12801</v>
      </c>
      <c r="D24" s="14">
        <v>256988</v>
      </c>
      <c r="E24" s="14">
        <f>11+2/3</f>
        <v>11.666666666666666</v>
      </c>
      <c r="F24" s="11">
        <f t="shared" si="0"/>
        <v>20.07562820612973</v>
      </c>
      <c r="G24" s="14">
        <v>1215</v>
      </c>
      <c r="H24" s="14"/>
      <c r="I24" s="14"/>
      <c r="J24" s="14">
        <v>17674634</v>
      </c>
      <c r="K24" s="14">
        <v>20</v>
      </c>
      <c r="L24" s="14">
        <v>6.75</v>
      </c>
      <c r="M24" s="42">
        <f>J24+(K24/160)+(L24/43560)</f>
        <v>17674634.125154957</v>
      </c>
      <c r="N24" s="84">
        <v>20268325.07</v>
      </c>
      <c r="O24" s="14">
        <v>21016849</v>
      </c>
      <c r="P24" s="14">
        <v>38</v>
      </c>
      <c r="Q24" s="11">
        <f t="shared" si="21"/>
        <v>1.1890967151669818</v>
      </c>
      <c r="R24" s="14">
        <v>28517</v>
      </c>
      <c r="S24" s="14">
        <v>164</v>
      </c>
      <c r="T24" s="45">
        <v>15858</v>
      </c>
      <c r="U24" s="45">
        <v>15820</v>
      </c>
      <c r="V24" s="49">
        <v>10803.6</v>
      </c>
      <c r="W24" s="49">
        <v>10836</v>
      </c>
      <c r="X24" s="119">
        <f t="shared" si="1"/>
        <v>21639.6</v>
      </c>
      <c r="Y24" s="130"/>
      <c r="Z24" s="72">
        <v>16</v>
      </c>
      <c r="AA24" s="72">
        <v>5</v>
      </c>
      <c r="AB24" s="72">
        <v>1</v>
      </c>
      <c r="AC24" s="72">
        <v>61</v>
      </c>
      <c r="AD24" s="72">
        <v>5.5</v>
      </c>
      <c r="AE24" s="74">
        <f>AB24+AC24/160+AD24/43560</f>
        <v>1.3813762626262627</v>
      </c>
      <c r="AF24" s="14">
        <v>3071</v>
      </c>
      <c r="AG24" s="14">
        <v>4568</v>
      </c>
      <c r="AH24" s="14">
        <v>3203</v>
      </c>
      <c r="AI24" s="14">
        <v>128</v>
      </c>
      <c r="AJ24" s="14">
        <f>12+2/3</f>
        <v>12.666666666666666</v>
      </c>
      <c r="AK24" s="9">
        <f t="shared" si="3"/>
        <v>3203.8002907866544</v>
      </c>
      <c r="AL24" s="3">
        <v>3339</v>
      </c>
      <c r="AM24" s="78">
        <v>1139765.13</v>
      </c>
      <c r="AN24" s="78">
        <f t="shared" si="4"/>
        <v>341.34924528301883</v>
      </c>
      <c r="AO24" s="14">
        <v>1121925</v>
      </c>
      <c r="AP24" s="14">
        <f>64+1/3</f>
        <v>64.33333333333333</v>
      </c>
      <c r="AQ24" s="11">
        <f t="shared" si="5"/>
        <v>350.18588598038303</v>
      </c>
      <c r="AR24" s="14">
        <v>2607</v>
      </c>
      <c r="AS24" s="14">
        <v>547241</v>
      </c>
      <c r="AT24" s="14">
        <f>87+2/3</f>
        <v>87.66666666666667</v>
      </c>
      <c r="AU24" s="9">
        <f t="shared" si="6"/>
        <v>209.91249584452117</v>
      </c>
      <c r="AV24" s="14">
        <v>288</v>
      </c>
      <c r="AW24" s="14">
        <v>218779</v>
      </c>
      <c r="AX24" s="14">
        <v>60</v>
      </c>
      <c r="AY24" s="9">
        <f t="shared" si="7"/>
        <v>759.651388888889</v>
      </c>
      <c r="AZ24" s="14">
        <v>172</v>
      </c>
      <c r="BA24" s="14">
        <v>292649</v>
      </c>
      <c r="BB24" s="14">
        <f>66+2/3</f>
        <v>66.66666666666667</v>
      </c>
      <c r="BC24" s="9">
        <f t="shared" si="8"/>
        <v>1701.451550387597</v>
      </c>
      <c r="BD24" s="14">
        <v>13</v>
      </c>
      <c r="BE24" s="14">
        <v>56752</v>
      </c>
      <c r="BF24" s="14"/>
      <c r="BG24" s="9">
        <f t="shared" si="9"/>
        <v>4365.538461538462</v>
      </c>
      <c r="BH24" s="14">
        <v>1</v>
      </c>
      <c r="BI24" s="14">
        <v>6500</v>
      </c>
      <c r="BJ24" s="14"/>
      <c r="BK24" s="9">
        <f t="shared" si="10"/>
        <v>6500</v>
      </c>
      <c r="BL24" s="14"/>
      <c r="BM24" s="14"/>
      <c r="BN24" s="14"/>
      <c r="BO24" s="9"/>
      <c r="BP24" s="14"/>
      <c r="BQ24" s="14"/>
      <c r="BR24" s="14"/>
      <c r="BS24" s="9"/>
      <c r="BT24" s="14"/>
      <c r="BU24" s="14"/>
      <c r="BV24" s="14"/>
      <c r="BW24" s="9"/>
      <c r="BX24" s="14"/>
      <c r="BY24" s="14"/>
      <c r="BZ24" s="14"/>
      <c r="CA24" s="11"/>
      <c r="CB24" s="12">
        <f t="shared" si="14"/>
        <v>3071</v>
      </c>
      <c r="CC24" s="12">
        <f t="shared" si="15"/>
        <v>3081</v>
      </c>
      <c r="CD24" s="13">
        <f t="shared" si="16"/>
        <v>-10</v>
      </c>
      <c r="CE24" s="12">
        <f t="shared" si="17"/>
        <v>1121925</v>
      </c>
      <c r="CF24" s="12">
        <f t="shared" si="18"/>
        <v>1121921</v>
      </c>
      <c r="CG24" s="13">
        <f t="shared" si="19"/>
        <v>4</v>
      </c>
      <c r="CH24" s="12" t="s">
        <v>471</v>
      </c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pans="1:98" ht="12.75">
      <c r="A25" s="5" t="s">
        <v>189</v>
      </c>
      <c r="B25" s="5"/>
      <c r="C25" s="14">
        <v>10168</v>
      </c>
      <c r="D25" s="14">
        <v>169189</v>
      </c>
      <c r="E25" s="14">
        <v>25</v>
      </c>
      <c r="F25" s="11">
        <f t="shared" si="0"/>
        <v>16.639383359559403</v>
      </c>
      <c r="G25" s="14"/>
      <c r="H25" s="14"/>
      <c r="I25" s="14"/>
      <c r="J25" s="14">
        <v>3951357</v>
      </c>
      <c r="K25" s="14">
        <v>66</v>
      </c>
      <c r="L25" s="14">
        <v>341.25</v>
      </c>
      <c r="M25" s="42">
        <f>J25+(K25/160)+(L25/43560)</f>
        <v>3951357.420334022</v>
      </c>
      <c r="N25" s="84">
        <v>5847662</v>
      </c>
      <c r="O25" s="14">
        <v>5830273</v>
      </c>
      <c r="P25" s="14">
        <v>75</v>
      </c>
      <c r="Q25" s="11">
        <f t="shared" si="21"/>
        <v>1.475511610262568</v>
      </c>
      <c r="R25" s="14">
        <v>10072</v>
      </c>
      <c r="S25" s="14">
        <v>4715</v>
      </c>
      <c r="T25" s="45">
        <v>5357</v>
      </c>
      <c r="U25" s="45">
        <v>5351</v>
      </c>
      <c r="V25" s="49">
        <v>3672.9</v>
      </c>
      <c r="W25" s="49">
        <v>3877.2</v>
      </c>
      <c r="X25" s="119">
        <f t="shared" si="1"/>
        <v>7550.1</v>
      </c>
      <c r="Y25" s="130"/>
      <c r="Z25" s="72"/>
      <c r="AA25" s="72"/>
      <c r="AB25" s="72"/>
      <c r="AC25" s="72"/>
      <c r="AD25" s="72"/>
      <c r="AE25" s="74">
        <f>AB25+AC25/160+AD25/43560</f>
        <v>0</v>
      </c>
      <c r="AF25" s="14">
        <v>1030</v>
      </c>
      <c r="AG25" s="14">
        <v>2290</v>
      </c>
      <c r="AH25" s="14">
        <v>1759</v>
      </c>
      <c r="AI25" s="14">
        <v>60</v>
      </c>
      <c r="AJ25" s="14">
        <v>22179</v>
      </c>
      <c r="AK25" s="9">
        <f t="shared" si="3"/>
        <v>1759.8841597796143</v>
      </c>
      <c r="AL25" s="3">
        <v>1020</v>
      </c>
      <c r="AM25" s="78">
        <v>286446.83</v>
      </c>
      <c r="AN25" s="78">
        <f t="shared" si="4"/>
        <v>280.8302254901961</v>
      </c>
      <c r="AO25" s="14">
        <v>286446</v>
      </c>
      <c r="AP25" s="14">
        <f>33+1/3</f>
        <v>33.333333333333336</v>
      </c>
      <c r="AQ25" s="11">
        <f t="shared" si="5"/>
        <v>162.76431135626805</v>
      </c>
      <c r="AR25" s="14">
        <v>926</v>
      </c>
      <c r="AS25" s="14">
        <v>179510</v>
      </c>
      <c r="AT25" s="14"/>
      <c r="AU25" s="9">
        <f t="shared" si="6"/>
        <v>193.85529157667386</v>
      </c>
      <c r="AV25" s="14">
        <v>71</v>
      </c>
      <c r="AW25" s="14">
        <v>52899</v>
      </c>
      <c r="AX25" s="14"/>
      <c r="AY25" s="9">
        <f t="shared" si="7"/>
        <v>745.056338028169</v>
      </c>
      <c r="AZ25" s="14">
        <v>32</v>
      </c>
      <c r="BA25" s="14">
        <v>50704</v>
      </c>
      <c r="BB25" s="14"/>
      <c r="BC25" s="9">
        <f t="shared" si="8"/>
        <v>1584.5</v>
      </c>
      <c r="BD25" s="14">
        <v>1</v>
      </c>
      <c r="BE25" s="14">
        <v>3333</v>
      </c>
      <c r="BF25" s="14">
        <f>33+1/3</f>
        <v>33.333333333333336</v>
      </c>
      <c r="BG25" s="9">
        <f t="shared" si="9"/>
        <v>3333.3333333333335</v>
      </c>
      <c r="BH25" s="14"/>
      <c r="BI25" s="14"/>
      <c r="BJ25" s="14"/>
      <c r="BK25" s="9"/>
      <c r="BL25" s="14"/>
      <c r="BM25" s="14"/>
      <c r="BN25" s="14"/>
      <c r="BO25" s="9"/>
      <c r="BP25" s="14"/>
      <c r="BQ25" s="14"/>
      <c r="BR25" s="14"/>
      <c r="BS25" s="9"/>
      <c r="BT25" s="14"/>
      <c r="BU25" s="14"/>
      <c r="BV25" s="14"/>
      <c r="BW25" s="9"/>
      <c r="BX25" s="14"/>
      <c r="BY25" s="14"/>
      <c r="BZ25" s="14"/>
      <c r="CA25" s="11"/>
      <c r="CB25" s="12">
        <f t="shared" si="14"/>
        <v>1030</v>
      </c>
      <c r="CC25" s="12">
        <f t="shared" si="15"/>
        <v>1030</v>
      </c>
      <c r="CD25" s="13">
        <f t="shared" si="16"/>
        <v>0</v>
      </c>
      <c r="CE25" s="12">
        <f t="shared" si="17"/>
        <v>286446</v>
      </c>
      <c r="CF25" s="12">
        <f t="shared" si="18"/>
        <v>286446</v>
      </c>
      <c r="CG25" s="13">
        <f t="shared" si="19"/>
        <v>0</v>
      </c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</row>
    <row r="26" spans="1:79" ht="12.75">
      <c r="A26" s="5"/>
      <c r="B26" s="5"/>
      <c r="C26" s="5"/>
      <c r="D26" s="5"/>
      <c r="E26" s="5"/>
      <c r="F26" s="5"/>
      <c r="G26" s="7"/>
      <c r="H26" s="7"/>
      <c r="I26" s="7"/>
      <c r="J26" s="7"/>
      <c r="K26" s="7"/>
      <c r="L26" s="7"/>
      <c r="M26" s="7"/>
      <c r="N26" s="7"/>
      <c r="O26" s="7"/>
      <c r="P26" s="7"/>
      <c r="Q26" s="5"/>
      <c r="R26" s="7"/>
      <c r="S26" s="7"/>
      <c r="T26" s="7"/>
      <c r="U26" s="7"/>
      <c r="V26" s="7"/>
      <c r="W26" s="7"/>
      <c r="X26" s="120"/>
      <c r="Y26" s="131"/>
      <c r="Z26" s="75"/>
      <c r="AA26" s="75"/>
      <c r="AB26" s="75"/>
      <c r="AC26" s="75"/>
      <c r="AD26" s="75"/>
      <c r="AE26" s="61"/>
      <c r="AF26" s="7"/>
      <c r="AG26" s="7"/>
      <c r="AH26" s="7"/>
      <c r="AI26" s="7"/>
      <c r="AJ26" s="7"/>
      <c r="AK26" s="7"/>
      <c r="AL26" s="7"/>
      <c r="AM26" s="5"/>
      <c r="AN26" s="12"/>
      <c r="AO26" s="8"/>
      <c r="AP26" s="8"/>
      <c r="AQ26" s="5"/>
      <c r="AR26" s="8"/>
      <c r="AS26" s="8"/>
      <c r="AT26" s="8"/>
      <c r="AU26" s="5"/>
      <c r="AV26" s="8"/>
      <c r="AW26" s="8"/>
      <c r="AX26" s="8"/>
      <c r="AY26" s="5"/>
      <c r="AZ26" s="8"/>
      <c r="BA26" s="8"/>
      <c r="BB26" s="8"/>
      <c r="BC26" s="5"/>
      <c r="BD26" s="8"/>
      <c r="BE26" s="8"/>
      <c r="BF26" s="8"/>
      <c r="BG26" s="5"/>
      <c r="BH26" s="8"/>
      <c r="BI26" s="8"/>
      <c r="BJ26" s="8"/>
      <c r="BK26" s="5"/>
      <c r="BL26" s="8"/>
      <c r="BM26" s="8"/>
      <c r="BN26" s="8"/>
      <c r="BO26" s="5"/>
      <c r="BP26" s="8"/>
      <c r="BQ26" s="8"/>
      <c r="BR26" s="8"/>
      <c r="BS26" s="7"/>
      <c r="BT26" s="14"/>
      <c r="BU26" s="14"/>
      <c r="BV26" s="14"/>
      <c r="BW26" s="7"/>
      <c r="BX26" s="14"/>
      <c r="BY26" s="14"/>
      <c r="BZ26" s="14"/>
      <c r="CA26" s="5"/>
    </row>
    <row r="27" spans="1:7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4">
        <f>SUM(R10:R25)</f>
        <v>323905</v>
      </c>
      <c r="S27" s="7"/>
      <c r="T27" s="144">
        <f>SUM(T10:T25)</f>
        <v>86640</v>
      </c>
      <c r="U27" s="7"/>
      <c r="V27" s="7"/>
      <c r="W27" s="7"/>
      <c r="X27" s="144">
        <f>SUM(X10:X25)</f>
        <v>513371.92739582236</v>
      </c>
      <c r="Y27" s="131"/>
      <c r="Z27" s="75"/>
      <c r="AA27" s="75"/>
      <c r="AB27" s="75"/>
      <c r="AC27" s="75"/>
      <c r="AD27" s="75"/>
      <c r="AE27" s="61"/>
      <c r="AF27" s="7"/>
      <c r="AG27" s="7"/>
      <c r="AH27" s="7"/>
      <c r="AI27" s="7"/>
      <c r="AJ27" s="7"/>
      <c r="AK27" s="5"/>
      <c r="AL27" s="5"/>
      <c r="AM27" s="5"/>
      <c r="AN27" s="12"/>
      <c r="AO27" s="8"/>
      <c r="AP27" s="8"/>
      <c r="AQ27" s="5"/>
      <c r="AR27" s="8"/>
      <c r="AS27" s="8"/>
      <c r="AT27" s="8"/>
      <c r="AU27" s="5"/>
      <c r="AV27" s="8"/>
      <c r="AW27" s="8"/>
      <c r="AX27" s="8"/>
      <c r="AY27" s="5"/>
      <c r="AZ27" s="8"/>
      <c r="BA27" s="8"/>
      <c r="BB27" s="8"/>
      <c r="BC27" s="5"/>
      <c r="BD27" s="8"/>
      <c r="BE27" s="8"/>
      <c r="BF27" s="8"/>
      <c r="BG27" s="5"/>
      <c r="BH27" s="8"/>
      <c r="BI27" s="8"/>
      <c r="BJ27" s="8"/>
      <c r="BK27" s="5"/>
      <c r="BL27" s="8"/>
      <c r="BM27" s="8"/>
      <c r="BN27" s="8"/>
      <c r="BO27" s="5"/>
      <c r="BP27" s="8"/>
      <c r="BQ27" s="8"/>
      <c r="BR27" s="8"/>
      <c r="BS27" s="7"/>
      <c r="BT27" s="14"/>
      <c r="BU27" s="14"/>
      <c r="BV27" s="14"/>
      <c r="BW27" s="7"/>
      <c r="BX27" s="8"/>
      <c r="BY27" s="8"/>
      <c r="BZ27" s="8"/>
      <c r="CA27" s="5"/>
    </row>
    <row r="28" spans="2:79" ht="15">
      <c r="B28" s="5"/>
      <c r="C28" s="32" t="s">
        <v>239</v>
      </c>
      <c r="D28" s="5"/>
      <c r="E28" s="5"/>
      <c r="F28" s="5"/>
      <c r="G28" s="5"/>
      <c r="H28" s="5"/>
      <c r="I28" s="5"/>
      <c r="J28" s="1"/>
      <c r="K28" s="5"/>
      <c r="L28" s="5"/>
      <c r="M28" s="5"/>
      <c r="N28" s="5"/>
      <c r="O28" s="5"/>
      <c r="P28" s="5"/>
      <c r="Q28" s="5"/>
      <c r="R28" s="32" t="s">
        <v>239</v>
      </c>
      <c r="S28" s="7"/>
      <c r="T28" s="7"/>
      <c r="U28" s="7"/>
      <c r="V28" s="7"/>
      <c r="W28" s="7"/>
      <c r="X28" s="120"/>
      <c r="Y28" s="131"/>
      <c r="Z28" s="75"/>
      <c r="AA28" s="75"/>
      <c r="AB28" s="75"/>
      <c r="AC28" s="75"/>
      <c r="AD28" s="75"/>
      <c r="AE28" s="61"/>
      <c r="AF28" s="7"/>
      <c r="AG28" s="7"/>
      <c r="AH28" s="7"/>
      <c r="AI28" s="7"/>
      <c r="AJ28" s="7"/>
      <c r="AK28" s="5"/>
      <c r="AL28" s="5"/>
      <c r="AM28" s="5"/>
      <c r="AN28" s="12"/>
      <c r="AO28" s="8"/>
      <c r="AP28" s="8"/>
      <c r="AQ28" s="5"/>
      <c r="AR28" s="8"/>
      <c r="AS28" s="8"/>
      <c r="AT28" s="8"/>
      <c r="AU28" s="5"/>
      <c r="AV28" s="8"/>
      <c r="AW28" s="8"/>
      <c r="AX28" s="8"/>
      <c r="AY28" s="5"/>
      <c r="AZ28" s="8"/>
      <c r="BA28" s="8"/>
      <c r="BB28" s="8"/>
      <c r="BC28" s="5"/>
      <c r="BD28" s="32" t="s">
        <v>549</v>
      </c>
      <c r="BE28" s="8"/>
      <c r="BF28" s="8"/>
      <c r="BG28" s="5"/>
      <c r="BH28" s="8"/>
      <c r="BI28" s="8"/>
      <c r="BJ28" s="8"/>
      <c r="BK28" s="5"/>
      <c r="BL28" s="8"/>
      <c r="BM28" s="8"/>
      <c r="BN28" s="8"/>
      <c r="BO28" s="5"/>
      <c r="BP28" s="8"/>
      <c r="BQ28" s="8"/>
      <c r="BR28" s="8"/>
      <c r="BS28" s="7"/>
      <c r="BT28" s="8"/>
      <c r="BU28" s="32" t="s">
        <v>239</v>
      </c>
      <c r="BV28" s="8"/>
      <c r="BW28" s="7"/>
      <c r="BX28" s="8"/>
      <c r="BY28" s="8"/>
      <c r="BZ28" s="8"/>
      <c r="CA28" s="5"/>
    </row>
    <row r="29" spans="1:79" ht="15">
      <c r="A29" s="5" t="s">
        <v>18</v>
      </c>
      <c r="B29" s="5"/>
      <c r="C29" s="18" t="s">
        <v>354</v>
      </c>
      <c r="D29" s="15"/>
      <c r="E29" s="16"/>
      <c r="F29" s="19"/>
      <c r="G29" s="18" t="s">
        <v>408</v>
      </c>
      <c r="H29" s="15"/>
      <c r="I29" s="15"/>
      <c r="J29" s="15"/>
      <c r="K29" s="15"/>
      <c r="L29" s="15"/>
      <c r="M29" s="15"/>
      <c r="N29" s="15"/>
      <c r="O29" s="15"/>
      <c r="P29" s="15"/>
      <c r="Q29" s="19"/>
      <c r="R29" s="18" t="s">
        <v>407</v>
      </c>
      <c r="S29" s="15"/>
      <c r="T29" s="16"/>
      <c r="U29" s="16" t="s">
        <v>360</v>
      </c>
      <c r="V29" s="16"/>
      <c r="W29" s="16"/>
      <c r="X29" s="118" t="s">
        <v>219</v>
      </c>
      <c r="Y29" s="116"/>
      <c r="Z29" s="65" t="s">
        <v>330</v>
      </c>
      <c r="AA29" s="64"/>
      <c r="AB29" s="64"/>
      <c r="AC29" s="64"/>
      <c r="AD29" s="64"/>
      <c r="AE29" s="64"/>
      <c r="AF29" s="17" t="s">
        <v>140</v>
      </c>
      <c r="AG29" s="15"/>
      <c r="AH29" s="15"/>
      <c r="AI29" s="15"/>
      <c r="AJ29" s="15"/>
      <c r="AK29" s="15"/>
      <c r="AL29" s="15"/>
      <c r="AM29" s="81" t="s">
        <v>417</v>
      </c>
      <c r="AN29" s="12"/>
      <c r="AO29" s="22" t="s">
        <v>410</v>
      </c>
      <c r="AP29" s="15"/>
      <c r="AQ29" s="15"/>
      <c r="AR29" s="15" t="s">
        <v>294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20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1:79" ht="15">
      <c r="A30" s="5" t="s">
        <v>19</v>
      </c>
      <c r="B30" s="5"/>
      <c r="C30" s="15" t="s">
        <v>162</v>
      </c>
      <c r="D30" s="15"/>
      <c r="E30" s="16"/>
      <c r="F30" s="21" t="s">
        <v>388</v>
      </c>
      <c r="G30" s="15" t="s">
        <v>199</v>
      </c>
      <c r="H30" s="15"/>
      <c r="I30" s="15"/>
      <c r="J30" s="15" t="s">
        <v>199</v>
      </c>
      <c r="K30" s="15"/>
      <c r="L30" s="15"/>
      <c r="M30" s="15"/>
      <c r="N30" s="85" t="s">
        <v>418</v>
      </c>
      <c r="O30" s="44" t="s">
        <v>418</v>
      </c>
      <c r="P30" s="15"/>
      <c r="Q30" s="21" t="s">
        <v>387</v>
      </c>
      <c r="R30" s="22" t="s">
        <v>200</v>
      </c>
      <c r="S30" s="15" t="s">
        <v>201</v>
      </c>
      <c r="T30" s="16" t="s">
        <v>202</v>
      </c>
      <c r="U30" s="16" t="s">
        <v>361</v>
      </c>
      <c r="V30" s="16" t="s">
        <v>276</v>
      </c>
      <c r="W30" s="16"/>
      <c r="X30" s="118" t="s">
        <v>55</v>
      </c>
      <c r="Y30" s="136" t="s">
        <v>56</v>
      </c>
      <c r="Z30" s="63" t="s">
        <v>138</v>
      </c>
      <c r="AA30" s="64"/>
      <c r="AB30" s="64"/>
      <c r="AC30" s="64"/>
      <c r="AD30" s="64"/>
      <c r="AE30" s="66"/>
      <c r="AF30" s="15" t="s">
        <v>426</v>
      </c>
      <c r="AG30" s="15"/>
      <c r="AH30" s="15"/>
      <c r="AI30" s="15"/>
      <c r="AJ30" s="15"/>
      <c r="AK30" s="19"/>
      <c r="AL30" s="16" t="s">
        <v>405</v>
      </c>
      <c r="AM30" s="81" t="s">
        <v>414</v>
      </c>
      <c r="AN30" s="12"/>
      <c r="AO30" s="80" t="s">
        <v>411</v>
      </c>
      <c r="AP30" s="15"/>
      <c r="AQ30" s="19" t="s">
        <v>290</v>
      </c>
      <c r="AR30" s="23" t="s">
        <v>427</v>
      </c>
      <c r="AS30" s="24"/>
      <c r="AT30" s="24"/>
      <c r="AU30" s="25"/>
      <c r="AV30" s="15" t="s">
        <v>428</v>
      </c>
      <c r="AW30" s="15"/>
      <c r="AX30" s="15"/>
      <c r="AY30" s="15"/>
      <c r="AZ30" s="23" t="s">
        <v>237</v>
      </c>
      <c r="BA30" s="24"/>
      <c r="BB30" s="24"/>
      <c r="BC30" s="25"/>
      <c r="BD30" s="15" t="s">
        <v>84</v>
      </c>
      <c r="BE30" s="15"/>
      <c r="BF30" s="15"/>
      <c r="BG30" s="15"/>
      <c r="BH30" s="23" t="s">
        <v>85</v>
      </c>
      <c r="BI30" s="24"/>
      <c r="BJ30" s="24"/>
      <c r="BK30" s="25"/>
      <c r="BL30" s="15" t="s">
        <v>86</v>
      </c>
      <c r="BM30" s="15"/>
      <c r="BN30" s="15"/>
      <c r="BO30" s="15"/>
      <c r="BP30" s="23" t="s">
        <v>250</v>
      </c>
      <c r="BQ30" s="24"/>
      <c r="BR30" s="24"/>
      <c r="BS30" s="25"/>
      <c r="BT30" s="15" t="s">
        <v>251</v>
      </c>
      <c r="BU30" s="15"/>
      <c r="BV30" s="15"/>
      <c r="BW30" s="15"/>
      <c r="BX30" s="23" t="s">
        <v>252</v>
      </c>
      <c r="BY30" s="24"/>
      <c r="BZ30" s="24"/>
      <c r="CA30" s="25"/>
    </row>
    <row r="31" spans="1:79" ht="15">
      <c r="A31" s="5" t="s">
        <v>479</v>
      </c>
      <c r="B31" s="5"/>
      <c r="C31" s="22" t="s">
        <v>378</v>
      </c>
      <c r="D31" s="86" t="s">
        <v>356</v>
      </c>
      <c r="E31" s="26"/>
      <c r="F31" s="21" t="s">
        <v>389</v>
      </c>
      <c r="G31" s="15" t="s">
        <v>381</v>
      </c>
      <c r="H31" s="15"/>
      <c r="I31" s="15"/>
      <c r="J31" s="15" t="s">
        <v>382</v>
      </c>
      <c r="K31" s="15"/>
      <c r="L31" s="15"/>
      <c r="M31" s="21" t="s">
        <v>241</v>
      </c>
      <c r="N31" s="86" t="s">
        <v>308</v>
      </c>
      <c r="O31" s="22" t="s">
        <v>308</v>
      </c>
      <c r="P31" s="15"/>
      <c r="Q31" s="21" t="s">
        <v>154</v>
      </c>
      <c r="R31" s="22" t="s">
        <v>505</v>
      </c>
      <c r="S31" s="15" t="s">
        <v>506</v>
      </c>
      <c r="T31" s="16" t="s">
        <v>507</v>
      </c>
      <c r="U31" s="15" t="s">
        <v>362</v>
      </c>
      <c r="V31" s="16" t="s">
        <v>296</v>
      </c>
      <c r="W31" s="16"/>
      <c r="X31" s="118" t="s">
        <v>490</v>
      </c>
      <c r="Y31" s="136" t="s">
        <v>36</v>
      </c>
      <c r="Z31" s="67" t="s">
        <v>508</v>
      </c>
      <c r="AA31" s="68" t="s">
        <v>509</v>
      </c>
      <c r="AB31" s="64" t="s">
        <v>125</v>
      </c>
      <c r="AC31" s="64"/>
      <c r="AD31" s="64"/>
      <c r="AE31" s="69" t="s">
        <v>241</v>
      </c>
      <c r="AF31" s="22" t="s">
        <v>508</v>
      </c>
      <c r="AG31" s="22" t="s">
        <v>509</v>
      </c>
      <c r="AH31" s="15" t="s">
        <v>125</v>
      </c>
      <c r="AI31" s="15"/>
      <c r="AJ31" s="15"/>
      <c r="AK31" s="21" t="s">
        <v>241</v>
      </c>
      <c r="AL31" s="26" t="s">
        <v>406</v>
      </c>
      <c r="AM31" s="81" t="s">
        <v>415</v>
      </c>
      <c r="AN31" s="12"/>
      <c r="AO31" s="22" t="s">
        <v>412</v>
      </c>
      <c r="AP31" s="15"/>
      <c r="AQ31" s="21" t="s">
        <v>291</v>
      </c>
      <c r="AR31" s="15" t="s">
        <v>510</v>
      </c>
      <c r="AS31" s="15"/>
      <c r="AT31" s="15"/>
      <c r="AU31" s="15" t="s">
        <v>387</v>
      </c>
      <c r="AV31" s="15" t="s">
        <v>511</v>
      </c>
      <c r="AW31" s="15"/>
      <c r="AX31" s="15"/>
      <c r="AY31" s="15" t="s">
        <v>387</v>
      </c>
      <c r="AZ31" s="15" t="s">
        <v>512</v>
      </c>
      <c r="BA31" s="15"/>
      <c r="BB31" s="15"/>
      <c r="BC31" s="15" t="s">
        <v>387</v>
      </c>
      <c r="BD31" s="15" t="s">
        <v>513</v>
      </c>
      <c r="BE31" s="15"/>
      <c r="BF31" s="15"/>
      <c r="BG31" s="15" t="s">
        <v>387</v>
      </c>
      <c r="BH31" s="15" t="s">
        <v>384</v>
      </c>
      <c r="BI31" s="15"/>
      <c r="BJ31" s="15"/>
      <c r="BK31" s="15" t="s">
        <v>387</v>
      </c>
      <c r="BL31" s="15" t="s">
        <v>184</v>
      </c>
      <c r="BM31" s="15"/>
      <c r="BN31" s="15"/>
      <c r="BO31" s="15" t="s">
        <v>387</v>
      </c>
      <c r="BP31" s="15" t="s">
        <v>185</v>
      </c>
      <c r="BQ31" s="15"/>
      <c r="BR31" s="15"/>
      <c r="BS31" s="15" t="s">
        <v>387</v>
      </c>
      <c r="BT31" s="15" t="s">
        <v>121</v>
      </c>
      <c r="BU31" s="15"/>
      <c r="BV31" s="15"/>
      <c r="BW31" s="15" t="s">
        <v>387</v>
      </c>
      <c r="BX31" s="15" t="s">
        <v>376</v>
      </c>
      <c r="BY31" s="15"/>
      <c r="BZ31" s="15"/>
      <c r="CA31" s="15" t="s">
        <v>387</v>
      </c>
    </row>
    <row r="32" spans="1:79" ht="15">
      <c r="A32" s="37" t="s">
        <v>355</v>
      </c>
      <c r="B32" s="5"/>
      <c r="C32" s="29" t="s">
        <v>377</v>
      </c>
      <c r="D32" s="88" t="s">
        <v>357</v>
      </c>
      <c r="E32" s="26"/>
      <c r="F32" s="30" t="s">
        <v>283</v>
      </c>
      <c r="G32" s="29" t="s">
        <v>123</v>
      </c>
      <c r="H32" s="29" t="s">
        <v>129</v>
      </c>
      <c r="I32" s="29" t="s">
        <v>438</v>
      </c>
      <c r="J32" s="29" t="s">
        <v>123</v>
      </c>
      <c r="K32" s="29" t="s">
        <v>129</v>
      </c>
      <c r="L32" s="29" t="s">
        <v>240</v>
      </c>
      <c r="M32" s="30" t="s">
        <v>242</v>
      </c>
      <c r="N32" s="86" t="s">
        <v>439</v>
      </c>
      <c r="O32" s="22" t="s">
        <v>439</v>
      </c>
      <c r="P32" s="15"/>
      <c r="Q32" s="31" t="s">
        <v>155</v>
      </c>
      <c r="R32" s="29" t="s">
        <v>284</v>
      </c>
      <c r="S32" s="27" t="s">
        <v>285</v>
      </c>
      <c r="T32" s="29" t="s">
        <v>286</v>
      </c>
      <c r="U32" s="29" t="s">
        <v>467</v>
      </c>
      <c r="V32" s="29" t="s">
        <v>277</v>
      </c>
      <c r="W32" s="29" t="s">
        <v>278</v>
      </c>
      <c r="X32" s="31" t="s">
        <v>489</v>
      </c>
      <c r="Y32" s="88" t="s">
        <v>38</v>
      </c>
      <c r="Z32" s="70" t="s">
        <v>287</v>
      </c>
      <c r="AA32" s="70" t="s">
        <v>287</v>
      </c>
      <c r="AB32" s="70" t="s">
        <v>123</v>
      </c>
      <c r="AC32" s="70" t="s">
        <v>129</v>
      </c>
      <c r="AD32" s="70" t="s">
        <v>240</v>
      </c>
      <c r="AE32" s="71" t="s">
        <v>242</v>
      </c>
      <c r="AF32" s="29" t="s">
        <v>287</v>
      </c>
      <c r="AG32" s="29" t="s">
        <v>287</v>
      </c>
      <c r="AH32" s="29" t="s">
        <v>123</v>
      </c>
      <c r="AI32" s="29" t="s">
        <v>129</v>
      </c>
      <c r="AJ32" s="29" t="s">
        <v>240</v>
      </c>
      <c r="AK32" s="30" t="s">
        <v>242</v>
      </c>
      <c r="AL32" s="29" t="s">
        <v>263</v>
      </c>
      <c r="AM32" s="82" t="s">
        <v>416</v>
      </c>
      <c r="AN32" s="12"/>
      <c r="AO32" s="22" t="s">
        <v>413</v>
      </c>
      <c r="AP32" s="26"/>
      <c r="AQ32" s="30" t="s">
        <v>292</v>
      </c>
      <c r="AR32" s="29" t="s">
        <v>289</v>
      </c>
      <c r="AS32" s="29" t="s">
        <v>293</v>
      </c>
      <c r="AT32" s="29" t="s">
        <v>282</v>
      </c>
      <c r="AU32" s="29" t="s">
        <v>194</v>
      </c>
      <c r="AV32" s="29" t="s">
        <v>289</v>
      </c>
      <c r="AW32" s="29" t="s">
        <v>293</v>
      </c>
      <c r="AX32" s="29"/>
      <c r="AY32" s="29" t="s">
        <v>194</v>
      </c>
      <c r="AZ32" s="29" t="s">
        <v>289</v>
      </c>
      <c r="BA32" s="29" t="s">
        <v>293</v>
      </c>
      <c r="BB32" s="29" t="s">
        <v>282</v>
      </c>
      <c r="BC32" s="29" t="s">
        <v>194</v>
      </c>
      <c r="BD32" s="29" t="s">
        <v>289</v>
      </c>
      <c r="BE32" s="29" t="s">
        <v>293</v>
      </c>
      <c r="BF32" s="29"/>
      <c r="BG32" s="29" t="s">
        <v>194</v>
      </c>
      <c r="BH32" s="29" t="s">
        <v>289</v>
      </c>
      <c r="BI32" s="29" t="s">
        <v>293</v>
      </c>
      <c r="BJ32" s="29"/>
      <c r="BK32" s="29" t="s">
        <v>194</v>
      </c>
      <c r="BL32" s="29" t="s">
        <v>289</v>
      </c>
      <c r="BM32" s="29" t="s">
        <v>293</v>
      </c>
      <c r="BN32" s="29" t="s">
        <v>282</v>
      </c>
      <c r="BO32" s="29" t="s">
        <v>194</v>
      </c>
      <c r="BP32" s="29" t="s">
        <v>289</v>
      </c>
      <c r="BQ32" s="29" t="s">
        <v>293</v>
      </c>
      <c r="BR32" s="29"/>
      <c r="BS32" s="29" t="s">
        <v>194</v>
      </c>
      <c r="BT32" s="29" t="s">
        <v>289</v>
      </c>
      <c r="BU32" s="29" t="s">
        <v>293</v>
      </c>
      <c r="BV32" s="29" t="s">
        <v>132</v>
      </c>
      <c r="BW32" s="29" t="s">
        <v>194</v>
      </c>
      <c r="BX32" s="29" t="s">
        <v>289</v>
      </c>
      <c r="BY32" s="29" t="s">
        <v>293</v>
      </c>
      <c r="BZ32" s="29"/>
      <c r="CA32" s="29" t="s">
        <v>194</v>
      </c>
    </row>
    <row r="33" spans="1:79" ht="15">
      <c r="A33" s="5" t="s">
        <v>500</v>
      </c>
      <c r="B33" s="5"/>
      <c r="C33" s="38">
        <f aca="true" t="shared" si="22" ref="C33:C46">C10</f>
        <v>11648</v>
      </c>
      <c r="D33" s="89">
        <f aca="true" t="shared" si="23" ref="D33:D46">(D10+(E10/100))*0.06</f>
        <v>26223.596999999998</v>
      </c>
      <c r="E33" s="26"/>
      <c r="F33" s="39">
        <f>D33/C33</f>
        <v>2.2513390281593404</v>
      </c>
      <c r="G33" s="38">
        <f aca="true" t="shared" si="24" ref="G33:L33">G10</f>
        <v>68381</v>
      </c>
      <c r="H33" s="38">
        <f t="shared" si="24"/>
        <v>135</v>
      </c>
      <c r="I33" s="38">
        <f t="shared" si="24"/>
        <v>0</v>
      </c>
      <c r="J33" s="38">
        <f t="shared" si="24"/>
        <v>3749061</v>
      </c>
      <c r="K33" s="38">
        <f t="shared" si="24"/>
        <v>55</v>
      </c>
      <c r="L33" s="38">
        <f t="shared" si="24"/>
        <v>225</v>
      </c>
      <c r="M33" s="42">
        <f aca="true" t="shared" si="25" ref="M33:M48">J33+(K33/160)+(L33/43560)</f>
        <v>3749061.348915289</v>
      </c>
      <c r="N33" s="87">
        <f>0.06*N10</f>
        <v>1141686.4818</v>
      </c>
      <c r="O33" s="38">
        <f aca="true" t="shared" si="26" ref="O33:O43">(O10+(P10/100))*0.06</f>
        <v>1137507.5322</v>
      </c>
      <c r="P33" s="15"/>
      <c r="Q33" s="43">
        <f>O33/M33</f>
        <v>0.30341128787586086</v>
      </c>
      <c r="R33" s="48">
        <f>R10</f>
        <v>0</v>
      </c>
      <c r="S33" s="48">
        <f>S10</f>
        <v>0</v>
      </c>
      <c r="T33" s="48">
        <f>T10</f>
        <v>0</v>
      </c>
      <c r="U33" s="48">
        <f>U10</f>
        <v>0</v>
      </c>
      <c r="V33" s="49">
        <v>2.7</v>
      </c>
      <c r="W33" s="49">
        <v>2.7</v>
      </c>
      <c r="X33" s="121">
        <f>X10*28.44</f>
        <v>153.57600000000002</v>
      </c>
      <c r="Y33" s="89">
        <f>X33*1.669</f>
        <v>256.318344</v>
      </c>
      <c r="Z33" s="76">
        <f aca="true" t="shared" si="27" ref="Z33:AK33">Z10</f>
        <v>99</v>
      </c>
      <c r="AA33" s="76">
        <f t="shared" si="27"/>
        <v>37</v>
      </c>
      <c r="AB33" s="76">
        <f t="shared" si="27"/>
        <v>98</v>
      </c>
      <c r="AC33" s="76">
        <f t="shared" si="27"/>
        <v>53</v>
      </c>
      <c r="AD33" s="76">
        <f t="shared" si="27"/>
        <v>145</v>
      </c>
      <c r="AE33" s="76">
        <f t="shared" si="27"/>
        <v>98.3345787419651</v>
      </c>
      <c r="AF33" s="38">
        <f t="shared" si="27"/>
        <v>11130</v>
      </c>
      <c r="AG33" s="38">
        <f t="shared" si="27"/>
        <v>3074</v>
      </c>
      <c r="AH33" s="38">
        <f t="shared" si="27"/>
        <v>11989</v>
      </c>
      <c r="AI33" s="38">
        <f t="shared" si="27"/>
        <v>59</v>
      </c>
      <c r="AJ33" s="38">
        <f t="shared" si="27"/>
        <v>225</v>
      </c>
      <c r="AK33" s="38">
        <f t="shared" si="27"/>
        <v>11989.373915289256</v>
      </c>
      <c r="AL33" s="3">
        <v>11142</v>
      </c>
      <c r="AM33" s="83">
        <f>0.06*AM10</f>
        <v>248816.33399999997</v>
      </c>
      <c r="AN33" s="12"/>
      <c r="AO33" s="38">
        <f>(AO10+(AP10/100))*0.06</f>
        <v>248636.112</v>
      </c>
      <c r="AP33" s="26"/>
      <c r="AQ33" s="46">
        <f>AO33/AK33</f>
        <v>20.738039680531674</v>
      </c>
      <c r="AR33" s="38">
        <f aca="true" t="shared" si="28" ref="AR33:AR43">AR10</f>
        <v>9268</v>
      </c>
      <c r="AS33" s="38">
        <f>(AS10+(AT10/100))*0.06</f>
        <v>130222.30200000001</v>
      </c>
      <c r="AT33" s="38"/>
      <c r="AU33" s="39">
        <f>AS33/AR33</f>
        <v>14.050744712990937</v>
      </c>
      <c r="AV33" s="38">
        <f aca="true" t="shared" si="29" ref="AV33:AV43">AV10</f>
        <v>1330</v>
      </c>
      <c r="AW33" s="38">
        <f>(AW10+(AX10/100))*0.06</f>
        <v>54390.755999999994</v>
      </c>
      <c r="AX33" s="38"/>
      <c r="AY33" s="39">
        <f>AW33/AV33</f>
        <v>40.89530526315789</v>
      </c>
      <c r="AZ33" s="38">
        <f aca="true" t="shared" si="30" ref="AZ33:AZ43">AZ10</f>
        <v>474</v>
      </c>
      <c r="BA33" s="38">
        <f>(BA10+(BB10/100))*0.06</f>
        <v>45252.654</v>
      </c>
      <c r="BB33" s="38"/>
      <c r="BC33" s="39">
        <f>BA33/AZ33</f>
        <v>95.4697341772152</v>
      </c>
      <c r="BD33" s="38">
        <f>BD10</f>
        <v>60</v>
      </c>
      <c r="BE33" s="38">
        <f>(BE10+(BF10/100))*0.06</f>
        <v>14540.4</v>
      </c>
      <c r="BF33" s="38"/>
      <c r="BG33" s="39">
        <f>BE33/BD33</f>
        <v>242.34</v>
      </c>
      <c r="BH33" s="38">
        <f>BH10</f>
        <v>7</v>
      </c>
      <c r="BI33" s="38">
        <f>(BI10+(BJ10/100))*0.06</f>
        <v>3330</v>
      </c>
      <c r="BJ33" s="38"/>
      <c r="BK33" s="39">
        <f>BI33/BH33</f>
        <v>475.7142857142857</v>
      </c>
      <c r="BL33" s="38">
        <f>BL10</f>
        <v>1</v>
      </c>
      <c r="BM33" s="38">
        <f>(BM10+(BN10/100))*0.06</f>
        <v>900</v>
      </c>
      <c r="BN33" s="38"/>
      <c r="BO33" s="39">
        <f>BM33/BL33</f>
        <v>900</v>
      </c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9"/>
    </row>
    <row r="34" spans="1:79" ht="15">
      <c r="A34" s="5" t="s">
        <v>420</v>
      </c>
      <c r="B34" s="5"/>
      <c r="C34" s="38">
        <f t="shared" si="22"/>
        <v>18733.33</v>
      </c>
      <c r="D34" s="89">
        <f t="shared" si="23"/>
        <v>50891.7258</v>
      </c>
      <c r="E34" s="26"/>
      <c r="F34" s="39">
        <f aca="true" t="shared" si="31" ref="F34:F48">D34/C34</f>
        <v>2.7166406506478022</v>
      </c>
      <c r="G34" s="38">
        <f aca="true" t="shared" si="32" ref="G34:L42">G11</f>
        <v>13000384</v>
      </c>
      <c r="H34" s="38">
        <f t="shared" si="32"/>
        <v>79</v>
      </c>
      <c r="I34" s="38">
        <f t="shared" si="32"/>
        <v>167</v>
      </c>
      <c r="J34" s="38">
        <f t="shared" si="32"/>
        <v>7831028</v>
      </c>
      <c r="K34" s="38">
        <f t="shared" si="32"/>
        <v>46</v>
      </c>
      <c r="L34" s="38">
        <f t="shared" si="32"/>
        <v>23</v>
      </c>
      <c r="M34" s="42">
        <f t="shared" si="25"/>
        <v>7831028.288028007</v>
      </c>
      <c r="N34" s="87">
        <f aca="true" t="shared" si="33" ref="N34:N48">0.06*N11</f>
        <v>3566738.5584</v>
      </c>
      <c r="O34" s="38">
        <f t="shared" si="26"/>
        <v>3755239.968</v>
      </c>
      <c r="P34" s="15"/>
      <c r="Q34" s="43">
        <f>O34/M34</f>
        <v>0.4795334443806021</v>
      </c>
      <c r="R34" s="48">
        <f aca="true" t="shared" si="34" ref="R34:T43">R11</f>
        <v>0</v>
      </c>
      <c r="S34" s="48">
        <f t="shared" si="34"/>
        <v>0</v>
      </c>
      <c r="T34" s="48">
        <f t="shared" si="34"/>
        <v>0</v>
      </c>
      <c r="U34" s="48">
        <f aca="true" t="shared" si="35" ref="U34:U43">U11</f>
        <v>0</v>
      </c>
      <c r="V34" s="48">
        <v>0</v>
      </c>
      <c r="W34" s="48">
        <v>0</v>
      </c>
      <c r="X34" s="121">
        <f aca="true" t="shared" si="36" ref="X34:X48">X11*28.44</f>
        <v>0</v>
      </c>
      <c r="Y34" s="89">
        <f aca="true" t="shared" si="37" ref="Y34:Y40">X34*1.669</f>
        <v>0</v>
      </c>
      <c r="Z34" s="76">
        <f aca="true" t="shared" si="38" ref="Z34:AK34">Z11</f>
        <v>675.125</v>
      </c>
      <c r="AA34" s="76">
        <f t="shared" si="38"/>
        <v>262</v>
      </c>
      <c r="AB34" s="76">
        <f t="shared" si="38"/>
        <v>594</v>
      </c>
      <c r="AC34" s="76">
        <f t="shared" si="38"/>
        <v>141</v>
      </c>
      <c r="AD34" s="76">
        <f t="shared" si="38"/>
        <v>119</v>
      </c>
      <c r="AE34" s="76">
        <f t="shared" si="38"/>
        <v>594.8839818640955</v>
      </c>
      <c r="AF34" s="38">
        <f t="shared" si="38"/>
        <v>50447.875</v>
      </c>
      <c r="AG34" s="38">
        <f t="shared" si="38"/>
        <v>10807</v>
      </c>
      <c r="AH34" s="38">
        <f t="shared" si="38"/>
        <v>28732</v>
      </c>
      <c r="AI34" s="38">
        <f t="shared" si="38"/>
        <v>54</v>
      </c>
      <c r="AJ34" s="38">
        <f t="shared" si="38"/>
        <v>26</v>
      </c>
      <c r="AK34" s="38">
        <f t="shared" si="38"/>
        <v>28732.33809687787</v>
      </c>
      <c r="AL34" s="3">
        <v>48984</v>
      </c>
      <c r="AM34" s="83">
        <f aca="true" t="shared" si="39" ref="AM34:AM48">0.06*AM11</f>
        <v>1472809.5876</v>
      </c>
      <c r="AN34" s="12"/>
      <c r="AO34" s="38">
        <f aca="true" t="shared" si="40" ref="AO34:AO48">(AO11+(AP11/100))*0.06</f>
        <v>1500192.9474</v>
      </c>
      <c r="AP34" s="26"/>
      <c r="AQ34" s="46">
        <f aca="true" t="shared" si="41" ref="AQ34:AQ48">AO34/AK34</f>
        <v>52.21269993210246</v>
      </c>
      <c r="AR34" s="38">
        <f t="shared" si="28"/>
        <v>38771.375</v>
      </c>
      <c r="AS34" s="38">
        <f aca="true" t="shared" si="42" ref="AS34:AS48">(AS11+(AT11/100))*0.06</f>
        <v>564823.9836</v>
      </c>
      <c r="AT34" s="38"/>
      <c r="AU34" s="39">
        <f>AS34/AR34</f>
        <v>14.568066868920694</v>
      </c>
      <c r="AV34" s="38">
        <f t="shared" si="29"/>
        <v>7409</v>
      </c>
      <c r="AW34" s="38">
        <f aca="true" t="shared" si="43" ref="AW34:AW48">(AW11+(AX11/100))*0.06</f>
        <v>317930.3928</v>
      </c>
      <c r="AX34" s="38"/>
      <c r="AY34" s="39">
        <f>AW34/AV34</f>
        <v>42.911377081927384</v>
      </c>
      <c r="AZ34" s="38">
        <f t="shared" si="30"/>
        <v>3378.5</v>
      </c>
      <c r="BA34" s="38">
        <f aca="true" t="shared" si="44" ref="BA34:BA48">(BA11+(BB11/100))*0.06</f>
        <v>333108.98099999997</v>
      </c>
      <c r="BB34" s="38"/>
      <c r="BC34" s="39">
        <f>BA34/AZ34</f>
        <v>98.59670889447979</v>
      </c>
      <c r="BD34" s="38">
        <f>BD11</f>
        <v>694</v>
      </c>
      <c r="BE34" s="38">
        <f>(BE11+(BF11/100))*0.06</f>
        <v>171862.59</v>
      </c>
      <c r="BF34" s="38"/>
      <c r="BG34" s="39">
        <f>BE34/BD34</f>
        <v>247.64061959654177</v>
      </c>
      <c r="BH34" s="38">
        <f>BH11</f>
        <v>143</v>
      </c>
      <c r="BI34" s="38">
        <f>(BI11+(BJ11/100))*0.06</f>
        <v>65163</v>
      </c>
      <c r="BJ34" s="38"/>
      <c r="BK34" s="39">
        <f>BI34/BH34</f>
        <v>455.68531468531467</v>
      </c>
      <c r="BL34" s="38">
        <f>BL11</f>
        <v>33</v>
      </c>
      <c r="BM34" s="38">
        <f>(BM11+(BN11/100))*0.06</f>
        <v>24363</v>
      </c>
      <c r="BN34" s="38"/>
      <c r="BO34" s="39">
        <f>BM34/BL34</f>
        <v>738.2727272727273</v>
      </c>
      <c r="BP34" s="38">
        <f>BP11</f>
        <v>13</v>
      </c>
      <c r="BQ34" s="38">
        <f>(BQ11+(BR11/100))*0.06</f>
        <v>13464</v>
      </c>
      <c r="BR34" s="38"/>
      <c r="BS34" s="39">
        <f>BQ34/BP34</f>
        <v>1035.6923076923076</v>
      </c>
      <c r="BT34" s="38">
        <f>BT11</f>
        <v>5</v>
      </c>
      <c r="BU34" s="38">
        <f>(BU11+(BV11/100))*0.06</f>
        <v>7227</v>
      </c>
      <c r="BV34" s="38"/>
      <c r="BW34" s="39">
        <f>BU34/BT34</f>
        <v>1445.4</v>
      </c>
      <c r="BX34" s="38">
        <f>BX11</f>
        <v>1</v>
      </c>
      <c r="BY34" s="38">
        <f>(BY11+(BZ11/100))*0.06</f>
        <v>2250</v>
      </c>
      <c r="BZ34" s="38"/>
      <c r="CA34" s="39">
        <f>BY34/BX34</f>
        <v>2250</v>
      </c>
    </row>
    <row r="35" spans="1:80" ht="15">
      <c r="A35" s="5" t="s">
        <v>501</v>
      </c>
      <c r="B35" s="5"/>
      <c r="C35" s="38">
        <f t="shared" si="22"/>
        <v>2525</v>
      </c>
      <c r="D35" s="89">
        <f t="shared" si="23"/>
        <v>3934.7652</v>
      </c>
      <c r="E35" s="26"/>
      <c r="F35" s="39">
        <f t="shared" si="31"/>
        <v>1.5583228514851484</v>
      </c>
      <c r="G35" s="38">
        <f t="shared" si="32"/>
        <v>924</v>
      </c>
      <c r="H35" s="38">
        <f t="shared" si="32"/>
        <v>55</v>
      </c>
      <c r="I35" s="38">
        <f t="shared" si="32"/>
        <v>166</v>
      </c>
      <c r="J35" s="38">
        <f t="shared" si="32"/>
        <v>565843</v>
      </c>
      <c r="K35" s="38">
        <f t="shared" si="32"/>
        <v>146</v>
      </c>
      <c r="L35" s="38">
        <f t="shared" si="32"/>
        <v>205</v>
      </c>
      <c r="M35" s="42">
        <f t="shared" si="25"/>
        <v>565843.9172061525</v>
      </c>
      <c r="N35" s="87">
        <f t="shared" si="33"/>
        <v>484941.3126</v>
      </c>
      <c r="O35" s="38">
        <f t="shared" si="26"/>
        <v>487902.6846</v>
      </c>
      <c r="P35" s="15"/>
      <c r="Q35" s="43">
        <f aca="true" t="shared" si="45" ref="Q35:Q48">O35/M35</f>
        <v>0.8622566572934346</v>
      </c>
      <c r="R35" s="48">
        <f t="shared" si="34"/>
        <v>168</v>
      </c>
      <c r="S35" s="48">
        <f t="shared" si="34"/>
        <v>24</v>
      </c>
      <c r="T35" s="48">
        <f t="shared" si="34"/>
        <v>144</v>
      </c>
      <c r="U35" s="48">
        <f t="shared" si="35"/>
        <v>143</v>
      </c>
      <c r="V35" s="49">
        <v>86.4</v>
      </c>
      <c r="W35" s="49">
        <v>144.9</v>
      </c>
      <c r="X35" s="121">
        <f t="shared" si="36"/>
        <v>6578.1720000000005</v>
      </c>
      <c r="Y35" s="89">
        <f t="shared" si="37"/>
        <v>10978.969068</v>
      </c>
      <c r="Z35" s="76">
        <f aca="true" t="shared" si="46" ref="Z35:AK35">Z12</f>
        <v>36</v>
      </c>
      <c r="AA35" s="76">
        <f t="shared" si="46"/>
        <v>19</v>
      </c>
      <c r="AB35" s="76">
        <f t="shared" si="46"/>
        <v>24</v>
      </c>
      <c r="AC35" s="76">
        <f t="shared" si="46"/>
        <v>99</v>
      </c>
      <c r="AD35" s="76">
        <f t="shared" si="46"/>
        <v>256</v>
      </c>
      <c r="AE35" s="76">
        <f t="shared" si="46"/>
        <v>24.624626951331496</v>
      </c>
      <c r="AF35" s="38">
        <f t="shared" si="46"/>
        <v>7023</v>
      </c>
      <c r="AG35" s="38">
        <f t="shared" si="46"/>
        <v>4100</v>
      </c>
      <c r="AH35" s="38">
        <f t="shared" si="46"/>
        <v>9093</v>
      </c>
      <c r="AI35" s="38">
        <f t="shared" si="46"/>
        <v>153</v>
      </c>
      <c r="AJ35" s="38">
        <f t="shared" si="46"/>
        <v>233</v>
      </c>
      <c r="AK35" s="38">
        <f t="shared" si="46"/>
        <v>9093.961598943984</v>
      </c>
      <c r="AL35" s="3">
        <v>7034</v>
      </c>
      <c r="AM35" s="83">
        <f t="shared" si="39"/>
        <v>179040.1722</v>
      </c>
      <c r="AN35" s="12"/>
      <c r="AO35" s="38">
        <f t="shared" si="40"/>
        <v>178936.965</v>
      </c>
      <c r="AP35" s="26"/>
      <c r="AQ35" s="46">
        <f t="shared" si="41"/>
        <v>19.676459269497975</v>
      </c>
      <c r="AR35" s="38">
        <f t="shared" si="28"/>
        <v>5407</v>
      </c>
      <c r="AS35" s="38">
        <f t="shared" si="42"/>
        <v>81811.575</v>
      </c>
      <c r="AT35" s="38"/>
      <c r="AU35" s="39">
        <f aca="true" t="shared" si="47" ref="AU35:AU48">AS35/AR35</f>
        <v>15.130677825041612</v>
      </c>
      <c r="AV35" s="38">
        <f t="shared" si="29"/>
        <v>1193</v>
      </c>
      <c r="AW35" s="38">
        <f t="shared" si="43"/>
        <v>53925.39</v>
      </c>
      <c r="AX35" s="38"/>
      <c r="AY35" s="39">
        <f aca="true" t="shared" si="48" ref="AY35:AY43">AW35/AV35</f>
        <v>45.20150041911148</v>
      </c>
      <c r="AZ35" s="38">
        <f t="shared" si="30"/>
        <v>408</v>
      </c>
      <c r="BA35" s="38">
        <f t="shared" si="44"/>
        <v>38706</v>
      </c>
      <c r="BB35" s="38"/>
      <c r="BC35" s="39">
        <f>BA35/AZ35</f>
        <v>94.86764705882354</v>
      </c>
      <c r="BD35" s="38">
        <f>BD12</f>
        <v>13</v>
      </c>
      <c r="BE35" s="38">
        <f>(BE12+(BF12/100))*0.06</f>
        <v>3414</v>
      </c>
      <c r="BF35" s="38"/>
      <c r="BG35" s="39">
        <f>BE35/BD35</f>
        <v>262.61538461538464</v>
      </c>
      <c r="BH35" s="38">
        <f>BH12</f>
        <v>2</v>
      </c>
      <c r="BI35" s="38">
        <f>(BI12+(BJ12/100))*0.06</f>
        <v>1080</v>
      </c>
      <c r="BJ35" s="38"/>
      <c r="BK35" s="39">
        <f>BI35/BH35</f>
        <v>540</v>
      </c>
      <c r="BL35" s="38"/>
      <c r="BM35" s="38"/>
      <c r="BN35" s="38"/>
      <c r="BO35" s="39"/>
      <c r="BP35" s="39"/>
      <c r="BQ35" s="39"/>
      <c r="BR35" s="39"/>
      <c r="BS35" s="39"/>
      <c r="BT35" s="39"/>
      <c r="BU35" s="39"/>
      <c r="BV35" s="38"/>
      <c r="BW35" s="38"/>
      <c r="BX35" s="38"/>
      <c r="BY35" s="38"/>
      <c r="BZ35" s="38"/>
      <c r="CA35" s="38"/>
      <c r="CB35" s="38"/>
    </row>
    <row r="36" spans="1:80" ht="15">
      <c r="A36" s="5" t="s">
        <v>502</v>
      </c>
      <c r="B36" s="5"/>
      <c r="C36" s="38">
        <f t="shared" si="22"/>
        <v>10989.166666666666</v>
      </c>
      <c r="D36" s="89">
        <f t="shared" si="23"/>
        <v>35705.74139999999</v>
      </c>
      <c r="E36" s="26"/>
      <c r="F36" s="39">
        <f t="shared" si="31"/>
        <v>3.2491764374004695</v>
      </c>
      <c r="G36" s="38">
        <f t="shared" si="32"/>
        <v>30754</v>
      </c>
      <c r="H36" s="38">
        <f t="shared" si="32"/>
        <v>78</v>
      </c>
      <c r="I36" s="38">
        <f t="shared" si="32"/>
        <v>82.75</v>
      </c>
      <c r="J36" s="38">
        <f t="shared" si="32"/>
        <v>2649148</v>
      </c>
      <c r="K36" s="38">
        <f t="shared" si="32"/>
        <v>132</v>
      </c>
      <c r="L36" s="38">
        <f t="shared" si="32"/>
        <v>1.25</v>
      </c>
      <c r="M36" s="42">
        <f t="shared" si="25"/>
        <v>2649148.825028696</v>
      </c>
      <c r="N36" s="87">
        <f t="shared" si="33"/>
        <v>2409837.3204</v>
      </c>
      <c r="O36" s="38">
        <f t="shared" si="26"/>
        <v>2410237.8444</v>
      </c>
      <c r="P36" s="15"/>
      <c r="Q36" s="43">
        <f t="shared" si="45"/>
        <v>0.9098159460233012</v>
      </c>
      <c r="R36" s="48">
        <f t="shared" si="34"/>
        <v>884</v>
      </c>
      <c r="S36" s="48">
        <f t="shared" si="34"/>
        <v>231</v>
      </c>
      <c r="T36" s="48">
        <f t="shared" si="34"/>
        <v>653</v>
      </c>
      <c r="U36" s="48">
        <f t="shared" si="35"/>
        <v>654</v>
      </c>
      <c r="V36" s="49">
        <v>219.6</v>
      </c>
      <c r="W36" s="49">
        <v>359.1</v>
      </c>
      <c r="X36" s="121">
        <f t="shared" si="36"/>
        <v>16458.228000000003</v>
      </c>
      <c r="Y36" s="89">
        <f t="shared" si="37"/>
        <v>27468.782532000005</v>
      </c>
      <c r="Z36" s="76">
        <f aca="true" t="shared" si="49" ref="Z36:AK36">Z13</f>
        <v>355.33</v>
      </c>
      <c r="AA36" s="76">
        <f t="shared" si="49"/>
        <v>156</v>
      </c>
      <c r="AB36" s="76">
        <f t="shared" si="49"/>
        <v>134</v>
      </c>
      <c r="AC36" s="76">
        <f t="shared" si="49"/>
        <v>112</v>
      </c>
      <c r="AD36" s="76">
        <f t="shared" si="49"/>
        <v>111</v>
      </c>
      <c r="AE36" s="76">
        <f t="shared" si="49"/>
        <v>134.70254820936637</v>
      </c>
      <c r="AF36" s="38">
        <f t="shared" si="49"/>
        <v>23568.666666666668</v>
      </c>
      <c r="AG36" s="38">
        <f t="shared" si="49"/>
        <v>7112</v>
      </c>
      <c r="AH36" s="38">
        <f t="shared" si="49"/>
        <v>8506</v>
      </c>
      <c r="AI36" s="38">
        <f t="shared" si="49"/>
        <v>67.5</v>
      </c>
      <c r="AJ36" s="38">
        <f t="shared" si="49"/>
        <v>141.5</v>
      </c>
      <c r="AK36" s="38">
        <f t="shared" si="49"/>
        <v>8506.42512339302</v>
      </c>
      <c r="AL36" s="3">
        <v>23565</v>
      </c>
      <c r="AM36" s="83">
        <f t="shared" si="39"/>
        <v>488968.7568</v>
      </c>
      <c r="AN36" s="12"/>
      <c r="AO36" s="38">
        <f t="shared" si="40"/>
        <v>488975.9364</v>
      </c>
      <c r="AP36" s="26"/>
      <c r="AQ36" s="46">
        <f t="shared" si="41"/>
        <v>57.483129435336586</v>
      </c>
      <c r="AR36" s="38">
        <f t="shared" si="28"/>
        <v>19981.666666666668</v>
      </c>
      <c r="AS36" s="38">
        <f t="shared" si="42"/>
        <v>279443.517</v>
      </c>
      <c r="AT36" s="38"/>
      <c r="AU36" s="39">
        <f t="shared" si="47"/>
        <v>13.98499542914338</v>
      </c>
      <c r="AV36" s="38">
        <f t="shared" si="29"/>
        <v>2653</v>
      </c>
      <c r="AW36" s="38">
        <f t="shared" si="43"/>
        <v>112566.7194</v>
      </c>
      <c r="AX36" s="38"/>
      <c r="AY36" s="39">
        <f t="shared" si="48"/>
        <v>42.42997338861666</v>
      </c>
      <c r="AZ36" s="38">
        <f t="shared" si="30"/>
        <v>880</v>
      </c>
      <c r="BA36" s="38">
        <f t="shared" si="44"/>
        <v>84052.05</v>
      </c>
      <c r="BB36" s="38"/>
      <c r="BC36" s="39">
        <v>95.51369318181818</v>
      </c>
      <c r="BD36" s="38">
        <v>51</v>
      </c>
      <c r="BE36" s="38">
        <v>11650.65</v>
      </c>
      <c r="BF36" s="38"/>
      <c r="BG36" s="39">
        <v>228.44411764705882</v>
      </c>
      <c r="BH36" s="38">
        <v>3</v>
      </c>
      <c r="BI36" s="38">
        <v>1263</v>
      </c>
      <c r="BJ36" s="38"/>
      <c r="BK36" s="39">
        <v>421</v>
      </c>
      <c r="BL36" s="38"/>
      <c r="BM36" s="38"/>
      <c r="BN36" s="38"/>
      <c r="BO36" s="39"/>
      <c r="BP36" s="39"/>
      <c r="BQ36" s="39"/>
      <c r="BR36" s="39"/>
      <c r="BS36" s="39"/>
      <c r="BT36" s="39"/>
      <c r="BU36" s="39"/>
      <c r="BV36" s="38"/>
      <c r="BW36" s="39"/>
      <c r="BX36" s="39"/>
      <c r="BY36" s="39"/>
      <c r="BZ36" s="39"/>
      <c r="CA36" s="39"/>
      <c r="CB36" s="39"/>
    </row>
    <row r="37" spans="1:83" ht="15">
      <c r="A37" s="5" t="s">
        <v>503</v>
      </c>
      <c r="B37" s="5"/>
      <c r="C37" s="38">
        <f t="shared" si="22"/>
        <v>29225.8</v>
      </c>
      <c r="D37" s="89">
        <f t="shared" si="23"/>
        <v>80584.47899999999</v>
      </c>
      <c r="E37" s="26"/>
      <c r="F37" s="39">
        <f t="shared" si="31"/>
        <v>2.757306181524543</v>
      </c>
      <c r="G37" s="38">
        <f t="shared" si="32"/>
        <v>278648</v>
      </c>
      <c r="H37" s="38">
        <f t="shared" si="32"/>
        <v>96</v>
      </c>
      <c r="I37" s="38">
        <f t="shared" si="32"/>
        <v>0</v>
      </c>
      <c r="J37" s="38">
        <f t="shared" si="32"/>
        <v>4918722</v>
      </c>
      <c r="K37" s="38">
        <f t="shared" si="32"/>
        <v>34</v>
      </c>
      <c r="L37" s="38">
        <f t="shared" si="32"/>
        <v>3</v>
      </c>
      <c r="M37" s="42">
        <f t="shared" si="25"/>
        <v>4918722.212568871</v>
      </c>
      <c r="N37" s="87">
        <f t="shared" si="33"/>
        <v>909929.0412</v>
      </c>
      <c r="O37" s="38">
        <f t="shared" si="26"/>
        <v>909929.0412</v>
      </c>
      <c r="P37" s="15"/>
      <c r="Q37" s="43">
        <f t="shared" si="45"/>
        <v>0.18499297213305668</v>
      </c>
      <c r="R37" s="48">
        <f t="shared" si="34"/>
        <v>0</v>
      </c>
      <c r="S37" s="48">
        <f t="shared" si="34"/>
        <v>0</v>
      </c>
      <c r="T37" s="48">
        <f t="shared" si="34"/>
        <v>0</v>
      </c>
      <c r="U37" s="48">
        <f t="shared" si="35"/>
        <v>0</v>
      </c>
      <c r="V37" s="48">
        <v>0</v>
      </c>
      <c r="W37" s="48">
        <v>0</v>
      </c>
      <c r="X37" s="121">
        <f t="shared" si="36"/>
        <v>0</v>
      </c>
      <c r="Y37" s="89">
        <f t="shared" si="37"/>
        <v>0</v>
      </c>
      <c r="Z37" s="76">
        <f aca="true" t="shared" si="50" ref="Z37:AK37">Z14</f>
        <v>60</v>
      </c>
      <c r="AA37" s="76">
        <f t="shared" si="50"/>
        <v>20</v>
      </c>
      <c r="AB37" s="76">
        <f t="shared" si="50"/>
        <v>71</v>
      </c>
      <c r="AC37" s="76">
        <f t="shared" si="50"/>
        <v>15</v>
      </c>
      <c r="AD37" s="76">
        <f t="shared" si="50"/>
        <v>129.5</v>
      </c>
      <c r="AE37" s="76">
        <f t="shared" si="50"/>
        <v>71.09672291092745</v>
      </c>
      <c r="AF37" s="38">
        <f t="shared" si="50"/>
        <v>5517.5</v>
      </c>
      <c r="AG37" s="38">
        <f t="shared" si="50"/>
        <v>1104</v>
      </c>
      <c r="AH37" s="38">
        <f t="shared" si="50"/>
        <v>5699</v>
      </c>
      <c r="AI37" s="38">
        <f t="shared" si="50"/>
        <v>22</v>
      </c>
      <c r="AJ37" s="38">
        <f t="shared" si="50"/>
        <v>126</v>
      </c>
      <c r="AK37" s="38">
        <f t="shared" si="50"/>
        <v>5699.140392561983</v>
      </c>
      <c r="AL37" s="3">
        <v>5437</v>
      </c>
      <c r="AM37" s="83">
        <f t="shared" si="39"/>
        <v>93503.3616</v>
      </c>
      <c r="AN37" s="12"/>
      <c r="AO37" s="38">
        <f t="shared" si="40"/>
        <v>93505.1916</v>
      </c>
      <c r="AP37" s="26"/>
      <c r="AQ37" s="46">
        <f t="shared" si="41"/>
        <v>16.406893875089434</v>
      </c>
      <c r="AR37" s="38">
        <f t="shared" si="28"/>
        <v>4960.5</v>
      </c>
      <c r="AS37" s="38">
        <f t="shared" si="42"/>
        <v>65459.6844</v>
      </c>
      <c r="AT37" s="38"/>
      <c r="AU37" s="39">
        <f t="shared" si="47"/>
        <v>13.196186755367401</v>
      </c>
      <c r="AV37" s="38">
        <f t="shared" si="29"/>
        <v>441</v>
      </c>
      <c r="AW37" s="38">
        <f t="shared" si="43"/>
        <v>18885.522</v>
      </c>
      <c r="AX37" s="38"/>
      <c r="AY37" s="39">
        <f t="shared" si="48"/>
        <v>42.82431292517007</v>
      </c>
      <c r="AZ37" s="38">
        <f t="shared" si="30"/>
        <v>116</v>
      </c>
      <c r="BA37" s="38">
        <f t="shared" si="44"/>
        <v>9159.985200000001</v>
      </c>
      <c r="BB37" s="38"/>
      <c r="BC37" s="39">
        <v>78.96538965517242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</row>
    <row r="38" spans="1:79" ht="15">
      <c r="A38" s="5" t="s">
        <v>131</v>
      </c>
      <c r="B38" s="5"/>
      <c r="C38" s="38">
        <f t="shared" si="22"/>
        <v>39993</v>
      </c>
      <c r="D38" s="89">
        <f t="shared" si="23"/>
        <v>68643.495</v>
      </c>
      <c r="E38" s="26"/>
      <c r="F38" s="39">
        <f t="shared" si="31"/>
        <v>1.7163877428549994</v>
      </c>
      <c r="G38" s="38">
        <f t="shared" si="32"/>
        <v>96542</v>
      </c>
      <c r="H38" s="38">
        <f t="shared" si="32"/>
        <v>52</v>
      </c>
      <c r="I38" s="38">
        <f t="shared" si="32"/>
        <v>261</v>
      </c>
      <c r="J38" s="38">
        <f t="shared" si="32"/>
        <v>14408713</v>
      </c>
      <c r="K38" s="38">
        <f t="shared" si="32"/>
        <v>14</v>
      </c>
      <c r="L38" s="38">
        <f t="shared" si="32"/>
        <v>23</v>
      </c>
      <c r="M38" s="42">
        <f t="shared" si="25"/>
        <v>14408713.088028008</v>
      </c>
      <c r="N38" s="87">
        <f t="shared" si="33"/>
        <v>4493104.5413999995</v>
      </c>
      <c r="O38" s="38">
        <f t="shared" si="26"/>
        <v>4269268.845</v>
      </c>
      <c r="P38" s="15"/>
      <c r="Q38" s="43">
        <f t="shared" si="45"/>
        <v>0.2962977206165118</v>
      </c>
      <c r="R38" s="48">
        <f t="shared" si="34"/>
        <v>18400</v>
      </c>
      <c r="S38" s="48">
        <f t="shared" si="34"/>
        <v>1004</v>
      </c>
      <c r="T38" s="48">
        <f t="shared" si="34"/>
        <v>10026</v>
      </c>
      <c r="U38" s="48">
        <f t="shared" si="35"/>
        <v>9994</v>
      </c>
      <c r="V38" s="49">
        <v>5923.193960415252</v>
      </c>
      <c r="W38" s="49">
        <v>6445.436882701078</v>
      </c>
      <c r="X38" s="121">
        <f t="shared" si="36"/>
        <v>351763.86117822846</v>
      </c>
      <c r="Y38" s="89">
        <f t="shared" si="37"/>
        <v>587093.8843064633</v>
      </c>
      <c r="Z38" s="76">
        <f aca="true" t="shared" si="51" ref="Z38:AK38">Z15</f>
        <v>105</v>
      </c>
      <c r="AA38" s="76">
        <f t="shared" si="51"/>
        <v>13</v>
      </c>
      <c r="AB38" s="76">
        <f t="shared" si="51"/>
        <v>72</v>
      </c>
      <c r="AC38" s="76">
        <f t="shared" si="51"/>
        <v>121</v>
      </c>
      <c r="AD38" s="76">
        <f t="shared" si="51"/>
        <v>258</v>
      </c>
      <c r="AE38" s="76">
        <f t="shared" si="51"/>
        <v>72.76217286501377</v>
      </c>
      <c r="AF38" s="38">
        <f t="shared" si="51"/>
        <v>33187</v>
      </c>
      <c r="AG38" s="38">
        <f t="shared" si="51"/>
        <v>6253</v>
      </c>
      <c r="AH38" s="38">
        <f t="shared" si="51"/>
        <v>27832</v>
      </c>
      <c r="AI38" s="38">
        <f t="shared" si="51"/>
        <v>27</v>
      </c>
      <c r="AJ38" s="38">
        <f t="shared" si="51"/>
        <v>232</v>
      </c>
      <c r="AK38" s="38">
        <f t="shared" si="51"/>
        <v>27832.174075987146</v>
      </c>
      <c r="AL38" s="3">
        <v>33416</v>
      </c>
      <c r="AM38" s="83">
        <f t="shared" si="39"/>
        <v>1529737.8834</v>
      </c>
      <c r="AN38" s="12"/>
      <c r="AO38" s="38">
        <f t="shared" si="40"/>
        <v>1523910.5633999999</v>
      </c>
      <c r="AP38" s="26"/>
      <c r="AQ38" s="46">
        <f t="shared" si="41"/>
        <v>54.75355821070367</v>
      </c>
      <c r="AR38" s="38">
        <f t="shared" si="28"/>
        <v>21413</v>
      </c>
      <c r="AS38" s="38">
        <f t="shared" si="42"/>
        <v>327053.89259999996</v>
      </c>
      <c r="AT38" s="38"/>
      <c r="AU38" s="39">
        <f t="shared" si="47"/>
        <v>15.2736138140382</v>
      </c>
      <c r="AV38" s="38">
        <f t="shared" si="29"/>
        <v>5640</v>
      </c>
      <c r="AW38" s="38">
        <f t="shared" si="43"/>
        <v>254460.8922</v>
      </c>
      <c r="AX38" s="38"/>
      <c r="AY38" s="39">
        <f t="shared" si="48"/>
        <v>45.117179468085105</v>
      </c>
      <c r="AZ38" s="38">
        <f t="shared" si="30"/>
        <v>4561</v>
      </c>
      <c r="BA38" s="38">
        <f t="shared" si="44"/>
        <v>438796.0542</v>
      </c>
      <c r="BB38" s="38"/>
      <c r="BC38" s="39">
        <v>96.20610703793028</v>
      </c>
      <c r="BD38" s="38">
        <v>1180</v>
      </c>
      <c r="BE38" s="38">
        <v>303670.3944</v>
      </c>
      <c r="BF38" s="38"/>
      <c r="BG38" s="39">
        <v>257.34779186440676</v>
      </c>
      <c r="BH38" s="38">
        <v>340</v>
      </c>
      <c r="BI38" s="38">
        <v>155179.32</v>
      </c>
      <c r="BJ38" s="38"/>
      <c r="BK38" s="39">
        <v>456.40976470588237</v>
      </c>
      <c r="BL38" s="38">
        <v>45</v>
      </c>
      <c r="BM38" s="38">
        <v>34038</v>
      </c>
      <c r="BN38" s="38"/>
      <c r="BO38" s="39">
        <v>756.4</v>
      </c>
      <c r="BP38" s="38">
        <v>3</v>
      </c>
      <c r="BQ38" s="38">
        <v>3210</v>
      </c>
      <c r="BR38" s="38"/>
      <c r="BS38" s="39">
        <v>1070</v>
      </c>
      <c r="BT38" s="38">
        <v>4</v>
      </c>
      <c r="BU38" s="38">
        <v>5551.98</v>
      </c>
      <c r="BV38" s="38"/>
      <c r="BW38" s="39">
        <v>1387.995</v>
      </c>
      <c r="BX38" s="38">
        <v>1</v>
      </c>
      <c r="BY38" s="38">
        <v>1950</v>
      </c>
      <c r="BZ38" s="38"/>
      <c r="CA38" s="39">
        <v>1950</v>
      </c>
    </row>
    <row r="39" spans="1:80" ht="15">
      <c r="A39" s="5" t="s">
        <v>340</v>
      </c>
      <c r="B39" s="5"/>
      <c r="C39" s="38">
        <f t="shared" si="22"/>
        <v>11833.5</v>
      </c>
      <c r="D39" s="89">
        <f t="shared" si="23"/>
        <v>37687.86</v>
      </c>
      <c r="E39" s="26"/>
      <c r="F39" s="39">
        <f t="shared" si="31"/>
        <v>3.1848447204968946</v>
      </c>
      <c r="G39" s="38">
        <f t="shared" si="32"/>
        <v>0</v>
      </c>
      <c r="H39" s="38">
        <f t="shared" si="32"/>
        <v>0</v>
      </c>
      <c r="I39" s="38">
        <f t="shared" si="32"/>
        <v>0</v>
      </c>
      <c r="J39" s="38">
        <f t="shared" si="32"/>
        <v>2788281</v>
      </c>
      <c r="K39" s="38">
        <f t="shared" si="32"/>
        <v>128</v>
      </c>
      <c r="L39" s="38">
        <f t="shared" si="32"/>
        <v>99</v>
      </c>
      <c r="M39" s="42">
        <f t="shared" si="25"/>
        <v>2788281.8022727272</v>
      </c>
      <c r="N39" s="87">
        <f t="shared" si="33"/>
        <v>1637278.9134</v>
      </c>
      <c r="O39" s="38">
        <f t="shared" si="26"/>
        <v>1642024.8864</v>
      </c>
      <c r="P39" s="15"/>
      <c r="Q39" s="43">
        <f t="shared" si="45"/>
        <v>0.5889020561198607</v>
      </c>
      <c r="R39" s="48">
        <f t="shared" si="34"/>
        <v>10128</v>
      </c>
      <c r="S39" s="48">
        <f t="shared" si="34"/>
        <v>7698</v>
      </c>
      <c r="T39" s="48">
        <f t="shared" si="34"/>
        <v>2430</v>
      </c>
      <c r="U39" s="48">
        <f t="shared" si="35"/>
        <v>2433</v>
      </c>
      <c r="V39" s="49">
        <v>3617.1</v>
      </c>
      <c r="W39" s="49">
        <v>3935.7</v>
      </c>
      <c r="X39" s="121">
        <f t="shared" si="36"/>
        <v>214801.63199999998</v>
      </c>
      <c r="Y39" s="89">
        <f t="shared" si="37"/>
        <v>358503.923808</v>
      </c>
      <c r="Z39" s="76">
        <f aca="true" t="shared" si="52" ref="Z39:AK39">Z16</f>
        <v>12</v>
      </c>
      <c r="AA39" s="76">
        <f t="shared" si="52"/>
        <v>0</v>
      </c>
      <c r="AB39" s="76">
        <f t="shared" si="52"/>
        <v>24</v>
      </c>
      <c r="AC39" s="76">
        <f t="shared" si="52"/>
        <v>0</v>
      </c>
      <c r="AD39" s="76">
        <f t="shared" si="52"/>
        <v>0</v>
      </c>
      <c r="AE39" s="76">
        <f t="shared" si="52"/>
        <v>24</v>
      </c>
      <c r="AF39" s="38">
        <f t="shared" si="52"/>
        <v>19624</v>
      </c>
      <c r="AG39" s="38">
        <f t="shared" si="52"/>
        <v>7123</v>
      </c>
      <c r="AH39" s="38">
        <f t="shared" si="52"/>
        <v>31062</v>
      </c>
      <c r="AI39" s="38">
        <f t="shared" si="52"/>
        <v>125</v>
      </c>
      <c r="AJ39" s="38">
        <f t="shared" si="52"/>
        <v>113</v>
      </c>
      <c r="AK39" s="38">
        <f t="shared" si="52"/>
        <v>31062.78384412305</v>
      </c>
      <c r="AL39" s="3">
        <v>19624</v>
      </c>
      <c r="AM39" s="83">
        <f t="shared" si="39"/>
        <v>548995.1304</v>
      </c>
      <c r="AN39" s="12"/>
      <c r="AO39" s="38">
        <f t="shared" si="40"/>
        <v>549200.6124</v>
      </c>
      <c r="AP39" s="26"/>
      <c r="AQ39" s="46">
        <f t="shared" si="41"/>
        <v>17.680341052365353</v>
      </c>
      <c r="AR39" s="38">
        <f t="shared" si="28"/>
        <v>13997</v>
      </c>
      <c r="AS39" s="38">
        <f t="shared" si="42"/>
        <v>222472.2228</v>
      </c>
      <c r="AT39" s="38"/>
      <c r="AU39" s="39">
        <f t="shared" si="47"/>
        <v>15.89427897406587</v>
      </c>
      <c r="AV39" s="38">
        <f t="shared" si="29"/>
        <v>4174</v>
      </c>
      <c r="AW39" s="38">
        <f t="shared" si="43"/>
        <v>177425.98440000002</v>
      </c>
      <c r="AX39" s="38"/>
      <c r="AY39" s="39">
        <f t="shared" si="48"/>
        <v>42.50742319118352</v>
      </c>
      <c r="AZ39" s="38">
        <f t="shared" si="30"/>
        <v>1360</v>
      </c>
      <c r="BA39" s="38">
        <f t="shared" si="44"/>
        <v>126559.7052</v>
      </c>
      <c r="BB39" s="38"/>
      <c r="BC39" s="39">
        <v>93.05860676470589</v>
      </c>
      <c r="BD39" s="38">
        <v>92</v>
      </c>
      <c r="BE39" s="38">
        <v>22352.7</v>
      </c>
      <c r="BF39" s="38"/>
      <c r="BG39" s="39">
        <v>242.96413043478262</v>
      </c>
      <c r="BH39" s="38">
        <v>1</v>
      </c>
      <c r="BI39" s="38">
        <v>390</v>
      </c>
      <c r="BJ39" s="38"/>
      <c r="BK39" s="39">
        <v>390</v>
      </c>
      <c r="BL39" s="38"/>
      <c r="BM39" s="38"/>
      <c r="BN39" s="38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79" ht="15">
      <c r="A40" s="5" t="s">
        <v>341</v>
      </c>
      <c r="B40" s="5"/>
      <c r="C40" s="38">
        <f t="shared" si="22"/>
        <v>30109</v>
      </c>
      <c r="D40" s="89">
        <f t="shared" si="23"/>
        <v>51349.7238</v>
      </c>
      <c r="E40" s="26"/>
      <c r="F40" s="39">
        <f t="shared" si="31"/>
        <v>1.7054609518748547</v>
      </c>
      <c r="G40" s="38">
        <f t="shared" si="32"/>
        <v>4342952</v>
      </c>
      <c r="H40" s="38">
        <f t="shared" si="32"/>
        <v>528</v>
      </c>
      <c r="I40" s="38">
        <f t="shared" si="32"/>
        <v>2698538</v>
      </c>
      <c r="J40" s="38">
        <f t="shared" si="32"/>
        <v>11958626.5</v>
      </c>
      <c r="K40" s="38">
        <f t="shared" si="32"/>
        <v>26100</v>
      </c>
      <c r="L40" s="38">
        <f t="shared" si="32"/>
        <v>46886433</v>
      </c>
      <c r="M40" s="42">
        <f t="shared" si="25"/>
        <v>11959865.98939394</v>
      </c>
      <c r="N40" s="87">
        <f t="shared" si="33"/>
        <v>4369491.1559999995</v>
      </c>
      <c r="O40" s="38">
        <f t="shared" si="26"/>
        <v>4352084.7888</v>
      </c>
      <c r="P40" s="15"/>
      <c r="Q40" s="43">
        <f t="shared" si="45"/>
        <v>0.3638907653864556</v>
      </c>
      <c r="R40" s="48">
        <f t="shared" si="34"/>
        <v>1302</v>
      </c>
      <c r="S40" s="48">
        <f t="shared" si="34"/>
        <v>195</v>
      </c>
      <c r="T40" s="48">
        <f t="shared" si="34"/>
        <v>1107</v>
      </c>
      <c r="U40" s="48">
        <f t="shared" si="35"/>
        <v>1100</v>
      </c>
      <c r="V40" s="49">
        <v>496.8</v>
      </c>
      <c r="W40" s="49">
        <v>540.9</v>
      </c>
      <c r="X40" s="121">
        <f t="shared" si="36"/>
        <v>29512.188000000002</v>
      </c>
      <c r="Y40" s="89">
        <f t="shared" si="37"/>
        <v>49255.84177200001</v>
      </c>
      <c r="Z40" s="76">
        <f aca="true" t="shared" si="53" ref="Z40:AK40">Z17</f>
        <v>163</v>
      </c>
      <c r="AA40" s="76">
        <f t="shared" si="53"/>
        <v>92</v>
      </c>
      <c r="AB40" s="76">
        <f t="shared" si="53"/>
        <v>109</v>
      </c>
      <c r="AC40" s="76">
        <f t="shared" si="53"/>
        <v>255</v>
      </c>
      <c r="AD40" s="76">
        <f t="shared" si="53"/>
        <v>316190</v>
      </c>
      <c r="AE40" s="76">
        <f t="shared" si="53"/>
        <v>117.85247359963269</v>
      </c>
      <c r="AF40" s="38">
        <f t="shared" si="53"/>
        <v>51739</v>
      </c>
      <c r="AG40" s="38">
        <f t="shared" si="53"/>
        <v>28487</v>
      </c>
      <c r="AH40" s="38">
        <f t="shared" si="53"/>
        <v>53777</v>
      </c>
      <c r="AI40" s="38">
        <f t="shared" si="53"/>
        <v>42840.25</v>
      </c>
      <c r="AJ40" s="38">
        <f t="shared" si="53"/>
        <v>40811157.25</v>
      </c>
      <c r="AK40" s="38">
        <f t="shared" si="53"/>
        <v>54981.646816173095</v>
      </c>
      <c r="AL40" s="3">
        <v>51772</v>
      </c>
      <c r="AM40" s="83">
        <f t="shared" si="39"/>
        <v>1759262.8997999998</v>
      </c>
      <c r="AN40" s="12"/>
      <c r="AO40" s="38">
        <f t="shared" si="40"/>
        <v>1761763.3164000001</v>
      </c>
      <c r="AP40" s="26"/>
      <c r="AQ40" s="46">
        <f t="shared" si="41"/>
        <v>32.042752780583676</v>
      </c>
      <c r="AR40" s="38">
        <f t="shared" si="28"/>
        <v>36125</v>
      </c>
      <c r="AS40" s="38">
        <f t="shared" si="42"/>
        <v>572546.6268</v>
      </c>
      <c r="AT40" s="38"/>
      <c r="AU40" s="39">
        <f t="shared" si="47"/>
        <v>15.849041572318338</v>
      </c>
      <c r="AV40" s="38">
        <f t="shared" si="29"/>
        <v>9867</v>
      </c>
      <c r="AW40" s="38">
        <f t="shared" si="43"/>
        <v>414133.84380000003</v>
      </c>
      <c r="AX40" s="38"/>
      <c r="AY40" s="39">
        <f t="shared" si="48"/>
        <v>41.97160674977197</v>
      </c>
      <c r="AZ40" s="38">
        <f t="shared" si="30"/>
        <v>4770</v>
      </c>
      <c r="BA40" s="38">
        <f t="shared" si="44"/>
        <v>468672.4914</v>
      </c>
      <c r="BB40" s="38"/>
      <c r="BC40" s="39">
        <v>98.25419106918238</v>
      </c>
      <c r="BD40" s="38">
        <v>736</v>
      </c>
      <c r="BE40" s="38">
        <v>190548.8694</v>
      </c>
      <c r="BF40" s="38"/>
      <c r="BG40" s="39">
        <v>258.89792038043475</v>
      </c>
      <c r="BH40" s="38">
        <v>219</v>
      </c>
      <c r="BI40" s="38">
        <v>98487.36</v>
      </c>
      <c r="BJ40" s="38"/>
      <c r="BK40" s="39">
        <v>449.7139726027397</v>
      </c>
      <c r="BL40" s="38">
        <v>19</v>
      </c>
      <c r="BM40" s="38">
        <v>13752.75</v>
      </c>
      <c r="BN40" s="38"/>
      <c r="BO40" s="39">
        <v>723.828947368421</v>
      </c>
      <c r="BP40" s="38">
        <v>2</v>
      </c>
      <c r="BQ40" s="38">
        <v>2025</v>
      </c>
      <c r="BR40" s="38"/>
      <c r="BS40" s="39">
        <v>1012.5</v>
      </c>
      <c r="BT40" s="38">
        <v>1</v>
      </c>
      <c r="BU40" s="38">
        <v>1596.375</v>
      </c>
      <c r="BV40" s="38"/>
      <c r="BW40" s="39">
        <v>1596.375</v>
      </c>
      <c r="BX40" s="39"/>
      <c r="BY40" s="39"/>
      <c r="BZ40" s="38"/>
      <c r="CA40" s="39"/>
    </row>
    <row r="41" spans="1:79" ht="15">
      <c r="A41" s="5" t="s">
        <v>342</v>
      </c>
      <c r="B41" s="5"/>
      <c r="C41" s="38">
        <f t="shared" si="22"/>
        <v>4101</v>
      </c>
      <c r="D41" s="89">
        <f t="shared" si="23"/>
        <v>4506.5076</v>
      </c>
      <c r="E41" s="26"/>
      <c r="F41" s="39">
        <f t="shared" si="31"/>
        <v>1.0988801755669348</v>
      </c>
      <c r="G41" s="38">
        <f t="shared" si="32"/>
        <v>135</v>
      </c>
      <c r="H41" s="38">
        <f t="shared" si="32"/>
        <v>40</v>
      </c>
      <c r="I41" s="38">
        <f t="shared" si="32"/>
        <v>0</v>
      </c>
      <c r="J41" s="38">
        <f t="shared" si="32"/>
        <v>1074105</v>
      </c>
      <c r="K41" s="38">
        <f t="shared" si="32"/>
        <v>27</v>
      </c>
      <c r="L41" s="38">
        <f t="shared" si="32"/>
        <v>224</v>
      </c>
      <c r="M41" s="42">
        <f t="shared" si="25"/>
        <v>1074105.1738923325</v>
      </c>
      <c r="N41" s="87">
        <f t="shared" si="33"/>
        <v>243194.90519999998</v>
      </c>
      <c r="O41" s="38">
        <f t="shared" si="26"/>
        <v>243196.1052</v>
      </c>
      <c r="P41" s="15"/>
      <c r="Q41" s="43">
        <f t="shared" si="45"/>
        <v>0.22641740409713154</v>
      </c>
      <c r="R41" s="48">
        <f t="shared" si="34"/>
        <v>5516</v>
      </c>
      <c r="S41" s="48">
        <f t="shared" si="34"/>
        <v>2572</v>
      </c>
      <c r="T41" s="48">
        <f t="shared" si="34"/>
        <v>3125</v>
      </c>
      <c r="U41" s="48">
        <f t="shared" si="35"/>
        <v>3125</v>
      </c>
      <c r="V41" s="49">
        <v>2097.9</v>
      </c>
      <c r="W41" s="49">
        <v>1681.2</v>
      </c>
      <c r="X41" s="121">
        <f t="shared" si="36"/>
        <v>107477.60400000002</v>
      </c>
      <c r="Y41" s="89">
        <f>X41*1.706</f>
        <v>183356.79242400004</v>
      </c>
      <c r="Z41" s="76">
        <f aca="true" t="shared" si="54" ref="Z41:AK41">Z18</f>
        <v>1</v>
      </c>
      <c r="AA41" s="76">
        <f t="shared" si="54"/>
        <v>7</v>
      </c>
      <c r="AB41" s="76">
        <f t="shared" si="54"/>
        <v>12</v>
      </c>
      <c r="AC41" s="76">
        <f t="shared" si="54"/>
        <v>90</v>
      </c>
      <c r="AD41" s="76">
        <f t="shared" si="54"/>
        <v>148</v>
      </c>
      <c r="AE41" s="76">
        <f t="shared" si="54"/>
        <v>12.565897612488522</v>
      </c>
      <c r="AF41" s="38">
        <f t="shared" si="54"/>
        <v>5082</v>
      </c>
      <c r="AG41" s="38">
        <f t="shared" si="54"/>
        <v>15084</v>
      </c>
      <c r="AH41" s="38">
        <f t="shared" si="54"/>
        <v>7717</v>
      </c>
      <c r="AI41" s="38">
        <f t="shared" si="54"/>
        <v>899</v>
      </c>
      <c r="AJ41" s="38">
        <f t="shared" si="54"/>
        <v>998</v>
      </c>
      <c r="AK41" s="38">
        <f t="shared" si="54"/>
        <v>7722.641660927456</v>
      </c>
      <c r="AL41" s="3">
        <v>5094</v>
      </c>
      <c r="AM41" s="83">
        <f t="shared" si="39"/>
        <v>130809.9498</v>
      </c>
      <c r="AN41" s="12"/>
      <c r="AO41" s="38">
        <f t="shared" si="40"/>
        <v>130809.9498</v>
      </c>
      <c r="AP41" s="26"/>
      <c r="AQ41" s="46">
        <f t="shared" si="41"/>
        <v>16.938497931586056</v>
      </c>
      <c r="AR41" s="38">
        <f t="shared" si="28"/>
        <v>3794</v>
      </c>
      <c r="AS41" s="38">
        <f t="shared" si="42"/>
        <v>50156.04</v>
      </c>
      <c r="AT41" s="38"/>
      <c r="AU41" s="39">
        <f t="shared" si="47"/>
        <v>13.21983131259884</v>
      </c>
      <c r="AV41" s="38">
        <f t="shared" si="29"/>
        <v>838</v>
      </c>
      <c r="AW41" s="38">
        <f t="shared" si="43"/>
        <v>37794.6</v>
      </c>
      <c r="AX41" s="38"/>
      <c r="AY41" s="39">
        <f t="shared" si="48"/>
        <v>45.10095465393795</v>
      </c>
      <c r="AZ41" s="38">
        <f t="shared" si="30"/>
        <v>438</v>
      </c>
      <c r="BA41" s="38">
        <f t="shared" si="44"/>
        <v>40237.5</v>
      </c>
      <c r="BB41" s="38"/>
      <c r="BC41" s="39">
        <v>91.86643835616438</v>
      </c>
      <c r="BD41" s="38">
        <v>12</v>
      </c>
      <c r="BE41" s="38">
        <v>2622</v>
      </c>
      <c r="BF41" s="38"/>
      <c r="BG41" s="39">
        <v>218.5</v>
      </c>
      <c r="BH41" s="38"/>
      <c r="BI41" s="38"/>
      <c r="BJ41" s="38"/>
      <c r="BK41" s="43"/>
      <c r="BL41" s="43"/>
      <c r="BM41" s="43"/>
      <c r="BN41" s="43"/>
      <c r="BO41" s="43"/>
      <c r="BP41" s="43"/>
      <c r="BQ41" s="43"/>
      <c r="BR41" s="38"/>
      <c r="BS41" s="39"/>
      <c r="BT41" s="39"/>
      <c r="BU41" s="39"/>
      <c r="BV41" s="39"/>
      <c r="BW41" s="39"/>
      <c r="BX41" s="39"/>
      <c r="BY41" s="39"/>
      <c r="BZ41" s="38"/>
      <c r="CA41" s="39"/>
    </row>
    <row r="42" spans="1:79" ht="15">
      <c r="A42" s="5" t="s">
        <v>343</v>
      </c>
      <c r="B42" s="5"/>
      <c r="C42" s="38">
        <f t="shared" si="22"/>
        <v>14218</v>
      </c>
      <c r="D42" s="89">
        <f t="shared" si="23"/>
        <v>34080.4212</v>
      </c>
      <c r="E42" s="26"/>
      <c r="F42" s="39">
        <f t="shared" si="31"/>
        <v>2.396991222394148</v>
      </c>
      <c r="G42" s="38">
        <f t="shared" si="32"/>
        <v>2467</v>
      </c>
      <c r="H42" s="38">
        <f t="shared" si="32"/>
        <v>120</v>
      </c>
      <c r="I42" s="38">
        <f t="shared" si="32"/>
        <v>0</v>
      </c>
      <c r="J42" s="38">
        <f t="shared" si="32"/>
        <v>5442787</v>
      </c>
      <c r="K42" s="38">
        <f t="shared" si="32"/>
        <v>13878</v>
      </c>
      <c r="L42" s="38">
        <f t="shared" si="32"/>
        <v>60919015</v>
      </c>
      <c r="M42" s="42">
        <f t="shared" si="25"/>
        <v>5444272.245649679</v>
      </c>
      <c r="N42" s="87">
        <f t="shared" si="33"/>
        <v>1298040.2741999999</v>
      </c>
      <c r="O42" s="38">
        <f t="shared" si="26"/>
        <v>1293167.4348</v>
      </c>
      <c r="P42" s="15"/>
      <c r="Q42" s="43">
        <f t="shared" si="45"/>
        <v>0.23752806186966924</v>
      </c>
      <c r="R42" s="48">
        <f t="shared" si="34"/>
        <v>96760</v>
      </c>
      <c r="S42" s="48">
        <f t="shared" si="34"/>
        <v>753</v>
      </c>
      <c r="T42" s="48">
        <f t="shared" si="34"/>
        <v>47940</v>
      </c>
      <c r="U42" s="48">
        <f t="shared" si="35"/>
        <v>48254</v>
      </c>
      <c r="V42" s="49">
        <v>32260.5</v>
      </c>
      <c r="W42" s="49">
        <v>30069</v>
      </c>
      <c r="X42" s="121">
        <f t="shared" si="36"/>
        <v>1772650.98</v>
      </c>
      <c r="Y42" s="89">
        <f aca="true" t="shared" si="55" ref="Y42:Y48">X42*1.706</f>
        <v>3024142.5718799997</v>
      </c>
      <c r="Z42" s="76">
        <f aca="true" t="shared" si="56" ref="Z42:AK42">Z19</f>
        <v>24</v>
      </c>
      <c r="AA42" s="76">
        <f t="shared" si="56"/>
        <v>33</v>
      </c>
      <c r="AB42" s="76">
        <f t="shared" si="56"/>
        <v>63</v>
      </c>
      <c r="AC42" s="76">
        <f t="shared" si="56"/>
        <v>120</v>
      </c>
      <c r="AD42" s="76">
        <f t="shared" si="56"/>
        <v>11</v>
      </c>
      <c r="AE42" s="76">
        <f t="shared" si="56"/>
        <v>63.75025252525253</v>
      </c>
      <c r="AF42" s="38">
        <f t="shared" si="56"/>
        <v>16892</v>
      </c>
      <c r="AG42" s="38">
        <f t="shared" si="56"/>
        <v>36555</v>
      </c>
      <c r="AH42" s="38">
        <f t="shared" si="56"/>
        <v>20330</v>
      </c>
      <c r="AI42" s="38">
        <f t="shared" si="56"/>
        <v>11512</v>
      </c>
      <c r="AJ42" s="38">
        <f t="shared" si="56"/>
        <v>4330382</v>
      </c>
      <c r="AK42" s="38">
        <f t="shared" si="56"/>
        <v>20501.36189164371</v>
      </c>
      <c r="AL42" s="3">
        <v>16932</v>
      </c>
      <c r="AM42" s="83">
        <f t="shared" si="39"/>
        <v>644297.1978000001</v>
      </c>
      <c r="AN42" s="12"/>
      <c r="AO42" s="38">
        <f t="shared" si="40"/>
        <v>638733.78</v>
      </c>
      <c r="AP42" s="26"/>
      <c r="AQ42" s="46">
        <f t="shared" si="41"/>
        <v>31.15567557784275</v>
      </c>
      <c r="AR42" s="38">
        <f t="shared" si="28"/>
        <v>12429</v>
      </c>
      <c r="AS42" s="38">
        <f t="shared" si="42"/>
        <v>164376.84</v>
      </c>
      <c r="AT42" s="38"/>
      <c r="AU42" s="39">
        <f t="shared" si="47"/>
        <v>13.225266714940863</v>
      </c>
      <c r="AV42" s="38">
        <f t="shared" si="29"/>
        <v>2271</v>
      </c>
      <c r="AW42" s="38">
        <f t="shared" si="43"/>
        <v>103764.59999999999</v>
      </c>
      <c r="AX42" s="38"/>
      <c r="AY42" s="39">
        <f t="shared" si="48"/>
        <v>45.69114927344781</v>
      </c>
      <c r="AZ42" s="38">
        <f t="shared" si="30"/>
        <v>1566</v>
      </c>
      <c r="BA42" s="38">
        <f t="shared" si="44"/>
        <v>169324.08</v>
      </c>
      <c r="BB42" s="38"/>
      <c r="BC42" s="39">
        <v>108.12521072796935</v>
      </c>
      <c r="BD42" s="38">
        <v>499</v>
      </c>
      <c r="BE42" s="38">
        <v>133070.69999999998</v>
      </c>
      <c r="BF42" s="38"/>
      <c r="BG42" s="39">
        <v>266.674749498998</v>
      </c>
      <c r="BH42" s="38">
        <v>104</v>
      </c>
      <c r="BI42" s="38">
        <v>50233.56</v>
      </c>
      <c r="BJ42" s="38"/>
      <c r="BK42" s="39">
        <v>483.015</v>
      </c>
      <c r="BL42" s="38">
        <v>19</v>
      </c>
      <c r="BM42" s="38">
        <v>13764</v>
      </c>
      <c r="BN42" s="38"/>
      <c r="BO42" s="39">
        <v>724.421052631579</v>
      </c>
      <c r="BP42" s="38">
        <v>3</v>
      </c>
      <c r="BQ42" s="38">
        <v>2880</v>
      </c>
      <c r="BR42" s="38"/>
      <c r="BS42" s="39">
        <v>960</v>
      </c>
      <c r="BT42" s="38">
        <v>1</v>
      </c>
      <c r="BU42" s="38">
        <v>1320</v>
      </c>
      <c r="BV42" s="38"/>
      <c r="BW42" s="39">
        <v>1320</v>
      </c>
      <c r="BX42" s="39"/>
      <c r="BY42" s="39"/>
      <c r="BZ42" s="38"/>
      <c r="CA42" s="39"/>
    </row>
    <row r="43" spans="1:79" ht="15">
      <c r="A43" s="5" t="s">
        <v>187</v>
      </c>
      <c r="B43" s="145" t="s">
        <v>373</v>
      </c>
      <c r="C43" s="105">
        <f t="shared" si="22"/>
        <v>23254.13855421687</v>
      </c>
      <c r="D43" s="106">
        <f>D20*0.06</f>
        <v>35419.886102954464</v>
      </c>
      <c r="E43" s="5"/>
      <c r="F43" s="107">
        <f t="shared" si="31"/>
        <v>1.5231648345249702</v>
      </c>
      <c r="G43" s="5"/>
      <c r="H43" s="5"/>
      <c r="I43" s="5"/>
      <c r="J43" s="38">
        <f>J20</f>
        <v>40458644</v>
      </c>
      <c r="K43" s="38">
        <f>K20</f>
        <v>8</v>
      </c>
      <c r="L43" s="38">
        <f>L20</f>
        <v>205</v>
      </c>
      <c r="M43" s="42">
        <f t="shared" si="25"/>
        <v>40458644.05470615</v>
      </c>
      <c r="N43" s="87">
        <f t="shared" si="33"/>
        <v>3598611.6036</v>
      </c>
      <c r="O43" s="38">
        <f t="shared" si="26"/>
        <v>3674945.0579999997</v>
      </c>
      <c r="P43" s="15"/>
      <c r="Q43" s="43">
        <f t="shared" si="45"/>
        <v>0.09083213597151016</v>
      </c>
      <c r="R43" s="48">
        <f t="shared" si="34"/>
        <v>152158</v>
      </c>
      <c r="S43" s="48">
        <f t="shared" si="34"/>
        <v>0</v>
      </c>
      <c r="T43" s="48">
        <f t="shared" si="34"/>
        <v>0</v>
      </c>
      <c r="U43" s="48">
        <f t="shared" si="35"/>
        <v>153087</v>
      </c>
      <c r="V43" s="49">
        <v>100761.3</v>
      </c>
      <c r="W43" s="49">
        <v>97365.6</v>
      </c>
      <c r="X43" s="121">
        <f t="shared" si="36"/>
        <v>5634729.036000001</v>
      </c>
      <c r="Y43" s="89">
        <f t="shared" si="55"/>
        <v>9612847.735416003</v>
      </c>
      <c r="Z43" s="76">
        <f aca="true" t="shared" si="57" ref="Z43:AK43">Z20</f>
        <v>0</v>
      </c>
      <c r="AA43" s="76">
        <f t="shared" si="57"/>
        <v>0</v>
      </c>
      <c r="AB43" s="76">
        <f t="shared" si="57"/>
        <v>0</v>
      </c>
      <c r="AC43" s="76">
        <f t="shared" si="57"/>
        <v>0</v>
      </c>
      <c r="AD43" s="76">
        <f t="shared" si="57"/>
        <v>0</v>
      </c>
      <c r="AE43" s="76">
        <f t="shared" si="57"/>
        <v>0</v>
      </c>
      <c r="AF43" s="38">
        <f t="shared" si="57"/>
        <v>27693</v>
      </c>
      <c r="AG43" s="38">
        <f t="shared" si="57"/>
        <v>55779</v>
      </c>
      <c r="AH43" s="38">
        <f t="shared" si="57"/>
        <v>34600</v>
      </c>
      <c r="AI43" s="38">
        <f t="shared" si="57"/>
        <v>84</v>
      </c>
      <c r="AJ43" s="38">
        <f t="shared" si="57"/>
        <v>49</v>
      </c>
      <c r="AK43" s="38">
        <f t="shared" si="57"/>
        <v>34600.52612488522</v>
      </c>
      <c r="AL43" s="3">
        <v>27693</v>
      </c>
      <c r="AM43" s="83">
        <f t="shared" si="39"/>
        <v>674896.0602</v>
      </c>
      <c r="AN43" s="12"/>
      <c r="AO43" s="38">
        <f t="shared" si="40"/>
        <v>670330.2917999999</v>
      </c>
      <c r="AP43" s="26"/>
      <c r="AQ43" s="46">
        <f t="shared" si="41"/>
        <v>19.373413264889294</v>
      </c>
      <c r="AR43" s="38">
        <f t="shared" si="28"/>
        <v>22591</v>
      </c>
      <c r="AS43" s="38">
        <f t="shared" si="42"/>
        <v>286105.32119999995</v>
      </c>
      <c r="AT43" s="38"/>
      <c r="AU43" s="39">
        <f t="shared" si="47"/>
        <v>12.664570899915894</v>
      </c>
      <c r="AV43" s="38">
        <f t="shared" si="29"/>
        <v>3032</v>
      </c>
      <c r="AW43" s="38">
        <f t="shared" si="43"/>
        <v>131603.8368</v>
      </c>
      <c r="AX43" s="38"/>
      <c r="AY43" s="39">
        <f t="shared" si="48"/>
        <v>43.40495936675462</v>
      </c>
      <c r="AZ43" s="38">
        <f t="shared" si="30"/>
        <v>1729</v>
      </c>
      <c r="BA43" s="38">
        <f t="shared" si="44"/>
        <v>170200.656</v>
      </c>
      <c r="BB43" s="38"/>
      <c r="BC43" s="39">
        <v>98.43878311162521</v>
      </c>
      <c r="BD43" s="38">
        <v>222</v>
      </c>
      <c r="BE43" s="38">
        <v>60421.100999999995</v>
      </c>
      <c r="BF43" s="38"/>
      <c r="BG43" s="39">
        <v>272.1671216216216</v>
      </c>
      <c r="BH43" s="38">
        <v>22</v>
      </c>
      <c r="BI43" s="38">
        <v>9795.48</v>
      </c>
      <c r="BJ43" s="38"/>
      <c r="BK43" s="39">
        <v>445.2490909090909</v>
      </c>
      <c r="BL43" s="38">
        <v>6</v>
      </c>
      <c r="BM43" s="38">
        <v>5193.96</v>
      </c>
      <c r="BN43" s="38"/>
      <c r="BO43" s="39">
        <v>865.66</v>
      </c>
      <c r="BP43" s="38">
        <v>2</v>
      </c>
      <c r="BQ43" s="38">
        <v>2280</v>
      </c>
      <c r="BR43" s="38"/>
      <c r="BS43" s="39">
        <v>1140</v>
      </c>
      <c r="BT43" s="38">
        <v>1</v>
      </c>
      <c r="BU43" s="38">
        <v>1380</v>
      </c>
      <c r="BV43" s="38"/>
      <c r="BW43" s="39">
        <v>1380</v>
      </c>
      <c r="BX43" s="39"/>
      <c r="BY43" s="39"/>
      <c r="BZ43" s="38"/>
      <c r="CA43" s="39"/>
    </row>
    <row r="44" spans="1:79" ht="15">
      <c r="A44" s="5" t="s">
        <v>472</v>
      </c>
      <c r="B44" s="145" t="s">
        <v>373</v>
      </c>
      <c r="C44" s="105">
        <f t="shared" si="22"/>
        <v>19600</v>
      </c>
      <c r="D44" s="106">
        <f t="shared" si="23"/>
        <v>18330.581812499997</v>
      </c>
      <c r="E44" s="5"/>
      <c r="F44" s="107">
        <f t="shared" si="31"/>
        <v>0.9352337659438774</v>
      </c>
      <c r="G44" s="5"/>
      <c r="H44" s="5"/>
      <c r="I44" s="5"/>
      <c r="J44" s="38"/>
      <c r="K44" s="38"/>
      <c r="L44" s="38"/>
      <c r="M44" s="38"/>
      <c r="N44" s="87">
        <f t="shared" si="33"/>
        <v>1674568.782</v>
      </c>
      <c r="O44" s="38"/>
      <c r="P44" s="15"/>
      <c r="Q44" s="15"/>
      <c r="R44" s="38"/>
      <c r="S44" s="38"/>
      <c r="T44" s="38"/>
      <c r="U44" s="38"/>
      <c r="V44" s="49">
        <v>37735.2</v>
      </c>
      <c r="W44" s="49">
        <v>36467.1</v>
      </c>
      <c r="X44" s="121">
        <f t="shared" si="36"/>
        <v>2110313.4119999995</v>
      </c>
      <c r="Y44" s="89">
        <f t="shared" si="55"/>
        <v>3600194.6808719994</v>
      </c>
      <c r="Z44" s="76"/>
      <c r="AA44" s="76"/>
      <c r="AB44" s="76"/>
      <c r="AC44" s="76"/>
      <c r="AD44" s="76"/>
      <c r="AE44" s="76"/>
      <c r="AF44" s="38"/>
      <c r="AG44" s="38"/>
      <c r="AH44" s="38"/>
      <c r="AI44" s="38"/>
      <c r="AJ44" s="38"/>
      <c r="AK44" s="38"/>
      <c r="AL44" s="3">
        <v>11760</v>
      </c>
      <c r="AM44" s="83">
        <f t="shared" si="39"/>
        <v>175973.58539999998</v>
      </c>
      <c r="AN44" s="12"/>
      <c r="AO44" s="38"/>
      <c r="AP44" s="26"/>
      <c r="AQ44" s="26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9"/>
      <c r="BY44" s="39"/>
      <c r="BZ44" s="38"/>
      <c r="CA44" s="38"/>
    </row>
    <row r="45" spans="1:79" ht="15">
      <c r="A45" s="5" t="s">
        <v>473</v>
      </c>
      <c r="B45" s="145" t="s">
        <v>373</v>
      </c>
      <c r="C45" s="105">
        <f t="shared" si="22"/>
        <v>5396.827663595559</v>
      </c>
      <c r="D45" s="106">
        <f t="shared" si="23"/>
        <v>15770.709797736536</v>
      </c>
      <c r="E45" s="5"/>
      <c r="F45" s="107">
        <f t="shared" si="31"/>
        <v>2.922218529251595</v>
      </c>
      <c r="G45" s="5"/>
      <c r="H45" s="5"/>
      <c r="I45" s="5"/>
      <c r="J45" s="38"/>
      <c r="K45" s="38"/>
      <c r="L45" s="38"/>
      <c r="M45" s="38"/>
      <c r="N45" s="87">
        <f t="shared" si="33"/>
        <v>747403.2564</v>
      </c>
      <c r="O45" s="38"/>
      <c r="P45" s="15"/>
      <c r="Q45" s="15"/>
      <c r="R45" s="38"/>
      <c r="S45" s="38"/>
      <c r="T45" s="38"/>
      <c r="U45" s="38"/>
      <c r="V45" s="49">
        <v>43148.7</v>
      </c>
      <c r="W45" s="49">
        <v>45721.8</v>
      </c>
      <c r="X45" s="121">
        <f t="shared" si="36"/>
        <v>2527477.02</v>
      </c>
      <c r="Y45" s="89">
        <f t="shared" si="55"/>
        <v>4311875.79612</v>
      </c>
      <c r="Z45" s="76"/>
      <c r="AA45" s="76"/>
      <c r="AB45" s="76"/>
      <c r="AC45" s="76"/>
      <c r="AD45" s="76"/>
      <c r="AE45" s="76"/>
      <c r="AF45" s="38"/>
      <c r="AG45" s="38"/>
      <c r="AH45" s="38"/>
      <c r="AI45" s="38"/>
      <c r="AJ45" s="38"/>
      <c r="AK45" s="38"/>
      <c r="AL45" s="3">
        <v>6427</v>
      </c>
      <c r="AM45" s="83">
        <f t="shared" si="39"/>
        <v>300497.5758</v>
      </c>
      <c r="AN45" s="12"/>
      <c r="AO45" s="38"/>
      <c r="AP45" s="26"/>
      <c r="AQ45" s="26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9"/>
      <c r="BY45" s="39"/>
      <c r="BZ45" s="38"/>
      <c r="CA45" s="38"/>
    </row>
    <row r="46" spans="1:79" ht="15">
      <c r="A46" s="5" t="s">
        <v>474</v>
      </c>
      <c r="B46" s="145" t="s">
        <v>373</v>
      </c>
      <c r="C46" s="105">
        <f t="shared" si="22"/>
        <v>5743.333333333334</v>
      </c>
      <c r="D46" s="106">
        <f t="shared" si="23"/>
        <v>11235.195312500002</v>
      </c>
      <c r="E46" s="5"/>
      <c r="F46" s="107">
        <f t="shared" si="31"/>
        <v>1.9562150863319792</v>
      </c>
      <c r="G46" s="5"/>
      <c r="H46" s="5"/>
      <c r="I46" s="5"/>
      <c r="J46" s="38"/>
      <c r="K46" s="38"/>
      <c r="L46" s="38"/>
      <c r="M46" s="38"/>
      <c r="N46" s="87">
        <f t="shared" si="33"/>
        <v>615810.4169999999</v>
      </c>
      <c r="O46" s="38"/>
      <c r="P46" s="15"/>
      <c r="Q46" s="15"/>
      <c r="R46" s="38"/>
      <c r="S46" s="38"/>
      <c r="T46" s="38"/>
      <c r="U46" s="38"/>
      <c r="V46" s="49">
        <v>17360.288882560846</v>
      </c>
      <c r="W46" s="49">
        <v>17739.10767014523</v>
      </c>
      <c r="X46" s="121">
        <f t="shared" si="36"/>
        <v>998226.8379589609</v>
      </c>
      <c r="Y46" s="89">
        <f t="shared" si="55"/>
        <v>1702974.9855579874</v>
      </c>
      <c r="Z46" s="76"/>
      <c r="AA46" s="76"/>
      <c r="AB46" s="76"/>
      <c r="AC46" s="76"/>
      <c r="AD46" s="76"/>
      <c r="AE46" s="76"/>
      <c r="AF46" s="38"/>
      <c r="AG46" s="38"/>
      <c r="AH46" s="38"/>
      <c r="AI46" s="38"/>
      <c r="AJ46" s="38"/>
      <c r="AK46" s="38"/>
      <c r="AL46" s="3">
        <v>3446</v>
      </c>
      <c r="AM46" s="83">
        <f t="shared" si="39"/>
        <v>107857.875</v>
      </c>
      <c r="AN46" s="12"/>
      <c r="AO46" s="38"/>
      <c r="AP46" s="26"/>
      <c r="AQ46" s="26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9"/>
      <c r="BY46" s="39"/>
      <c r="BZ46" s="38"/>
      <c r="CA46" s="38"/>
    </row>
    <row r="47" spans="1:79" ht="15">
      <c r="A47" s="5" t="s">
        <v>188</v>
      </c>
      <c r="B47" s="5"/>
      <c r="C47" s="38">
        <f>C24</f>
        <v>12801</v>
      </c>
      <c r="D47" s="89">
        <f>(D24+(E24/100))*0.06</f>
        <v>15419.287</v>
      </c>
      <c r="E47" s="26"/>
      <c r="F47" s="39">
        <f t="shared" si="31"/>
        <v>1.2045376923677837</v>
      </c>
      <c r="G47" s="38">
        <f aca="true" t="shared" si="58" ref="G47:L47">G24</f>
        <v>1215</v>
      </c>
      <c r="H47" s="38">
        <f t="shared" si="58"/>
        <v>0</v>
      </c>
      <c r="I47" s="38">
        <f t="shared" si="58"/>
        <v>0</v>
      </c>
      <c r="J47" s="38">
        <f t="shared" si="58"/>
        <v>17674634</v>
      </c>
      <c r="K47" s="38">
        <f t="shared" si="58"/>
        <v>20</v>
      </c>
      <c r="L47" s="38">
        <f t="shared" si="58"/>
        <v>6.75</v>
      </c>
      <c r="M47" s="42">
        <f t="shared" si="25"/>
        <v>17674634.125154957</v>
      </c>
      <c r="N47" s="87">
        <f t="shared" si="33"/>
        <v>1216099.5042</v>
      </c>
      <c r="O47" s="38">
        <f>(O24+(P24/100))*0.06</f>
        <v>1261010.9627999999</v>
      </c>
      <c r="P47" s="15"/>
      <c r="Q47" s="43">
        <f t="shared" si="45"/>
        <v>0.0713458029100189</v>
      </c>
      <c r="R47" s="38">
        <f aca="true" t="shared" si="59" ref="R47:T48">R24</f>
        <v>28517</v>
      </c>
      <c r="S47" s="38">
        <f t="shared" si="59"/>
        <v>164</v>
      </c>
      <c r="T47" s="38">
        <f t="shared" si="59"/>
        <v>15858</v>
      </c>
      <c r="U47" s="38"/>
      <c r="V47" s="49">
        <v>10803.6</v>
      </c>
      <c r="W47" s="49">
        <v>10836</v>
      </c>
      <c r="X47" s="121">
        <f t="shared" si="36"/>
        <v>615430.2239999999</v>
      </c>
      <c r="Y47" s="89">
        <f t="shared" si="55"/>
        <v>1049923.9621439998</v>
      </c>
      <c r="Z47" s="76">
        <f aca="true" t="shared" si="60" ref="Z47:AK47">Z24</f>
        <v>16</v>
      </c>
      <c r="AA47" s="76">
        <f t="shared" si="60"/>
        <v>5</v>
      </c>
      <c r="AB47" s="76">
        <f t="shared" si="60"/>
        <v>1</v>
      </c>
      <c r="AC47" s="76">
        <f t="shared" si="60"/>
        <v>61</v>
      </c>
      <c r="AD47" s="76">
        <f t="shared" si="60"/>
        <v>5.5</v>
      </c>
      <c r="AE47" s="76">
        <f t="shared" si="60"/>
        <v>1.3813762626262627</v>
      </c>
      <c r="AF47" s="38">
        <f t="shared" si="60"/>
        <v>3071</v>
      </c>
      <c r="AG47" s="38">
        <f t="shared" si="60"/>
        <v>4568</v>
      </c>
      <c r="AH47" s="38">
        <f t="shared" si="60"/>
        <v>3203</v>
      </c>
      <c r="AI47" s="38">
        <f t="shared" si="60"/>
        <v>128</v>
      </c>
      <c r="AJ47" s="38">
        <f t="shared" si="60"/>
        <v>12.666666666666666</v>
      </c>
      <c r="AK47" s="38">
        <f t="shared" si="60"/>
        <v>3203.8002907866544</v>
      </c>
      <c r="AL47" s="3">
        <v>3339</v>
      </c>
      <c r="AM47" s="83">
        <f t="shared" si="39"/>
        <v>68385.90779999999</v>
      </c>
      <c r="AN47" s="12"/>
      <c r="AO47" s="38">
        <f t="shared" si="40"/>
        <v>67315.5386</v>
      </c>
      <c r="AP47" s="26"/>
      <c r="AQ47" s="46">
        <f t="shared" si="41"/>
        <v>21.01115315882298</v>
      </c>
      <c r="AR47" s="38">
        <f>AR24</f>
        <v>2607</v>
      </c>
      <c r="AS47" s="38">
        <f t="shared" si="42"/>
        <v>32834.5126</v>
      </c>
      <c r="AT47" s="38"/>
      <c r="AU47" s="39">
        <f t="shared" si="47"/>
        <v>12.594749750671271</v>
      </c>
      <c r="AV47" s="38">
        <f>AV24</f>
        <v>288</v>
      </c>
      <c r="AW47" s="38">
        <f t="shared" si="43"/>
        <v>13126.776</v>
      </c>
      <c r="AX47" s="38"/>
      <c r="AY47" s="39">
        <f>AW47/AV47</f>
        <v>45.57908333333333</v>
      </c>
      <c r="AZ47" s="38">
        <f>AZ24</f>
        <v>172</v>
      </c>
      <c r="BA47" s="38">
        <f t="shared" si="44"/>
        <v>17558.98</v>
      </c>
      <c r="BB47" s="38"/>
      <c r="BC47" s="39">
        <v>102.08709302325582</v>
      </c>
      <c r="BD47" s="38">
        <v>13</v>
      </c>
      <c r="BE47" s="38">
        <v>3405.12</v>
      </c>
      <c r="BF47" s="38"/>
      <c r="BG47" s="39">
        <v>261.9323076923077</v>
      </c>
      <c r="BH47" s="38">
        <v>1</v>
      </c>
      <c r="BI47" s="38">
        <v>390</v>
      </c>
      <c r="BJ47" s="38"/>
      <c r="BK47" s="39">
        <v>390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9"/>
      <c r="BY47" s="39"/>
      <c r="BZ47" s="38"/>
      <c r="CA47" s="39"/>
    </row>
    <row r="48" spans="1:79" ht="15">
      <c r="A48" s="5" t="s">
        <v>189</v>
      </c>
      <c r="B48" s="5"/>
      <c r="C48" s="38">
        <f>C25</f>
        <v>10168</v>
      </c>
      <c r="D48" s="89">
        <f>(D25+(E25/100))*0.06</f>
        <v>10151.355</v>
      </c>
      <c r="E48" s="26"/>
      <c r="F48" s="39">
        <f t="shared" si="31"/>
        <v>0.9983630015735641</v>
      </c>
      <c r="G48" s="38">
        <f aca="true" t="shared" si="61" ref="G48:L48">G25</f>
        <v>0</v>
      </c>
      <c r="H48" s="38">
        <f t="shared" si="61"/>
        <v>0</v>
      </c>
      <c r="I48" s="38">
        <f t="shared" si="61"/>
        <v>0</v>
      </c>
      <c r="J48" s="38">
        <f t="shared" si="61"/>
        <v>3951357</v>
      </c>
      <c r="K48" s="38">
        <f t="shared" si="61"/>
        <v>66</v>
      </c>
      <c r="L48" s="38">
        <f t="shared" si="61"/>
        <v>341.25</v>
      </c>
      <c r="M48" s="42">
        <f t="shared" si="25"/>
        <v>3951357.420334022</v>
      </c>
      <c r="N48" s="87">
        <f t="shared" si="33"/>
        <v>350859.72</v>
      </c>
      <c r="O48" s="38">
        <f>(O25+(P25/100))*0.06</f>
        <v>349816.425</v>
      </c>
      <c r="P48" s="15"/>
      <c r="Q48" s="43">
        <f t="shared" si="45"/>
        <v>0.08853069661575408</v>
      </c>
      <c r="R48" s="38">
        <f t="shared" si="59"/>
        <v>10072</v>
      </c>
      <c r="S48" s="38">
        <f t="shared" si="59"/>
        <v>4715</v>
      </c>
      <c r="T48" s="38">
        <f t="shared" si="59"/>
        <v>5357</v>
      </c>
      <c r="U48" s="38"/>
      <c r="V48" s="49">
        <v>3672.9</v>
      </c>
      <c r="W48" s="49">
        <v>3877.2</v>
      </c>
      <c r="X48" s="121">
        <f t="shared" si="36"/>
        <v>214724.844</v>
      </c>
      <c r="Y48" s="89">
        <f t="shared" si="55"/>
        <v>366320.583864</v>
      </c>
      <c r="Z48" s="76">
        <f aca="true" t="shared" si="62" ref="Z48:AK48">Z25</f>
        <v>0</v>
      </c>
      <c r="AA48" s="76">
        <f t="shared" si="62"/>
        <v>0</v>
      </c>
      <c r="AB48" s="76">
        <f t="shared" si="62"/>
        <v>0</v>
      </c>
      <c r="AC48" s="76">
        <f t="shared" si="62"/>
        <v>0</v>
      </c>
      <c r="AD48" s="76">
        <f t="shared" si="62"/>
        <v>0</v>
      </c>
      <c r="AE48" s="76">
        <f t="shared" si="62"/>
        <v>0</v>
      </c>
      <c r="AF48" s="38">
        <f t="shared" si="62"/>
        <v>1030</v>
      </c>
      <c r="AG48" s="38">
        <f t="shared" si="62"/>
        <v>2290</v>
      </c>
      <c r="AH48" s="38">
        <f t="shared" si="62"/>
        <v>1759</v>
      </c>
      <c r="AI48" s="38">
        <f t="shared" si="62"/>
        <v>60</v>
      </c>
      <c r="AJ48" s="38">
        <f t="shared" si="62"/>
        <v>22179</v>
      </c>
      <c r="AK48" s="38">
        <f t="shared" si="62"/>
        <v>1759.8841597796143</v>
      </c>
      <c r="AL48" s="3">
        <v>1020</v>
      </c>
      <c r="AM48" s="83">
        <f t="shared" si="39"/>
        <v>17186.8098</v>
      </c>
      <c r="AN48" s="12"/>
      <c r="AO48" s="38">
        <f t="shared" si="40"/>
        <v>17186.78</v>
      </c>
      <c r="AP48" s="26"/>
      <c r="AQ48" s="46">
        <f t="shared" si="41"/>
        <v>9.765858681376082</v>
      </c>
      <c r="AR48" s="38">
        <f>AR25</f>
        <v>926</v>
      </c>
      <c r="AS48" s="38">
        <f t="shared" si="42"/>
        <v>10770.6</v>
      </c>
      <c r="AT48" s="38"/>
      <c r="AU48" s="39">
        <f t="shared" si="47"/>
        <v>11.631317494600433</v>
      </c>
      <c r="AV48" s="38">
        <f>AV25</f>
        <v>71</v>
      </c>
      <c r="AW48" s="38">
        <f t="shared" si="43"/>
        <v>3173.94</v>
      </c>
      <c r="AX48" s="38"/>
      <c r="AY48" s="39">
        <f>AW48/AV48</f>
        <v>44.703380281690144</v>
      </c>
      <c r="AZ48" s="38">
        <f>AZ25</f>
        <v>32</v>
      </c>
      <c r="BA48" s="38">
        <f t="shared" si="44"/>
        <v>3042.24</v>
      </c>
      <c r="BB48" s="38"/>
      <c r="BC48" s="39">
        <v>95.07</v>
      </c>
      <c r="BD48" s="38">
        <v>1</v>
      </c>
      <c r="BE48" s="38">
        <v>200</v>
      </c>
      <c r="BF48" s="38"/>
      <c r="BG48" s="39">
        <v>200</v>
      </c>
      <c r="BH48" s="38"/>
      <c r="BI48" s="38"/>
      <c r="BJ48" s="38"/>
      <c r="BK48" s="39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/>
      <c r="BY48" s="39"/>
      <c r="BZ48" s="38"/>
      <c r="CA48" s="39"/>
    </row>
    <row r="49" spans="1:79" ht="15">
      <c r="A49" s="5"/>
      <c r="B49" s="5"/>
      <c r="C49" s="38"/>
      <c r="D49" s="38"/>
      <c r="E49" s="26"/>
      <c r="F49" s="39"/>
      <c r="G49" s="38"/>
      <c r="H49" s="38"/>
      <c r="I49" s="38"/>
      <c r="J49" s="38"/>
      <c r="K49" s="38"/>
      <c r="L49" s="38"/>
      <c r="M49" s="47"/>
      <c r="N49" s="47"/>
      <c r="O49" s="38"/>
      <c r="P49" s="15"/>
      <c r="Q49" s="43"/>
      <c r="R49" s="38"/>
      <c r="S49" s="38"/>
      <c r="T49" s="38"/>
      <c r="U49" s="38"/>
      <c r="V49" s="38"/>
      <c r="W49" s="38"/>
      <c r="X49" s="121"/>
      <c r="Y49" s="132"/>
      <c r="Z49" s="76"/>
      <c r="AA49" s="76"/>
      <c r="AB49" s="76"/>
      <c r="AC49" s="76"/>
      <c r="AD49" s="76"/>
      <c r="AE49" s="76"/>
      <c r="AF49" s="38"/>
      <c r="AG49" s="38"/>
      <c r="AH49" s="38"/>
      <c r="AI49" s="38"/>
      <c r="AJ49" s="38"/>
      <c r="AK49" s="38"/>
      <c r="AL49" s="38"/>
      <c r="AM49" s="38"/>
      <c r="AN49" s="12"/>
      <c r="AO49" s="38"/>
      <c r="AP49" s="26"/>
      <c r="AQ49" s="46"/>
      <c r="AR49" s="38"/>
      <c r="AS49" s="38"/>
      <c r="AT49" s="38"/>
      <c r="AU49" s="39"/>
      <c r="AV49" s="38"/>
      <c r="AW49" s="38"/>
      <c r="AX49" s="38"/>
      <c r="AY49" s="39"/>
      <c r="AZ49" s="38"/>
      <c r="BA49" s="38"/>
      <c r="BB49" s="38"/>
      <c r="BC49" s="39"/>
      <c r="BD49" s="38"/>
      <c r="BE49" s="38"/>
      <c r="BF49" s="38"/>
      <c r="BG49" s="39"/>
      <c r="BH49" s="38"/>
      <c r="BI49" s="38"/>
      <c r="BJ49" s="38"/>
      <c r="BK49" s="39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/>
      <c r="BY49" s="39"/>
      <c r="BZ49" s="38"/>
      <c r="CA49" s="39"/>
    </row>
    <row r="50" spans="1:79" ht="12.75">
      <c r="A50" s="5" t="s">
        <v>212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22"/>
      <c r="Y50" s="115"/>
      <c r="Z50" s="61"/>
      <c r="AA50" s="61"/>
      <c r="AB50" s="61"/>
      <c r="AC50" s="61"/>
      <c r="AD50" s="61"/>
      <c r="AE50" s="61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</row>
    <row r="51" spans="1:79" ht="12.75">
      <c r="A51" s="5" t="s">
        <v>232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22"/>
      <c r="Y51" s="115"/>
      <c r="Z51" s="61"/>
      <c r="AA51" s="61"/>
      <c r="AB51" s="61"/>
      <c r="AC51" s="61"/>
      <c r="AD51" s="61"/>
      <c r="AE51" s="61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</row>
    <row r="52" spans="1:7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22"/>
      <c r="Y52" s="115"/>
      <c r="Z52" s="61"/>
      <c r="AA52" s="61"/>
      <c r="AB52" s="61"/>
      <c r="AC52" s="61"/>
      <c r="AD52" s="61"/>
      <c r="AE52" s="61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</row>
    <row r="53" spans="1:7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22"/>
      <c r="Y53" s="115"/>
      <c r="Z53" s="61"/>
      <c r="AA53" s="61"/>
      <c r="AB53" s="61"/>
      <c r="AC53" s="61"/>
      <c r="AD53" s="61"/>
      <c r="AE53" s="61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</row>
    <row r="54" spans="1:7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22"/>
      <c r="Y54" s="115"/>
      <c r="Z54" s="61"/>
      <c r="AA54" s="61"/>
      <c r="AB54" s="61"/>
      <c r="AC54" s="61"/>
      <c r="AD54" s="61"/>
      <c r="AE54" s="61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</row>
    <row r="55" spans="1:7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22"/>
      <c r="Y55" s="115"/>
      <c r="Z55" s="61"/>
      <c r="AA55" s="61"/>
      <c r="AB55" s="61"/>
      <c r="AC55" s="61"/>
      <c r="AD55" s="61"/>
      <c r="AE55" s="61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</row>
    <row r="56" spans="1:7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22"/>
      <c r="Y56" s="115"/>
      <c r="Z56" s="61"/>
      <c r="AA56" s="61"/>
      <c r="AB56" s="61"/>
      <c r="AC56" s="61"/>
      <c r="AD56" s="61"/>
      <c r="AE56" s="61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</row>
    <row r="57" spans="1:7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22"/>
      <c r="Y57" s="115"/>
      <c r="Z57" s="61"/>
      <c r="AA57" s="61"/>
      <c r="AB57" s="61"/>
      <c r="AC57" s="61"/>
      <c r="AD57" s="61"/>
      <c r="AE57" s="61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</row>
    <row r="58" spans="1:7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22"/>
      <c r="Y58" s="115"/>
      <c r="Z58" s="61"/>
      <c r="AA58" s="61"/>
      <c r="AB58" s="61"/>
      <c r="AC58" s="61"/>
      <c r="AD58" s="61"/>
      <c r="AE58" s="61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</row>
    <row r="59" spans="1:7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22"/>
      <c r="Y59" s="115"/>
      <c r="Z59" s="61"/>
      <c r="AA59" s="61"/>
      <c r="AB59" s="61"/>
      <c r="AC59" s="61"/>
      <c r="AD59" s="61"/>
      <c r="AE59" s="61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1:7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22"/>
      <c r="Y60" s="115"/>
      <c r="Z60" s="61"/>
      <c r="AA60" s="61"/>
      <c r="AB60" s="61"/>
      <c r="AC60" s="61"/>
      <c r="AD60" s="61"/>
      <c r="AE60" s="61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1:7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22"/>
      <c r="Y61" s="115"/>
      <c r="Z61" s="61"/>
      <c r="AA61" s="61"/>
      <c r="AB61" s="61"/>
      <c r="AC61" s="61"/>
      <c r="AD61" s="61"/>
      <c r="AE61" s="61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1:7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22"/>
      <c r="Y62" s="115"/>
      <c r="Z62" s="61"/>
      <c r="AA62" s="61"/>
      <c r="AB62" s="61"/>
      <c r="AC62" s="61"/>
      <c r="AD62" s="61"/>
      <c r="AE62" s="61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1:7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22"/>
      <c r="Y63" s="115"/>
      <c r="Z63" s="61"/>
      <c r="AA63" s="61"/>
      <c r="AB63" s="61"/>
      <c r="AC63" s="61"/>
      <c r="AD63" s="61"/>
      <c r="AE63" s="61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1:7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22"/>
      <c r="Y64" s="115"/>
      <c r="Z64" s="61"/>
      <c r="AA64" s="61"/>
      <c r="AB64" s="61"/>
      <c r="AC64" s="61"/>
      <c r="AD64" s="61"/>
      <c r="AE64" s="61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1:7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22"/>
      <c r="Y65" s="115"/>
      <c r="Z65" s="61"/>
      <c r="AA65" s="61"/>
      <c r="AB65" s="61"/>
      <c r="AC65" s="61"/>
      <c r="AD65" s="61"/>
      <c r="AE65" s="61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</row>
    <row r="66" spans="1:7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22"/>
      <c r="Y66" s="115"/>
      <c r="Z66" s="61"/>
      <c r="AA66" s="61"/>
      <c r="AB66" s="61"/>
      <c r="AC66" s="61"/>
      <c r="AD66" s="61"/>
      <c r="AE66" s="61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1:7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22"/>
      <c r="Y67" s="115"/>
      <c r="Z67" s="61"/>
      <c r="AA67" s="61"/>
      <c r="AB67" s="61"/>
      <c r="AC67" s="61"/>
      <c r="AD67" s="61"/>
      <c r="AE67" s="61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1:7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22"/>
      <c r="Y68" s="115"/>
      <c r="Z68" s="61"/>
      <c r="AA68" s="61"/>
      <c r="AB68" s="61"/>
      <c r="AC68" s="61"/>
      <c r="AD68" s="61"/>
      <c r="AE68" s="61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</row>
    <row r="69" spans="1:7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22"/>
      <c r="Y69" s="115"/>
      <c r="Z69" s="61"/>
      <c r="AA69" s="61"/>
      <c r="AB69" s="61"/>
      <c r="AC69" s="61"/>
      <c r="AD69" s="61"/>
      <c r="AE69" s="61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1:7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22"/>
      <c r="Y70" s="115"/>
      <c r="Z70" s="61"/>
      <c r="AA70" s="61"/>
      <c r="AB70" s="61"/>
      <c r="AC70" s="61"/>
      <c r="AD70" s="61"/>
      <c r="AE70" s="61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1:7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22"/>
      <c r="Y71" s="115"/>
      <c r="Z71" s="61"/>
      <c r="AA71" s="61"/>
      <c r="AB71" s="61"/>
      <c r="AC71" s="61"/>
      <c r="AD71" s="61"/>
      <c r="AE71" s="61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</row>
    <row r="72" spans="1:7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22"/>
      <c r="Y72" s="115"/>
      <c r="Z72" s="61"/>
      <c r="AA72" s="61"/>
      <c r="AB72" s="61"/>
      <c r="AC72" s="61"/>
      <c r="AD72" s="61"/>
      <c r="AE72" s="61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</row>
    <row r="73" spans="1:7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22"/>
      <c r="Y73" s="115"/>
      <c r="Z73" s="61"/>
      <c r="AA73" s="61"/>
      <c r="AB73" s="61"/>
      <c r="AC73" s="61"/>
      <c r="AD73" s="61"/>
      <c r="AE73" s="61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</row>
    <row r="74" spans="1:7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22"/>
      <c r="Y74" s="115"/>
      <c r="Z74" s="61"/>
      <c r="AA74" s="61"/>
      <c r="AB74" s="61"/>
      <c r="AC74" s="61"/>
      <c r="AD74" s="61"/>
      <c r="AE74" s="61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</row>
    <row r="75" spans="1:7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22"/>
      <c r="Y75" s="115"/>
      <c r="Z75" s="61"/>
      <c r="AA75" s="61"/>
      <c r="AB75" s="61"/>
      <c r="AC75" s="61"/>
      <c r="AD75" s="61"/>
      <c r="AE75" s="61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</row>
    <row r="76" spans="1:7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22"/>
      <c r="Y76" s="115"/>
      <c r="Z76" s="61"/>
      <c r="AA76" s="61"/>
      <c r="AB76" s="61"/>
      <c r="AC76" s="61"/>
      <c r="AD76" s="61"/>
      <c r="AE76" s="61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</row>
    <row r="77" spans="1:7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22"/>
      <c r="Y77" s="115"/>
      <c r="Z77" s="61"/>
      <c r="AA77" s="61"/>
      <c r="AB77" s="61"/>
      <c r="AC77" s="61"/>
      <c r="AD77" s="61"/>
      <c r="AE77" s="61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</row>
    <row r="78" spans="1:7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22"/>
      <c r="Y78" s="115"/>
      <c r="Z78" s="61"/>
      <c r="AA78" s="61"/>
      <c r="AB78" s="61"/>
      <c r="AC78" s="61"/>
      <c r="AD78" s="61"/>
      <c r="AE78" s="61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</row>
    <row r="79" spans="1:7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22"/>
      <c r="Y79" s="115"/>
      <c r="Z79" s="61"/>
      <c r="AA79" s="61"/>
      <c r="AB79" s="61"/>
      <c r="AC79" s="61"/>
      <c r="AD79" s="61"/>
      <c r="AE79" s="61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</row>
    <row r="80" spans="1:7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22"/>
      <c r="Y80" s="115"/>
      <c r="Z80" s="61"/>
      <c r="AA80" s="61"/>
      <c r="AB80" s="61"/>
      <c r="AC80" s="61"/>
      <c r="AD80" s="61"/>
      <c r="AE80" s="61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</row>
    <row r="81" spans="1:79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22"/>
      <c r="Y81" s="115"/>
      <c r="Z81" s="61"/>
      <c r="AA81" s="61"/>
      <c r="AB81" s="61"/>
      <c r="AC81" s="61"/>
      <c r="AD81" s="61"/>
      <c r="AE81" s="61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</row>
    <row r="82" spans="1:7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22"/>
      <c r="Y82" s="115"/>
      <c r="Z82" s="61"/>
      <c r="AA82" s="61"/>
      <c r="AB82" s="61"/>
      <c r="AC82" s="61"/>
      <c r="AD82" s="61"/>
      <c r="AE82" s="61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1:7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22"/>
      <c r="Y83" s="115"/>
      <c r="Z83" s="61"/>
      <c r="AA83" s="61"/>
      <c r="AB83" s="61"/>
      <c r="AC83" s="61"/>
      <c r="AD83" s="61"/>
      <c r="AE83" s="61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</row>
    <row r="84" spans="1:7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22"/>
      <c r="Y84" s="115"/>
      <c r="Z84" s="61"/>
      <c r="AA84" s="61"/>
      <c r="AB84" s="61"/>
      <c r="AC84" s="61"/>
      <c r="AD84" s="61"/>
      <c r="AE84" s="61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1:7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22"/>
      <c r="Y85" s="115"/>
      <c r="Z85" s="61"/>
      <c r="AA85" s="61"/>
      <c r="AB85" s="61"/>
      <c r="AC85" s="61"/>
      <c r="AD85" s="61"/>
      <c r="AE85" s="61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22"/>
      <c r="Y86" s="115"/>
      <c r="Z86" s="61"/>
      <c r="AA86" s="61"/>
      <c r="AB86" s="61"/>
      <c r="AC86" s="61"/>
      <c r="AD86" s="61"/>
      <c r="AE86" s="61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1:7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22"/>
      <c r="Y87" s="115"/>
      <c r="Z87" s="61"/>
      <c r="AA87" s="61"/>
      <c r="AB87" s="61"/>
      <c r="AC87" s="61"/>
      <c r="AD87" s="61"/>
      <c r="AE87" s="61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</row>
    <row r="88" spans="1:7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22"/>
      <c r="Y88" s="115"/>
      <c r="Z88" s="61"/>
      <c r="AA88" s="61"/>
      <c r="AB88" s="61"/>
      <c r="AC88" s="61"/>
      <c r="AD88" s="61"/>
      <c r="AE88" s="61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</row>
    <row r="89" spans="1:7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22"/>
      <c r="Y89" s="115"/>
      <c r="Z89" s="61"/>
      <c r="AA89" s="61"/>
      <c r="AB89" s="61"/>
      <c r="AC89" s="61"/>
      <c r="AD89" s="61"/>
      <c r="AE89" s="61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</row>
    <row r="90" spans="1:7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22"/>
      <c r="Y90" s="115"/>
      <c r="Z90" s="61"/>
      <c r="AA90" s="61"/>
      <c r="AB90" s="61"/>
      <c r="AC90" s="61"/>
      <c r="AD90" s="61"/>
      <c r="AE90" s="61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1:7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22"/>
      <c r="Y91" s="115"/>
      <c r="Z91" s="61"/>
      <c r="AA91" s="61"/>
      <c r="AB91" s="61"/>
      <c r="AC91" s="61"/>
      <c r="AD91" s="61"/>
      <c r="AE91" s="61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</row>
    <row r="92" spans="1:7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2"/>
      <c r="Y92" s="115"/>
      <c r="Z92" s="61"/>
      <c r="AA92" s="61"/>
      <c r="AB92" s="61"/>
      <c r="AC92" s="61"/>
      <c r="AD92" s="61"/>
      <c r="AE92" s="61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</row>
    <row r="93" spans="1:7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22"/>
      <c r="Y93" s="115"/>
      <c r="Z93" s="61"/>
      <c r="AA93" s="61"/>
      <c r="AB93" s="61"/>
      <c r="AC93" s="61"/>
      <c r="AD93" s="61"/>
      <c r="AE93" s="61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</row>
    <row r="94" spans="1:7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22"/>
      <c r="Y94" s="115"/>
      <c r="Z94" s="61"/>
      <c r="AA94" s="61"/>
      <c r="AB94" s="61"/>
      <c r="AC94" s="61"/>
      <c r="AD94" s="61"/>
      <c r="AE94" s="61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</row>
    <row r="95" spans="1:7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22"/>
      <c r="Y95" s="115"/>
      <c r="Z95" s="61"/>
      <c r="AA95" s="61"/>
      <c r="AB95" s="61"/>
      <c r="AC95" s="61"/>
      <c r="AD95" s="61"/>
      <c r="AE95" s="61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</row>
    <row r="96" spans="1:7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22"/>
      <c r="Y96" s="115"/>
      <c r="Z96" s="61"/>
      <c r="AA96" s="61"/>
      <c r="AB96" s="61"/>
      <c r="AC96" s="61"/>
      <c r="AD96" s="61"/>
      <c r="AE96" s="61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</row>
    <row r="97" spans="1:7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22"/>
      <c r="Y97" s="115"/>
      <c r="Z97" s="61"/>
      <c r="AA97" s="61"/>
      <c r="AB97" s="61"/>
      <c r="AC97" s="61"/>
      <c r="AD97" s="61"/>
      <c r="AE97" s="61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</row>
    <row r="98" spans="1:7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22"/>
      <c r="Y98" s="115"/>
      <c r="Z98" s="61"/>
      <c r="AA98" s="61"/>
      <c r="AB98" s="61"/>
      <c r="AC98" s="61"/>
      <c r="AD98" s="61"/>
      <c r="AE98" s="61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</row>
    <row r="99" spans="1:7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22"/>
      <c r="Y99" s="115"/>
      <c r="Z99" s="61"/>
      <c r="AA99" s="61"/>
      <c r="AB99" s="61"/>
      <c r="AC99" s="61"/>
      <c r="AD99" s="61"/>
      <c r="AE99" s="61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</row>
    <row r="100" spans="1:7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22"/>
      <c r="Y100" s="115"/>
      <c r="Z100" s="61"/>
      <c r="AA100" s="61"/>
      <c r="AB100" s="61"/>
      <c r="AC100" s="61"/>
      <c r="AD100" s="61"/>
      <c r="AE100" s="61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</row>
    <row r="101" spans="1:7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22"/>
      <c r="Y101" s="115"/>
      <c r="Z101" s="61"/>
      <c r="AA101" s="61"/>
      <c r="AB101" s="61"/>
      <c r="AC101" s="61"/>
      <c r="AD101" s="61"/>
      <c r="AE101" s="61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</row>
    <row r="102" spans="1:7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22"/>
      <c r="Y102" s="115"/>
      <c r="Z102" s="61"/>
      <c r="AA102" s="61"/>
      <c r="AB102" s="61"/>
      <c r="AC102" s="61"/>
      <c r="AD102" s="61"/>
      <c r="AE102" s="61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</row>
    <row r="103" spans="1:7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22"/>
      <c r="Y103" s="115"/>
      <c r="Z103" s="61"/>
      <c r="AA103" s="61"/>
      <c r="AB103" s="61"/>
      <c r="AC103" s="61"/>
      <c r="AD103" s="61"/>
      <c r="AE103" s="61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</row>
    <row r="104" spans="1:7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22"/>
      <c r="Y104" s="115"/>
      <c r="Z104" s="61"/>
      <c r="AA104" s="61"/>
      <c r="AB104" s="61"/>
      <c r="AC104" s="61"/>
      <c r="AD104" s="61"/>
      <c r="AE104" s="61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</row>
    <row r="105" spans="1:7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22"/>
      <c r="Y105" s="115"/>
      <c r="Z105" s="61"/>
      <c r="AA105" s="61"/>
      <c r="AB105" s="61"/>
      <c r="AC105" s="61"/>
      <c r="AD105" s="61"/>
      <c r="AE105" s="61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</row>
    <row r="106" spans="1:7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22"/>
      <c r="Y106" s="115"/>
      <c r="Z106" s="61"/>
      <c r="AA106" s="61"/>
      <c r="AB106" s="61"/>
      <c r="AC106" s="61"/>
      <c r="AD106" s="61"/>
      <c r="AE106" s="61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</row>
    <row r="107" spans="1:7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22"/>
      <c r="Y107" s="115"/>
      <c r="Z107" s="61"/>
      <c r="AA107" s="61"/>
      <c r="AB107" s="61"/>
      <c r="AC107" s="61"/>
      <c r="AD107" s="61"/>
      <c r="AE107" s="61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</row>
    <row r="108" spans="1:7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22"/>
      <c r="Y108" s="115"/>
      <c r="Z108" s="61"/>
      <c r="AA108" s="61"/>
      <c r="AB108" s="61"/>
      <c r="AC108" s="61"/>
      <c r="AD108" s="61"/>
      <c r="AE108" s="61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</row>
    <row r="109" spans="1:7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22"/>
      <c r="Y109" s="115"/>
      <c r="Z109" s="61"/>
      <c r="AA109" s="61"/>
      <c r="AB109" s="61"/>
      <c r="AC109" s="61"/>
      <c r="AD109" s="61"/>
      <c r="AE109" s="61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</row>
    <row r="110" spans="1:7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22"/>
      <c r="Y110" s="115"/>
      <c r="Z110" s="61"/>
      <c r="AA110" s="61"/>
      <c r="AB110" s="61"/>
      <c r="AC110" s="61"/>
      <c r="AD110" s="61"/>
      <c r="AE110" s="61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1:7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22"/>
      <c r="Y111" s="115"/>
      <c r="Z111" s="61"/>
      <c r="AA111" s="61"/>
      <c r="AB111" s="61"/>
      <c r="AC111" s="61"/>
      <c r="AD111" s="61"/>
      <c r="AE111" s="61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7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22"/>
      <c r="Y112" s="115"/>
      <c r="Z112" s="61"/>
      <c r="AA112" s="61"/>
      <c r="AB112" s="61"/>
      <c r="AC112" s="61"/>
      <c r="AD112" s="61"/>
      <c r="AE112" s="61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1:7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22"/>
      <c r="Y113" s="115"/>
      <c r="Z113" s="61"/>
      <c r="AA113" s="61"/>
      <c r="AB113" s="61"/>
      <c r="AC113" s="61"/>
      <c r="AD113" s="61"/>
      <c r="AE113" s="61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1:7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22"/>
      <c r="Y114" s="115"/>
      <c r="Z114" s="61"/>
      <c r="AA114" s="61"/>
      <c r="AB114" s="61"/>
      <c r="AC114" s="61"/>
      <c r="AD114" s="61"/>
      <c r="AE114" s="61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1:7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22"/>
      <c r="Y115" s="115"/>
      <c r="Z115" s="61"/>
      <c r="AA115" s="61"/>
      <c r="AB115" s="61"/>
      <c r="AC115" s="61"/>
      <c r="AD115" s="61"/>
      <c r="AE115" s="61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22"/>
      <c r="Y116" s="115"/>
      <c r="Z116" s="61"/>
      <c r="AA116" s="61"/>
      <c r="AB116" s="61"/>
      <c r="AC116" s="61"/>
      <c r="AD116" s="61"/>
      <c r="AE116" s="61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22"/>
      <c r="Y117" s="115"/>
      <c r="Z117" s="61"/>
      <c r="AA117" s="61"/>
      <c r="AB117" s="61"/>
      <c r="AC117" s="61"/>
      <c r="AD117" s="61"/>
      <c r="AE117" s="61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22"/>
      <c r="Y118" s="115"/>
      <c r="Z118" s="61"/>
      <c r="AA118" s="61"/>
      <c r="AB118" s="61"/>
      <c r="AC118" s="61"/>
      <c r="AD118" s="61"/>
      <c r="AE118" s="61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22"/>
      <c r="Y119" s="115"/>
      <c r="Z119" s="61"/>
      <c r="AA119" s="61"/>
      <c r="AB119" s="61"/>
      <c r="AC119" s="61"/>
      <c r="AD119" s="61"/>
      <c r="AE119" s="61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22"/>
      <c r="Y120" s="115"/>
      <c r="Z120" s="61"/>
      <c r="AA120" s="61"/>
      <c r="AB120" s="61"/>
      <c r="AC120" s="61"/>
      <c r="AD120" s="61"/>
      <c r="AE120" s="61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22"/>
      <c r="Y121" s="115"/>
      <c r="Z121" s="61"/>
      <c r="AA121" s="61"/>
      <c r="AB121" s="61"/>
      <c r="AC121" s="61"/>
      <c r="AD121" s="61"/>
      <c r="AE121" s="61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22"/>
      <c r="Y122" s="115"/>
      <c r="Z122" s="61"/>
      <c r="AA122" s="61"/>
      <c r="AB122" s="61"/>
      <c r="AC122" s="61"/>
      <c r="AD122" s="61"/>
      <c r="AE122" s="61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22"/>
      <c r="Y123" s="115"/>
      <c r="Z123" s="61"/>
      <c r="AA123" s="61"/>
      <c r="AB123" s="61"/>
      <c r="AC123" s="61"/>
      <c r="AD123" s="61"/>
      <c r="AE123" s="61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1:79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22"/>
      <c r="Y124" s="115"/>
      <c r="Z124" s="61"/>
      <c r="AA124" s="61"/>
      <c r="AB124" s="61"/>
      <c r="AC124" s="61"/>
      <c r="AD124" s="61"/>
      <c r="AE124" s="61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1:79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22"/>
      <c r="Y125" s="115"/>
      <c r="Z125" s="61"/>
      <c r="AA125" s="61"/>
      <c r="AB125" s="61"/>
      <c r="AC125" s="61"/>
      <c r="AD125" s="61"/>
      <c r="AE125" s="61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22"/>
      <c r="Y126" s="115"/>
      <c r="Z126" s="61"/>
      <c r="AA126" s="61"/>
      <c r="AB126" s="61"/>
      <c r="AC126" s="61"/>
      <c r="AD126" s="61"/>
      <c r="AE126" s="61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1:7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22"/>
      <c r="Y127" s="115"/>
      <c r="Z127" s="61"/>
      <c r="AA127" s="61"/>
      <c r="AB127" s="61"/>
      <c r="AC127" s="61"/>
      <c r="AD127" s="61"/>
      <c r="AE127" s="61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</row>
    <row r="128" spans="1:7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22"/>
      <c r="Y128" s="115"/>
      <c r="Z128" s="61"/>
      <c r="AA128" s="61"/>
      <c r="AB128" s="61"/>
      <c r="AC128" s="61"/>
      <c r="AD128" s="61"/>
      <c r="AE128" s="61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</row>
    <row r="129" spans="1:79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22"/>
      <c r="Y129" s="115"/>
      <c r="Z129" s="61"/>
      <c r="AA129" s="61"/>
      <c r="AB129" s="61"/>
      <c r="AC129" s="61"/>
      <c r="AD129" s="61"/>
      <c r="AE129" s="61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</row>
    <row r="130" spans="1:79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22"/>
      <c r="Y130" s="115"/>
      <c r="Z130" s="61"/>
      <c r="AA130" s="61"/>
      <c r="AB130" s="61"/>
      <c r="AC130" s="61"/>
      <c r="AD130" s="61"/>
      <c r="AE130" s="61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</row>
    <row r="131" spans="1:79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22"/>
      <c r="Y131" s="115"/>
      <c r="Z131" s="61"/>
      <c r="AA131" s="61"/>
      <c r="AB131" s="61"/>
      <c r="AC131" s="61"/>
      <c r="AD131" s="61"/>
      <c r="AE131" s="61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</row>
    <row r="132" spans="1:79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22"/>
      <c r="Y132" s="115"/>
      <c r="Z132" s="61"/>
      <c r="AA132" s="61"/>
      <c r="AB132" s="61"/>
      <c r="AC132" s="61"/>
      <c r="AD132" s="61"/>
      <c r="AE132" s="61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</row>
    <row r="133" spans="1:79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22"/>
      <c r="Y133" s="115"/>
      <c r="Z133" s="61"/>
      <c r="AA133" s="61"/>
      <c r="AB133" s="61"/>
      <c r="AC133" s="61"/>
      <c r="AD133" s="61"/>
      <c r="AE133" s="61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</row>
    <row r="134" spans="1:79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22"/>
      <c r="Y134" s="115"/>
      <c r="Z134" s="61"/>
      <c r="AA134" s="61"/>
      <c r="AB134" s="61"/>
      <c r="AC134" s="61"/>
      <c r="AD134" s="61"/>
      <c r="AE134" s="61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</row>
    <row r="135" spans="1:79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22"/>
      <c r="Y135" s="115"/>
      <c r="Z135" s="61"/>
      <c r="AA135" s="61"/>
      <c r="AB135" s="61"/>
      <c r="AC135" s="61"/>
      <c r="AD135" s="61"/>
      <c r="AE135" s="61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</row>
    <row r="136" spans="1:7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22"/>
      <c r="Y136" s="115"/>
      <c r="Z136" s="61"/>
      <c r="AA136" s="61"/>
      <c r="AB136" s="61"/>
      <c r="AC136" s="61"/>
      <c r="AD136" s="61"/>
      <c r="AE136" s="61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</row>
    <row r="137" spans="1:79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22"/>
      <c r="Y137" s="115"/>
      <c r="Z137" s="61"/>
      <c r="AA137" s="61"/>
      <c r="AB137" s="61"/>
      <c r="AC137" s="61"/>
      <c r="AD137" s="61"/>
      <c r="AE137" s="61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</row>
    <row r="138" spans="1:79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22"/>
      <c r="Y138" s="115"/>
      <c r="Z138" s="61"/>
      <c r="AA138" s="61"/>
      <c r="AB138" s="61"/>
      <c r="AC138" s="61"/>
      <c r="AD138" s="61"/>
      <c r="AE138" s="61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</row>
    <row r="139" spans="1:79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22"/>
      <c r="Y139" s="115"/>
      <c r="Z139" s="61"/>
      <c r="AA139" s="61"/>
      <c r="AB139" s="61"/>
      <c r="AC139" s="61"/>
      <c r="AD139" s="61"/>
      <c r="AE139" s="61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</row>
    <row r="140" spans="1:7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22"/>
      <c r="Y140" s="115"/>
      <c r="Z140" s="61"/>
      <c r="AA140" s="61"/>
      <c r="AB140" s="61"/>
      <c r="AC140" s="61"/>
      <c r="AD140" s="61"/>
      <c r="AE140" s="61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</row>
    <row r="141" spans="1:79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22"/>
      <c r="Y141" s="115"/>
      <c r="Z141" s="61"/>
      <c r="AA141" s="61"/>
      <c r="AB141" s="61"/>
      <c r="AC141" s="61"/>
      <c r="AD141" s="61"/>
      <c r="AE141" s="61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</row>
    <row r="142" spans="1:79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22"/>
      <c r="Y142" s="115"/>
      <c r="Z142" s="61"/>
      <c r="AA142" s="61"/>
      <c r="AB142" s="61"/>
      <c r="AC142" s="61"/>
      <c r="AD142" s="61"/>
      <c r="AE142" s="61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</row>
    <row r="143" spans="1:79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22"/>
      <c r="Y143" s="115"/>
      <c r="Z143" s="61"/>
      <c r="AA143" s="61"/>
      <c r="AB143" s="61"/>
      <c r="AC143" s="61"/>
      <c r="AD143" s="61"/>
      <c r="AE143" s="61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</row>
    <row r="144" spans="1:79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22"/>
      <c r="Y144" s="115"/>
      <c r="Z144" s="61"/>
      <c r="AA144" s="61"/>
      <c r="AB144" s="61"/>
      <c r="AC144" s="61"/>
      <c r="AD144" s="61"/>
      <c r="AE144" s="61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1:79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22"/>
      <c r="Y145" s="115"/>
      <c r="Z145" s="61"/>
      <c r="AA145" s="61"/>
      <c r="AB145" s="61"/>
      <c r="AC145" s="61"/>
      <c r="AD145" s="61"/>
      <c r="AE145" s="61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</row>
    <row r="146" spans="1:79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22"/>
      <c r="Y146" s="115"/>
      <c r="Z146" s="61"/>
      <c r="AA146" s="61"/>
      <c r="AB146" s="61"/>
      <c r="AC146" s="61"/>
      <c r="AD146" s="61"/>
      <c r="AE146" s="61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</row>
    <row r="147" spans="1:79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22"/>
      <c r="Y147" s="115"/>
      <c r="Z147" s="61"/>
      <c r="AA147" s="61"/>
      <c r="AB147" s="61"/>
      <c r="AC147" s="61"/>
      <c r="AD147" s="61"/>
      <c r="AE147" s="61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</row>
    <row r="148" spans="1:79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22"/>
      <c r="Y148" s="115"/>
      <c r="Z148" s="61"/>
      <c r="AA148" s="61"/>
      <c r="AB148" s="61"/>
      <c r="AC148" s="61"/>
      <c r="AD148" s="61"/>
      <c r="AE148" s="61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</row>
    <row r="149" spans="1:79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22"/>
      <c r="Y149" s="115"/>
      <c r="Z149" s="61"/>
      <c r="AA149" s="61"/>
      <c r="AB149" s="61"/>
      <c r="AC149" s="61"/>
      <c r="AD149" s="61"/>
      <c r="AE149" s="61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</row>
    <row r="150" spans="1:79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22"/>
      <c r="Y150" s="115"/>
      <c r="Z150" s="61"/>
      <c r="AA150" s="61"/>
      <c r="AB150" s="61"/>
      <c r="AC150" s="61"/>
      <c r="AD150" s="61"/>
      <c r="AE150" s="61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</row>
    <row r="151" spans="1:79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22"/>
      <c r="Y151" s="115"/>
      <c r="Z151" s="61"/>
      <c r="AA151" s="61"/>
      <c r="AB151" s="61"/>
      <c r="AC151" s="61"/>
      <c r="AD151" s="61"/>
      <c r="AE151" s="61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</row>
    <row r="152" spans="1:79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22"/>
      <c r="Y152" s="115"/>
      <c r="Z152" s="61"/>
      <c r="AA152" s="61"/>
      <c r="AB152" s="61"/>
      <c r="AC152" s="61"/>
      <c r="AD152" s="61"/>
      <c r="AE152" s="61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</row>
    <row r="153" spans="1:79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22"/>
      <c r="Y153" s="115"/>
      <c r="Z153" s="61"/>
      <c r="AA153" s="61"/>
      <c r="AB153" s="61"/>
      <c r="AC153" s="61"/>
      <c r="AD153" s="61"/>
      <c r="AE153" s="61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</row>
    <row r="154" spans="1:79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22"/>
      <c r="Y154" s="115"/>
      <c r="Z154" s="61"/>
      <c r="AA154" s="61"/>
      <c r="AB154" s="61"/>
      <c r="AC154" s="61"/>
      <c r="AD154" s="61"/>
      <c r="AE154" s="61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</row>
    <row r="155" spans="1:79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22"/>
      <c r="Y155" s="115"/>
      <c r="Z155" s="61"/>
      <c r="AA155" s="61"/>
      <c r="AB155" s="61"/>
      <c r="AC155" s="61"/>
      <c r="AD155" s="61"/>
      <c r="AE155" s="61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</row>
    <row r="156" spans="1:79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22"/>
      <c r="Y156" s="115"/>
      <c r="Z156" s="61"/>
      <c r="AA156" s="61"/>
      <c r="AB156" s="61"/>
      <c r="AC156" s="61"/>
      <c r="AD156" s="61"/>
      <c r="AE156" s="6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1:79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22"/>
      <c r="Y157" s="115"/>
      <c r="Z157" s="61"/>
      <c r="AA157" s="61"/>
      <c r="AB157" s="61"/>
      <c r="AC157" s="61"/>
      <c r="AD157" s="61"/>
      <c r="AE157" s="6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</row>
    <row r="158" spans="1:79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22"/>
      <c r="Y158" s="115"/>
      <c r="Z158" s="61"/>
      <c r="AA158" s="61"/>
      <c r="AB158" s="61"/>
      <c r="AC158" s="61"/>
      <c r="AD158" s="61"/>
      <c r="AE158" s="6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</row>
    <row r="159" spans="1:79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22"/>
      <c r="Y159" s="115"/>
      <c r="Z159" s="61"/>
      <c r="AA159" s="61"/>
      <c r="AB159" s="61"/>
      <c r="AC159" s="61"/>
      <c r="AD159" s="61"/>
      <c r="AE159" s="61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</row>
    <row r="160" spans="1:79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122"/>
      <c r="Y160" s="115"/>
      <c r="Z160" s="61"/>
      <c r="AA160" s="61"/>
      <c r="AB160" s="61"/>
      <c r="AC160" s="61"/>
      <c r="AD160" s="61"/>
      <c r="AE160" s="61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</row>
    <row r="161" spans="1:79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122"/>
      <c r="Y161" s="115"/>
      <c r="Z161" s="61"/>
      <c r="AA161" s="61"/>
      <c r="AB161" s="61"/>
      <c r="AC161" s="61"/>
      <c r="AD161" s="61"/>
      <c r="AE161" s="61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</row>
    <row r="162" spans="1:79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122"/>
      <c r="Y162" s="115"/>
      <c r="Z162" s="61"/>
      <c r="AA162" s="61"/>
      <c r="AB162" s="61"/>
      <c r="AC162" s="61"/>
      <c r="AD162" s="61"/>
      <c r="AE162" s="61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</row>
    <row r="163" spans="1:79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122"/>
      <c r="Y163" s="115"/>
      <c r="Z163" s="61"/>
      <c r="AA163" s="61"/>
      <c r="AB163" s="61"/>
      <c r="AC163" s="61"/>
      <c r="AD163" s="61"/>
      <c r="AE163" s="61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</row>
    <row r="164" spans="1:79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122"/>
      <c r="Y164" s="115"/>
      <c r="Z164" s="61"/>
      <c r="AA164" s="61"/>
      <c r="AB164" s="61"/>
      <c r="AC164" s="61"/>
      <c r="AD164" s="61"/>
      <c r="AE164" s="61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</row>
    <row r="165" spans="1:79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122"/>
      <c r="Y165" s="115"/>
      <c r="Z165" s="61"/>
      <c r="AA165" s="61"/>
      <c r="AB165" s="61"/>
      <c r="AC165" s="61"/>
      <c r="AD165" s="61"/>
      <c r="AE165" s="61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1:79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122"/>
      <c r="Y166" s="115"/>
      <c r="Z166" s="61"/>
      <c r="AA166" s="61"/>
      <c r="AB166" s="61"/>
      <c r="AC166" s="61"/>
      <c r="AD166" s="61"/>
      <c r="AE166" s="61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</row>
    <row r="167" spans="1:79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122"/>
      <c r="Y167" s="115"/>
      <c r="Z167" s="61"/>
      <c r="AA167" s="61"/>
      <c r="AB167" s="61"/>
      <c r="AC167" s="61"/>
      <c r="AD167" s="61"/>
      <c r="AE167" s="61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1:79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122"/>
      <c r="Y168" s="115"/>
      <c r="Z168" s="61"/>
      <c r="AA168" s="61"/>
      <c r="AB168" s="61"/>
      <c r="AC168" s="61"/>
      <c r="AD168" s="61"/>
      <c r="AE168" s="61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</row>
    <row r="169" spans="1:79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122"/>
      <c r="Y169" s="115"/>
      <c r="Z169" s="61"/>
      <c r="AA169" s="61"/>
      <c r="AB169" s="61"/>
      <c r="AC169" s="61"/>
      <c r="AD169" s="61"/>
      <c r="AE169" s="61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1:79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122"/>
      <c r="Y170" s="115"/>
      <c r="Z170" s="61"/>
      <c r="AA170" s="61"/>
      <c r="AB170" s="61"/>
      <c r="AC170" s="61"/>
      <c r="AD170" s="61"/>
      <c r="AE170" s="61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</row>
    <row r="171" spans="1:79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122"/>
      <c r="Y171" s="115"/>
      <c r="Z171" s="61"/>
      <c r="AA171" s="61"/>
      <c r="AB171" s="61"/>
      <c r="AC171" s="61"/>
      <c r="AD171" s="61"/>
      <c r="AE171" s="61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1:79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122"/>
      <c r="Y172" s="115"/>
      <c r="Z172" s="61"/>
      <c r="AA172" s="61"/>
      <c r="AB172" s="61"/>
      <c r="AC172" s="61"/>
      <c r="AD172" s="61"/>
      <c r="AE172" s="61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</row>
    <row r="173" spans="1:79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122"/>
      <c r="Y173" s="115"/>
      <c r="Z173" s="61"/>
      <c r="AA173" s="61"/>
      <c r="AB173" s="61"/>
      <c r="AC173" s="61"/>
      <c r="AD173" s="61"/>
      <c r="AE173" s="61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</row>
    <row r="174" spans="1:79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122"/>
      <c r="Y174" s="115"/>
      <c r="Z174" s="61"/>
      <c r="AA174" s="61"/>
      <c r="AB174" s="61"/>
      <c r="AC174" s="61"/>
      <c r="AD174" s="61"/>
      <c r="AE174" s="61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</row>
    <row r="175" spans="1:79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122"/>
      <c r="Y175" s="115"/>
      <c r="Z175" s="61"/>
      <c r="AA175" s="61"/>
      <c r="AB175" s="61"/>
      <c r="AC175" s="61"/>
      <c r="AD175" s="61"/>
      <c r="AE175" s="61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</row>
    <row r="176" spans="1:79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122"/>
      <c r="Y176" s="115"/>
      <c r="Z176" s="61"/>
      <c r="AA176" s="61"/>
      <c r="AB176" s="61"/>
      <c r="AC176" s="61"/>
      <c r="AD176" s="61"/>
      <c r="AE176" s="61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</row>
    <row r="177" spans="1:79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22"/>
      <c r="Y177" s="115"/>
      <c r="Z177" s="61"/>
      <c r="AA177" s="61"/>
      <c r="AB177" s="61"/>
      <c r="AC177" s="61"/>
      <c r="AD177" s="61"/>
      <c r="AE177" s="61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</row>
    <row r="178" spans="1:79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122"/>
      <c r="Y178" s="115"/>
      <c r="Z178" s="61"/>
      <c r="AA178" s="61"/>
      <c r="AB178" s="61"/>
      <c r="AC178" s="61"/>
      <c r="AD178" s="61"/>
      <c r="AE178" s="61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</row>
    <row r="179" spans="1:79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122"/>
      <c r="Y179" s="115"/>
      <c r="Z179" s="61"/>
      <c r="AA179" s="61"/>
      <c r="AB179" s="61"/>
      <c r="AC179" s="61"/>
      <c r="AD179" s="61"/>
      <c r="AE179" s="61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</row>
    <row r="180" spans="1:79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122"/>
      <c r="Y180" s="115"/>
      <c r="Z180" s="61"/>
      <c r="AA180" s="61"/>
      <c r="AB180" s="61"/>
      <c r="AC180" s="61"/>
      <c r="AD180" s="61"/>
      <c r="AE180" s="61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</row>
    <row r="181" spans="1:79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22"/>
      <c r="Y181" s="115"/>
      <c r="Z181" s="61"/>
      <c r="AA181" s="61"/>
      <c r="AB181" s="61"/>
      <c r="AC181" s="61"/>
      <c r="AD181" s="61"/>
      <c r="AE181" s="61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</row>
    <row r="182" spans="1:79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122"/>
      <c r="Y182" s="115"/>
      <c r="Z182" s="61"/>
      <c r="AA182" s="61"/>
      <c r="AB182" s="61"/>
      <c r="AC182" s="61"/>
      <c r="AD182" s="61"/>
      <c r="AE182" s="61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</row>
    <row r="183" spans="1:79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122"/>
      <c r="Y183" s="115"/>
      <c r="Z183" s="61"/>
      <c r="AA183" s="61"/>
      <c r="AB183" s="61"/>
      <c r="AC183" s="61"/>
      <c r="AD183" s="61"/>
      <c r="AE183" s="61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</row>
    <row r="184" spans="1:79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22"/>
      <c r="Y184" s="115"/>
      <c r="Z184" s="61"/>
      <c r="AA184" s="61"/>
      <c r="AB184" s="61"/>
      <c r="AC184" s="61"/>
      <c r="AD184" s="61"/>
      <c r="AE184" s="61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</row>
    <row r="185" spans="1:79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22"/>
      <c r="Y185" s="115"/>
      <c r="Z185" s="61"/>
      <c r="AA185" s="61"/>
      <c r="AB185" s="61"/>
      <c r="AC185" s="61"/>
      <c r="AD185" s="61"/>
      <c r="AE185" s="61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</row>
    <row r="186" spans="1:79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22"/>
      <c r="Y186" s="115"/>
      <c r="Z186" s="61"/>
      <c r="AA186" s="61"/>
      <c r="AB186" s="61"/>
      <c r="AC186" s="61"/>
      <c r="AD186" s="61"/>
      <c r="AE186" s="61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</row>
    <row r="187" spans="1:79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22"/>
      <c r="Y187" s="115"/>
      <c r="Z187" s="61"/>
      <c r="AA187" s="61"/>
      <c r="AB187" s="61"/>
      <c r="AC187" s="61"/>
      <c r="AD187" s="61"/>
      <c r="AE187" s="61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</row>
    <row r="188" spans="1:79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22"/>
      <c r="Y188" s="115"/>
      <c r="Z188" s="61"/>
      <c r="AA188" s="61"/>
      <c r="AB188" s="61"/>
      <c r="AC188" s="61"/>
      <c r="AD188" s="61"/>
      <c r="AE188" s="61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</row>
    <row r="189" spans="1:79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22"/>
      <c r="Y189" s="115"/>
      <c r="Z189" s="61"/>
      <c r="AA189" s="61"/>
      <c r="AB189" s="61"/>
      <c r="AC189" s="61"/>
      <c r="AD189" s="61"/>
      <c r="AE189" s="61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</row>
    <row r="190" spans="1:79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122"/>
      <c r="Y190" s="115"/>
      <c r="Z190" s="61"/>
      <c r="AA190" s="61"/>
      <c r="AB190" s="61"/>
      <c r="AC190" s="61"/>
      <c r="AD190" s="61"/>
      <c r="AE190" s="61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</row>
    <row r="191" spans="1:79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22"/>
      <c r="Y191" s="115"/>
      <c r="Z191" s="61"/>
      <c r="AA191" s="61"/>
      <c r="AB191" s="61"/>
      <c r="AC191" s="61"/>
      <c r="AD191" s="61"/>
      <c r="AE191" s="61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</row>
    <row r="192" spans="1:79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122"/>
      <c r="Y192" s="115"/>
      <c r="Z192" s="61"/>
      <c r="AA192" s="61"/>
      <c r="AB192" s="61"/>
      <c r="AC192" s="61"/>
      <c r="AD192" s="61"/>
      <c r="AE192" s="61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</row>
    <row r="193" spans="1:79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122"/>
      <c r="Y193" s="115"/>
      <c r="Z193" s="61"/>
      <c r="AA193" s="61"/>
      <c r="AB193" s="61"/>
      <c r="AC193" s="61"/>
      <c r="AD193" s="61"/>
      <c r="AE193" s="61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</row>
    <row r="194" spans="1:79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122"/>
      <c r="Y194" s="115"/>
      <c r="Z194" s="61"/>
      <c r="AA194" s="61"/>
      <c r="AB194" s="61"/>
      <c r="AC194" s="61"/>
      <c r="AD194" s="61"/>
      <c r="AE194" s="61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</row>
    <row r="195" spans="1:79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22"/>
      <c r="Y195" s="115"/>
      <c r="Z195" s="61"/>
      <c r="AA195" s="61"/>
      <c r="AB195" s="61"/>
      <c r="AC195" s="61"/>
      <c r="AD195" s="61"/>
      <c r="AE195" s="61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</row>
    <row r="196" spans="1:79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122"/>
      <c r="Y196" s="115"/>
      <c r="Z196" s="61"/>
      <c r="AA196" s="61"/>
      <c r="AB196" s="61"/>
      <c r="AC196" s="61"/>
      <c r="AD196" s="61"/>
      <c r="AE196" s="61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</row>
    <row r="197" spans="1:79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122"/>
      <c r="Y197" s="115"/>
      <c r="Z197" s="61"/>
      <c r="AA197" s="61"/>
      <c r="AB197" s="61"/>
      <c r="AC197" s="61"/>
      <c r="AD197" s="61"/>
      <c r="AE197" s="61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</row>
    <row r="198" spans="1:79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122"/>
      <c r="Y198" s="115"/>
      <c r="Z198" s="61"/>
      <c r="AA198" s="61"/>
      <c r="AB198" s="61"/>
      <c r="AC198" s="61"/>
      <c r="AD198" s="61"/>
      <c r="AE198" s="61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</row>
    <row r="199" spans="1:79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22"/>
      <c r="Y199" s="115"/>
      <c r="Z199" s="61"/>
      <c r="AA199" s="61"/>
      <c r="AB199" s="61"/>
      <c r="AC199" s="61"/>
      <c r="AD199" s="61"/>
      <c r="AE199" s="61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</row>
    <row r="200" spans="1:79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122"/>
      <c r="Y200" s="115"/>
      <c r="Z200" s="61"/>
      <c r="AA200" s="61"/>
      <c r="AB200" s="61"/>
      <c r="AC200" s="61"/>
      <c r="AD200" s="61"/>
      <c r="AE200" s="61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</row>
    <row r="201" spans="1:79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22"/>
      <c r="Y201" s="115"/>
      <c r="Z201" s="61"/>
      <c r="AA201" s="61"/>
      <c r="AB201" s="61"/>
      <c r="AC201" s="61"/>
      <c r="AD201" s="61"/>
      <c r="AE201" s="61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</row>
    <row r="202" spans="1:79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122"/>
      <c r="Y202" s="115"/>
      <c r="Z202" s="61"/>
      <c r="AA202" s="61"/>
      <c r="AB202" s="61"/>
      <c r="AC202" s="61"/>
      <c r="AD202" s="61"/>
      <c r="AE202" s="6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</row>
    <row r="203" spans="1:79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122"/>
      <c r="Y203" s="115"/>
      <c r="Z203" s="61"/>
      <c r="AA203" s="61"/>
      <c r="AB203" s="61"/>
      <c r="AC203" s="61"/>
      <c r="AD203" s="61"/>
      <c r="AE203" s="6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</row>
    <row r="204" spans="1:79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122"/>
      <c r="Y204" s="115"/>
      <c r="Z204" s="61"/>
      <c r="AA204" s="61"/>
      <c r="AB204" s="61"/>
      <c r="AC204" s="61"/>
      <c r="AD204" s="61"/>
      <c r="AE204" s="6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</row>
    <row r="205" spans="1:79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122"/>
      <c r="Y205" s="115"/>
      <c r="Z205" s="61"/>
      <c r="AA205" s="61"/>
      <c r="AB205" s="61"/>
      <c r="AC205" s="61"/>
      <c r="AD205" s="61"/>
      <c r="AE205" s="6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</row>
    <row r="206" spans="1:79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122"/>
      <c r="Y206" s="115"/>
      <c r="Z206" s="61"/>
      <c r="AA206" s="61"/>
      <c r="AB206" s="61"/>
      <c r="AC206" s="61"/>
      <c r="AD206" s="61"/>
      <c r="AE206" s="6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</row>
    <row r="207" spans="1:79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122"/>
      <c r="Y207" s="115"/>
      <c r="Z207" s="61"/>
      <c r="AA207" s="61"/>
      <c r="AB207" s="61"/>
      <c r="AC207" s="61"/>
      <c r="AD207" s="61"/>
      <c r="AE207" s="61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</row>
    <row r="208" spans="1:79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122"/>
      <c r="Y208" s="115"/>
      <c r="Z208" s="61"/>
      <c r="AA208" s="61"/>
      <c r="AB208" s="61"/>
      <c r="AC208" s="61"/>
      <c r="AD208" s="61"/>
      <c r="AE208" s="61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1:79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122"/>
      <c r="Y209" s="115"/>
      <c r="Z209" s="61"/>
      <c r="AA209" s="61"/>
      <c r="AB209" s="61"/>
      <c r="AC209" s="61"/>
      <c r="AD209" s="61"/>
      <c r="AE209" s="61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</row>
    <row r="210" spans="1:79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122"/>
      <c r="Y210" s="115"/>
      <c r="Z210" s="61"/>
      <c r="AA210" s="61"/>
      <c r="AB210" s="61"/>
      <c r="AC210" s="61"/>
      <c r="AD210" s="61"/>
      <c r="AE210" s="61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</row>
    <row r="211" spans="1:79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122"/>
      <c r="Y211" s="115"/>
      <c r="Z211" s="61"/>
      <c r="AA211" s="61"/>
      <c r="AB211" s="61"/>
      <c r="AC211" s="61"/>
      <c r="AD211" s="61"/>
      <c r="AE211" s="61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</row>
    <row r="212" spans="1:79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122"/>
      <c r="Y212" s="115"/>
      <c r="Z212" s="61"/>
      <c r="AA212" s="61"/>
      <c r="AB212" s="61"/>
      <c r="AC212" s="61"/>
      <c r="AD212" s="61"/>
      <c r="AE212" s="61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</row>
    <row r="213" spans="1:79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122"/>
      <c r="Y213" s="115"/>
      <c r="Z213" s="61"/>
      <c r="AA213" s="61"/>
      <c r="AB213" s="61"/>
      <c r="AC213" s="61"/>
      <c r="AD213" s="61"/>
      <c r="AE213" s="61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</row>
    <row r="214" spans="1:79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122"/>
      <c r="Y214" s="115"/>
      <c r="Z214" s="61"/>
      <c r="AA214" s="61"/>
      <c r="AB214" s="61"/>
      <c r="AC214" s="61"/>
      <c r="AD214" s="61"/>
      <c r="AE214" s="61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</row>
    <row r="215" spans="1:79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122"/>
      <c r="Y215" s="115"/>
      <c r="Z215" s="61"/>
      <c r="AA215" s="61"/>
      <c r="AB215" s="61"/>
      <c r="AC215" s="61"/>
      <c r="AD215" s="61"/>
      <c r="AE215" s="61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</row>
    <row r="216" spans="1:79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122"/>
      <c r="Y216" s="115"/>
      <c r="Z216" s="61"/>
      <c r="AA216" s="61"/>
      <c r="AB216" s="61"/>
      <c r="AC216" s="61"/>
      <c r="AD216" s="61"/>
      <c r="AE216" s="61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</row>
    <row r="217" spans="1:79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122"/>
      <c r="Y217" s="115"/>
      <c r="Z217" s="61"/>
      <c r="AA217" s="61"/>
      <c r="AB217" s="61"/>
      <c r="AC217" s="61"/>
      <c r="AD217" s="61"/>
      <c r="AE217" s="61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</row>
    <row r="218" spans="1:79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122"/>
      <c r="Y218" s="115"/>
      <c r="Z218" s="61"/>
      <c r="AA218" s="61"/>
      <c r="AB218" s="61"/>
      <c r="AC218" s="61"/>
      <c r="AD218" s="61"/>
      <c r="AE218" s="61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</row>
    <row r="219" spans="1:79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122"/>
      <c r="Y219" s="115"/>
      <c r="Z219" s="61"/>
      <c r="AA219" s="61"/>
      <c r="AB219" s="61"/>
      <c r="AC219" s="61"/>
      <c r="AD219" s="61"/>
      <c r="AE219" s="61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</row>
    <row r="220" spans="1:79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122"/>
      <c r="Y220" s="115"/>
      <c r="Z220" s="61"/>
      <c r="AA220" s="61"/>
      <c r="AB220" s="61"/>
      <c r="AC220" s="61"/>
      <c r="AD220" s="61"/>
      <c r="AE220" s="61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</row>
    <row r="221" spans="1:79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122"/>
      <c r="Y221" s="115"/>
      <c r="Z221" s="61"/>
      <c r="AA221" s="61"/>
      <c r="AB221" s="61"/>
      <c r="AC221" s="61"/>
      <c r="AD221" s="61"/>
      <c r="AE221" s="61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</row>
    <row r="222" spans="1:79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122"/>
      <c r="Y222" s="115"/>
      <c r="Z222" s="61"/>
      <c r="AA222" s="61"/>
      <c r="AB222" s="61"/>
      <c r="AC222" s="61"/>
      <c r="AD222" s="61"/>
      <c r="AE222" s="61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</row>
    <row r="223" spans="1:79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122"/>
      <c r="Y223" s="115"/>
      <c r="Z223" s="61"/>
      <c r="AA223" s="61"/>
      <c r="AB223" s="61"/>
      <c r="AC223" s="61"/>
      <c r="AD223" s="61"/>
      <c r="AE223" s="61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</row>
    <row r="224" spans="1:79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122"/>
      <c r="Y224" s="115"/>
      <c r="Z224" s="61"/>
      <c r="AA224" s="61"/>
      <c r="AB224" s="61"/>
      <c r="AC224" s="61"/>
      <c r="AD224" s="61"/>
      <c r="AE224" s="61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</row>
    <row r="225" spans="1:79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122"/>
      <c r="Y225" s="115"/>
      <c r="Z225" s="61"/>
      <c r="AA225" s="61"/>
      <c r="AB225" s="61"/>
      <c r="AC225" s="61"/>
      <c r="AD225" s="61"/>
      <c r="AE225" s="61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</row>
    <row r="226" spans="1:79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122"/>
      <c r="Y226" s="115"/>
      <c r="Z226" s="61"/>
      <c r="AA226" s="61"/>
      <c r="AB226" s="61"/>
      <c r="AC226" s="61"/>
      <c r="AD226" s="61"/>
      <c r="AE226" s="61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</row>
    <row r="227" spans="1:79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122"/>
      <c r="Y227" s="115"/>
      <c r="Z227" s="61"/>
      <c r="AA227" s="61"/>
      <c r="AB227" s="61"/>
      <c r="AC227" s="61"/>
      <c r="AD227" s="61"/>
      <c r="AE227" s="61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</row>
    <row r="228" spans="1:79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122"/>
      <c r="Y228" s="115"/>
      <c r="Z228" s="61"/>
      <c r="AA228" s="61"/>
      <c r="AB228" s="61"/>
      <c r="AC228" s="61"/>
      <c r="AD228" s="61"/>
      <c r="AE228" s="61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</row>
    <row r="229" spans="1:79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122"/>
      <c r="Y229" s="115"/>
      <c r="Z229" s="61"/>
      <c r="AA229" s="61"/>
      <c r="AB229" s="61"/>
      <c r="AC229" s="61"/>
      <c r="AD229" s="61"/>
      <c r="AE229" s="61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</row>
    <row r="230" spans="1:79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122"/>
      <c r="Y230" s="115"/>
      <c r="Z230" s="61"/>
      <c r="AA230" s="61"/>
      <c r="AB230" s="61"/>
      <c r="AC230" s="61"/>
      <c r="AD230" s="61"/>
      <c r="AE230" s="61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</row>
    <row r="231" spans="1:79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122"/>
      <c r="Y231" s="115"/>
      <c r="Z231" s="61"/>
      <c r="AA231" s="61"/>
      <c r="AB231" s="61"/>
      <c r="AC231" s="61"/>
      <c r="AD231" s="61"/>
      <c r="AE231" s="61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</row>
    <row r="232" spans="1:79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122"/>
      <c r="Y232" s="115"/>
      <c r="Z232" s="61"/>
      <c r="AA232" s="61"/>
      <c r="AB232" s="61"/>
      <c r="AC232" s="61"/>
      <c r="AD232" s="61"/>
      <c r="AE232" s="61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</row>
    <row r="233" spans="1:79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122"/>
      <c r="Y233" s="115"/>
      <c r="Z233" s="61"/>
      <c r="AA233" s="61"/>
      <c r="AB233" s="61"/>
      <c r="AC233" s="61"/>
      <c r="AD233" s="61"/>
      <c r="AE233" s="61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</row>
    <row r="234" spans="1:79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122"/>
      <c r="Y234" s="115"/>
      <c r="Z234" s="61"/>
      <c r="AA234" s="61"/>
      <c r="AB234" s="61"/>
      <c r="AC234" s="61"/>
      <c r="AD234" s="61"/>
      <c r="AE234" s="61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</row>
    <row r="235" spans="1:79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122"/>
      <c r="Y235" s="115"/>
      <c r="Z235" s="61"/>
      <c r="AA235" s="61"/>
      <c r="AB235" s="61"/>
      <c r="AC235" s="61"/>
      <c r="AD235" s="61"/>
      <c r="AE235" s="61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</row>
    <row r="236" spans="1:79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122"/>
      <c r="Y236" s="115"/>
      <c r="Z236" s="61"/>
      <c r="AA236" s="61"/>
      <c r="AB236" s="61"/>
      <c r="AC236" s="61"/>
      <c r="AD236" s="61"/>
      <c r="AE236" s="61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</row>
    <row r="237" spans="1:79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122"/>
      <c r="Y237" s="115"/>
      <c r="Z237" s="61"/>
      <c r="AA237" s="61"/>
      <c r="AB237" s="61"/>
      <c r="AC237" s="61"/>
      <c r="AD237" s="61"/>
      <c r="AE237" s="61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</row>
    <row r="238" spans="1:79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122"/>
      <c r="Y238" s="115"/>
      <c r="Z238" s="61"/>
      <c r="AA238" s="61"/>
      <c r="AB238" s="61"/>
      <c r="AC238" s="61"/>
      <c r="AD238" s="61"/>
      <c r="AE238" s="61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</row>
    <row r="239" spans="1:79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122"/>
      <c r="Y239" s="115"/>
      <c r="Z239" s="61"/>
      <c r="AA239" s="61"/>
      <c r="AB239" s="61"/>
      <c r="AC239" s="61"/>
      <c r="AD239" s="61"/>
      <c r="AE239" s="61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</row>
    <row r="240" spans="1:79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122"/>
      <c r="Y240" s="115"/>
      <c r="Z240" s="61"/>
      <c r="AA240" s="61"/>
      <c r="AB240" s="61"/>
      <c r="AC240" s="61"/>
      <c r="AD240" s="61"/>
      <c r="AE240" s="61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</row>
    <row r="241" spans="1:79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122"/>
      <c r="Y241" s="115"/>
      <c r="Z241" s="61"/>
      <c r="AA241" s="61"/>
      <c r="AB241" s="61"/>
      <c r="AC241" s="61"/>
      <c r="AD241" s="61"/>
      <c r="AE241" s="61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</row>
    <row r="242" spans="1:79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122"/>
      <c r="Y242" s="115"/>
      <c r="Z242" s="61"/>
      <c r="AA242" s="61"/>
      <c r="AB242" s="61"/>
      <c r="AC242" s="61"/>
      <c r="AD242" s="61"/>
      <c r="AE242" s="61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</row>
    <row r="243" spans="1:79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122"/>
      <c r="Y243" s="115"/>
      <c r="Z243" s="61"/>
      <c r="AA243" s="61"/>
      <c r="AB243" s="61"/>
      <c r="AC243" s="61"/>
      <c r="AD243" s="61"/>
      <c r="AE243" s="61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</row>
    <row r="244" spans="1:79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122"/>
      <c r="Y244" s="115"/>
      <c r="Z244" s="61"/>
      <c r="AA244" s="61"/>
      <c r="AB244" s="61"/>
      <c r="AC244" s="61"/>
      <c r="AD244" s="61"/>
      <c r="AE244" s="61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</row>
    <row r="245" spans="1:79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122"/>
      <c r="Y245" s="115"/>
      <c r="Z245" s="61"/>
      <c r="AA245" s="61"/>
      <c r="AB245" s="61"/>
      <c r="AC245" s="61"/>
      <c r="AD245" s="61"/>
      <c r="AE245" s="61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</row>
    <row r="246" spans="1:79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122"/>
      <c r="Y246" s="115"/>
      <c r="Z246" s="61"/>
      <c r="AA246" s="61"/>
      <c r="AB246" s="61"/>
      <c r="AC246" s="61"/>
      <c r="AD246" s="61"/>
      <c r="AE246" s="61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</row>
    <row r="247" spans="1:79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122"/>
      <c r="Y247" s="115"/>
      <c r="Z247" s="61"/>
      <c r="AA247" s="61"/>
      <c r="AB247" s="61"/>
      <c r="AC247" s="61"/>
      <c r="AD247" s="61"/>
      <c r="AE247" s="61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1:79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122"/>
      <c r="Y248" s="115"/>
      <c r="Z248" s="61"/>
      <c r="AA248" s="61"/>
      <c r="AB248" s="61"/>
      <c r="AC248" s="61"/>
      <c r="AD248" s="61"/>
      <c r="AE248" s="61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</row>
    <row r="249" spans="1:79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122"/>
      <c r="Y249" s="115"/>
      <c r="Z249" s="61"/>
      <c r="AA249" s="61"/>
      <c r="AB249" s="61"/>
      <c r="AC249" s="61"/>
      <c r="AD249" s="61"/>
      <c r="AE249" s="61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</row>
    <row r="250" spans="1:79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122"/>
      <c r="Y250" s="115"/>
      <c r="Z250" s="61"/>
      <c r="AA250" s="61"/>
      <c r="AB250" s="61"/>
      <c r="AC250" s="61"/>
      <c r="AD250" s="61"/>
      <c r="AE250" s="61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</row>
    <row r="251" spans="1:79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122"/>
      <c r="Y251" s="115"/>
      <c r="Z251" s="61"/>
      <c r="AA251" s="61"/>
      <c r="AB251" s="61"/>
      <c r="AC251" s="61"/>
      <c r="AD251" s="61"/>
      <c r="AE251" s="61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</row>
    <row r="252" spans="1:79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122"/>
      <c r="Y252" s="115"/>
      <c r="Z252" s="61"/>
      <c r="AA252" s="61"/>
      <c r="AB252" s="61"/>
      <c r="AC252" s="61"/>
      <c r="AD252" s="61"/>
      <c r="AE252" s="61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1:79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122"/>
      <c r="Y253" s="115"/>
      <c r="Z253" s="61"/>
      <c r="AA253" s="61"/>
      <c r="AB253" s="61"/>
      <c r="AC253" s="61"/>
      <c r="AD253" s="61"/>
      <c r="AE253" s="61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</row>
    <row r="254" spans="1:79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122"/>
      <c r="Y254" s="115"/>
      <c r="Z254" s="61"/>
      <c r="AA254" s="61"/>
      <c r="AB254" s="61"/>
      <c r="AC254" s="61"/>
      <c r="AD254" s="61"/>
      <c r="AE254" s="61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</row>
    <row r="255" spans="1:79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122"/>
      <c r="Y255" s="115"/>
      <c r="Z255" s="61"/>
      <c r="AA255" s="61"/>
      <c r="AB255" s="61"/>
      <c r="AC255" s="61"/>
      <c r="AD255" s="61"/>
      <c r="AE255" s="61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</row>
    <row r="256" spans="1:79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122"/>
      <c r="Y256" s="115"/>
      <c r="Z256" s="61"/>
      <c r="AA256" s="61"/>
      <c r="AB256" s="61"/>
      <c r="AC256" s="61"/>
      <c r="AD256" s="61"/>
      <c r="AE256" s="61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</row>
    <row r="257" spans="1:79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122"/>
      <c r="Y257" s="115"/>
      <c r="Z257" s="61"/>
      <c r="AA257" s="61"/>
      <c r="AB257" s="61"/>
      <c r="AC257" s="61"/>
      <c r="AD257" s="61"/>
      <c r="AE257" s="61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</row>
    <row r="258" spans="1:79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122"/>
      <c r="Y258" s="115"/>
      <c r="Z258" s="61"/>
      <c r="AA258" s="61"/>
      <c r="AB258" s="61"/>
      <c r="AC258" s="61"/>
      <c r="AD258" s="61"/>
      <c r="AE258" s="61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</row>
    <row r="259" spans="1:79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122"/>
      <c r="Y259" s="115"/>
      <c r="Z259" s="61"/>
      <c r="AA259" s="61"/>
      <c r="AB259" s="61"/>
      <c r="AC259" s="61"/>
      <c r="AD259" s="61"/>
      <c r="AE259" s="61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</row>
    <row r="260" spans="1:79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122"/>
      <c r="Y260" s="115"/>
      <c r="Z260" s="61"/>
      <c r="AA260" s="61"/>
      <c r="AB260" s="61"/>
      <c r="AC260" s="61"/>
      <c r="AD260" s="61"/>
      <c r="AE260" s="61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</row>
    <row r="261" spans="1:79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122"/>
      <c r="Y261" s="115"/>
      <c r="Z261" s="61"/>
      <c r="AA261" s="61"/>
      <c r="AB261" s="61"/>
      <c r="AC261" s="61"/>
      <c r="AD261" s="61"/>
      <c r="AE261" s="61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</row>
    <row r="262" spans="1:79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122"/>
      <c r="Y262" s="115"/>
      <c r="Z262" s="61"/>
      <c r="AA262" s="61"/>
      <c r="AB262" s="61"/>
      <c r="AC262" s="61"/>
      <c r="AD262" s="61"/>
      <c r="AE262" s="61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</row>
    <row r="263" spans="1:79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122"/>
      <c r="Y263" s="115"/>
      <c r="Z263" s="61"/>
      <c r="AA263" s="61"/>
      <c r="AB263" s="61"/>
      <c r="AC263" s="61"/>
      <c r="AD263" s="61"/>
      <c r="AE263" s="61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</row>
    <row r="264" spans="1:79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122"/>
      <c r="Y264" s="115"/>
      <c r="Z264" s="61"/>
      <c r="AA264" s="61"/>
      <c r="AB264" s="61"/>
      <c r="AC264" s="61"/>
      <c r="AD264" s="61"/>
      <c r="AE264" s="61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</row>
    <row r="265" spans="1:79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122"/>
      <c r="Y265" s="115"/>
      <c r="Z265" s="61"/>
      <c r="AA265" s="61"/>
      <c r="AB265" s="61"/>
      <c r="AC265" s="61"/>
      <c r="AD265" s="61"/>
      <c r="AE265" s="61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</row>
    <row r="266" spans="1:79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122"/>
      <c r="Y266" s="115"/>
      <c r="Z266" s="61"/>
      <c r="AA266" s="61"/>
      <c r="AB266" s="61"/>
      <c r="AC266" s="61"/>
      <c r="AD266" s="61"/>
      <c r="AE266" s="61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</row>
    <row r="267" spans="1:79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122"/>
      <c r="Y267" s="115"/>
      <c r="Z267" s="61"/>
      <c r="AA267" s="61"/>
      <c r="AB267" s="61"/>
      <c r="AC267" s="61"/>
      <c r="AD267" s="61"/>
      <c r="AE267" s="61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</row>
    <row r="268" spans="1:79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122"/>
      <c r="Y268" s="115"/>
      <c r="Z268" s="61"/>
      <c r="AA268" s="61"/>
      <c r="AB268" s="61"/>
      <c r="AC268" s="61"/>
      <c r="AD268" s="61"/>
      <c r="AE268" s="61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</row>
    <row r="269" spans="1:79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122"/>
      <c r="Y269" s="115"/>
      <c r="Z269" s="61"/>
      <c r="AA269" s="61"/>
      <c r="AB269" s="61"/>
      <c r="AC269" s="61"/>
      <c r="AD269" s="61"/>
      <c r="AE269" s="61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</row>
    <row r="270" spans="1:79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122"/>
      <c r="Y270" s="115"/>
      <c r="Z270" s="61"/>
      <c r="AA270" s="61"/>
      <c r="AB270" s="61"/>
      <c r="AC270" s="61"/>
      <c r="AD270" s="61"/>
      <c r="AE270" s="61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</row>
    <row r="271" spans="1:7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122"/>
      <c r="Y271" s="115"/>
      <c r="Z271" s="61"/>
      <c r="AA271" s="61"/>
      <c r="AB271" s="61"/>
      <c r="AC271" s="61"/>
      <c r="AD271" s="61"/>
      <c r="AE271" s="61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</row>
    <row r="272" spans="1:79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122"/>
      <c r="Y272" s="115"/>
      <c r="Z272" s="61"/>
      <c r="AA272" s="61"/>
      <c r="AB272" s="61"/>
      <c r="AC272" s="61"/>
      <c r="AD272" s="61"/>
      <c r="AE272" s="61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</row>
    <row r="273" spans="1:7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122"/>
      <c r="Y273" s="115"/>
      <c r="Z273" s="61"/>
      <c r="AA273" s="61"/>
      <c r="AB273" s="61"/>
      <c r="AC273" s="61"/>
      <c r="AD273" s="61"/>
      <c r="AE273" s="61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</row>
    <row r="274" spans="1:79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122"/>
      <c r="Y274" s="115"/>
      <c r="Z274" s="61"/>
      <c r="AA274" s="61"/>
      <c r="AB274" s="61"/>
      <c r="AC274" s="61"/>
      <c r="AD274" s="61"/>
      <c r="AE274" s="61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</row>
    <row r="275" spans="1:7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122"/>
      <c r="Y275" s="115"/>
      <c r="Z275" s="61"/>
      <c r="AA275" s="61"/>
      <c r="AB275" s="61"/>
      <c r="AC275" s="61"/>
      <c r="AD275" s="61"/>
      <c r="AE275" s="61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</row>
    <row r="276" spans="1:79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122"/>
      <c r="Y276" s="115"/>
      <c r="Z276" s="61"/>
      <c r="AA276" s="61"/>
      <c r="AB276" s="61"/>
      <c r="AC276" s="61"/>
      <c r="AD276" s="61"/>
      <c r="AE276" s="61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</row>
    <row r="277" spans="1:7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122"/>
      <c r="Y277" s="115"/>
      <c r="Z277" s="61"/>
      <c r="AA277" s="61"/>
      <c r="AB277" s="61"/>
      <c r="AC277" s="61"/>
      <c r="AD277" s="61"/>
      <c r="AE277" s="61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</row>
    <row r="278" spans="1:79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122"/>
      <c r="Y278" s="115"/>
      <c r="Z278" s="61"/>
      <c r="AA278" s="61"/>
      <c r="AB278" s="61"/>
      <c r="AC278" s="61"/>
      <c r="AD278" s="61"/>
      <c r="AE278" s="61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</row>
    <row r="279" spans="1:7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122"/>
      <c r="Y279" s="115"/>
      <c r="Z279" s="61"/>
      <c r="AA279" s="61"/>
      <c r="AB279" s="61"/>
      <c r="AC279" s="61"/>
      <c r="AD279" s="61"/>
      <c r="AE279" s="61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1:79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122"/>
      <c r="Y280" s="115"/>
      <c r="Z280" s="61"/>
      <c r="AA280" s="61"/>
      <c r="AB280" s="61"/>
      <c r="AC280" s="61"/>
      <c r="AD280" s="61"/>
      <c r="AE280" s="61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</row>
    <row r="281" spans="1:7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122"/>
      <c r="Y281" s="115"/>
      <c r="Z281" s="61"/>
      <c r="AA281" s="61"/>
      <c r="AB281" s="61"/>
      <c r="AC281" s="61"/>
      <c r="AD281" s="61"/>
      <c r="AE281" s="61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</row>
    <row r="282" spans="1:79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122"/>
      <c r="Y282" s="115"/>
      <c r="Z282" s="61"/>
      <c r="AA282" s="61"/>
      <c r="AB282" s="61"/>
      <c r="AC282" s="61"/>
      <c r="AD282" s="61"/>
      <c r="AE282" s="61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</row>
    <row r="283" spans="1:79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122"/>
      <c r="Y283" s="115"/>
      <c r="Z283" s="61"/>
      <c r="AA283" s="61"/>
      <c r="AB283" s="61"/>
      <c r="AC283" s="61"/>
      <c r="AD283" s="61"/>
      <c r="AE283" s="61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</row>
    <row r="284" spans="1:79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122"/>
      <c r="Y284" s="115"/>
      <c r="Z284" s="61"/>
      <c r="AA284" s="61"/>
      <c r="AB284" s="61"/>
      <c r="AC284" s="61"/>
      <c r="AD284" s="61"/>
      <c r="AE284" s="61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</row>
    <row r="285" spans="1:79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122"/>
      <c r="Y285" s="115"/>
      <c r="Z285" s="61"/>
      <c r="AA285" s="61"/>
      <c r="AB285" s="61"/>
      <c r="AC285" s="61"/>
      <c r="AD285" s="61"/>
      <c r="AE285" s="61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</row>
    <row r="286" spans="1:79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122"/>
      <c r="Y286" s="115"/>
      <c r="Z286" s="61"/>
      <c r="AA286" s="61"/>
      <c r="AB286" s="61"/>
      <c r="AC286" s="61"/>
      <c r="AD286" s="61"/>
      <c r="AE286" s="61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</row>
    <row r="287" spans="1:79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122"/>
      <c r="Y287" s="115"/>
      <c r="Z287" s="61"/>
      <c r="AA287" s="61"/>
      <c r="AB287" s="61"/>
      <c r="AC287" s="61"/>
      <c r="AD287" s="61"/>
      <c r="AE287" s="61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</row>
    <row r="288" spans="1:79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122"/>
      <c r="Y288" s="115"/>
      <c r="Z288" s="61"/>
      <c r="AA288" s="61"/>
      <c r="AB288" s="61"/>
      <c r="AC288" s="61"/>
      <c r="AD288" s="61"/>
      <c r="AE288" s="61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</row>
    <row r="289" spans="1:79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122"/>
      <c r="Y289" s="115"/>
      <c r="Z289" s="61"/>
      <c r="AA289" s="61"/>
      <c r="AB289" s="61"/>
      <c r="AC289" s="61"/>
      <c r="AD289" s="61"/>
      <c r="AE289" s="61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</row>
    <row r="290" spans="1:79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122"/>
      <c r="Y290" s="115"/>
      <c r="Z290" s="61"/>
      <c r="AA290" s="61"/>
      <c r="AB290" s="61"/>
      <c r="AC290" s="61"/>
      <c r="AD290" s="61"/>
      <c r="AE290" s="61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</row>
    <row r="291" spans="1:79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122"/>
      <c r="Y291" s="115"/>
      <c r="Z291" s="61"/>
      <c r="AA291" s="61"/>
      <c r="AB291" s="61"/>
      <c r="AC291" s="61"/>
      <c r="AD291" s="61"/>
      <c r="AE291" s="61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</row>
    <row r="292" spans="1:79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122"/>
      <c r="Y292" s="115"/>
      <c r="Z292" s="61"/>
      <c r="AA292" s="61"/>
      <c r="AB292" s="61"/>
      <c r="AC292" s="61"/>
      <c r="AD292" s="61"/>
      <c r="AE292" s="61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</row>
    <row r="293" spans="1:79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122"/>
      <c r="Y293" s="115"/>
      <c r="Z293" s="61"/>
      <c r="AA293" s="61"/>
      <c r="AB293" s="61"/>
      <c r="AC293" s="61"/>
      <c r="AD293" s="61"/>
      <c r="AE293" s="61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</row>
    <row r="294" spans="1:79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122"/>
      <c r="Y294" s="115"/>
      <c r="Z294" s="61"/>
      <c r="AA294" s="61"/>
      <c r="AB294" s="61"/>
      <c r="AC294" s="61"/>
      <c r="AD294" s="61"/>
      <c r="AE294" s="61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</row>
    <row r="295" spans="1:79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122"/>
      <c r="Y295" s="115"/>
      <c r="Z295" s="61"/>
      <c r="AA295" s="61"/>
      <c r="AB295" s="61"/>
      <c r="AC295" s="61"/>
      <c r="AD295" s="61"/>
      <c r="AE295" s="61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</row>
    <row r="296" spans="1:79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122"/>
      <c r="Y296" s="115"/>
      <c r="Z296" s="61"/>
      <c r="AA296" s="61"/>
      <c r="AB296" s="61"/>
      <c r="AC296" s="61"/>
      <c r="AD296" s="61"/>
      <c r="AE296" s="61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</row>
    <row r="297" spans="1:79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122"/>
      <c r="Y297" s="115"/>
      <c r="Z297" s="61"/>
      <c r="AA297" s="61"/>
      <c r="AB297" s="61"/>
      <c r="AC297" s="61"/>
      <c r="AD297" s="61"/>
      <c r="AE297" s="61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</row>
    <row r="298" spans="1:79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122"/>
      <c r="Y298" s="115"/>
      <c r="Z298" s="61"/>
      <c r="AA298" s="61"/>
      <c r="AB298" s="61"/>
      <c r="AC298" s="61"/>
      <c r="AD298" s="61"/>
      <c r="AE298" s="61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</row>
    <row r="299" spans="1:79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122"/>
      <c r="Y299" s="115"/>
      <c r="Z299" s="61"/>
      <c r="AA299" s="61"/>
      <c r="AB299" s="61"/>
      <c r="AC299" s="61"/>
      <c r="AD299" s="61"/>
      <c r="AE299" s="61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</row>
    <row r="300" spans="1:79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122"/>
      <c r="Y300" s="115"/>
      <c r="Z300" s="61"/>
      <c r="AA300" s="61"/>
      <c r="AB300" s="61"/>
      <c r="AC300" s="61"/>
      <c r="AD300" s="61"/>
      <c r="AE300" s="61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</row>
    <row r="301" spans="1:79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122"/>
      <c r="Y301" s="115"/>
      <c r="Z301" s="61"/>
      <c r="AA301" s="61"/>
      <c r="AB301" s="61"/>
      <c r="AC301" s="61"/>
      <c r="AD301" s="61"/>
      <c r="AE301" s="61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</row>
    <row r="302" spans="1:79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122"/>
      <c r="Y302" s="115"/>
      <c r="Z302" s="61"/>
      <c r="AA302" s="61"/>
      <c r="AB302" s="61"/>
      <c r="AC302" s="61"/>
      <c r="AD302" s="61"/>
      <c r="AE302" s="61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</row>
    <row r="303" spans="1:79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122"/>
      <c r="Y303" s="115"/>
      <c r="Z303" s="61"/>
      <c r="AA303" s="61"/>
      <c r="AB303" s="61"/>
      <c r="AC303" s="61"/>
      <c r="AD303" s="61"/>
      <c r="AE303" s="61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</row>
    <row r="304" spans="1:79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122"/>
      <c r="Y304" s="115"/>
      <c r="Z304" s="61"/>
      <c r="AA304" s="61"/>
      <c r="AB304" s="61"/>
      <c r="AC304" s="61"/>
      <c r="AD304" s="61"/>
      <c r="AE304" s="61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</row>
    <row r="305" spans="1:79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122"/>
      <c r="Y305" s="115"/>
      <c r="Z305" s="61"/>
      <c r="AA305" s="61"/>
      <c r="AB305" s="61"/>
      <c r="AC305" s="61"/>
      <c r="AD305" s="61"/>
      <c r="AE305" s="61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</row>
    <row r="306" spans="1:79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122"/>
      <c r="Y306" s="115"/>
      <c r="Z306" s="61"/>
      <c r="AA306" s="61"/>
      <c r="AB306" s="61"/>
      <c r="AC306" s="61"/>
      <c r="AD306" s="61"/>
      <c r="AE306" s="61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1:79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122"/>
      <c r="Y307" s="115"/>
      <c r="Z307" s="61"/>
      <c r="AA307" s="61"/>
      <c r="AB307" s="61"/>
      <c r="AC307" s="61"/>
      <c r="AD307" s="61"/>
      <c r="AE307" s="61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</row>
    <row r="308" spans="1:79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122"/>
      <c r="Y308" s="115"/>
      <c r="Z308" s="61"/>
      <c r="AA308" s="61"/>
      <c r="AB308" s="61"/>
      <c r="AC308" s="61"/>
      <c r="AD308" s="61"/>
      <c r="AE308" s="61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</row>
    <row r="309" spans="1:79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122"/>
      <c r="Y309" s="115"/>
      <c r="Z309" s="61"/>
      <c r="AA309" s="61"/>
      <c r="AB309" s="61"/>
      <c r="AC309" s="61"/>
      <c r="AD309" s="61"/>
      <c r="AE309" s="61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</row>
    <row r="310" spans="1:79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122"/>
      <c r="Y310" s="115"/>
      <c r="Z310" s="61"/>
      <c r="AA310" s="61"/>
      <c r="AB310" s="61"/>
      <c r="AC310" s="61"/>
      <c r="AD310" s="61"/>
      <c r="AE310" s="61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</row>
    <row r="311" spans="1:79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122"/>
      <c r="Y311" s="115"/>
      <c r="Z311" s="61"/>
      <c r="AA311" s="61"/>
      <c r="AB311" s="61"/>
      <c r="AC311" s="61"/>
      <c r="AD311" s="61"/>
      <c r="AE311" s="61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</row>
    <row r="312" spans="1:79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122"/>
      <c r="Y312" s="115"/>
      <c r="Z312" s="61"/>
      <c r="AA312" s="61"/>
      <c r="AB312" s="61"/>
      <c r="AC312" s="61"/>
      <c r="AD312" s="61"/>
      <c r="AE312" s="61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</row>
    <row r="313" spans="1:79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122"/>
      <c r="Y313" s="115"/>
      <c r="Z313" s="61"/>
      <c r="AA313" s="61"/>
      <c r="AB313" s="61"/>
      <c r="AC313" s="61"/>
      <c r="AD313" s="61"/>
      <c r="AE313" s="61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</row>
    <row r="314" spans="1:79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122"/>
      <c r="Y314" s="115"/>
      <c r="Z314" s="61"/>
      <c r="AA314" s="61"/>
      <c r="AB314" s="61"/>
      <c r="AC314" s="61"/>
      <c r="AD314" s="61"/>
      <c r="AE314" s="61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H21" sqref="H21"/>
    </sheetView>
  </sheetViews>
  <sheetFormatPr defaultColWidth="11.421875" defaultRowHeight="15"/>
  <cols>
    <col min="1" max="1" width="10.8515625" style="90" customWidth="1"/>
    <col min="2" max="2" width="14.421875" style="90" customWidth="1"/>
    <col min="3" max="3" width="13.140625" style="90" customWidth="1"/>
    <col min="4" max="4" width="14.8515625" style="90" customWidth="1"/>
    <col min="5" max="5" width="10.8515625" style="90" customWidth="1"/>
    <col min="6" max="6" width="13.7109375" style="90" customWidth="1"/>
    <col min="7" max="7" width="10.8515625" style="90" customWidth="1"/>
    <col min="8" max="8" width="13.140625" style="90" customWidth="1"/>
    <col min="9" max="9" width="16.00390625" style="90" customWidth="1"/>
    <col min="10" max="10" width="10.8515625" style="90" customWidth="1"/>
    <col min="11" max="11" width="13.140625" style="90" customWidth="1"/>
    <col min="12" max="12" width="4.8515625" style="90" customWidth="1"/>
    <col min="13" max="13" width="10.8515625" style="90" customWidth="1"/>
    <col min="14" max="14" width="12.421875" style="90" customWidth="1"/>
    <col min="15" max="16" width="10.8515625" style="90" customWidth="1"/>
    <col min="17" max="17" width="13.7109375" style="90" customWidth="1"/>
    <col min="18" max="16384" width="10.8515625" style="90" customWidth="1"/>
  </cols>
  <sheetData>
    <row r="1" spans="1:18" ht="16.5">
      <c r="A1" s="15"/>
      <c r="B1" s="34" t="s">
        <v>337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15"/>
      <c r="B2" s="15" t="s">
        <v>345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thickBot="1">
      <c r="A4" s="51" t="s">
        <v>533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 thickBot="1">
      <c r="A5" s="5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52" t="s">
        <v>534</v>
      </c>
      <c r="N5" s="53"/>
      <c r="O5" s="53"/>
      <c r="P5" s="53"/>
      <c r="Q5" s="54"/>
      <c r="R5" s="15"/>
    </row>
    <row r="6" spans="1:18" ht="15">
      <c r="A6" s="15"/>
      <c r="B6" s="15"/>
      <c r="C6" s="15" t="s">
        <v>394</v>
      </c>
      <c r="D6" s="15"/>
      <c r="E6" s="15" t="s">
        <v>305</v>
      </c>
      <c r="F6" s="15"/>
      <c r="G6" s="15" t="s">
        <v>535</v>
      </c>
      <c r="H6" s="15" t="s">
        <v>536</v>
      </c>
      <c r="I6" s="15"/>
      <c r="J6" s="15"/>
      <c r="K6" s="15"/>
      <c r="L6" s="15"/>
      <c r="M6" s="22" t="s">
        <v>537</v>
      </c>
      <c r="N6" s="15" t="s">
        <v>538</v>
      </c>
      <c r="O6" s="15" t="s">
        <v>423</v>
      </c>
      <c r="P6" s="15"/>
      <c r="Q6" s="15" t="s">
        <v>424</v>
      </c>
      <c r="R6" s="15"/>
    </row>
    <row r="7" spans="1:18" ht="15">
      <c r="A7" s="50" t="s">
        <v>425</v>
      </c>
      <c r="B7" s="15"/>
      <c r="C7" s="29" t="s">
        <v>238</v>
      </c>
      <c r="D7" s="29" t="s">
        <v>310</v>
      </c>
      <c r="E7" s="29" t="s">
        <v>309</v>
      </c>
      <c r="F7" s="29" t="s">
        <v>310</v>
      </c>
      <c r="G7" s="29" t="s">
        <v>539</v>
      </c>
      <c r="H7" s="29" t="s">
        <v>540</v>
      </c>
      <c r="I7" s="29" t="s">
        <v>541</v>
      </c>
      <c r="J7" s="29" t="s">
        <v>535</v>
      </c>
      <c r="K7" s="29" t="s">
        <v>56</v>
      </c>
      <c r="L7" s="15"/>
      <c r="M7" s="55" t="s">
        <v>542</v>
      </c>
      <c r="N7" s="55" t="s">
        <v>543</v>
      </c>
      <c r="O7" s="55" t="s">
        <v>544</v>
      </c>
      <c r="P7" s="55" t="s">
        <v>195</v>
      </c>
      <c r="Q7" s="50" t="s">
        <v>266</v>
      </c>
      <c r="R7" s="15"/>
    </row>
    <row r="8" spans="1:18" ht="15">
      <c r="A8" s="15" t="s">
        <v>196</v>
      </c>
      <c r="B8" s="15"/>
      <c r="C8" s="267">
        <v>3749061</v>
      </c>
      <c r="D8" s="267">
        <v>19028108.03</v>
      </c>
      <c r="E8" s="267">
        <v>11142</v>
      </c>
      <c r="F8" s="267">
        <v>4146938.9</v>
      </c>
      <c r="G8" s="267"/>
      <c r="H8" s="56">
        <v>66283.76</v>
      </c>
      <c r="I8" s="56">
        <v>11684.38</v>
      </c>
      <c r="J8" s="56"/>
      <c r="K8" s="56">
        <f>H8+I8+J8</f>
        <v>77968.14</v>
      </c>
      <c r="L8" s="15"/>
      <c r="M8" s="56">
        <f>D8/C8</f>
        <v>5.075433029763986</v>
      </c>
      <c r="N8" s="57">
        <f>F8/E8</f>
        <v>372.1898133189732</v>
      </c>
      <c r="O8" s="56">
        <f>1000*H8/D8</f>
        <v>3.4834656128447463</v>
      </c>
      <c r="P8" s="56">
        <f>1000*I8/F8</f>
        <v>2.8175915492750567</v>
      </c>
      <c r="Q8" s="15"/>
      <c r="R8" s="15"/>
    </row>
    <row r="9" spans="1:18" ht="15">
      <c r="A9" s="15" t="s">
        <v>302</v>
      </c>
      <c r="B9" s="15"/>
      <c r="C9" s="267">
        <v>7831028</v>
      </c>
      <c r="D9" s="267">
        <v>59445642.64</v>
      </c>
      <c r="E9" s="267">
        <v>48984</v>
      </c>
      <c r="F9" s="267">
        <v>24546826.46</v>
      </c>
      <c r="G9" s="267"/>
      <c r="H9" s="56">
        <v>169958.77</v>
      </c>
      <c r="I9" s="56">
        <v>82738.47</v>
      </c>
      <c r="J9" s="56"/>
      <c r="K9" s="56">
        <f aca="true" t="shared" si="0" ref="K9:K23">H9+I9+J9</f>
        <v>252697.24</v>
      </c>
      <c r="L9" s="15"/>
      <c r="M9" s="56">
        <f aca="true" t="shared" si="1" ref="M9:M23">D9/C9</f>
        <v>7.591039470169179</v>
      </c>
      <c r="N9" s="57">
        <f aca="true" t="shared" si="2" ref="N9:N23">F9/E9</f>
        <v>501.1192728237792</v>
      </c>
      <c r="O9" s="56">
        <f aca="true" t="shared" si="3" ref="O9:O23">1000*H9/D9</f>
        <v>2.85906186647291</v>
      </c>
      <c r="P9" s="56">
        <f aca="true" t="shared" si="4" ref="P9:P27">1000*I9/F9</f>
        <v>3.3706381611010094</v>
      </c>
      <c r="Q9" s="15"/>
      <c r="R9" s="15"/>
    </row>
    <row r="10" spans="1:18" ht="15">
      <c r="A10" s="15" t="s">
        <v>524</v>
      </c>
      <c r="B10" s="15"/>
      <c r="C10" s="267">
        <v>565844</v>
      </c>
      <c r="D10" s="267">
        <v>8082355.21</v>
      </c>
      <c r="E10" s="267">
        <v>7034</v>
      </c>
      <c r="F10" s="267">
        <v>2984002.87</v>
      </c>
      <c r="G10" s="267">
        <v>143</v>
      </c>
      <c r="H10" s="56">
        <v>28906.15</v>
      </c>
      <c r="I10" s="56">
        <v>8415.66</v>
      </c>
      <c r="J10" s="56">
        <v>71.5</v>
      </c>
      <c r="K10" s="56">
        <f t="shared" si="0"/>
        <v>37393.31</v>
      </c>
      <c r="L10" s="15"/>
      <c r="M10" s="56">
        <f t="shared" si="1"/>
        <v>14.28371637765886</v>
      </c>
      <c r="N10" s="57">
        <f t="shared" si="2"/>
        <v>424.2255999431334</v>
      </c>
      <c r="O10" s="56">
        <f t="shared" si="3"/>
        <v>3.5764513250092604</v>
      </c>
      <c r="P10" s="56">
        <f t="shared" si="4"/>
        <v>2.8202586815876622</v>
      </c>
      <c r="Q10" s="56">
        <f aca="true" t="shared" si="5" ref="Q10:Q27">J10/G10</f>
        <v>0.5</v>
      </c>
      <c r="R10" s="15"/>
    </row>
    <row r="11" spans="1:18" ht="15">
      <c r="A11" s="15" t="s">
        <v>206</v>
      </c>
      <c r="B11" s="15"/>
      <c r="C11" s="267">
        <v>2649149</v>
      </c>
      <c r="D11" s="267">
        <v>40163955.34</v>
      </c>
      <c r="E11" s="267">
        <v>23565</v>
      </c>
      <c r="F11" s="267">
        <v>8149479.28</v>
      </c>
      <c r="G11" s="267">
        <v>654</v>
      </c>
      <c r="H11" s="56">
        <v>108307.59</v>
      </c>
      <c r="I11" s="56">
        <v>21647.12</v>
      </c>
      <c r="J11" s="56">
        <v>327</v>
      </c>
      <c r="K11" s="56">
        <f t="shared" si="0"/>
        <v>130281.70999999999</v>
      </c>
      <c r="L11" s="15"/>
      <c r="M11" s="56">
        <f t="shared" si="1"/>
        <v>15.161078270795642</v>
      </c>
      <c r="N11" s="57">
        <f t="shared" si="2"/>
        <v>345.8298018247401</v>
      </c>
      <c r="O11" s="56">
        <f t="shared" si="3"/>
        <v>2.696636550935872</v>
      </c>
      <c r="P11" s="56">
        <f t="shared" si="4"/>
        <v>2.656258057263261</v>
      </c>
      <c r="Q11" s="56">
        <f t="shared" si="5"/>
        <v>0.5</v>
      </c>
      <c r="R11" s="15"/>
    </row>
    <row r="12" spans="1:18" ht="15">
      <c r="A12" s="15" t="s">
        <v>525</v>
      </c>
      <c r="B12" s="15"/>
      <c r="C12" s="267">
        <v>4918722</v>
      </c>
      <c r="D12" s="267">
        <v>15165484.02</v>
      </c>
      <c r="E12" s="267">
        <v>5437</v>
      </c>
      <c r="F12" s="267">
        <v>1558389.36</v>
      </c>
      <c r="G12" s="267"/>
      <c r="H12" s="56">
        <v>43209.57</v>
      </c>
      <c r="I12" s="56">
        <v>3722.54</v>
      </c>
      <c r="J12" s="56"/>
      <c r="K12" s="56">
        <f t="shared" si="0"/>
        <v>46932.11</v>
      </c>
      <c r="L12" s="15"/>
      <c r="M12" s="56">
        <f t="shared" si="1"/>
        <v>3.083216335462748</v>
      </c>
      <c r="N12" s="57">
        <f t="shared" si="2"/>
        <v>286.6266985469928</v>
      </c>
      <c r="O12" s="56">
        <f t="shared" si="3"/>
        <v>2.8492048089606574</v>
      </c>
      <c r="P12" s="56">
        <f t="shared" si="4"/>
        <v>2.38870984078074</v>
      </c>
      <c r="Q12" s="56"/>
      <c r="R12" s="15"/>
    </row>
    <row r="13" spans="1:18" ht="15">
      <c r="A13" s="15" t="s">
        <v>207</v>
      </c>
      <c r="B13" s="15"/>
      <c r="C13" s="267">
        <v>16414510</v>
      </c>
      <c r="D13" s="267">
        <v>74885075.69</v>
      </c>
      <c r="E13" s="267">
        <v>33416</v>
      </c>
      <c r="F13" s="267">
        <v>25495631.39</v>
      </c>
      <c r="G13" s="267">
        <v>9994</v>
      </c>
      <c r="H13" s="56">
        <v>77909.31</v>
      </c>
      <c r="I13" s="56">
        <v>99335.12</v>
      </c>
      <c r="J13" s="56">
        <v>4997</v>
      </c>
      <c r="K13" s="56">
        <f t="shared" si="0"/>
        <v>182241.43</v>
      </c>
      <c r="L13" s="15"/>
      <c r="M13" s="56">
        <f t="shared" si="1"/>
        <v>4.562126782340746</v>
      </c>
      <c r="N13" s="57">
        <f t="shared" si="2"/>
        <v>762.9767593368447</v>
      </c>
      <c r="O13" s="56">
        <f t="shared" si="3"/>
        <v>1.0403850070542675</v>
      </c>
      <c r="P13" s="56">
        <f t="shared" si="4"/>
        <v>3.8961623848610247</v>
      </c>
      <c r="Q13" s="56">
        <f t="shared" si="5"/>
        <v>0.5</v>
      </c>
      <c r="R13" s="15"/>
    </row>
    <row r="14" spans="1:18" ht="15">
      <c r="A14" s="15" t="s">
        <v>208</v>
      </c>
      <c r="B14" s="15"/>
      <c r="C14" s="267">
        <v>2788282</v>
      </c>
      <c r="D14" s="267">
        <v>27287981.89</v>
      </c>
      <c r="E14" s="267">
        <v>19624</v>
      </c>
      <c r="F14" s="267">
        <v>9149918.84</v>
      </c>
      <c r="G14" s="267">
        <v>2433</v>
      </c>
      <c r="H14" s="56">
        <v>70417.24</v>
      </c>
      <c r="I14" s="56">
        <v>26592.36</v>
      </c>
      <c r="J14" s="56">
        <v>1216.5</v>
      </c>
      <c r="K14" s="56">
        <f t="shared" si="0"/>
        <v>98226.1</v>
      </c>
      <c r="L14" s="15"/>
      <c r="M14" s="56">
        <f t="shared" si="1"/>
        <v>9.786665010927877</v>
      </c>
      <c r="N14" s="57">
        <f t="shared" si="2"/>
        <v>466.2616612311455</v>
      </c>
      <c r="O14" s="56">
        <f t="shared" si="3"/>
        <v>2.5805220878501545</v>
      </c>
      <c r="P14" s="56">
        <f t="shared" si="4"/>
        <v>2.906294631133581</v>
      </c>
      <c r="Q14" s="56">
        <f t="shared" si="5"/>
        <v>0.5</v>
      </c>
      <c r="R14" s="15"/>
    </row>
    <row r="15" spans="1:18" ht="15">
      <c r="A15" s="15" t="s">
        <v>316</v>
      </c>
      <c r="B15" s="15"/>
      <c r="C15" s="267">
        <v>11959865</v>
      </c>
      <c r="D15" s="267">
        <v>72824852.6</v>
      </c>
      <c r="E15" s="267">
        <v>51772</v>
      </c>
      <c r="F15" s="267">
        <v>29321048.33</v>
      </c>
      <c r="G15" s="267">
        <v>1100</v>
      </c>
      <c r="H15" s="56">
        <v>138269.23</v>
      </c>
      <c r="I15" s="56">
        <v>99111.75</v>
      </c>
      <c r="J15" s="56">
        <v>550</v>
      </c>
      <c r="K15" s="56">
        <f t="shared" si="0"/>
        <v>237930.98</v>
      </c>
      <c r="L15" s="15"/>
      <c r="M15" s="56">
        <f t="shared" si="1"/>
        <v>6.089103229844149</v>
      </c>
      <c r="N15" s="57">
        <f t="shared" si="2"/>
        <v>566.3495389399675</v>
      </c>
      <c r="O15" s="56">
        <f t="shared" si="3"/>
        <v>1.8986544436891866</v>
      </c>
      <c r="P15" s="56">
        <f t="shared" si="4"/>
        <v>3.380225320886404</v>
      </c>
      <c r="Q15" s="56">
        <f t="shared" si="5"/>
        <v>0.5</v>
      </c>
      <c r="R15" s="15"/>
    </row>
    <row r="16" spans="1:18" ht="15">
      <c r="A16" s="15" t="s">
        <v>317</v>
      </c>
      <c r="B16" s="15"/>
      <c r="C16" s="267">
        <v>1074105</v>
      </c>
      <c r="D16" s="267">
        <v>4053248.42</v>
      </c>
      <c r="E16" s="267">
        <v>5094</v>
      </c>
      <c r="F16" s="267">
        <v>2180165.83</v>
      </c>
      <c r="G16" s="267">
        <v>3125</v>
      </c>
      <c r="H16" s="56">
        <v>22424.7</v>
      </c>
      <c r="I16" s="56">
        <v>6462.55</v>
      </c>
      <c r="J16" s="56">
        <v>1562.5</v>
      </c>
      <c r="K16" s="56">
        <f t="shared" si="0"/>
        <v>30449.75</v>
      </c>
      <c r="L16" s="15"/>
      <c r="M16" s="56">
        <f t="shared" si="1"/>
        <v>3.77360539239646</v>
      </c>
      <c r="N16" s="57">
        <f t="shared" si="2"/>
        <v>427.98701020808795</v>
      </c>
      <c r="O16" s="56">
        <f t="shared" si="3"/>
        <v>5.532525440421932</v>
      </c>
      <c r="P16" s="56">
        <f t="shared" si="4"/>
        <v>2.9642469903310062</v>
      </c>
      <c r="Q16" s="56">
        <f t="shared" si="5"/>
        <v>0.5</v>
      </c>
      <c r="R16" s="15"/>
    </row>
    <row r="17" spans="1:18" ht="15">
      <c r="A17" s="15" t="s">
        <v>318</v>
      </c>
      <c r="B17" s="15"/>
      <c r="C17" s="267">
        <v>5444272</v>
      </c>
      <c r="D17" s="267">
        <v>21634004.57</v>
      </c>
      <c r="E17" s="267">
        <v>16932</v>
      </c>
      <c r="F17" s="267">
        <v>10738286.63</v>
      </c>
      <c r="G17" s="267">
        <v>48254</v>
      </c>
      <c r="H17" s="56">
        <v>88897.53</v>
      </c>
      <c r="I17" s="56">
        <v>40820.79</v>
      </c>
      <c r="J17" s="56">
        <v>24127</v>
      </c>
      <c r="K17" s="56">
        <f t="shared" si="0"/>
        <v>153845.32</v>
      </c>
      <c r="L17" s="15"/>
      <c r="M17" s="56">
        <f t="shared" si="1"/>
        <v>3.9737185375749045</v>
      </c>
      <c r="N17" s="57">
        <f t="shared" si="2"/>
        <v>634.2007223009687</v>
      </c>
      <c r="O17" s="56">
        <f t="shared" si="3"/>
        <v>4.109157401365937</v>
      </c>
      <c r="P17" s="56">
        <f t="shared" si="4"/>
        <v>3.8014248833661464</v>
      </c>
      <c r="Q17" s="56">
        <f t="shared" si="5"/>
        <v>0.5</v>
      </c>
      <c r="R17" s="15"/>
    </row>
    <row r="18" spans="1:18" ht="15">
      <c r="A18" s="15" t="s">
        <v>320</v>
      </c>
      <c r="B18" s="15"/>
      <c r="C18" s="267">
        <v>40458644</v>
      </c>
      <c r="D18" s="267">
        <v>59976860.06</v>
      </c>
      <c r="E18" s="267">
        <v>27693</v>
      </c>
      <c r="F18" s="267">
        <v>11248267.67</v>
      </c>
      <c r="G18" s="267">
        <v>153087</v>
      </c>
      <c r="H18" s="56">
        <v>234018.94</v>
      </c>
      <c r="I18" s="56">
        <v>34826.4</v>
      </c>
      <c r="J18" s="56">
        <v>76543.5</v>
      </c>
      <c r="K18" s="56">
        <f t="shared" si="0"/>
        <v>345388.84</v>
      </c>
      <c r="L18" s="15"/>
      <c r="M18" s="56">
        <f t="shared" si="1"/>
        <v>1.4824238810376344</v>
      </c>
      <c r="N18" s="57">
        <f t="shared" si="2"/>
        <v>406.1772892066587</v>
      </c>
      <c r="O18" s="56">
        <f t="shared" si="3"/>
        <v>3.9018204648574595</v>
      </c>
      <c r="P18" s="56">
        <f t="shared" si="4"/>
        <v>3.0961567613548797</v>
      </c>
      <c r="Q18" s="56">
        <f t="shared" si="5"/>
        <v>0.5</v>
      </c>
      <c r="R18" s="15"/>
    </row>
    <row r="19" spans="1:18" ht="15">
      <c r="A19" s="15" t="s">
        <v>321</v>
      </c>
      <c r="B19" s="15"/>
      <c r="C19" s="267">
        <v>20956467</v>
      </c>
      <c r="D19" s="267">
        <v>27909479.7</v>
      </c>
      <c r="E19" s="267">
        <v>11760</v>
      </c>
      <c r="F19" s="267">
        <v>2932893.09</v>
      </c>
      <c r="G19" s="267">
        <v>59968</v>
      </c>
      <c r="H19" s="56">
        <v>155385.96</v>
      </c>
      <c r="I19" s="56">
        <v>7296.67</v>
      </c>
      <c r="J19" s="56">
        <v>29984</v>
      </c>
      <c r="K19" s="56">
        <f t="shared" si="0"/>
        <v>192666.63</v>
      </c>
      <c r="L19" s="15"/>
      <c r="M19" s="56">
        <f t="shared" si="1"/>
        <v>1.331783630322802</v>
      </c>
      <c r="N19" s="57">
        <f t="shared" si="2"/>
        <v>249.39567091836733</v>
      </c>
      <c r="O19" s="56">
        <f t="shared" si="3"/>
        <v>5.567497555319886</v>
      </c>
      <c r="P19" s="56">
        <f t="shared" si="4"/>
        <v>2.4878745239227253</v>
      </c>
      <c r="Q19" s="56">
        <f t="shared" si="5"/>
        <v>0.5</v>
      </c>
      <c r="R19" s="15"/>
    </row>
    <row r="20" spans="1:18" ht="15">
      <c r="A20" s="15" t="s">
        <v>526</v>
      </c>
      <c r="B20" s="15"/>
      <c r="C20" s="267">
        <v>9772587</v>
      </c>
      <c r="D20" s="267">
        <v>12456720.94</v>
      </c>
      <c r="E20" s="267">
        <v>6427</v>
      </c>
      <c r="F20" s="267">
        <v>5008292.93</v>
      </c>
      <c r="G20" s="267">
        <v>65586</v>
      </c>
      <c r="H20" s="56">
        <v>62345.46</v>
      </c>
      <c r="I20" s="56">
        <v>19306.11</v>
      </c>
      <c r="J20" s="56">
        <v>32793</v>
      </c>
      <c r="K20" s="56">
        <f t="shared" si="0"/>
        <v>114444.57</v>
      </c>
      <c r="L20" s="15"/>
      <c r="M20" s="56">
        <f t="shared" si="1"/>
        <v>1.2746595082755465</v>
      </c>
      <c r="N20" s="57">
        <f t="shared" si="2"/>
        <v>779.258274467092</v>
      </c>
      <c r="O20" s="56">
        <f t="shared" si="3"/>
        <v>5.004965616577423</v>
      </c>
      <c r="P20" s="56">
        <f t="shared" si="4"/>
        <v>3.8548284355244373</v>
      </c>
      <c r="Q20" s="56">
        <f t="shared" si="5"/>
        <v>0.5</v>
      </c>
      <c r="R20" s="15"/>
    </row>
    <row r="21" spans="1:18" ht="15">
      <c r="A21" s="15" t="s">
        <v>474</v>
      </c>
      <c r="B21" s="15"/>
      <c r="C21" s="267">
        <v>13534159</v>
      </c>
      <c r="D21" s="267">
        <v>10263506.95</v>
      </c>
      <c r="E21" s="267">
        <v>3446</v>
      </c>
      <c r="F21" s="267">
        <v>1797631.25</v>
      </c>
      <c r="G21" s="267">
        <v>27704</v>
      </c>
      <c r="H21" s="56">
        <v>18917.04</v>
      </c>
      <c r="I21" s="56">
        <v>6039.9</v>
      </c>
      <c r="J21" s="56">
        <v>13852</v>
      </c>
      <c r="K21" s="56">
        <f t="shared" si="0"/>
        <v>38808.94</v>
      </c>
      <c r="L21" s="15"/>
      <c r="M21" s="56">
        <f t="shared" si="1"/>
        <v>0.7583409467850939</v>
      </c>
      <c r="N21" s="57">
        <f t="shared" si="2"/>
        <v>521.6573563551945</v>
      </c>
      <c r="O21" s="56">
        <f t="shared" si="3"/>
        <v>1.8431360832273809</v>
      </c>
      <c r="P21" s="56">
        <f t="shared" si="4"/>
        <v>3.3599215634463406</v>
      </c>
      <c r="Q21" s="56">
        <f t="shared" si="5"/>
        <v>0.5</v>
      </c>
      <c r="R21" s="15"/>
    </row>
    <row r="22" spans="1:18" ht="15">
      <c r="A22" s="15" t="s">
        <v>527</v>
      </c>
      <c r="B22" s="15"/>
      <c r="C22" s="267">
        <v>17674634</v>
      </c>
      <c r="D22" s="267">
        <v>20268325.07</v>
      </c>
      <c r="E22" s="267">
        <v>3339</v>
      </c>
      <c r="F22" s="267">
        <v>1139765.13</v>
      </c>
      <c r="G22" s="267">
        <v>15820</v>
      </c>
      <c r="H22" s="56">
        <v>26980.77</v>
      </c>
      <c r="I22" s="56">
        <v>3275.68</v>
      </c>
      <c r="J22" s="56">
        <v>7910</v>
      </c>
      <c r="K22" s="56">
        <f t="shared" si="0"/>
        <v>38166.45</v>
      </c>
      <c r="L22" s="15"/>
      <c r="M22" s="56">
        <f t="shared" si="1"/>
        <v>1.1467465221627786</v>
      </c>
      <c r="N22" s="57">
        <f t="shared" si="2"/>
        <v>341.34924528301883</v>
      </c>
      <c r="O22" s="56">
        <f t="shared" si="3"/>
        <v>1.3311790642205246</v>
      </c>
      <c r="P22" s="56">
        <f t="shared" si="4"/>
        <v>2.8739956275026595</v>
      </c>
      <c r="Q22" s="56">
        <f t="shared" si="5"/>
        <v>0.5</v>
      </c>
      <c r="R22" s="15"/>
    </row>
    <row r="23" spans="1:18" ht="15">
      <c r="A23" s="15" t="s">
        <v>297</v>
      </c>
      <c r="B23" s="15"/>
      <c r="C23" s="267">
        <v>3951357</v>
      </c>
      <c r="D23" s="267">
        <v>5847662</v>
      </c>
      <c r="E23" s="267">
        <v>1020</v>
      </c>
      <c r="F23" s="267">
        <v>286446.83</v>
      </c>
      <c r="G23" s="267">
        <v>5351</v>
      </c>
      <c r="H23" s="56">
        <v>15481.19</v>
      </c>
      <c r="I23" s="56">
        <v>713.46</v>
      </c>
      <c r="J23" s="56">
        <v>2675.5</v>
      </c>
      <c r="K23" s="56">
        <f t="shared" si="0"/>
        <v>18870.15</v>
      </c>
      <c r="L23" s="15"/>
      <c r="M23" s="56">
        <f t="shared" si="1"/>
        <v>1.479912344037757</v>
      </c>
      <c r="N23" s="57">
        <f t="shared" si="2"/>
        <v>280.8302254901961</v>
      </c>
      <c r="O23" s="56">
        <f t="shared" si="3"/>
        <v>2.6474153259884035</v>
      </c>
      <c r="P23" s="56">
        <f t="shared" si="4"/>
        <v>2.4907240202309096</v>
      </c>
      <c r="Q23" s="56">
        <f t="shared" si="5"/>
        <v>0.5</v>
      </c>
      <c r="R23" s="15"/>
    </row>
    <row r="24" spans="1:18" ht="15">
      <c r="A24" s="15"/>
      <c r="B24" s="22" t="s">
        <v>298</v>
      </c>
      <c r="C24" s="267">
        <v>163746686</v>
      </c>
      <c r="D24" s="267"/>
      <c r="E24" s="267">
        <v>276659</v>
      </c>
      <c r="F24" s="267"/>
      <c r="G24" s="267">
        <v>393219</v>
      </c>
      <c r="H24" s="56"/>
      <c r="I24" s="56"/>
      <c r="J24" s="56"/>
      <c r="K24" s="15"/>
      <c r="L24" s="15"/>
      <c r="M24" s="56"/>
      <c r="N24" s="57"/>
      <c r="O24" s="56"/>
      <c r="P24" s="56"/>
      <c r="Q24" s="56"/>
      <c r="R24" s="15"/>
    </row>
    <row r="25" spans="1:18" ht="15">
      <c r="A25" s="15"/>
      <c r="B25" s="22" t="s">
        <v>126</v>
      </c>
      <c r="C25" s="267"/>
      <c r="D25" s="267">
        <v>479293263.13</v>
      </c>
      <c r="E25" s="267"/>
      <c r="F25" s="267">
        <v>140683984.79</v>
      </c>
      <c r="G25" s="267"/>
      <c r="H25" s="15"/>
      <c r="I25" s="56"/>
      <c r="J25" s="15"/>
      <c r="K25" s="15"/>
      <c r="L25" s="15"/>
      <c r="M25" s="56"/>
      <c r="N25" s="57"/>
      <c r="O25" s="56"/>
      <c r="P25" s="56"/>
      <c r="Q25" s="56"/>
      <c r="R25" s="15"/>
    </row>
    <row r="26" spans="1:18" ht="15">
      <c r="A26" s="15"/>
      <c r="B26" s="22" t="s">
        <v>393</v>
      </c>
      <c r="C26" s="267"/>
      <c r="D26" s="267"/>
      <c r="E26" s="267"/>
      <c r="F26" s="267"/>
      <c r="G26" s="267"/>
      <c r="H26" s="56">
        <v>1327713.21</v>
      </c>
      <c r="I26" s="56">
        <v>471988.96</v>
      </c>
      <c r="J26" s="56">
        <v>196609.5</v>
      </c>
      <c r="K26" s="56">
        <f>H26+I26+J26</f>
        <v>1996311.67</v>
      </c>
      <c r="L26" s="15"/>
      <c r="M26" s="56"/>
      <c r="N26" s="57"/>
      <c r="O26" s="56"/>
      <c r="P26" s="56"/>
      <c r="Q26" s="56"/>
      <c r="R26" s="15"/>
    </row>
    <row r="27" spans="1:18" ht="15">
      <c r="A27" s="58"/>
      <c r="B27" s="58" t="s">
        <v>528</v>
      </c>
      <c r="C27" s="268">
        <f aca="true" t="shared" si="6" ref="C27:K27">SUM(C8:C23)</f>
        <v>163742686</v>
      </c>
      <c r="D27" s="268">
        <f t="shared" si="6"/>
        <v>479293263.12999994</v>
      </c>
      <c r="E27" s="268">
        <f t="shared" si="6"/>
        <v>276685</v>
      </c>
      <c r="F27" s="268">
        <f t="shared" si="6"/>
        <v>140683984.79</v>
      </c>
      <c r="G27" s="268">
        <f t="shared" si="6"/>
        <v>393219</v>
      </c>
      <c r="H27" s="60">
        <f t="shared" si="6"/>
        <v>1327713.21</v>
      </c>
      <c r="I27" s="60">
        <f t="shared" si="6"/>
        <v>471988.95999999996</v>
      </c>
      <c r="J27" s="60">
        <f t="shared" si="6"/>
        <v>196609.5</v>
      </c>
      <c r="K27" s="60">
        <f t="shared" si="6"/>
        <v>1996311.67</v>
      </c>
      <c r="L27" s="15"/>
      <c r="M27" s="56">
        <f>D25/C24</f>
        <v>2.927040997519791</v>
      </c>
      <c r="N27" s="57">
        <f>F25/E24</f>
        <v>508.51042181891785</v>
      </c>
      <c r="O27" s="56">
        <f>1000*H26/D25</f>
        <v>2.7701478659003826</v>
      </c>
      <c r="P27" s="56">
        <f t="shared" si="4"/>
        <v>3.3549587090850554</v>
      </c>
      <c r="Q27" s="56">
        <f t="shared" si="5"/>
        <v>0.5</v>
      </c>
      <c r="R27" s="15"/>
    </row>
    <row r="28" spans="1:18" ht="15">
      <c r="A28" s="58"/>
      <c r="B28" s="58" t="s">
        <v>421</v>
      </c>
      <c r="C28" s="268">
        <f>C24-C27</f>
        <v>4000</v>
      </c>
      <c r="D28" s="268">
        <f>D25-D27</f>
        <v>0</v>
      </c>
      <c r="E28" s="268">
        <f>E24-E27</f>
        <v>-26</v>
      </c>
      <c r="F28" s="268">
        <f>F25-F27</f>
        <v>0</v>
      </c>
      <c r="G28" s="268">
        <f>G24-G27</f>
        <v>0</v>
      </c>
      <c r="H28" s="59">
        <f>H26-H27</f>
        <v>0</v>
      </c>
      <c r="I28" s="59">
        <f>I26-I27</f>
        <v>0</v>
      </c>
      <c r="J28" s="59">
        <f>J26-J27</f>
        <v>0</v>
      </c>
      <c r="K28" s="59">
        <f>K26-K27</f>
        <v>0</v>
      </c>
      <c r="L28" s="15"/>
      <c r="M28" s="56"/>
      <c r="N28" s="57"/>
      <c r="O28" s="15"/>
      <c r="P28" s="15"/>
      <c r="Q28" s="15"/>
      <c r="R28" s="15"/>
    </row>
    <row r="29" spans="9:10" ht="15">
      <c r="I29" s="80" t="s">
        <v>515</v>
      </c>
      <c r="J29" s="91">
        <f>J27/K27</f>
        <v>0.09848637512598421</v>
      </c>
    </row>
    <row r="30" spans="9:10" ht="15">
      <c r="I30" s="80" t="s">
        <v>516</v>
      </c>
      <c r="J30" s="91">
        <f>J36/K36</f>
        <v>0.20978358626347873</v>
      </c>
    </row>
    <row r="31" ht="15">
      <c r="A31" s="97" t="s">
        <v>529</v>
      </c>
    </row>
    <row r="32" spans="1:11" ht="15">
      <c r="A32" s="90" t="s">
        <v>270</v>
      </c>
      <c r="C32" s="90">
        <f>SUM(C8:C12)</f>
        <v>19713804</v>
      </c>
      <c r="D32" s="90">
        <f aca="true" t="shared" si="7" ref="D32:K32">SUM(D8:D12)</f>
        <v>141885545.24</v>
      </c>
      <c r="E32" s="90">
        <f t="shared" si="7"/>
        <v>96162</v>
      </c>
      <c r="F32" s="90">
        <f t="shared" si="7"/>
        <v>41385636.87</v>
      </c>
      <c r="G32" s="90">
        <f t="shared" si="7"/>
        <v>797</v>
      </c>
      <c r="H32" s="90">
        <f t="shared" si="7"/>
        <v>416665.84</v>
      </c>
      <c r="I32" s="90">
        <f t="shared" si="7"/>
        <v>128208.17</v>
      </c>
      <c r="J32" s="90">
        <f t="shared" si="7"/>
        <v>398.5</v>
      </c>
      <c r="K32" s="90">
        <f t="shared" si="7"/>
        <v>545272.51</v>
      </c>
    </row>
    <row r="33" spans="1:11" ht="15">
      <c r="A33" s="90" t="s">
        <v>409</v>
      </c>
      <c r="C33" s="90">
        <f>SUM(C13:C15)</f>
        <v>31162657</v>
      </c>
      <c r="D33" s="90">
        <f aca="true" t="shared" si="8" ref="D33:K33">SUM(D13:D15)</f>
        <v>174997910.18</v>
      </c>
      <c r="E33" s="90">
        <f t="shared" si="8"/>
        <v>104812</v>
      </c>
      <c r="F33" s="90">
        <f t="shared" si="8"/>
        <v>63966598.56</v>
      </c>
      <c r="G33" s="90">
        <f t="shared" si="8"/>
        <v>13527</v>
      </c>
      <c r="H33" s="90">
        <f t="shared" si="8"/>
        <v>286595.78</v>
      </c>
      <c r="I33" s="90">
        <f t="shared" si="8"/>
        <v>225039.22999999998</v>
      </c>
      <c r="J33" s="90">
        <f t="shared" si="8"/>
        <v>6763.5</v>
      </c>
      <c r="K33" s="90">
        <f t="shared" si="8"/>
        <v>518398.51</v>
      </c>
    </row>
    <row r="34" spans="1:11" ht="15">
      <c r="A34" s="90" t="s">
        <v>175</v>
      </c>
      <c r="C34" s="90">
        <f>SUM(C13:C16)</f>
        <v>32236762</v>
      </c>
      <c r="D34" s="90">
        <f aca="true" t="shared" si="9" ref="D34:K34">SUM(D13:D16)</f>
        <v>179051158.6</v>
      </c>
      <c r="E34" s="90">
        <f t="shared" si="9"/>
        <v>109906</v>
      </c>
      <c r="F34" s="90">
        <f t="shared" si="9"/>
        <v>66146764.39</v>
      </c>
      <c r="G34" s="90">
        <f t="shared" si="9"/>
        <v>16652</v>
      </c>
      <c r="H34" s="90">
        <f t="shared" si="9"/>
        <v>309020.48000000004</v>
      </c>
      <c r="I34" s="90">
        <f t="shared" si="9"/>
        <v>231501.77999999997</v>
      </c>
      <c r="J34" s="90">
        <f t="shared" si="9"/>
        <v>8326</v>
      </c>
      <c r="K34" s="90">
        <f t="shared" si="9"/>
        <v>548848.26</v>
      </c>
    </row>
    <row r="35" spans="1:11" ht="15">
      <c r="A35" s="90" t="s">
        <v>497</v>
      </c>
      <c r="C35" s="90">
        <f>SUM(C16:C21)</f>
        <v>91240234</v>
      </c>
      <c r="D35" s="90">
        <f aca="true" t="shared" si="10" ref="D35:K35">SUM(D16:D21)</f>
        <v>136293820.64000002</v>
      </c>
      <c r="E35" s="90">
        <f t="shared" si="10"/>
        <v>71352</v>
      </c>
      <c r="F35" s="90">
        <f t="shared" si="10"/>
        <v>33905537.400000006</v>
      </c>
      <c r="G35" s="90">
        <f t="shared" si="10"/>
        <v>357724</v>
      </c>
      <c r="H35" s="90">
        <f t="shared" si="10"/>
        <v>581989.63</v>
      </c>
      <c r="I35" s="90">
        <f t="shared" si="10"/>
        <v>114752.42</v>
      </c>
      <c r="J35" s="90">
        <f t="shared" si="10"/>
        <v>178862</v>
      </c>
      <c r="K35" s="90">
        <f t="shared" si="10"/>
        <v>875604.05</v>
      </c>
    </row>
    <row r="36" spans="1:11" ht="15">
      <c r="A36" s="90" t="s">
        <v>496</v>
      </c>
      <c r="C36" s="90">
        <f>SUM(C17:C21)</f>
        <v>90166129</v>
      </c>
      <c r="D36" s="90">
        <f aca="true" t="shared" si="11" ref="D36:K36">SUM(D17:D21)</f>
        <v>132240572.22</v>
      </c>
      <c r="E36" s="90">
        <f t="shared" si="11"/>
        <v>66258</v>
      </c>
      <c r="F36" s="90">
        <f t="shared" si="11"/>
        <v>31725371.57</v>
      </c>
      <c r="G36" s="90">
        <f t="shared" si="11"/>
        <v>354599</v>
      </c>
      <c r="H36" s="90">
        <f t="shared" si="11"/>
        <v>559564.9299999999</v>
      </c>
      <c r="I36" s="90">
        <f t="shared" si="11"/>
        <v>108289.87</v>
      </c>
      <c r="J36" s="90">
        <f t="shared" si="11"/>
        <v>177299.5</v>
      </c>
      <c r="K36" s="90">
        <f t="shared" si="11"/>
        <v>845154.3</v>
      </c>
    </row>
    <row r="37" spans="1:11" ht="15">
      <c r="A37" s="90" t="s">
        <v>368</v>
      </c>
      <c r="C37" s="90">
        <f>C22+C23</f>
        <v>21625991</v>
      </c>
      <c r="D37" s="90">
        <f aca="true" t="shared" si="12" ref="D37:K37">D22+D23</f>
        <v>26115987.07</v>
      </c>
      <c r="E37" s="90">
        <f t="shared" si="12"/>
        <v>4359</v>
      </c>
      <c r="F37" s="90">
        <f t="shared" si="12"/>
        <v>1426211.96</v>
      </c>
      <c r="G37" s="90">
        <f t="shared" si="12"/>
        <v>21171</v>
      </c>
      <c r="H37" s="90">
        <f t="shared" si="12"/>
        <v>42461.96</v>
      </c>
      <c r="I37" s="90">
        <f t="shared" si="12"/>
        <v>3989.14</v>
      </c>
      <c r="J37" s="90">
        <f t="shared" si="12"/>
        <v>10585.5</v>
      </c>
      <c r="K37" s="90">
        <f t="shared" si="12"/>
        <v>57036.6</v>
      </c>
    </row>
    <row r="38" spans="3:11" ht="15">
      <c r="C38" s="59">
        <f>(C32+C34+C36+C37)-C27</f>
        <v>0</v>
      </c>
      <c r="D38" s="59">
        <f aca="true" t="shared" si="13" ref="D38:K38">(D32+D34+D36+D37)-D27</f>
        <v>0</v>
      </c>
      <c r="E38" s="59">
        <f t="shared" si="13"/>
        <v>0</v>
      </c>
      <c r="F38" s="59">
        <f t="shared" si="13"/>
        <v>0</v>
      </c>
      <c r="G38" s="59">
        <f t="shared" si="13"/>
        <v>0</v>
      </c>
      <c r="H38" s="59">
        <f t="shared" si="13"/>
        <v>0</v>
      </c>
      <c r="I38" s="59">
        <f t="shared" si="13"/>
        <v>0</v>
      </c>
      <c r="J38" s="59">
        <f t="shared" si="13"/>
        <v>0</v>
      </c>
      <c r="K38" s="59">
        <f t="shared" si="13"/>
        <v>0</v>
      </c>
    </row>
    <row r="42" spans="6:9" ht="15">
      <c r="F42" s="90" t="s">
        <v>338</v>
      </c>
      <c r="H42" s="29" t="s">
        <v>540</v>
      </c>
      <c r="I42" s="29" t="s">
        <v>541</v>
      </c>
    </row>
    <row r="43" spans="6:9" ht="15">
      <c r="F43" s="90" t="s">
        <v>339</v>
      </c>
      <c r="H43" s="91">
        <f>H36/(H32+H34+H36)</f>
        <v>0.435373962873018</v>
      </c>
      <c r="I43" s="91">
        <f>I36/(I32+I34+I36)</f>
        <v>0.23138870010676502</v>
      </c>
    </row>
    <row r="44" spans="7:9" ht="15">
      <c r="G44" s="80" t="s">
        <v>514</v>
      </c>
      <c r="H44" s="91">
        <f>(H36+I36)/(H32+I32+H34+I34+H36+I36)</f>
        <v>0.3809236517391659</v>
      </c>
      <c r="I44" s="9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1.421875" defaultRowHeight="15"/>
  <cols>
    <col min="1" max="1" width="22.28125" style="90" customWidth="1"/>
    <col min="2" max="2" width="10.8515625" style="90" customWidth="1"/>
    <col min="3" max="3" width="14.28125" style="90" customWidth="1"/>
    <col min="4" max="5" width="10.8515625" style="90" customWidth="1"/>
    <col min="6" max="6" width="10.8515625" style="101" customWidth="1"/>
    <col min="7" max="16384" width="10.8515625" style="90" customWidth="1"/>
  </cols>
  <sheetData>
    <row r="1" ht="16.5">
      <c r="B1" s="34" t="s">
        <v>115</v>
      </c>
    </row>
    <row r="3" spans="2:6" ht="15">
      <c r="B3" s="90" t="s">
        <v>124</v>
      </c>
      <c r="F3" s="101" t="s">
        <v>314</v>
      </c>
    </row>
    <row r="4" spans="2:7" ht="15">
      <c r="B4" s="80" t="s">
        <v>380</v>
      </c>
      <c r="C4" s="80" t="s">
        <v>198</v>
      </c>
      <c r="D4" s="80"/>
      <c r="F4" s="101" t="s">
        <v>315</v>
      </c>
      <c r="G4" s="90" t="s">
        <v>315</v>
      </c>
    </row>
    <row r="5" spans="1:7" ht="15">
      <c r="A5" s="90" t="s">
        <v>480</v>
      </c>
      <c r="B5" s="80" t="s">
        <v>283</v>
      </c>
      <c r="C5" s="80" t="s">
        <v>203</v>
      </c>
      <c r="D5" s="80"/>
      <c r="F5" s="101" t="s">
        <v>213</v>
      </c>
      <c r="G5" s="90" t="s">
        <v>213</v>
      </c>
    </row>
    <row r="6" spans="1:8" ht="15">
      <c r="A6" s="97" t="s">
        <v>130</v>
      </c>
      <c r="B6" s="98" t="s">
        <v>192</v>
      </c>
      <c r="C6" s="98" t="s">
        <v>283</v>
      </c>
      <c r="D6" s="98" t="s">
        <v>193</v>
      </c>
      <c r="F6" s="102" t="s">
        <v>214</v>
      </c>
      <c r="G6" s="97" t="s">
        <v>215</v>
      </c>
      <c r="H6" s="98" t="s">
        <v>193</v>
      </c>
    </row>
    <row r="7" spans="1:8" ht="15">
      <c r="A7" s="90" t="s">
        <v>500</v>
      </c>
      <c r="B7" s="92">
        <v>37.52231713598901</v>
      </c>
      <c r="C7" s="92">
        <v>372.1898133189732</v>
      </c>
      <c r="D7" s="93">
        <f>C7/B7</f>
        <v>9.919158562891429</v>
      </c>
      <c r="F7" s="101">
        <v>11648</v>
      </c>
      <c r="G7" s="90">
        <v>11142</v>
      </c>
      <c r="H7" s="92">
        <f>G7/F7</f>
        <v>0.9565590659340659</v>
      </c>
    </row>
    <row r="8" spans="1:8" ht="15">
      <c r="A8" s="90" t="s">
        <v>79</v>
      </c>
      <c r="B8" s="92">
        <v>45.27734417746338</v>
      </c>
      <c r="C8" s="92">
        <v>501.1192728237792</v>
      </c>
      <c r="D8" s="93">
        <f aca="true" t="shared" si="0" ref="D8:D18">C8/B8</f>
        <v>11.067770911201311</v>
      </c>
      <c r="F8" s="101">
        <v>18733.33</v>
      </c>
      <c r="G8" s="90">
        <v>48984</v>
      </c>
      <c r="H8" s="92">
        <f aca="true" t="shared" si="1" ref="H8:H18">G8/F8</f>
        <v>2.6148047357303796</v>
      </c>
    </row>
    <row r="9" spans="1:8" ht="15">
      <c r="A9" s="90" t="s">
        <v>501</v>
      </c>
      <c r="B9" s="92">
        <v>25.972047524752476</v>
      </c>
      <c r="C9" s="92">
        <v>424.2255999431334</v>
      </c>
      <c r="D9" s="93">
        <f t="shared" si="0"/>
        <v>16.33392975809197</v>
      </c>
      <c r="F9" s="101">
        <v>2525</v>
      </c>
      <c r="G9" s="90">
        <v>7034</v>
      </c>
      <c r="H9" s="92">
        <f t="shared" si="1"/>
        <v>2.7857425742574256</v>
      </c>
    </row>
    <row r="10" spans="1:8" ht="15">
      <c r="A10" s="90" t="s">
        <v>502</v>
      </c>
      <c r="B10" s="92">
        <v>54.152940623341166</v>
      </c>
      <c r="C10" s="92">
        <v>345.8298018247401</v>
      </c>
      <c r="D10" s="93">
        <f t="shared" si="0"/>
        <v>6.386168467381059</v>
      </c>
      <c r="F10" s="101">
        <v>10989.166666666666</v>
      </c>
      <c r="G10" s="90">
        <v>23565</v>
      </c>
      <c r="H10" s="92">
        <f t="shared" si="1"/>
        <v>2.144384621217866</v>
      </c>
    </row>
    <row r="11" spans="1:8" ht="15">
      <c r="A11" s="90" t="s">
        <v>503</v>
      </c>
      <c r="B11" s="92">
        <v>45.95510302540905</v>
      </c>
      <c r="C11" s="92">
        <v>286.6266985469928</v>
      </c>
      <c r="D11" s="93">
        <f t="shared" si="0"/>
        <v>6.237102730212877</v>
      </c>
      <c r="F11" s="101">
        <v>29225.8</v>
      </c>
      <c r="G11" s="90">
        <v>5437</v>
      </c>
      <c r="H11" s="92">
        <f t="shared" si="1"/>
        <v>0.18603425740270582</v>
      </c>
    </row>
    <row r="12" spans="1:8" ht="15">
      <c r="A12" s="90" t="s">
        <v>131</v>
      </c>
      <c r="B12" s="92">
        <v>28.60646238091666</v>
      </c>
      <c r="C12" s="92">
        <v>762.9767593368447</v>
      </c>
      <c r="D12" s="93">
        <f t="shared" si="0"/>
        <v>26.671482449567957</v>
      </c>
      <c r="F12" s="101">
        <v>39993</v>
      </c>
      <c r="G12" s="90">
        <v>33416</v>
      </c>
      <c r="H12" s="92">
        <f t="shared" si="1"/>
        <v>0.835546220588603</v>
      </c>
    </row>
    <row r="13" spans="1:8" ht="15">
      <c r="A13" s="90" t="s">
        <v>340</v>
      </c>
      <c r="B13" s="92">
        <v>53.08074534161491</v>
      </c>
      <c r="C13" s="92">
        <v>466.2616612311455</v>
      </c>
      <c r="D13" s="93">
        <f t="shared" si="0"/>
        <v>8.784007425487296</v>
      </c>
      <c r="F13" s="101">
        <v>11833.5</v>
      </c>
      <c r="G13" s="90">
        <v>19624</v>
      </c>
      <c r="H13" s="92">
        <f t="shared" si="1"/>
        <v>1.6583428402416867</v>
      </c>
    </row>
    <row r="14" spans="1:8" ht="15">
      <c r="A14" s="90" t="s">
        <v>341</v>
      </c>
      <c r="B14" s="92">
        <v>28.424349197914243</v>
      </c>
      <c r="C14" s="92">
        <v>566.3495389399675</v>
      </c>
      <c r="D14" s="93">
        <f t="shared" si="0"/>
        <v>19.92480232340819</v>
      </c>
      <c r="F14" s="101">
        <v>30109</v>
      </c>
      <c r="G14" s="90">
        <v>51772</v>
      </c>
      <c r="H14" s="92">
        <f t="shared" si="1"/>
        <v>1.7194858680128866</v>
      </c>
    </row>
    <row r="15" spans="1:8" ht="15">
      <c r="A15" s="90" t="s">
        <v>342</v>
      </c>
      <c r="B15" s="92">
        <v>18.31466959278225</v>
      </c>
      <c r="C15" s="92">
        <v>427.98701020808795</v>
      </c>
      <c r="D15" s="93">
        <f t="shared" si="0"/>
        <v>23.368535699751646</v>
      </c>
      <c r="F15" s="101">
        <v>4101</v>
      </c>
      <c r="G15" s="90">
        <v>5094</v>
      </c>
      <c r="H15" s="92">
        <f t="shared" si="1"/>
        <v>1.2421360643745427</v>
      </c>
    </row>
    <row r="16" spans="1:8" ht="15">
      <c r="A16" s="90" t="s">
        <v>343</v>
      </c>
      <c r="B16" s="92">
        <v>39.94985370656914</v>
      </c>
      <c r="C16" s="92">
        <v>634.2007223009687</v>
      </c>
      <c r="D16" s="93">
        <f t="shared" si="0"/>
        <v>15.874919767145084</v>
      </c>
      <c r="F16" s="101">
        <v>14218</v>
      </c>
      <c r="G16" s="90">
        <v>16932</v>
      </c>
      <c r="H16" s="92">
        <f t="shared" si="1"/>
        <v>1.190884793923196</v>
      </c>
    </row>
    <row r="17" spans="1:8" ht="15">
      <c r="A17" s="90" t="s">
        <v>188</v>
      </c>
      <c r="B17" s="92">
        <v>20.07562820612973</v>
      </c>
      <c r="C17" s="92">
        <v>341.34924528301883</v>
      </c>
      <c r="D17" s="93">
        <f t="shared" si="0"/>
        <v>17.00316631580147</v>
      </c>
      <c r="F17" s="101">
        <v>12801</v>
      </c>
      <c r="G17" s="90">
        <v>3339</v>
      </c>
      <c r="H17" s="92">
        <f t="shared" si="1"/>
        <v>0.26083899695336304</v>
      </c>
    </row>
    <row r="18" spans="1:8" ht="15">
      <c r="A18" s="90" t="s">
        <v>189</v>
      </c>
      <c r="B18" s="92">
        <v>16.639383359559403</v>
      </c>
      <c r="C18" s="92">
        <v>280.8302254901961</v>
      </c>
      <c r="D18" s="93">
        <f t="shared" si="0"/>
        <v>16.877441875203736</v>
      </c>
      <c r="F18" s="101">
        <v>10168</v>
      </c>
      <c r="G18" s="90">
        <v>1020</v>
      </c>
      <c r="H18" s="92">
        <f t="shared" si="1"/>
        <v>0.1003147128245476</v>
      </c>
    </row>
    <row r="19" spans="4:8" ht="15">
      <c r="D19" s="95" t="s">
        <v>204</v>
      </c>
      <c r="H19" s="95" t="s">
        <v>204</v>
      </c>
    </row>
    <row r="20" spans="1:8" ht="15">
      <c r="A20" s="90" t="s">
        <v>187</v>
      </c>
      <c r="B20" s="94">
        <f>C20/D20</f>
        <v>25.38608057541617</v>
      </c>
      <c r="C20" s="92">
        <v>406.1772892066587</v>
      </c>
      <c r="D20" s="96">
        <v>16</v>
      </c>
      <c r="F20" s="103">
        <f>G20/H20</f>
        <v>23254.13855421687</v>
      </c>
      <c r="G20" s="90">
        <v>27693</v>
      </c>
      <c r="H20" s="94">
        <v>1.190884793923196</v>
      </c>
    </row>
    <row r="21" spans="1:8" ht="15">
      <c r="A21" s="90" t="s">
        <v>80</v>
      </c>
      <c r="B21" s="94">
        <f>C21/D21</f>
        <v>15.587229432397958</v>
      </c>
      <c r="C21" s="92">
        <v>249.39567091836733</v>
      </c>
      <c r="D21" s="96">
        <v>16</v>
      </c>
      <c r="F21" s="103">
        <f>G21/H21</f>
        <v>19600</v>
      </c>
      <c r="G21" s="90">
        <v>11760</v>
      </c>
      <c r="H21" s="94">
        <v>0.6</v>
      </c>
    </row>
    <row r="22" spans="1:8" ht="15">
      <c r="A22" s="90" t="s">
        <v>81</v>
      </c>
      <c r="B22" s="94">
        <f>C22/D22</f>
        <v>48.70364215419325</v>
      </c>
      <c r="C22" s="92">
        <v>779.258274467092</v>
      </c>
      <c r="D22" s="96">
        <v>16</v>
      </c>
      <c r="F22" s="103">
        <f>G22/H22</f>
        <v>5396.827663595559</v>
      </c>
      <c r="G22" s="90">
        <v>6427</v>
      </c>
      <c r="H22" s="94">
        <v>1.190884793923196</v>
      </c>
    </row>
    <row r="23" spans="1:8" ht="15">
      <c r="A23" s="90" t="s">
        <v>82</v>
      </c>
      <c r="B23" s="94">
        <f>C23/D23</f>
        <v>32.60358477219965</v>
      </c>
      <c r="C23" s="92">
        <v>521.6573563551945</v>
      </c>
      <c r="D23" s="96">
        <v>16</v>
      </c>
      <c r="F23" s="103">
        <f>G23/H23</f>
        <v>5743.333333333334</v>
      </c>
      <c r="G23" s="90">
        <v>3446</v>
      </c>
      <c r="H23" s="94">
        <v>0.6</v>
      </c>
    </row>
    <row r="26" ht="15">
      <c r="H26" s="90">
        <f>CORREL(H7:H18,B7:B18)</f>
        <v>0.36024918919364235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7">
      <selection activeCell="B25" sqref="B25"/>
    </sheetView>
  </sheetViews>
  <sheetFormatPr defaultColWidth="11.421875" defaultRowHeight="15"/>
  <cols>
    <col min="1" max="1" width="6.00390625" style="90" customWidth="1"/>
    <col min="2" max="2" width="13.7109375" style="90" customWidth="1"/>
    <col min="3" max="3" width="10.8515625" style="90" customWidth="1"/>
    <col min="4" max="4" width="12.00390625" style="90" customWidth="1"/>
    <col min="5" max="5" width="12.421875" style="90" customWidth="1"/>
    <col min="6" max="10" width="10.8515625" style="90" customWidth="1"/>
    <col min="11" max="11" width="11.140625" style="90" bestFit="1" customWidth="1"/>
    <col min="12" max="16384" width="10.8515625" style="90" customWidth="1"/>
  </cols>
  <sheetData>
    <row r="1" ht="16.5">
      <c r="B1" s="34" t="s">
        <v>475</v>
      </c>
    </row>
    <row r="3" ht="15">
      <c r="A3" s="90" t="s">
        <v>437</v>
      </c>
    </row>
    <row r="4" ht="15">
      <c r="A4" s="90" t="s">
        <v>403</v>
      </c>
    </row>
    <row r="5" ht="15">
      <c r="A5" s="90" t="s">
        <v>220</v>
      </c>
    </row>
    <row r="7" ht="15">
      <c r="A7" s="151" t="s">
        <v>66</v>
      </c>
    </row>
    <row r="8" ht="15">
      <c r="B8" s="15" t="s">
        <v>31</v>
      </c>
    </row>
    <row r="9" ht="15">
      <c r="B9" s="15" t="s">
        <v>152</v>
      </c>
    </row>
    <row r="11" ht="15">
      <c r="A11" s="113" t="s">
        <v>67</v>
      </c>
    </row>
    <row r="12" ht="15">
      <c r="A12" s="90" t="s">
        <v>5</v>
      </c>
    </row>
    <row r="13" ht="15">
      <c r="B13" s="90" t="s">
        <v>6</v>
      </c>
    </row>
    <row r="14" spans="2:8" ht="15">
      <c r="B14" s="90" t="s">
        <v>7</v>
      </c>
      <c r="H14" s="20"/>
    </row>
    <row r="15" spans="2:8" ht="15">
      <c r="B15" s="90" t="s">
        <v>28</v>
      </c>
      <c r="H15" s="20"/>
    </row>
    <row r="16" ht="15">
      <c r="B16" s="90" t="s">
        <v>17</v>
      </c>
    </row>
    <row r="17" ht="15">
      <c r="B17" s="90" t="s">
        <v>113</v>
      </c>
    </row>
    <row r="18" ht="15">
      <c r="B18" s="90" t="s">
        <v>136</v>
      </c>
    </row>
    <row r="19" ht="15">
      <c r="B19" s="90" t="s">
        <v>182</v>
      </c>
    </row>
    <row r="20" ht="15">
      <c r="A20" s="90" t="s">
        <v>404</v>
      </c>
    </row>
    <row r="21" ht="15">
      <c r="B21" s="90" t="s">
        <v>518</v>
      </c>
    </row>
    <row r="22" ht="15">
      <c r="B22" s="90" t="s">
        <v>150</v>
      </c>
    </row>
    <row r="23" ht="15">
      <c r="B23" s="90" t="s">
        <v>151</v>
      </c>
    </row>
    <row r="24" ht="15">
      <c r="A24" s="90" t="s">
        <v>68</v>
      </c>
    </row>
    <row r="25" ht="15">
      <c r="B25" s="90" t="s">
        <v>26</v>
      </c>
    </row>
    <row r="27" ht="15">
      <c r="A27" s="113" t="s">
        <v>2</v>
      </c>
    </row>
    <row r="28" ht="15">
      <c r="A28" s="113"/>
    </row>
    <row r="29" ht="15">
      <c r="A29" s="90" t="s">
        <v>349</v>
      </c>
    </row>
    <row r="30" ht="15">
      <c r="B30" s="90" t="s">
        <v>313</v>
      </c>
    </row>
    <row r="31" ht="15">
      <c r="B31" s="90" t="s">
        <v>492</v>
      </c>
    </row>
    <row r="32" ht="15">
      <c r="B32" s="90" t="s">
        <v>53</v>
      </c>
    </row>
    <row r="33" ht="15">
      <c r="B33" s="90" t="s">
        <v>34</v>
      </c>
    </row>
    <row r="35" ht="15">
      <c r="A35" s="97" t="s">
        <v>366</v>
      </c>
    </row>
    <row r="36" ht="15">
      <c r="B36" s="90" t="s">
        <v>45</v>
      </c>
    </row>
    <row r="37" ht="15">
      <c r="B37" s="90" t="s">
        <v>396</v>
      </c>
    </row>
    <row r="38" ht="15">
      <c r="B38" s="90" t="s">
        <v>517</v>
      </c>
    </row>
    <row r="39" ht="15">
      <c r="B39" s="90" t="s">
        <v>35</v>
      </c>
    </row>
    <row r="40" ht="15">
      <c r="B40" s="90" t="s">
        <v>16</v>
      </c>
    </row>
    <row r="41" ht="15">
      <c r="B41" s="90" t="s">
        <v>180</v>
      </c>
    </row>
    <row r="42" ht="15">
      <c r="B42" s="90" t="s">
        <v>181</v>
      </c>
    </row>
    <row r="43" spans="8:9" ht="15">
      <c r="H43" s="80" t="s">
        <v>42</v>
      </c>
      <c r="I43" s="80" t="s">
        <v>43</v>
      </c>
    </row>
    <row r="44" spans="2:9" ht="15">
      <c r="B44" s="90" t="s">
        <v>128</v>
      </c>
      <c r="H44" s="93">
        <v>10.239367771988931</v>
      </c>
      <c r="I44" s="93">
        <f>H44*4.44</f>
        <v>45.462792907630856</v>
      </c>
    </row>
    <row r="45" spans="2:11" ht="15">
      <c r="B45" s="90" t="s">
        <v>0</v>
      </c>
      <c r="H45" s="93">
        <f>I45/4.44</f>
        <v>4.313361323522466</v>
      </c>
      <c r="I45" s="93">
        <v>19.15132427643975</v>
      </c>
      <c r="J45" s="93">
        <v>1754.5188508208016</v>
      </c>
      <c r="K45" s="93">
        <v>2319.5348675486084</v>
      </c>
    </row>
    <row r="46" spans="7:11" ht="15">
      <c r="G46" s="90" t="s">
        <v>1</v>
      </c>
      <c r="H46" s="92">
        <f>H44/H45</f>
        <v>2.373872023229217</v>
      </c>
      <c r="I46" s="92">
        <f>I44/I45</f>
        <v>2.373872023229217</v>
      </c>
      <c r="J46" s="93">
        <v>95376.55859170876</v>
      </c>
      <c r="K46" s="93">
        <v>117353.05005375562</v>
      </c>
    </row>
    <row r="48" ht="15">
      <c r="B48" s="90" t="s">
        <v>153</v>
      </c>
    </row>
    <row r="49" ht="15">
      <c r="B49" s="90" t="s">
        <v>117</v>
      </c>
    </row>
    <row r="50" ht="15">
      <c r="B50" s="90" t="s">
        <v>118</v>
      </c>
    </row>
    <row r="52" spans="1:6" ht="15.75" thickBot="1">
      <c r="A52" s="90" t="s">
        <v>119</v>
      </c>
      <c r="E52" s="139">
        <f>32814602+51197079</f>
        <v>84011681</v>
      </c>
      <c r="F52" s="90" t="s">
        <v>367</v>
      </c>
    </row>
    <row r="53" spans="2:6" ht="15.75" thickBot="1">
      <c r="B53" s="90" t="s">
        <v>120</v>
      </c>
      <c r="E53" s="141">
        <f>E52*1.07</f>
        <v>89892498.67</v>
      </c>
      <c r="F53" s="90" t="s">
        <v>41</v>
      </c>
    </row>
    <row r="56" ht="15">
      <c r="B56" s="90" t="s">
        <v>531</v>
      </c>
    </row>
    <row r="57" ht="15">
      <c r="B57" s="90" t="s">
        <v>553</v>
      </c>
    </row>
    <row r="58" ht="15">
      <c r="B58" s="90" t="s">
        <v>491</v>
      </c>
    </row>
    <row r="59" ht="15">
      <c r="B59" s="90" t="s">
        <v>395</v>
      </c>
    </row>
    <row r="60" ht="15">
      <c r="B60" s="90" t="s">
        <v>306</v>
      </c>
    </row>
    <row r="62" spans="4:5" ht="15.75" thickBot="1">
      <c r="D62" s="97">
        <v>1798</v>
      </c>
      <c r="E62" s="97" t="s">
        <v>559</v>
      </c>
    </row>
    <row r="63" spans="3:5" ht="15.75" thickBot="1">
      <c r="C63" s="80" t="s">
        <v>481</v>
      </c>
      <c r="D63" s="139">
        <f>32814602/0.423</f>
        <v>77575891.25295508</v>
      </c>
      <c r="E63" s="141">
        <f>D63*1.07</f>
        <v>83006203.64066194</v>
      </c>
    </row>
    <row r="64" spans="3:5" ht="15">
      <c r="C64" s="90" t="s">
        <v>558</v>
      </c>
      <c r="D64" s="139">
        <f>D63-32814602</f>
        <v>44761289.25295508</v>
      </c>
      <c r="E64" s="139">
        <f>D64*1.07</f>
        <v>47894579.50066194</v>
      </c>
    </row>
    <row r="66" ht="15">
      <c r="B66" s="90" t="s">
        <v>530</v>
      </c>
    </row>
    <row r="67" ht="15">
      <c r="B67" s="90" t="s">
        <v>551</v>
      </c>
    </row>
    <row r="69" ht="15">
      <c r="B69" s="90" t="s">
        <v>532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62"/>
  <sheetViews>
    <sheetView tabSelected="1" workbookViewId="0" topLeftCell="A5">
      <pane xSplit="12320" ySplit="3640" topLeftCell="BZ32" activePane="topLeft" state="split"/>
      <selection pane="topLeft" activeCell="B8" sqref="B8"/>
      <selection pane="topRight" activeCell="BY6" sqref="BY6"/>
      <selection pane="bottomLeft" activeCell="M53" sqref="M53"/>
      <selection pane="bottomRight" activeCell="CA53" sqref="CA53"/>
    </sheetView>
  </sheetViews>
  <sheetFormatPr defaultColWidth="11.421875" defaultRowHeight="15"/>
  <cols>
    <col min="1" max="1" width="15.7109375" style="90" customWidth="1"/>
    <col min="2" max="2" width="11.140625" style="90" bestFit="1" customWidth="1"/>
    <col min="3" max="3" width="14.140625" style="101" customWidth="1"/>
    <col min="4" max="4" width="7.7109375" style="101" customWidth="1"/>
    <col min="5" max="5" width="15.00390625" style="101" customWidth="1"/>
    <col min="6" max="7" width="13.421875" style="101" customWidth="1"/>
    <col min="8" max="8" width="12.28125" style="101" customWidth="1"/>
    <col min="9" max="9" width="4.8515625" style="101" customWidth="1"/>
    <col min="10" max="10" width="18.421875" style="101" customWidth="1"/>
    <col min="11" max="11" width="16.421875" style="101" customWidth="1"/>
    <col min="12" max="12" width="10.8515625" style="101" customWidth="1"/>
    <col min="13" max="14" width="11.7109375" style="101" customWidth="1"/>
    <col min="15" max="15" width="4.8515625" style="101" customWidth="1"/>
    <col min="16" max="16" width="10.8515625" style="90" customWidth="1"/>
    <col min="17" max="17" width="4.8515625" style="90" customWidth="1"/>
    <col min="18" max="18" width="15.421875" style="90" customWidth="1"/>
    <col min="19" max="19" width="16.421875" style="90" customWidth="1"/>
    <col min="20" max="20" width="12.8515625" style="90" customWidth="1"/>
    <col min="21" max="21" width="14.00390625" style="157" customWidth="1"/>
    <col min="22" max="22" width="13.421875" style="139" customWidth="1"/>
    <col min="23" max="23" width="15.8515625" style="157" customWidth="1"/>
    <col min="24" max="24" width="16.7109375" style="157" customWidth="1"/>
    <col min="25" max="25" width="4.8515625" style="157" customWidth="1"/>
    <col min="26" max="26" width="12.7109375" style="90" customWidth="1"/>
    <col min="27" max="28" width="11.8515625" style="90" customWidth="1"/>
    <col min="29" max="30" width="14.8515625" style="139" customWidth="1"/>
    <col min="31" max="33" width="12.421875" style="90" customWidth="1"/>
    <col min="34" max="34" width="16.421875" style="90" customWidth="1"/>
    <col min="35" max="37" width="12.421875" style="90" customWidth="1"/>
    <col min="38" max="38" width="17.28125" style="90" customWidth="1"/>
    <col min="39" max="39" width="4.8515625" style="90" customWidth="1"/>
    <col min="40" max="40" width="19.8515625" style="90" customWidth="1"/>
    <col min="41" max="43" width="18.00390625" style="90" customWidth="1"/>
    <col min="44" max="44" width="11.7109375" style="137" customWidth="1"/>
    <col min="45" max="45" width="11.7109375" style="217" customWidth="1"/>
    <col min="46" max="46" width="11.7109375" style="137" customWidth="1"/>
    <col min="47" max="48" width="11.7109375" style="90" customWidth="1"/>
    <col min="49" max="50" width="12.421875" style="90" customWidth="1"/>
    <col min="51" max="51" width="11.7109375" style="90" customWidth="1"/>
    <col min="52" max="52" width="15.7109375" style="90" customWidth="1"/>
    <col min="53" max="56" width="14.140625" style="90" customWidth="1"/>
    <col min="57" max="57" width="16.140625" style="90" customWidth="1"/>
    <col min="58" max="58" width="13.421875" style="90" customWidth="1"/>
    <col min="59" max="59" width="12.28125" style="90" customWidth="1"/>
    <col min="60" max="60" width="13.8515625" style="90" customWidth="1"/>
    <col min="61" max="61" width="13.421875" style="90" customWidth="1"/>
    <col min="62" max="62" width="13.00390625" style="90" customWidth="1"/>
    <col min="63" max="63" width="12.7109375" style="90" customWidth="1"/>
    <col min="64" max="64" width="10.8515625" style="90" customWidth="1"/>
    <col min="65" max="65" width="16.28125" style="90" customWidth="1"/>
    <col min="66" max="66" width="12.140625" style="90" customWidth="1"/>
    <col min="67" max="69" width="11.8515625" style="90" customWidth="1"/>
    <col min="70" max="70" width="12.00390625" style="90" customWidth="1"/>
    <col min="71" max="71" width="3.8515625" style="90" customWidth="1"/>
    <col min="72" max="74" width="7.7109375" style="90" customWidth="1"/>
    <col min="75" max="75" width="12.7109375" style="90" customWidth="1"/>
    <col min="76" max="76" width="4.8515625" style="90" customWidth="1"/>
    <col min="77" max="16384" width="10.8515625" style="90" customWidth="1"/>
  </cols>
  <sheetData>
    <row r="1" spans="3:57" ht="16.5">
      <c r="C1" s="34" t="s">
        <v>94</v>
      </c>
      <c r="T1" s="150" t="s">
        <v>461</v>
      </c>
      <c r="V1" s="139" t="s">
        <v>462</v>
      </c>
      <c r="BC1" s="90" t="s">
        <v>594</v>
      </c>
      <c r="BD1" s="90" t="s">
        <v>595</v>
      </c>
      <c r="BE1" s="90" t="s">
        <v>579</v>
      </c>
    </row>
    <row r="2" spans="1:67" ht="16.5">
      <c r="A2" s="80" t="s">
        <v>560</v>
      </c>
      <c r="B2" s="34"/>
      <c r="AF2" s="90" t="s">
        <v>596</v>
      </c>
      <c r="AG2" s="90" t="s">
        <v>597</v>
      </c>
      <c r="BO2" s="90" t="s">
        <v>591</v>
      </c>
    </row>
    <row r="3" spans="1:75" ht="16.5">
      <c r="A3" s="80" t="s">
        <v>561</v>
      </c>
      <c r="B3" s="34"/>
      <c r="C3" s="192" t="s">
        <v>304</v>
      </c>
      <c r="D3" s="193"/>
      <c r="E3" s="193"/>
      <c r="F3" s="193"/>
      <c r="G3" s="193"/>
      <c r="H3" s="193"/>
      <c r="I3" s="193"/>
      <c r="J3" s="206" t="s">
        <v>545</v>
      </c>
      <c r="K3" s="206"/>
      <c r="L3" s="193"/>
      <c r="M3" s="193"/>
      <c r="N3" s="193"/>
      <c r="O3" s="193"/>
      <c r="P3" s="194"/>
      <c r="R3" s="152" t="s">
        <v>464</v>
      </c>
      <c r="S3" s="143"/>
      <c r="T3" s="143"/>
      <c r="U3" s="159"/>
      <c r="V3" s="153"/>
      <c r="W3" s="159"/>
      <c r="X3" s="159"/>
      <c r="Y3" s="159"/>
      <c r="Z3" s="143"/>
      <c r="AA3" s="178"/>
      <c r="AB3" s="178"/>
      <c r="AC3" s="179"/>
      <c r="AD3" s="179"/>
      <c r="AE3" s="178"/>
      <c r="AF3" s="178"/>
      <c r="AG3" s="178"/>
      <c r="AH3" s="178"/>
      <c r="AI3" s="178"/>
      <c r="AJ3" s="178"/>
      <c r="AK3" s="178"/>
      <c r="AL3" s="178"/>
      <c r="AN3" s="195" t="s">
        <v>77</v>
      </c>
      <c r="AO3" s="196"/>
      <c r="AP3" s="196"/>
      <c r="AQ3" s="196"/>
      <c r="AR3" s="198"/>
      <c r="AS3" s="218"/>
      <c r="AT3" s="198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7"/>
      <c r="BO3" s="242" t="s">
        <v>605</v>
      </c>
      <c r="BP3" s="243"/>
      <c r="BQ3" s="243"/>
      <c r="BR3" s="243"/>
      <c r="BS3" s="243"/>
      <c r="BT3" s="243"/>
      <c r="BU3" s="243"/>
      <c r="BV3" s="243"/>
      <c r="BW3" s="244"/>
    </row>
    <row r="4" spans="1:63" s="180" customFormat="1" ht="16.5">
      <c r="A4" s="240" t="s">
        <v>590</v>
      </c>
      <c r="B4" s="181"/>
      <c r="C4" s="18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  <c r="R4" s="210" t="s">
        <v>98</v>
      </c>
      <c r="S4" s="185"/>
      <c r="T4" s="185"/>
      <c r="U4" s="186"/>
      <c r="V4" s="187"/>
      <c r="W4" s="186"/>
      <c r="X4" s="186"/>
      <c r="Y4" s="186"/>
      <c r="Z4" s="185"/>
      <c r="AC4" s="188"/>
      <c r="AD4" s="188"/>
      <c r="AF4" s="240" t="s">
        <v>584</v>
      </c>
      <c r="AG4" s="240" t="s">
        <v>587</v>
      </c>
      <c r="AJ4" s="240" t="s">
        <v>584</v>
      </c>
      <c r="AK4" s="240" t="s">
        <v>587</v>
      </c>
      <c r="AN4" s="189" t="s">
        <v>14</v>
      </c>
      <c r="AO4" s="189" t="s">
        <v>14</v>
      </c>
      <c r="AP4" s="189" t="s">
        <v>11</v>
      </c>
      <c r="AQ4" s="189" t="s">
        <v>11</v>
      </c>
      <c r="AR4" s="148">
        <v>1800</v>
      </c>
      <c r="AS4" s="219">
        <v>1800</v>
      </c>
      <c r="AT4" s="148">
        <v>1800</v>
      </c>
      <c r="AU4" s="148">
        <v>1800</v>
      </c>
      <c r="AV4" s="148">
        <v>1800</v>
      </c>
      <c r="AW4" s="148">
        <v>1800</v>
      </c>
      <c r="AX4" s="148">
        <v>1800</v>
      </c>
      <c r="AY4" s="148">
        <v>1800</v>
      </c>
      <c r="AZ4" s="148">
        <v>1800</v>
      </c>
      <c r="BA4" s="148">
        <v>1800</v>
      </c>
      <c r="BB4" s="148">
        <v>1800</v>
      </c>
      <c r="BC4" s="140">
        <v>1800</v>
      </c>
      <c r="BD4" s="140">
        <v>1800</v>
      </c>
      <c r="BE4" s="140">
        <v>1800</v>
      </c>
      <c r="BF4" s="140">
        <v>1800</v>
      </c>
      <c r="BG4" s="140">
        <v>1800</v>
      </c>
      <c r="BH4" s="140">
        <v>1800</v>
      </c>
      <c r="BI4" s="140">
        <v>1800</v>
      </c>
      <c r="BJ4" s="140">
        <v>1800</v>
      </c>
      <c r="BK4" s="140">
        <v>1800</v>
      </c>
    </row>
    <row r="5" spans="1:77" ht="15">
      <c r="A5" s="80" t="s">
        <v>588</v>
      </c>
      <c r="V5" s="161" t="s">
        <v>580</v>
      </c>
      <c r="X5" s="157" t="s">
        <v>582</v>
      </c>
      <c r="AF5" s="80" t="s">
        <v>585</v>
      </c>
      <c r="AG5" s="80" t="s">
        <v>585</v>
      </c>
      <c r="AH5" s="212" t="s">
        <v>108</v>
      </c>
      <c r="AJ5" s="80" t="s">
        <v>585</v>
      </c>
      <c r="AK5" s="80" t="s">
        <v>585</v>
      </c>
      <c r="AL5" s="212" t="s">
        <v>108</v>
      </c>
      <c r="AN5" s="157" t="s">
        <v>15</v>
      </c>
      <c r="AO5" s="157" t="s">
        <v>69</v>
      </c>
      <c r="AP5" s="157" t="s">
        <v>12</v>
      </c>
      <c r="AQ5" s="157" t="s">
        <v>13</v>
      </c>
      <c r="AR5" s="199" t="s">
        <v>449</v>
      </c>
      <c r="AU5" s="157"/>
      <c r="AV5" s="157"/>
      <c r="AW5" s="157"/>
      <c r="AX5" s="157"/>
      <c r="AY5" s="157"/>
      <c r="AZ5" s="231" t="s">
        <v>44</v>
      </c>
      <c r="BA5" s="190"/>
      <c r="BB5" s="190"/>
      <c r="BC5" s="190"/>
      <c r="BD5" s="190"/>
      <c r="BE5" s="190"/>
      <c r="BF5" s="230" t="s">
        <v>30</v>
      </c>
      <c r="BG5" s="191"/>
      <c r="BH5" s="191"/>
      <c r="BI5" s="191"/>
      <c r="BJ5" s="191"/>
      <c r="BK5" s="191"/>
      <c r="BY5" s="90">
        <f>619*1.07</f>
        <v>662.33</v>
      </c>
    </row>
    <row r="6" spans="1:63" ht="15">
      <c r="A6" s="90" t="s">
        <v>589</v>
      </c>
      <c r="C6" s="101">
        <v>1798</v>
      </c>
      <c r="E6" s="101">
        <v>1798</v>
      </c>
      <c r="F6" s="101">
        <v>1798</v>
      </c>
      <c r="G6" s="101">
        <v>1798</v>
      </c>
      <c r="H6" s="140">
        <v>1800</v>
      </c>
      <c r="J6" s="140">
        <v>1800</v>
      </c>
      <c r="K6" s="140">
        <v>1800</v>
      </c>
      <c r="L6" s="140">
        <v>1800</v>
      </c>
      <c r="M6" s="140">
        <v>1800</v>
      </c>
      <c r="N6" s="140">
        <v>1800</v>
      </c>
      <c r="O6" s="140"/>
      <c r="P6" s="140">
        <v>1800</v>
      </c>
      <c r="R6" s="80" t="s">
        <v>51</v>
      </c>
      <c r="S6" s="80" t="s">
        <v>400</v>
      </c>
      <c r="T6" s="97" t="s">
        <v>347</v>
      </c>
      <c r="V6" s="154" t="s">
        <v>346</v>
      </c>
      <c r="X6" s="154" t="s">
        <v>547</v>
      </c>
      <c r="Z6" s="142"/>
      <c r="AC6" s="101"/>
      <c r="AD6" s="101"/>
      <c r="AF6" s="155" t="s">
        <v>586</v>
      </c>
      <c r="AG6" s="155" t="s">
        <v>586</v>
      </c>
      <c r="AH6" s="216" t="s">
        <v>583</v>
      </c>
      <c r="AJ6" s="155" t="s">
        <v>586</v>
      </c>
      <c r="AK6" s="155" t="s">
        <v>586</v>
      </c>
      <c r="AL6" s="216" t="s">
        <v>583</v>
      </c>
      <c r="AN6" s="164" t="s">
        <v>322</v>
      </c>
      <c r="AO6" s="164" t="s">
        <v>322</v>
      </c>
      <c r="AP6" s="164" t="s">
        <v>70</v>
      </c>
      <c r="AQ6" s="164" t="s">
        <v>70</v>
      </c>
      <c r="AT6" s="220" t="s">
        <v>442</v>
      </c>
      <c r="AU6" s="221"/>
      <c r="AV6" s="222"/>
      <c r="AW6" s="142" t="s">
        <v>458</v>
      </c>
      <c r="AX6" s="157"/>
      <c r="AY6" s="157"/>
      <c r="AZ6" s="142"/>
      <c r="BE6" s="212" t="s">
        <v>108</v>
      </c>
      <c r="BF6" s="142" t="s">
        <v>522</v>
      </c>
      <c r="BK6" s="212" t="s">
        <v>486</v>
      </c>
    </row>
    <row r="7" spans="1:77" ht="16.5">
      <c r="A7" s="241">
        <v>41780</v>
      </c>
      <c r="R7" s="80" t="s">
        <v>52</v>
      </c>
      <c r="S7" s="148" t="s">
        <v>311</v>
      </c>
      <c r="T7" s="80" t="s">
        <v>400</v>
      </c>
      <c r="U7" s="160"/>
      <c r="V7" s="155" t="s">
        <v>400</v>
      </c>
      <c r="W7" s="163" t="s">
        <v>581</v>
      </c>
      <c r="X7" s="163" t="s">
        <v>63</v>
      </c>
      <c r="Y7" s="160"/>
      <c r="Z7" s="207" t="s">
        <v>552</v>
      </c>
      <c r="AA7" s="208"/>
      <c r="AB7" s="209"/>
      <c r="AC7" s="155" t="s">
        <v>460</v>
      </c>
      <c r="AD7" s="155" t="s">
        <v>460</v>
      </c>
      <c r="AE7" s="170" t="s">
        <v>402</v>
      </c>
      <c r="AF7" s="176"/>
      <c r="AG7" s="176"/>
      <c r="AH7" s="176"/>
      <c r="AI7" s="176"/>
      <c r="AJ7" s="176"/>
      <c r="AK7" s="176"/>
      <c r="AL7" s="171"/>
      <c r="AN7" s="164" t="s">
        <v>93</v>
      </c>
      <c r="AO7" s="164" t="s">
        <v>93</v>
      </c>
      <c r="AP7" s="164" t="s">
        <v>91</v>
      </c>
      <c r="AQ7" s="164" t="s">
        <v>9</v>
      </c>
      <c r="AT7" s="223" t="s">
        <v>443</v>
      </c>
      <c r="AU7" s="224"/>
      <c r="AV7" s="225"/>
      <c r="AW7" s="142" t="s">
        <v>457</v>
      </c>
      <c r="AX7" s="157"/>
      <c r="AY7" s="157"/>
      <c r="AZ7" s="142"/>
      <c r="BC7" s="233" t="s">
        <v>488</v>
      </c>
      <c r="BD7" s="142" t="s">
        <v>487</v>
      </c>
      <c r="BE7" s="232" t="s">
        <v>485</v>
      </c>
      <c r="BF7" s="142" t="s">
        <v>521</v>
      </c>
      <c r="BI7" s="161" t="s">
        <v>488</v>
      </c>
      <c r="BJ7" s="142" t="s">
        <v>487</v>
      </c>
      <c r="BK7" s="232" t="s">
        <v>485</v>
      </c>
      <c r="BO7" s="146" t="s">
        <v>604</v>
      </c>
      <c r="BP7" s="146"/>
      <c r="BQ7" s="146"/>
      <c r="BR7" s="146"/>
      <c r="BS7" s="146"/>
      <c r="BT7" s="146"/>
      <c r="BU7" s="146"/>
      <c r="BV7" s="146"/>
      <c r="BW7" s="146"/>
      <c r="BX7" s="146"/>
      <c r="BY7" s="146" t="s">
        <v>608</v>
      </c>
    </row>
    <row r="8" spans="3:77" ht="15">
      <c r="C8" s="137" t="s">
        <v>465</v>
      </c>
      <c r="D8" s="137"/>
      <c r="E8" s="137" t="s">
        <v>350</v>
      </c>
      <c r="F8" s="137"/>
      <c r="H8" s="101" t="s">
        <v>546</v>
      </c>
      <c r="J8" s="168" t="s">
        <v>466</v>
      </c>
      <c r="K8" s="175"/>
      <c r="L8" s="166"/>
      <c r="M8" s="166"/>
      <c r="N8" s="167"/>
      <c r="O8" s="137"/>
      <c r="P8" s="80" t="s">
        <v>227</v>
      </c>
      <c r="R8" s="80" t="s">
        <v>50</v>
      </c>
      <c r="S8" s="80" t="s">
        <v>401</v>
      </c>
      <c r="T8" s="148" t="s">
        <v>311</v>
      </c>
      <c r="U8" s="157" t="s">
        <v>483</v>
      </c>
      <c r="V8" s="156" t="s">
        <v>311</v>
      </c>
      <c r="W8" s="157" t="s">
        <v>504</v>
      </c>
      <c r="X8" s="157" t="s">
        <v>62</v>
      </c>
      <c r="Z8" s="80"/>
      <c r="AC8" s="155" t="s">
        <v>429</v>
      </c>
      <c r="AD8" s="155" t="s">
        <v>429</v>
      </c>
      <c r="AE8" s="172" t="s">
        <v>397</v>
      </c>
      <c r="AF8" s="177"/>
      <c r="AG8" s="177"/>
      <c r="AH8" s="177"/>
      <c r="AI8" s="177"/>
      <c r="AJ8" s="177"/>
      <c r="AK8" s="177"/>
      <c r="AL8" s="173"/>
      <c r="AN8" s="164" t="s">
        <v>493</v>
      </c>
      <c r="AO8" s="164" t="s">
        <v>523</v>
      </c>
      <c r="AP8" s="164" t="s">
        <v>90</v>
      </c>
      <c r="AQ8" s="164" t="s">
        <v>90</v>
      </c>
      <c r="AR8" s="137" t="s">
        <v>450</v>
      </c>
      <c r="AS8" s="217" t="s">
        <v>451</v>
      </c>
      <c r="AU8" s="157"/>
      <c r="AV8" s="157"/>
      <c r="AW8" s="142" t="s">
        <v>459</v>
      </c>
      <c r="AX8" s="157"/>
      <c r="AY8" s="157"/>
      <c r="AZ8" s="80" t="s">
        <v>300</v>
      </c>
      <c r="BA8" s="80" t="s">
        <v>300</v>
      </c>
      <c r="BB8" s="205" t="s">
        <v>301</v>
      </c>
      <c r="BC8" s="205" t="s">
        <v>301</v>
      </c>
      <c r="BD8" s="205" t="s">
        <v>301</v>
      </c>
      <c r="BE8" s="205" t="s">
        <v>301</v>
      </c>
      <c r="BF8" s="142" t="s">
        <v>398</v>
      </c>
      <c r="BH8" s="205" t="s">
        <v>301</v>
      </c>
      <c r="BI8" s="205" t="s">
        <v>301</v>
      </c>
      <c r="BJ8" s="205" t="s">
        <v>301</v>
      </c>
      <c r="BK8" s="205" t="s">
        <v>301</v>
      </c>
      <c r="BO8" s="90" t="s">
        <v>603</v>
      </c>
      <c r="BY8" s="90" t="s">
        <v>609</v>
      </c>
    </row>
    <row r="9" spans="3:70" ht="15">
      <c r="C9" s="137" t="s">
        <v>23</v>
      </c>
      <c r="D9" s="137"/>
      <c r="E9" s="137" t="s">
        <v>24</v>
      </c>
      <c r="F9" s="137" t="s">
        <v>142</v>
      </c>
      <c r="G9" s="137" t="s">
        <v>333</v>
      </c>
      <c r="H9" s="137" t="s">
        <v>334</v>
      </c>
      <c r="J9" s="137" t="s">
        <v>353</v>
      </c>
      <c r="K9" s="137" t="s">
        <v>353</v>
      </c>
      <c r="L9" s="137" t="s">
        <v>102</v>
      </c>
      <c r="M9" s="137" t="s">
        <v>103</v>
      </c>
      <c r="N9" s="137" t="s">
        <v>104</v>
      </c>
      <c r="O9" s="137"/>
      <c r="P9" s="80" t="s">
        <v>228</v>
      </c>
      <c r="R9" s="80" t="s">
        <v>59</v>
      </c>
      <c r="S9" s="80" t="s">
        <v>399</v>
      </c>
      <c r="T9" s="155" t="s">
        <v>359</v>
      </c>
      <c r="U9" s="157" t="s">
        <v>484</v>
      </c>
      <c r="V9" s="155" t="s">
        <v>359</v>
      </c>
      <c r="W9" s="157" t="s">
        <v>484</v>
      </c>
      <c r="X9" s="157" t="s">
        <v>64</v>
      </c>
      <c r="Z9" s="80" t="s">
        <v>245</v>
      </c>
      <c r="AA9" s="80" t="s">
        <v>245</v>
      </c>
      <c r="AB9" s="80" t="s">
        <v>245</v>
      </c>
      <c r="AC9" s="155" t="s">
        <v>430</v>
      </c>
      <c r="AD9" s="155" t="s">
        <v>432</v>
      </c>
      <c r="AE9" s="80" t="s">
        <v>433</v>
      </c>
      <c r="AF9" s="80" t="s">
        <v>520</v>
      </c>
      <c r="AG9" s="80" t="s">
        <v>520</v>
      </c>
      <c r="AH9" s="213" t="s">
        <v>109</v>
      </c>
      <c r="AI9" s="80" t="s">
        <v>519</v>
      </c>
      <c r="AJ9" s="80" t="s">
        <v>519</v>
      </c>
      <c r="AK9" s="80" t="s">
        <v>519</v>
      </c>
      <c r="AL9" s="213" t="s">
        <v>111</v>
      </c>
      <c r="AN9" s="164" t="s">
        <v>494</v>
      </c>
      <c r="AO9" s="164" t="s">
        <v>548</v>
      </c>
      <c r="AP9" s="164" t="s">
        <v>78</v>
      </c>
      <c r="AQ9" s="164" t="s">
        <v>10</v>
      </c>
      <c r="AR9" s="137" t="s">
        <v>452</v>
      </c>
      <c r="AS9" s="217" t="s">
        <v>453</v>
      </c>
      <c r="AT9" s="205" t="s">
        <v>444</v>
      </c>
      <c r="AU9" s="205" t="s">
        <v>444</v>
      </c>
      <c r="AV9" s="205" t="s">
        <v>444</v>
      </c>
      <c r="AW9" s="205" t="s">
        <v>444</v>
      </c>
      <c r="AX9" s="205" t="s">
        <v>444</v>
      </c>
      <c r="AY9" s="205" t="s">
        <v>444</v>
      </c>
      <c r="AZ9" s="211" t="s">
        <v>169</v>
      </c>
      <c r="BA9" s="211" t="s">
        <v>169</v>
      </c>
      <c r="BB9" s="211" t="s">
        <v>169</v>
      </c>
      <c r="BC9" s="211" t="s">
        <v>169</v>
      </c>
      <c r="BD9" s="211" t="s">
        <v>169</v>
      </c>
      <c r="BE9" s="211" t="s">
        <v>169</v>
      </c>
      <c r="BF9" s="211" t="s">
        <v>169</v>
      </c>
      <c r="BG9" s="211" t="s">
        <v>169</v>
      </c>
      <c r="BH9" s="211" t="s">
        <v>169</v>
      </c>
      <c r="BI9" s="211" t="s">
        <v>169</v>
      </c>
      <c r="BJ9" s="211" t="s">
        <v>169</v>
      </c>
      <c r="BK9" s="211" t="s">
        <v>169</v>
      </c>
      <c r="BO9" s="80" t="s">
        <v>599</v>
      </c>
      <c r="BP9" s="80" t="s">
        <v>600</v>
      </c>
      <c r="BR9" s="80" t="s">
        <v>600</v>
      </c>
    </row>
    <row r="10" spans="3:72" ht="15">
      <c r="C10" s="137" t="s">
        <v>20</v>
      </c>
      <c r="D10" s="137"/>
      <c r="E10" s="137" t="s">
        <v>351</v>
      </c>
      <c r="F10" s="137" t="s">
        <v>225</v>
      </c>
      <c r="G10" s="137" t="s">
        <v>331</v>
      </c>
      <c r="H10" s="137" t="s">
        <v>331</v>
      </c>
      <c r="J10" s="137" t="s">
        <v>92</v>
      </c>
      <c r="K10" s="137" t="s">
        <v>3</v>
      </c>
      <c r="L10" s="137" t="s">
        <v>173</v>
      </c>
      <c r="M10" s="137" t="s">
        <v>57</v>
      </c>
      <c r="N10" s="137" t="s">
        <v>57</v>
      </c>
      <c r="O10" s="137"/>
      <c r="P10" s="80" t="s">
        <v>226</v>
      </c>
      <c r="R10" s="80" t="s">
        <v>60</v>
      </c>
      <c r="S10" s="80" t="s">
        <v>312</v>
      </c>
      <c r="T10" s="155" t="s">
        <v>358</v>
      </c>
      <c r="U10" s="157" t="s">
        <v>476</v>
      </c>
      <c r="V10" s="155" t="s">
        <v>358</v>
      </c>
      <c r="W10" s="157" t="s">
        <v>476</v>
      </c>
      <c r="X10" s="157" t="s">
        <v>65</v>
      </c>
      <c r="Z10" s="80" t="s">
        <v>246</v>
      </c>
      <c r="AA10" s="80" t="s">
        <v>246</v>
      </c>
      <c r="AB10" s="80" t="s">
        <v>246</v>
      </c>
      <c r="AC10" s="155" t="s">
        <v>431</v>
      </c>
      <c r="AD10" s="155" t="s">
        <v>431</v>
      </c>
      <c r="AE10" s="80" t="s">
        <v>107</v>
      </c>
      <c r="AF10" s="80" t="s">
        <v>107</v>
      </c>
      <c r="AG10" s="80" t="s">
        <v>107</v>
      </c>
      <c r="AH10" s="213" t="s">
        <v>107</v>
      </c>
      <c r="AI10" s="80" t="s">
        <v>107</v>
      </c>
      <c r="AJ10" s="80" t="s">
        <v>107</v>
      </c>
      <c r="AK10" s="80" t="s">
        <v>107</v>
      </c>
      <c r="AL10" s="213" t="s">
        <v>107</v>
      </c>
      <c r="AN10" s="164" t="s">
        <v>4</v>
      </c>
      <c r="AO10" s="164" t="s">
        <v>4</v>
      </c>
      <c r="AP10" s="164" t="s">
        <v>72</v>
      </c>
      <c r="AQ10" s="164" t="s">
        <v>72</v>
      </c>
      <c r="AR10" s="137" t="s">
        <v>454</v>
      </c>
      <c r="AS10" s="217" t="s">
        <v>455</v>
      </c>
      <c r="AT10" s="80" t="s">
        <v>445</v>
      </c>
      <c r="AU10" s="80" t="s">
        <v>445</v>
      </c>
      <c r="AV10" s="80" t="s">
        <v>445</v>
      </c>
      <c r="AW10" s="80" t="s">
        <v>445</v>
      </c>
      <c r="AX10" s="80" t="s">
        <v>445</v>
      </c>
      <c r="AY10" s="80" t="s">
        <v>445</v>
      </c>
      <c r="AZ10" s="80" t="s">
        <v>74</v>
      </c>
      <c r="BA10" s="80" t="s">
        <v>74</v>
      </c>
      <c r="BB10" s="189" t="s">
        <v>145</v>
      </c>
      <c r="BC10" s="189" t="s">
        <v>146</v>
      </c>
      <c r="BD10" s="189" t="s">
        <v>146</v>
      </c>
      <c r="BE10" s="189" t="s">
        <v>146</v>
      </c>
      <c r="BF10" s="80" t="s">
        <v>76</v>
      </c>
      <c r="BG10" s="80" t="s">
        <v>76</v>
      </c>
      <c r="BH10" s="80" t="s">
        <v>147</v>
      </c>
      <c r="BI10" s="80" t="s">
        <v>147</v>
      </c>
      <c r="BJ10" s="189" t="s">
        <v>171</v>
      </c>
      <c r="BK10" s="189" t="s">
        <v>171</v>
      </c>
      <c r="BO10" s="80" t="s">
        <v>598</v>
      </c>
      <c r="BP10" s="80" t="s">
        <v>601</v>
      </c>
      <c r="BR10" s="80" t="s">
        <v>602</v>
      </c>
      <c r="BT10" s="90" t="s">
        <v>607</v>
      </c>
    </row>
    <row r="11" spans="1:80" s="97" customFormat="1" ht="15">
      <c r="A11" s="97" t="s">
        <v>21</v>
      </c>
      <c r="C11" s="138" t="s">
        <v>22</v>
      </c>
      <c r="D11" s="138"/>
      <c r="E11" s="138" t="s">
        <v>352</v>
      </c>
      <c r="F11" s="138" t="s">
        <v>439</v>
      </c>
      <c r="G11" s="138" t="s">
        <v>332</v>
      </c>
      <c r="H11" s="138" t="s">
        <v>332</v>
      </c>
      <c r="I11" s="101"/>
      <c r="J11" s="138" t="s">
        <v>89</v>
      </c>
      <c r="K11" s="138" t="s">
        <v>89</v>
      </c>
      <c r="L11" s="138" t="s">
        <v>174</v>
      </c>
      <c r="M11" s="138" t="s">
        <v>37</v>
      </c>
      <c r="N11" s="138" t="s">
        <v>37</v>
      </c>
      <c r="O11" s="138"/>
      <c r="P11" s="98" t="s">
        <v>392</v>
      </c>
      <c r="Q11" s="90"/>
      <c r="R11" s="98" t="s">
        <v>61</v>
      </c>
      <c r="S11" s="98" t="s">
        <v>390</v>
      </c>
      <c r="T11" s="98" t="s">
        <v>390</v>
      </c>
      <c r="U11" s="158" t="s">
        <v>477</v>
      </c>
      <c r="V11" s="98" t="s">
        <v>390</v>
      </c>
      <c r="W11" s="158" t="s">
        <v>477</v>
      </c>
      <c r="X11" s="158" t="s">
        <v>8</v>
      </c>
      <c r="Y11" s="158"/>
      <c r="Z11" s="98" t="s">
        <v>247</v>
      </c>
      <c r="AA11" s="98" t="s">
        <v>348</v>
      </c>
      <c r="AB11" s="98" t="s">
        <v>100</v>
      </c>
      <c r="AC11" s="169" t="str">
        <f>J11</f>
        <v>slaves 10-up</v>
      </c>
      <c r="AD11" s="169" t="str">
        <f>K11</f>
        <v>slaves 10-up</v>
      </c>
      <c r="AE11" s="98" t="s">
        <v>247</v>
      </c>
      <c r="AF11" s="98" t="s">
        <v>348</v>
      </c>
      <c r="AG11" s="98" t="s">
        <v>99</v>
      </c>
      <c r="AH11" s="214" t="s">
        <v>110</v>
      </c>
      <c r="AI11" s="98" t="s">
        <v>247</v>
      </c>
      <c r="AJ11" s="98" t="s">
        <v>348</v>
      </c>
      <c r="AK11" s="98" t="s">
        <v>100</v>
      </c>
      <c r="AL11" s="214" t="s">
        <v>110</v>
      </c>
      <c r="AN11" s="165" t="s">
        <v>335</v>
      </c>
      <c r="AO11" s="165" t="s">
        <v>335</v>
      </c>
      <c r="AP11" s="165" t="s">
        <v>71</v>
      </c>
      <c r="AQ11" s="165" t="s">
        <v>71</v>
      </c>
      <c r="AR11" s="228" t="s">
        <v>456</v>
      </c>
      <c r="AS11" s="229" t="s">
        <v>495</v>
      </c>
      <c r="AT11" s="98" t="s">
        <v>446</v>
      </c>
      <c r="AU11" s="98" t="s">
        <v>447</v>
      </c>
      <c r="AV11" s="98" t="s">
        <v>448</v>
      </c>
      <c r="AW11" s="98" t="s">
        <v>446</v>
      </c>
      <c r="AX11" s="98" t="s">
        <v>447</v>
      </c>
      <c r="AY11" s="98" t="s">
        <v>448</v>
      </c>
      <c r="AZ11" s="98" t="s">
        <v>73</v>
      </c>
      <c r="BA11" s="98" t="s">
        <v>75</v>
      </c>
      <c r="BB11" s="98" t="s">
        <v>73</v>
      </c>
      <c r="BC11" s="98" t="s">
        <v>75</v>
      </c>
      <c r="BD11" s="98" t="s">
        <v>170</v>
      </c>
      <c r="BE11" s="98" t="s">
        <v>112</v>
      </c>
      <c r="BF11" s="98" t="s">
        <v>73</v>
      </c>
      <c r="BG11" s="98" t="s">
        <v>75</v>
      </c>
      <c r="BH11" s="98" t="s">
        <v>73</v>
      </c>
      <c r="BI11" s="98" t="s">
        <v>75</v>
      </c>
      <c r="BJ11" s="98" t="s">
        <v>170</v>
      </c>
      <c r="BK11" s="98" t="s">
        <v>112</v>
      </c>
      <c r="BM11" s="97" t="s">
        <v>21</v>
      </c>
      <c r="BO11" s="98" t="s">
        <v>20</v>
      </c>
      <c r="BP11" s="98" t="s">
        <v>592</v>
      </c>
      <c r="BQ11" s="98" t="s">
        <v>593</v>
      </c>
      <c r="BR11" s="98" t="s">
        <v>190</v>
      </c>
      <c r="BT11" s="98" t="s">
        <v>20</v>
      </c>
      <c r="BU11" s="98" t="s">
        <v>592</v>
      </c>
      <c r="BV11" s="98" t="s">
        <v>593</v>
      </c>
      <c r="BW11" s="98" t="s">
        <v>606</v>
      </c>
      <c r="BY11" s="98" t="s">
        <v>20</v>
      </c>
      <c r="BZ11" s="98" t="s">
        <v>592</v>
      </c>
      <c r="CA11" s="98" t="s">
        <v>593</v>
      </c>
      <c r="CB11" s="98" t="s">
        <v>190</v>
      </c>
    </row>
    <row r="12" spans="1:80" s="249" customFormat="1" ht="15">
      <c r="A12" s="249" t="s">
        <v>502</v>
      </c>
      <c r="C12" s="250">
        <v>35705.74139999999</v>
      </c>
      <c r="D12" s="250"/>
      <c r="E12" s="251">
        <v>2409837.3204</v>
      </c>
      <c r="F12" s="251">
        <v>488968.7568</v>
      </c>
      <c r="G12" s="251">
        <f>C12+E12+F12</f>
        <v>2934511.8186000003</v>
      </c>
      <c r="H12" s="251">
        <f>G12*1.07</f>
        <v>3139927.6459020004</v>
      </c>
      <c r="I12" s="250"/>
      <c r="J12" s="250">
        <v>16458.228000000003</v>
      </c>
      <c r="K12" s="250">
        <f>J12*6/11</f>
        <v>8977.215272727275</v>
      </c>
      <c r="L12" s="250">
        <f>M12-J12</f>
        <v>11010.554532000002</v>
      </c>
      <c r="M12" s="250">
        <v>27468.782532000005</v>
      </c>
      <c r="N12" s="250">
        <f>K12+L12</f>
        <v>19987.76980472728</v>
      </c>
      <c r="O12" s="250"/>
      <c r="P12" s="252">
        <f>H12+J12</f>
        <v>3156385.8739020005</v>
      </c>
      <c r="R12" s="253">
        <f>1/0.85</f>
        <v>1.1764705882352942</v>
      </c>
      <c r="S12" s="252">
        <f>H12*R12</f>
        <v>3694032.5245905886</v>
      </c>
      <c r="T12" s="252"/>
      <c r="U12" s="256"/>
      <c r="V12" s="252"/>
      <c r="W12" s="256"/>
      <c r="X12" s="253">
        <f>1/0.85</f>
        <v>1.1764705882352942</v>
      </c>
      <c r="Y12" s="256"/>
      <c r="Z12" s="252">
        <f>S12</f>
        <v>3694032.5245905886</v>
      </c>
      <c r="AA12" s="252">
        <f>S12</f>
        <v>3694032.5245905886</v>
      </c>
      <c r="AB12" s="252">
        <f>H12*X12</f>
        <v>3694032.5245905886</v>
      </c>
      <c r="AC12" s="252">
        <f>J12</f>
        <v>16458.228000000003</v>
      </c>
      <c r="AD12" s="250">
        <f>K12</f>
        <v>8977.215272727275</v>
      </c>
      <c r="AE12" s="252">
        <f>Z12+$AC12</f>
        <v>3710490.7525905888</v>
      </c>
      <c r="AF12" s="252">
        <f>AA12+$AC12</f>
        <v>3710490.7525905888</v>
      </c>
      <c r="AG12" s="252">
        <f>AB12+$AC12</f>
        <v>3710490.7525905888</v>
      </c>
      <c r="AH12" s="257">
        <f>(AF12+AG12)/2</f>
        <v>3710490.7525905888</v>
      </c>
      <c r="AI12" s="252">
        <f>Z12+$AD12</f>
        <v>3703009.739863316</v>
      </c>
      <c r="AJ12" s="252">
        <f>AA12+$AD12</f>
        <v>3703009.739863316</v>
      </c>
      <c r="AK12" s="252">
        <f>AB12+$AD12</f>
        <v>3703009.739863316</v>
      </c>
      <c r="AL12" s="257">
        <f>(AJ12+AK12)/2</f>
        <v>3703009.739863316</v>
      </c>
      <c r="AN12" s="258">
        <v>2.5285393005728714</v>
      </c>
      <c r="AO12" s="258">
        <v>1.562902384438194</v>
      </c>
      <c r="AP12" s="258">
        <v>0.08178529799653132</v>
      </c>
      <c r="AQ12" s="258">
        <v>0.030040771297404456</v>
      </c>
      <c r="AR12" s="259">
        <v>15172.717467143997</v>
      </c>
      <c r="AS12" s="260">
        <v>49.60649944384535</v>
      </c>
      <c r="AT12" s="259">
        <f>Z12/1000</f>
        <v>3694.0325245905888</v>
      </c>
      <c r="AU12" s="259">
        <f>AA12/1000</f>
        <v>3694.0325245905888</v>
      </c>
      <c r="AV12" s="259">
        <f>AB12/1000</f>
        <v>3694.0325245905888</v>
      </c>
      <c r="AW12" s="261">
        <f>$AR12+$AS12+AT12</f>
        <v>18916.35649117843</v>
      </c>
      <c r="AX12" s="261">
        <f>$AR12+$AS12+AU12</f>
        <v>18916.35649117843</v>
      </c>
      <c r="AY12" s="261">
        <f>$AR12+$AS12+AV12</f>
        <v>18916.35649117843</v>
      </c>
      <c r="AZ12" s="252">
        <f>AE12*AN12</f>
        <v>9382121.692337515</v>
      </c>
      <c r="BA12" s="252">
        <f>AF12*AN12</f>
        <v>9382121.692337515</v>
      </c>
      <c r="BB12" s="252">
        <f>(AE12/1000)+($AP12*($AR12+$AS12+AT12))</f>
        <v>5257.570605230236</v>
      </c>
      <c r="BC12" s="252">
        <f>(AF12/1000)+($AP12*($AR12+$AS12+AU12))</f>
        <v>5257.570605230236</v>
      </c>
      <c r="BD12" s="252">
        <f>(AG12/1000)+($AP12*($AR12+$AS12+AV12))</f>
        <v>5257.570605230236</v>
      </c>
      <c r="BE12" s="252">
        <f>(BC12+BD12)/2</f>
        <v>5257.570605230236</v>
      </c>
      <c r="BF12" s="252">
        <f>AI12*$AO12</f>
        <v>5787442.752030233</v>
      </c>
      <c r="BG12" s="252">
        <f>AJ12*$AO12</f>
        <v>5787442.752030233</v>
      </c>
      <c r="BH12" s="252">
        <f>(AE12/1000)+($AQ12*($AR12+$AS12+AT12))</f>
        <v>4278.752691722252</v>
      </c>
      <c r="BI12" s="252">
        <f>(AF12/1000)+($AQ12*($AR12+$AS12+AU12))</f>
        <v>4278.752691722252</v>
      </c>
      <c r="BJ12" s="252">
        <f>(AG12/1000)+($AQ12*($AR12+$AS12+AV12))</f>
        <v>4278.752691722252</v>
      </c>
      <c r="BK12" s="252">
        <f>(BI12+BJ12)/2</f>
        <v>4278.752691722252</v>
      </c>
      <c r="BM12" s="249" t="s">
        <v>502</v>
      </c>
      <c r="BO12" s="252">
        <f>(AA12+AB12)/2</f>
        <v>3694032.5245905886</v>
      </c>
      <c r="BP12" s="252">
        <f>AC12</f>
        <v>16458.228000000003</v>
      </c>
      <c r="BQ12" s="252">
        <f>BR12-BO12-BP12</f>
        <v>1547079.8526396467</v>
      </c>
      <c r="BR12" s="252">
        <f>1000*BE12</f>
        <v>5257570.6052302355</v>
      </c>
      <c r="BT12" s="262">
        <v>6</v>
      </c>
      <c r="BU12" s="262">
        <v>11</v>
      </c>
      <c r="BV12" s="262">
        <v>11.317650315129224</v>
      </c>
      <c r="BW12" s="262">
        <f>100*BR12/(1000000*CB12)</f>
        <v>6.974158667972068</v>
      </c>
      <c r="BY12" s="263">
        <f>BO12/((BT12/100)*1000000)</f>
        <v>61.56720874317648</v>
      </c>
      <c r="BZ12" s="263">
        <f>BP12/((BU12/100)*1000000)</f>
        <v>0.14962025454545458</v>
      </c>
      <c r="CA12" s="263">
        <f>BQ12/((BV12/100)*1000000)</f>
        <v>13.669620544571334</v>
      </c>
      <c r="CB12" s="263">
        <f>SUM(BY12:CA12)</f>
        <v>75.38644954229326</v>
      </c>
    </row>
    <row r="13" spans="1:73" ht="15">
      <c r="A13" s="90" t="s">
        <v>563</v>
      </c>
      <c r="B13" s="90" t="s">
        <v>562</v>
      </c>
      <c r="E13" s="237"/>
      <c r="F13" s="237"/>
      <c r="G13" s="237"/>
      <c r="H13" s="237"/>
      <c r="P13" s="139"/>
      <c r="R13" s="147"/>
      <c r="S13" s="139"/>
      <c r="T13" s="139"/>
      <c r="U13" s="161"/>
      <c r="W13" s="161"/>
      <c r="X13" s="147"/>
      <c r="Y13" s="161"/>
      <c r="Z13" s="139"/>
      <c r="AA13" s="139"/>
      <c r="AB13" s="139"/>
      <c r="AD13" s="101"/>
      <c r="AE13" s="139"/>
      <c r="AF13" s="139"/>
      <c r="AG13" s="139"/>
      <c r="AH13" s="215"/>
      <c r="AI13" s="139"/>
      <c r="AJ13" s="139"/>
      <c r="AK13" s="139"/>
      <c r="AL13" s="215"/>
      <c r="AN13" s="174"/>
      <c r="AO13" s="174"/>
      <c r="AP13" s="174"/>
      <c r="AQ13" s="174"/>
      <c r="AR13" s="155"/>
      <c r="AT13" s="155"/>
      <c r="AU13" s="155"/>
      <c r="AV13" s="155"/>
      <c r="AW13" s="226"/>
      <c r="AX13" s="226"/>
      <c r="AY13" s="226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M13" s="90" t="s">
        <v>563</v>
      </c>
      <c r="BO13" s="139"/>
      <c r="BT13" s="93"/>
      <c r="BU13" s="93"/>
    </row>
    <row r="14" spans="1:80" ht="15">
      <c r="A14" s="90" t="s">
        <v>79</v>
      </c>
      <c r="C14" s="101">
        <v>50891.7258</v>
      </c>
      <c r="E14" s="237">
        <v>3566738.5584</v>
      </c>
      <c r="F14" s="237">
        <v>1472809.5876</v>
      </c>
      <c r="G14" s="237">
        <f>C14+E14+F14</f>
        <v>5090439.8718</v>
      </c>
      <c r="H14" s="237">
        <f>G14*1.07</f>
        <v>5446770.662826</v>
      </c>
      <c r="J14" s="101">
        <v>0</v>
      </c>
      <c r="K14" s="101">
        <f>J14*6/11</f>
        <v>0</v>
      </c>
      <c r="L14" s="101">
        <f>M14-J14</f>
        <v>0</v>
      </c>
      <c r="M14" s="101">
        <v>0</v>
      </c>
      <c r="N14" s="101">
        <f>K14+L14</f>
        <v>0</v>
      </c>
      <c r="P14" s="139">
        <f>H14+J14</f>
        <v>5446770.662826</v>
      </c>
      <c r="R14" s="147">
        <f>1/0.85</f>
        <v>1.1764705882352942</v>
      </c>
      <c r="S14" s="139">
        <f>H14*R14</f>
        <v>6407965.485677647</v>
      </c>
      <c r="T14" s="139"/>
      <c r="U14" s="161"/>
      <c r="W14" s="161"/>
      <c r="X14" s="147">
        <f>1/0.85</f>
        <v>1.1764705882352942</v>
      </c>
      <c r="Y14" s="161"/>
      <c r="Z14" s="139">
        <f>S14</f>
        <v>6407965.485677647</v>
      </c>
      <c r="AA14" s="139">
        <f>S14</f>
        <v>6407965.485677647</v>
      </c>
      <c r="AB14" s="139">
        <f>H14*X14</f>
        <v>6407965.485677647</v>
      </c>
      <c r="AC14" s="101">
        <f aca="true" t="shared" si="0" ref="AC14:AD18">J14</f>
        <v>0</v>
      </c>
      <c r="AD14" s="101">
        <f t="shared" si="0"/>
        <v>0</v>
      </c>
      <c r="AE14" s="139">
        <f aca="true" t="shared" si="1" ref="AE14:AG17">Z14+$AC14</f>
        <v>6407965.485677647</v>
      </c>
      <c r="AF14" s="139">
        <f t="shared" si="1"/>
        <v>6407965.485677647</v>
      </c>
      <c r="AG14" s="139">
        <f t="shared" si="1"/>
        <v>6407965.485677647</v>
      </c>
      <c r="AH14" s="215">
        <f>(AF14+AG14)/2</f>
        <v>6407965.485677647</v>
      </c>
      <c r="AI14" s="139">
        <f aca="true" t="shared" si="2" ref="AI14:AK17">Z14+$AD14</f>
        <v>6407965.485677647</v>
      </c>
      <c r="AJ14" s="139">
        <f t="shared" si="2"/>
        <v>6407965.485677647</v>
      </c>
      <c r="AK14" s="139">
        <f t="shared" si="2"/>
        <v>6407965.485677647</v>
      </c>
      <c r="AL14" s="215">
        <f>(AJ14+AK14)/2</f>
        <v>6407965.485677647</v>
      </c>
      <c r="AN14" s="174">
        <v>2.5285393005728714</v>
      </c>
      <c r="AO14" s="174">
        <v>1.562902384438194</v>
      </c>
      <c r="AP14" s="174">
        <v>0.08178529799653132</v>
      </c>
      <c r="AQ14" s="174">
        <v>0.030040771297404456</v>
      </c>
      <c r="AR14" s="155">
        <v>36503.904347199</v>
      </c>
      <c r="AT14" s="155">
        <f aca="true" t="shared" si="3" ref="AT14:AV18">Z14/1000</f>
        <v>6407.965485677648</v>
      </c>
      <c r="AU14" s="155">
        <f t="shared" si="3"/>
        <v>6407.965485677648</v>
      </c>
      <c r="AV14" s="155">
        <f t="shared" si="3"/>
        <v>6407.965485677648</v>
      </c>
      <c r="AW14" s="226">
        <f aca="true" t="shared" si="4" ref="AW14:AY18">$AR14+$AS14+AT14</f>
        <v>42911.86983287665</v>
      </c>
      <c r="AX14" s="226">
        <f t="shared" si="4"/>
        <v>42911.86983287665</v>
      </c>
      <c r="AY14" s="226">
        <f t="shared" si="4"/>
        <v>42911.86983287665</v>
      </c>
      <c r="AZ14" s="139">
        <f>AE14*AN14</f>
        <v>16202792.567250459</v>
      </c>
      <c r="BA14" s="139">
        <f>AF14*AN14</f>
        <v>16202792.567250459</v>
      </c>
      <c r="BB14" s="139">
        <f aca="true" t="shared" si="5" ref="BB14:BD17">(AE14/1000)+($AP14*($AR14+$AS14+AT14))</f>
        <v>9917.525547547826</v>
      </c>
      <c r="BC14" s="139">
        <f t="shared" si="5"/>
        <v>9917.525547547826</v>
      </c>
      <c r="BD14" s="139">
        <f t="shared" si="5"/>
        <v>9917.525547547826</v>
      </c>
      <c r="BE14" s="139">
        <f>(BC14+BD14)/2</f>
        <v>9917.525547547826</v>
      </c>
      <c r="BF14" s="139">
        <f aca="true" t="shared" si="6" ref="BF14:BG17">AI14*$AO14</f>
        <v>10015024.536963245</v>
      </c>
      <c r="BG14" s="139">
        <f t="shared" si="6"/>
        <v>10015024.536963245</v>
      </c>
      <c r="BH14" s="139">
        <f aca="true" t="shared" si="7" ref="BH14:BJ17">(AE14/1000)+($AQ14*($AR14+$AS14+AT14))</f>
        <v>7697.071153271085</v>
      </c>
      <c r="BI14" s="139">
        <f t="shared" si="7"/>
        <v>7697.071153271085</v>
      </c>
      <c r="BJ14" s="139">
        <f t="shared" si="7"/>
        <v>7697.071153271085</v>
      </c>
      <c r="BK14" s="139">
        <f>(BI14+BJ14)/2</f>
        <v>7697.071153271085</v>
      </c>
      <c r="BM14" s="90" t="s">
        <v>79</v>
      </c>
      <c r="BO14" s="139">
        <f aca="true" t="shared" si="8" ref="BO14:BO47">(AA14+AB14)/2</f>
        <v>6407965.485677647</v>
      </c>
      <c r="BP14" s="139">
        <f>AC14</f>
        <v>0</v>
      </c>
      <c r="BQ14" s="139">
        <f>BR14-BO14-BP14</f>
        <v>3509560.061870179</v>
      </c>
      <c r="BR14" s="139">
        <f>1000*BE14</f>
        <v>9917525.547547827</v>
      </c>
      <c r="BT14" s="93">
        <v>6</v>
      </c>
      <c r="BU14" s="93">
        <v>11</v>
      </c>
      <c r="BV14" s="93">
        <v>11.317650315129224</v>
      </c>
      <c r="BW14" s="93">
        <f>100*BR14/(1000000*CB14)</f>
        <v>7.196570988161851</v>
      </c>
      <c r="BY14" s="245">
        <f aca="true" t="shared" si="9" ref="BY14:BY47">BO14/((BT14/100)*1000000)</f>
        <v>106.79942476129412</v>
      </c>
      <c r="BZ14" s="245">
        <f aca="true" t="shared" si="10" ref="BZ14:BZ47">BP14/((BU14/100)*1000000)</f>
        <v>0</v>
      </c>
      <c r="CA14" s="245">
        <f aca="true" t="shared" si="11" ref="CA14:CA45">BQ14/((BV14/100)*1000000)</f>
        <v>31.009617404229786</v>
      </c>
      <c r="CB14" s="245">
        <f aca="true" t="shared" si="12" ref="CB14:CB45">SUM(BY14:CA14)</f>
        <v>137.80904216552392</v>
      </c>
    </row>
    <row r="15" spans="1:80" ht="15">
      <c r="A15" s="90" t="s">
        <v>500</v>
      </c>
      <c r="C15" s="101">
        <v>26223.596999999998</v>
      </c>
      <c r="E15" s="237">
        <v>1141686.4818</v>
      </c>
      <c r="F15" s="237">
        <v>248816.33399999997</v>
      </c>
      <c r="G15" s="237">
        <f>C15+E15+F15</f>
        <v>1416726.4128</v>
      </c>
      <c r="H15" s="237">
        <f>G15*1.07</f>
        <v>1515897.2616960001</v>
      </c>
      <c r="J15" s="101">
        <v>153.57600000000002</v>
      </c>
      <c r="K15" s="101">
        <f>J15*6/11</f>
        <v>83.76872727272729</v>
      </c>
      <c r="L15" s="101">
        <f>M15-J15</f>
        <v>102.742344</v>
      </c>
      <c r="M15" s="101">
        <v>256.318344</v>
      </c>
      <c r="N15" s="101">
        <f>K15+L15</f>
        <v>186.5110712727273</v>
      </c>
      <c r="P15" s="139">
        <f>H15+J15</f>
        <v>1516050.837696</v>
      </c>
      <c r="R15" s="147">
        <f>1/0.85</f>
        <v>1.1764705882352942</v>
      </c>
      <c r="S15" s="139">
        <f>H15*R15</f>
        <v>1783408.5431717648</v>
      </c>
      <c r="T15" s="139"/>
      <c r="U15" s="161"/>
      <c r="W15" s="161"/>
      <c r="X15" s="147">
        <f>1/0.85</f>
        <v>1.1764705882352942</v>
      </c>
      <c r="Y15" s="161"/>
      <c r="Z15" s="139">
        <f>S15</f>
        <v>1783408.5431717648</v>
      </c>
      <c r="AA15" s="139">
        <f>S15</f>
        <v>1783408.5431717648</v>
      </c>
      <c r="AB15" s="139">
        <f>H15*X15</f>
        <v>1783408.5431717648</v>
      </c>
      <c r="AC15" s="101">
        <f t="shared" si="0"/>
        <v>153.57600000000002</v>
      </c>
      <c r="AD15" s="101">
        <f t="shared" si="0"/>
        <v>83.76872727272729</v>
      </c>
      <c r="AE15" s="139">
        <f t="shared" si="1"/>
        <v>1783562.1191717647</v>
      </c>
      <c r="AF15" s="139">
        <f t="shared" si="1"/>
        <v>1783562.1191717647</v>
      </c>
      <c r="AG15" s="139">
        <f t="shared" si="1"/>
        <v>1783562.1191717647</v>
      </c>
      <c r="AH15" s="215">
        <f>(AF15+AG15)/2</f>
        <v>1783562.1191717647</v>
      </c>
      <c r="AI15" s="139">
        <f t="shared" si="2"/>
        <v>1783492.3118990376</v>
      </c>
      <c r="AJ15" s="139">
        <f t="shared" si="2"/>
        <v>1783492.3118990376</v>
      </c>
      <c r="AK15" s="139">
        <f t="shared" si="2"/>
        <v>1783492.3118990376</v>
      </c>
      <c r="AL15" s="215">
        <f>(AJ15+AK15)/2</f>
        <v>1783492.3118990376</v>
      </c>
      <c r="AN15" s="174">
        <v>2.5285393005728714</v>
      </c>
      <c r="AO15" s="174">
        <v>1.562902384438194</v>
      </c>
      <c r="AP15" s="174">
        <v>0.08178529799653132</v>
      </c>
      <c r="AQ15" s="174">
        <v>0.030040771297404456</v>
      </c>
      <c r="AR15" s="155">
        <v>10440.631306968</v>
      </c>
      <c r="AS15" s="217">
        <v>0.37433529647999997</v>
      </c>
      <c r="AT15" s="155">
        <f t="shared" si="3"/>
        <v>1783.408543171765</v>
      </c>
      <c r="AU15" s="155">
        <f t="shared" si="3"/>
        <v>1783.408543171765</v>
      </c>
      <c r="AV15" s="155">
        <f t="shared" si="3"/>
        <v>1783.408543171765</v>
      </c>
      <c r="AW15" s="226">
        <f t="shared" si="4"/>
        <v>12224.414185436244</v>
      </c>
      <c r="AX15" s="226">
        <f t="shared" si="4"/>
        <v>12224.414185436244</v>
      </c>
      <c r="AY15" s="226">
        <f t="shared" si="4"/>
        <v>12224.414185436244</v>
      </c>
      <c r="AZ15" s="139">
        <f>AE15*AN15</f>
        <v>4509806.913338842</v>
      </c>
      <c r="BA15" s="139">
        <f>AF15*AN15</f>
        <v>4509806.913338842</v>
      </c>
      <c r="BB15" s="139">
        <f t="shared" si="5"/>
        <v>2783.3394761606924</v>
      </c>
      <c r="BC15" s="139">
        <f t="shared" si="5"/>
        <v>2783.3394761606924</v>
      </c>
      <c r="BD15" s="139">
        <f t="shared" si="5"/>
        <v>2783.3394761606924</v>
      </c>
      <c r="BE15" s="139">
        <f>(BC15+BD15)/2</f>
        <v>2783.3394761606924</v>
      </c>
      <c r="BF15" s="139">
        <f t="shared" si="6"/>
        <v>2787424.386894193</v>
      </c>
      <c r="BG15" s="139">
        <f t="shared" si="6"/>
        <v>2787424.386894193</v>
      </c>
      <c r="BH15" s="139">
        <f t="shared" si="7"/>
        <v>2150.7929499612014</v>
      </c>
      <c r="BI15" s="139">
        <f t="shared" si="7"/>
        <v>2150.7929499612014</v>
      </c>
      <c r="BJ15" s="139">
        <f t="shared" si="7"/>
        <v>2150.7929499612014</v>
      </c>
      <c r="BK15" s="139">
        <f>(BI15+BJ15)/2</f>
        <v>2150.7929499612014</v>
      </c>
      <c r="BM15" s="90" t="s">
        <v>500</v>
      </c>
      <c r="BO15" s="139">
        <f t="shared" si="8"/>
        <v>1783408.5431717648</v>
      </c>
      <c r="BP15" s="139">
        <f aca="true" t="shared" si="13" ref="BP15:BP47">AC15</f>
        <v>153.57600000000002</v>
      </c>
      <c r="BQ15" s="139">
        <f>BR15-BO15-BP15</f>
        <v>999777.3569889277</v>
      </c>
      <c r="BR15" s="139">
        <f>1000*BE15</f>
        <v>2783339.4761606925</v>
      </c>
      <c r="BT15" s="93">
        <v>6</v>
      </c>
      <c r="BU15" s="93">
        <v>11</v>
      </c>
      <c r="BV15" s="93">
        <v>11.317650315129224</v>
      </c>
      <c r="BW15" s="93">
        <f aca="true" t="shared" si="14" ref="BW15:BW47">100*BR15/(1000000*CB15)</f>
        <v>7.218454708668271</v>
      </c>
      <c r="BY15" s="245">
        <f t="shared" si="9"/>
        <v>29.723475719529414</v>
      </c>
      <c r="BZ15" s="245">
        <f t="shared" si="10"/>
        <v>0.0013961454545454548</v>
      </c>
      <c r="CA15" s="245">
        <f t="shared" si="11"/>
        <v>8.833789074154765</v>
      </c>
      <c r="CB15" s="245">
        <f t="shared" si="12"/>
        <v>38.558660939138726</v>
      </c>
    </row>
    <row r="16" spans="1:80" ht="15">
      <c r="A16" s="90" t="s">
        <v>501</v>
      </c>
      <c r="C16" s="101">
        <v>3934.7652</v>
      </c>
      <c r="E16" s="237">
        <v>484941.3126</v>
      </c>
      <c r="F16" s="237">
        <v>179040.1722</v>
      </c>
      <c r="G16" s="237">
        <f>C16+E16+F16</f>
        <v>667916.25</v>
      </c>
      <c r="H16" s="237">
        <f>G16*1.07</f>
        <v>714670.3875000001</v>
      </c>
      <c r="J16" s="101">
        <v>6578.1720000000005</v>
      </c>
      <c r="K16" s="101">
        <f>J16*6/11</f>
        <v>3588.0938181818187</v>
      </c>
      <c r="L16" s="101">
        <f>M16-J16</f>
        <v>4400.797068</v>
      </c>
      <c r="M16" s="101">
        <v>10978.969068</v>
      </c>
      <c r="N16" s="101">
        <f>K16+L16</f>
        <v>7988.890886181818</v>
      </c>
      <c r="P16" s="139">
        <f>H16+J16</f>
        <v>721248.5595000001</v>
      </c>
      <c r="R16" s="147">
        <f>1/0.85</f>
        <v>1.1764705882352942</v>
      </c>
      <c r="S16" s="139">
        <f>H16*R16</f>
        <v>840788.6911764707</v>
      </c>
      <c r="T16" s="139"/>
      <c r="U16" s="161"/>
      <c r="W16" s="161"/>
      <c r="X16" s="147">
        <f>1/0.85</f>
        <v>1.1764705882352942</v>
      </c>
      <c r="Y16" s="161"/>
      <c r="Z16" s="139">
        <f>S16</f>
        <v>840788.6911764707</v>
      </c>
      <c r="AA16" s="139">
        <f>S16</f>
        <v>840788.6911764707</v>
      </c>
      <c r="AB16" s="139">
        <f>H16*X16</f>
        <v>840788.6911764707</v>
      </c>
      <c r="AC16" s="139">
        <f t="shared" si="0"/>
        <v>6578.1720000000005</v>
      </c>
      <c r="AD16" s="101">
        <f t="shared" si="0"/>
        <v>3588.0938181818187</v>
      </c>
      <c r="AE16" s="139">
        <f t="shared" si="1"/>
        <v>847366.8631764707</v>
      </c>
      <c r="AF16" s="139">
        <f t="shared" si="1"/>
        <v>847366.8631764707</v>
      </c>
      <c r="AG16" s="139">
        <f t="shared" si="1"/>
        <v>847366.8631764707</v>
      </c>
      <c r="AH16" s="215">
        <f>(AF16+AG16)/2</f>
        <v>847366.8631764707</v>
      </c>
      <c r="AI16" s="139">
        <f t="shared" si="2"/>
        <v>844376.7849946525</v>
      </c>
      <c r="AJ16" s="139">
        <f t="shared" si="2"/>
        <v>844376.7849946525</v>
      </c>
      <c r="AK16" s="139">
        <f t="shared" si="2"/>
        <v>844376.7849946525</v>
      </c>
      <c r="AL16" s="215">
        <f>(AJ16+AK16)/2</f>
        <v>844376.7849946525</v>
      </c>
      <c r="AN16" s="174">
        <v>2.5285393005728714</v>
      </c>
      <c r="AO16" s="174">
        <v>1.562902384438194</v>
      </c>
      <c r="AP16" s="174">
        <v>0.08178529799653132</v>
      </c>
      <c r="AQ16" s="174">
        <v>0.030040771297404456</v>
      </c>
      <c r="AR16" s="155">
        <v>4862.450357028</v>
      </c>
      <c r="AS16" s="217">
        <v>20.089362160340578</v>
      </c>
      <c r="AT16" s="155">
        <f t="shared" si="3"/>
        <v>840.7886911764707</v>
      </c>
      <c r="AU16" s="155">
        <f t="shared" si="3"/>
        <v>840.7886911764707</v>
      </c>
      <c r="AV16" s="155">
        <f t="shared" si="3"/>
        <v>840.7886911764707</v>
      </c>
      <c r="AW16" s="226">
        <f t="shared" si="4"/>
        <v>5723.328410364812</v>
      </c>
      <c r="AX16" s="226">
        <f t="shared" si="4"/>
        <v>5723.328410364812</v>
      </c>
      <c r="AY16" s="226">
        <f t="shared" si="4"/>
        <v>5723.328410364812</v>
      </c>
      <c r="AZ16" s="139">
        <f>AE16*AN16</f>
        <v>2142600.4155448615</v>
      </c>
      <c r="BA16" s="139">
        <f>AF16*AN16</f>
        <v>2142600.4155448615</v>
      </c>
      <c r="BB16" s="139">
        <f t="shared" si="5"/>
        <v>1315.4509827501706</v>
      </c>
      <c r="BC16" s="139">
        <f t="shared" si="5"/>
        <v>1315.4509827501706</v>
      </c>
      <c r="BD16" s="139">
        <f t="shared" si="5"/>
        <v>1315.4509827501706</v>
      </c>
      <c r="BE16" s="139">
        <f>(BC16+BD16)/2</f>
        <v>1315.4509827501706</v>
      </c>
      <c r="BF16" s="139">
        <f t="shared" si="6"/>
        <v>1319678.4906323985</v>
      </c>
      <c r="BG16" s="139">
        <f t="shared" si="6"/>
        <v>1319678.4906323985</v>
      </c>
      <c r="BH16" s="139">
        <f t="shared" si="7"/>
        <v>1019.3000630121774</v>
      </c>
      <c r="BI16" s="139">
        <f t="shared" si="7"/>
        <v>1019.3000630121774</v>
      </c>
      <c r="BJ16" s="139">
        <f t="shared" si="7"/>
        <v>1019.3000630121774</v>
      </c>
      <c r="BK16" s="139">
        <f>(BI16+BJ16)/2</f>
        <v>1019.3000630121774</v>
      </c>
      <c r="BM16" s="90" t="s">
        <v>501</v>
      </c>
      <c r="BO16" s="139">
        <f t="shared" si="8"/>
        <v>840788.6911764707</v>
      </c>
      <c r="BP16" s="139">
        <f t="shared" si="13"/>
        <v>6578.1720000000005</v>
      </c>
      <c r="BQ16" s="139">
        <f>BR16-BO16-BP16</f>
        <v>468084.1195736999</v>
      </c>
      <c r="BR16" s="139">
        <f>1000*BE16</f>
        <v>1315450.9827501706</v>
      </c>
      <c r="BT16" s="93">
        <v>6</v>
      </c>
      <c r="BU16" s="93">
        <v>11</v>
      </c>
      <c r="BV16" s="93">
        <v>11.317650315129224</v>
      </c>
      <c r="BW16" s="93">
        <f t="shared" si="14"/>
        <v>7.22425023196059</v>
      </c>
      <c r="BY16" s="245">
        <f t="shared" si="9"/>
        <v>14.01314485294118</v>
      </c>
      <c r="BZ16" s="245">
        <f t="shared" si="10"/>
        <v>0.05980156363636364</v>
      </c>
      <c r="CA16" s="245">
        <f t="shared" si="11"/>
        <v>4.135877205429945</v>
      </c>
      <c r="CB16" s="245">
        <f t="shared" si="12"/>
        <v>18.20882362200749</v>
      </c>
    </row>
    <row r="17" spans="1:80" ht="15">
      <c r="A17" s="90" t="s">
        <v>503</v>
      </c>
      <c r="C17" s="101">
        <v>80584.47899999999</v>
      </c>
      <c r="E17" s="237">
        <v>909929.0412</v>
      </c>
      <c r="F17" s="237">
        <v>93503.3616</v>
      </c>
      <c r="G17" s="237">
        <f>C17+E17+F17</f>
        <v>1084016.8817999999</v>
      </c>
      <c r="H17" s="237">
        <f>G17*1.07</f>
        <v>1159898.063526</v>
      </c>
      <c r="J17" s="101">
        <v>0</v>
      </c>
      <c r="K17" s="101">
        <f>J17*6/11</f>
        <v>0</v>
      </c>
      <c r="L17" s="101">
        <f>M17-J17</f>
        <v>0</v>
      </c>
      <c r="M17" s="101">
        <v>0</v>
      </c>
      <c r="N17" s="101">
        <f>K17+L17</f>
        <v>0</v>
      </c>
      <c r="P17" s="139">
        <f>H17+J17</f>
        <v>1159898.063526</v>
      </c>
      <c r="R17" s="147">
        <f>1/0.85</f>
        <v>1.1764705882352942</v>
      </c>
      <c r="S17" s="139">
        <f>H17*R17</f>
        <v>1364585.9570894118</v>
      </c>
      <c r="T17" s="139"/>
      <c r="U17" s="161"/>
      <c r="W17" s="161"/>
      <c r="X17" s="147">
        <f>1/0.85</f>
        <v>1.1764705882352942</v>
      </c>
      <c r="Y17" s="161"/>
      <c r="Z17" s="139">
        <f>S17</f>
        <v>1364585.9570894118</v>
      </c>
      <c r="AA17" s="139">
        <f>S17</f>
        <v>1364585.9570894118</v>
      </c>
      <c r="AB17" s="139">
        <f>H17*X17</f>
        <v>1364585.9570894118</v>
      </c>
      <c r="AC17" s="101">
        <f t="shared" si="0"/>
        <v>0</v>
      </c>
      <c r="AD17" s="101">
        <f t="shared" si="0"/>
        <v>0</v>
      </c>
      <c r="AE17" s="139">
        <f t="shared" si="1"/>
        <v>1364585.9570894118</v>
      </c>
      <c r="AF17" s="139">
        <f t="shared" si="1"/>
        <v>1364585.9570894118</v>
      </c>
      <c r="AG17" s="139">
        <f t="shared" si="1"/>
        <v>1364585.9570894118</v>
      </c>
      <c r="AH17" s="215">
        <f>(AF17+AG17)/2</f>
        <v>1364585.9570894118</v>
      </c>
      <c r="AI17" s="139">
        <f t="shared" si="2"/>
        <v>1364585.9570894118</v>
      </c>
      <c r="AJ17" s="139">
        <f t="shared" si="2"/>
        <v>1364585.9570894118</v>
      </c>
      <c r="AK17" s="139">
        <f t="shared" si="2"/>
        <v>1364585.9570894118</v>
      </c>
      <c r="AL17" s="215">
        <f>(AJ17+AK17)/2</f>
        <v>1364585.9570894118</v>
      </c>
      <c r="AN17" s="174">
        <v>2.5285393005728714</v>
      </c>
      <c r="AO17" s="174">
        <v>1.562902384438194</v>
      </c>
      <c r="AP17" s="174">
        <v>0.08178529799653132</v>
      </c>
      <c r="AQ17" s="174">
        <v>0.030040771297404456</v>
      </c>
      <c r="AR17" s="155">
        <v>7838.104132668001</v>
      </c>
      <c r="AT17" s="155">
        <f t="shared" si="3"/>
        <v>1364.5859570894117</v>
      </c>
      <c r="AU17" s="155">
        <f t="shared" si="3"/>
        <v>1364.5859570894117</v>
      </c>
      <c r="AV17" s="155">
        <f t="shared" si="3"/>
        <v>1364.5859570894117</v>
      </c>
      <c r="AW17" s="226">
        <f t="shared" si="4"/>
        <v>9202.690089757412</v>
      </c>
      <c r="AX17" s="226">
        <f t="shared" si="4"/>
        <v>9202.690089757412</v>
      </c>
      <c r="AY17" s="226">
        <f t="shared" si="4"/>
        <v>9202.690089757412</v>
      </c>
      <c r="AZ17" s="139">
        <f>AE17*AN17</f>
        <v>3450409.2215104233</v>
      </c>
      <c r="BA17" s="139">
        <f>AF17*AN17</f>
        <v>3450409.2215104233</v>
      </c>
      <c r="BB17" s="139">
        <f t="shared" si="5"/>
        <v>2117.230708449947</v>
      </c>
      <c r="BC17" s="139">
        <f t="shared" si="5"/>
        <v>2117.230708449947</v>
      </c>
      <c r="BD17" s="139">
        <f t="shared" si="5"/>
        <v>2117.230708449947</v>
      </c>
      <c r="BE17" s="139">
        <f>(BC17+BD17)/2</f>
        <v>2117.230708449947</v>
      </c>
      <c r="BF17" s="139">
        <f t="shared" si="6"/>
        <v>2132714.6461059167</v>
      </c>
      <c r="BG17" s="139">
        <f t="shared" si="6"/>
        <v>2132714.6461059167</v>
      </c>
      <c r="BH17" s="139">
        <f t="shared" si="7"/>
        <v>1641.0418653967047</v>
      </c>
      <c r="BI17" s="139">
        <f t="shared" si="7"/>
        <v>1641.0418653967047</v>
      </c>
      <c r="BJ17" s="139">
        <f t="shared" si="7"/>
        <v>1641.0418653967047</v>
      </c>
      <c r="BK17" s="139">
        <f>(BI17+BJ17)/2</f>
        <v>1641.0418653967047</v>
      </c>
      <c r="BM17" s="90" t="s">
        <v>503</v>
      </c>
      <c r="BO17" s="139">
        <f t="shared" si="8"/>
        <v>1364585.9570894118</v>
      </c>
      <c r="BP17" s="139">
        <f t="shared" si="13"/>
        <v>0</v>
      </c>
      <c r="BQ17" s="139">
        <f>BR17-BO17-BP17</f>
        <v>752644.7513605354</v>
      </c>
      <c r="BR17" s="139">
        <f>1000*BE17</f>
        <v>2117230.708449947</v>
      </c>
      <c r="BT17" s="93">
        <v>6</v>
      </c>
      <c r="BU17" s="93">
        <v>11</v>
      </c>
      <c r="BV17" s="93">
        <v>11.317650315129224</v>
      </c>
      <c r="BW17" s="93">
        <f t="shared" si="14"/>
        <v>7.20311022345612</v>
      </c>
      <c r="BY17" s="245">
        <f t="shared" si="9"/>
        <v>22.74309928482353</v>
      </c>
      <c r="BZ17" s="245">
        <f t="shared" si="10"/>
        <v>0</v>
      </c>
      <c r="CA17" s="245">
        <f t="shared" si="11"/>
        <v>6.650185598634496</v>
      </c>
      <c r="CB17" s="245">
        <f t="shared" si="12"/>
        <v>29.393284883458026</v>
      </c>
    </row>
    <row r="18" spans="1:80" ht="15">
      <c r="A18" s="90" t="s">
        <v>270</v>
      </c>
      <c r="C18" s="139">
        <f>SUM(C12:C17)</f>
        <v>197340.30839999998</v>
      </c>
      <c r="D18" s="139"/>
      <c r="E18" s="237">
        <f>SUM(E12:E17)</f>
        <v>8513132.7144</v>
      </c>
      <c r="F18" s="237">
        <f>SUM(F12:F17)</f>
        <v>2483138.2121999995</v>
      </c>
      <c r="G18" s="237">
        <f>C18+E18+F18</f>
        <v>11193611.235</v>
      </c>
      <c r="H18" s="237">
        <f>G18*1.07</f>
        <v>11977164.02145</v>
      </c>
      <c r="J18" s="139">
        <f>SUM(J12:J17)</f>
        <v>23189.976000000002</v>
      </c>
      <c r="K18" s="139">
        <f>SUM(K12:K17)</f>
        <v>12649.07781818182</v>
      </c>
      <c r="L18" s="139">
        <f>SUM(L12:L17)</f>
        <v>15514.093944000002</v>
      </c>
      <c r="M18" s="139">
        <f>SUM(M12:M17)</f>
        <v>38704.069944</v>
      </c>
      <c r="N18" s="139">
        <f>SUM(N12:N17)</f>
        <v>28163.171762181824</v>
      </c>
      <c r="O18" s="139"/>
      <c r="P18" s="139">
        <f>H18+J18</f>
        <v>12000353.99745</v>
      </c>
      <c r="R18" s="147">
        <f>1/0.85</f>
        <v>1.1764705882352942</v>
      </c>
      <c r="S18" s="139">
        <f>SUM(S12:S17)</f>
        <v>14090781.201705882</v>
      </c>
      <c r="T18" s="139"/>
      <c r="U18" s="161"/>
      <c r="W18" s="161"/>
      <c r="X18" s="147">
        <f>1/0.85</f>
        <v>1.1764705882352942</v>
      </c>
      <c r="Y18" s="161"/>
      <c r="Z18" s="155">
        <f>S18</f>
        <v>14090781.201705882</v>
      </c>
      <c r="AA18" s="155">
        <f>S18</f>
        <v>14090781.201705882</v>
      </c>
      <c r="AB18" s="139">
        <f>H18*X18</f>
        <v>14090781.201705882</v>
      </c>
      <c r="AC18" s="155">
        <f t="shared" si="0"/>
        <v>23189.976000000002</v>
      </c>
      <c r="AD18" s="155">
        <f t="shared" si="0"/>
        <v>12649.07781818182</v>
      </c>
      <c r="AE18" s="139">
        <f>SUM(AE12:AE17)</f>
        <v>14113971.177705882</v>
      </c>
      <c r="AF18" s="139">
        <f>SUM(AF12:AF17)</f>
        <v>14113971.177705882</v>
      </c>
      <c r="AG18" s="139">
        <f>AB18+$AC18</f>
        <v>14113971.177705882</v>
      </c>
      <c r="AH18" s="215">
        <f>(AF18+AG18)/2</f>
        <v>14113971.177705882</v>
      </c>
      <c r="AI18" s="139">
        <f>SUM(AI12:AI17)</f>
        <v>14103430.279524066</v>
      </c>
      <c r="AJ18" s="139">
        <f>SUM(AJ12:AJ17)</f>
        <v>14103430.279524066</v>
      </c>
      <c r="AK18" s="139">
        <f>AB18+$AD18</f>
        <v>14103430.279524064</v>
      </c>
      <c r="AL18" s="215">
        <f>(AJ18+AK18)/2</f>
        <v>14103430.279524066</v>
      </c>
      <c r="AN18" s="174">
        <f>AZ18/AE18</f>
        <v>2.5285393005728714</v>
      </c>
      <c r="AO18" s="174">
        <v>1.562902384438194</v>
      </c>
      <c r="AP18" s="174">
        <v>0.08178529799653132</v>
      </c>
      <c r="AQ18" s="174">
        <v>0.030040771297404456</v>
      </c>
      <c r="AR18" s="139">
        <f>SUM(AR12:AR17)</f>
        <v>74817.80761100701</v>
      </c>
      <c r="AS18" s="137">
        <f>SUM(AS12:AS17)</f>
        <v>70.07019690066593</v>
      </c>
      <c r="AT18" s="155">
        <f t="shared" si="3"/>
        <v>14090.781201705882</v>
      </c>
      <c r="AU18" s="155">
        <f t="shared" si="3"/>
        <v>14090.781201705882</v>
      </c>
      <c r="AV18" s="155">
        <f t="shared" si="3"/>
        <v>14090.781201705882</v>
      </c>
      <c r="AW18" s="226">
        <f t="shared" si="4"/>
        <v>88978.65900961356</v>
      </c>
      <c r="AX18" s="226">
        <f t="shared" si="4"/>
        <v>88978.65900961356</v>
      </c>
      <c r="AY18" s="226">
        <f t="shared" si="4"/>
        <v>88978.65900961356</v>
      </c>
      <c r="AZ18" s="139">
        <f aca="true" t="shared" si="15" ref="AZ18:BK18">SUM(AZ12:AZ17)</f>
        <v>35687730.8099821</v>
      </c>
      <c r="BA18" s="139">
        <f t="shared" si="15"/>
        <v>35687730.8099821</v>
      </c>
      <c r="BB18" s="139">
        <f t="shared" si="15"/>
        <v>21391.117320138874</v>
      </c>
      <c r="BC18" s="139">
        <f t="shared" si="15"/>
        <v>21391.117320138874</v>
      </c>
      <c r="BD18" s="139">
        <f t="shared" si="15"/>
        <v>21391.117320138874</v>
      </c>
      <c r="BE18" s="139">
        <f t="shared" si="15"/>
        <v>21391.117320138874</v>
      </c>
      <c r="BF18" s="139">
        <f t="shared" si="15"/>
        <v>22042284.812625986</v>
      </c>
      <c r="BG18" s="139">
        <f t="shared" si="15"/>
        <v>22042284.812625986</v>
      </c>
      <c r="BH18" s="139">
        <f t="shared" si="15"/>
        <v>16786.958723363423</v>
      </c>
      <c r="BI18" s="139">
        <f t="shared" si="15"/>
        <v>16786.958723363423</v>
      </c>
      <c r="BJ18" s="139">
        <f t="shared" si="15"/>
        <v>16786.958723363423</v>
      </c>
      <c r="BK18" s="139">
        <f t="shared" si="15"/>
        <v>16786.958723363423</v>
      </c>
      <c r="BM18" s="90" t="s">
        <v>270</v>
      </c>
      <c r="BO18" s="139">
        <f t="shared" si="8"/>
        <v>14090781.201705882</v>
      </c>
      <c r="BP18" s="139">
        <f t="shared" si="13"/>
        <v>23189.976000000002</v>
      </c>
      <c r="BQ18" s="139">
        <f>BR18-BO18-BP18</f>
        <v>7277146.142432993</v>
      </c>
      <c r="BR18" s="139">
        <f>1000*BE18</f>
        <v>21391117.320138875</v>
      </c>
      <c r="BT18" s="93">
        <v>6</v>
      </c>
      <c r="BU18" s="93">
        <v>11</v>
      </c>
      <c r="BV18" s="93">
        <v>11.317650315129224</v>
      </c>
      <c r="BW18" s="93">
        <f t="shared" si="14"/>
        <v>7.14570566781875</v>
      </c>
      <c r="BY18" s="245">
        <f t="shared" si="9"/>
        <v>234.8463533617647</v>
      </c>
      <c r="BZ18" s="245">
        <f t="shared" si="10"/>
        <v>0.21081796363636365</v>
      </c>
      <c r="CA18" s="245">
        <f t="shared" si="11"/>
        <v>64.29908982702037</v>
      </c>
      <c r="CB18" s="245">
        <f t="shared" si="12"/>
        <v>299.35626115242144</v>
      </c>
    </row>
    <row r="19" spans="5:75" ht="15">
      <c r="E19" s="237"/>
      <c r="F19" s="237"/>
      <c r="G19" s="237"/>
      <c r="H19" s="237"/>
      <c r="P19" s="139"/>
      <c r="R19" s="147"/>
      <c r="S19" s="139"/>
      <c r="T19" s="139"/>
      <c r="U19" s="161"/>
      <c r="W19" s="161"/>
      <c r="X19" s="147"/>
      <c r="Y19" s="161"/>
      <c r="Z19" s="139"/>
      <c r="AA19" s="139"/>
      <c r="AB19" s="139"/>
      <c r="AC19" s="101"/>
      <c r="AD19" s="101"/>
      <c r="AE19" s="139"/>
      <c r="AF19" s="139"/>
      <c r="AG19" s="139"/>
      <c r="AH19" s="215"/>
      <c r="AI19" s="139"/>
      <c r="AJ19" s="139"/>
      <c r="AK19" s="139"/>
      <c r="AL19" s="215"/>
      <c r="AN19" s="174"/>
      <c r="AO19" s="174"/>
      <c r="AP19" s="174"/>
      <c r="AQ19" s="174"/>
      <c r="AR19" s="155"/>
      <c r="AT19" s="155"/>
      <c r="AU19" s="155"/>
      <c r="AV19" s="155"/>
      <c r="AW19" s="226"/>
      <c r="AX19" s="226"/>
      <c r="AY19" s="226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O19" s="139"/>
      <c r="BP19" s="139"/>
      <c r="BT19" s="93"/>
      <c r="BU19" s="93"/>
      <c r="BW19" s="93"/>
    </row>
    <row r="20" spans="1:80" ht="15">
      <c r="A20" s="90" t="s">
        <v>340</v>
      </c>
      <c r="C20" s="101">
        <v>37687.86</v>
      </c>
      <c r="E20" s="237">
        <v>1637278.9134</v>
      </c>
      <c r="F20" s="237">
        <v>548995.1304</v>
      </c>
      <c r="G20" s="237">
        <f>C20+E20+F20</f>
        <v>2223961.9038</v>
      </c>
      <c r="H20" s="237">
        <f>G20*1.07</f>
        <v>2379639.2370660002</v>
      </c>
      <c r="J20" s="101">
        <v>214801.63199999998</v>
      </c>
      <c r="K20" s="101">
        <f>J20*6/11</f>
        <v>117164.52654545453</v>
      </c>
      <c r="L20" s="101">
        <f>M20-J20</f>
        <v>143702.291808</v>
      </c>
      <c r="M20" s="101">
        <v>358503.923808</v>
      </c>
      <c r="N20" s="101">
        <f>K20+L20</f>
        <v>260866.81835345452</v>
      </c>
      <c r="P20" s="139">
        <f>H20+J20</f>
        <v>2594440.869066</v>
      </c>
      <c r="R20" s="147">
        <f>1/0.85</f>
        <v>1.1764705882352942</v>
      </c>
      <c r="S20" s="139">
        <f>H20*R20</f>
        <v>2799575.5730188238</v>
      </c>
      <c r="T20" s="139"/>
      <c r="U20" s="161"/>
      <c r="W20" s="161"/>
      <c r="X20" s="147">
        <f>1/0.85</f>
        <v>1.1764705882352942</v>
      </c>
      <c r="Y20" s="161"/>
      <c r="Z20" s="139">
        <f>S20</f>
        <v>2799575.5730188238</v>
      </c>
      <c r="AA20" s="139">
        <f>S20</f>
        <v>2799575.5730188238</v>
      </c>
      <c r="AB20" s="139">
        <f>H20*X20</f>
        <v>2799575.5730188238</v>
      </c>
      <c r="AC20" s="139">
        <f aca="true" t="shared" si="16" ref="AC20:AD23">J20</f>
        <v>214801.63199999998</v>
      </c>
      <c r="AD20" s="101">
        <f t="shared" si="16"/>
        <v>117164.52654545453</v>
      </c>
      <c r="AE20" s="139">
        <f aca="true" t="shared" si="17" ref="AE20:AG22">Z20+$AC20</f>
        <v>3014377.205018824</v>
      </c>
      <c r="AF20" s="139">
        <f t="shared" si="17"/>
        <v>3014377.205018824</v>
      </c>
      <c r="AG20" s="139">
        <f t="shared" si="17"/>
        <v>3014377.205018824</v>
      </c>
      <c r="AH20" s="215">
        <f>(AF20+AG20)/2</f>
        <v>3014377.205018824</v>
      </c>
      <c r="AI20" s="139">
        <f aca="true" t="shared" si="18" ref="AI20:AK22">Z20+$AD20</f>
        <v>2916740.0995642785</v>
      </c>
      <c r="AJ20" s="139">
        <f t="shared" si="18"/>
        <v>2916740.0995642785</v>
      </c>
      <c r="AK20" s="139">
        <f t="shared" si="18"/>
        <v>2916740.0995642785</v>
      </c>
      <c r="AL20" s="215">
        <f>(AJ20+AK20)/2</f>
        <v>2916740.0995642785</v>
      </c>
      <c r="AN20" s="174">
        <v>4.15980733835905</v>
      </c>
      <c r="AO20" s="174">
        <v>2.1603780332268507</v>
      </c>
      <c r="AP20" s="174">
        <v>0.25503739302311734</v>
      </c>
      <c r="AQ20" s="174">
        <v>0.08906899540429342</v>
      </c>
      <c r="AR20" s="155">
        <v>12073.193643072</v>
      </c>
      <c r="AS20" s="217">
        <v>600.0659013274383</v>
      </c>
      <c r="AT20" s="155">
        <f aca="true" t="shared" si="19" ref="AT20:AV23">Z20/1000</f>
        <v>2799.575573018824</v>
      </c>
      <c r="AU20" s="155">
        <f t="shared" si="19"/>
        <v>2799.575573018824</v>
      </c>
      <c r="AV20" s="155">
        <f t="shared" si="19"/>
        <v>2799.575573018824</v>
      </c>
      <c r="AW20" s="226">
        <f aca="true" t="shared" si="20" ref="AW20:AY23">$AR20+$AS20+AT20</f>
        <v>15472.83511741826</v>
      </c>
      <c r="AX20" s="226">
        <f t="shared" si="20"/>
        <v>15472.83511741826</v>
      </c>
      <c r="AY20" s="226">
        <f t="shared" si="20"/>
        <v>15472.83511741826</v>
      </c>
      <c r="AZ20" s="139">
        <f>AE20*AN20</f>
        <v>12539228.418019546</v>
      </c>
      <c r="BA20" s="139">
        <f>AF20*AN20</f>
        <v>12539228.418019546</v>
      </c>
      <c r="BB20" s="139">
        <f aca="true" t="shared" si="21" ref="BB20:BD22">(AE20/1000)+($AP20*($AR20+$AS20+AT20))</f>
        <v>6960.528736041717</v>
      </c>
      <c r="BC20" s="139">
        <f t="shared" si="21"/>
        <v>6960.528736041717</v>
      </c>
      <c r="BD20" s="139">
        <f t="shared" si="21"/>
        <v>6960.528736041717</v>
      </c>
      <c r="BE20" s="139">
        <f>(BC20+BD20)/2</f>
        <v>6960.528736041717</v>
      </c>
      <c r="BF20" s="139">
        <f aca="true" t="shared" si="22" ref="BF20:BG22">AI20*$AO20</f>
        <v>6301261.239730565</v>
      </c>
      <c r="BG20" s="139">
        <f t="shared" si="22"/>
        <v>6301261.239730565</v>
      </c>
      <c r="BH20" s="139">
        <f aca="true" t="shared" si="23" ref="BH20:BJ22">(AE20/1000)+($AQ20*($AR20+$AS20+AT20))</f>
        <v>4392.527084983541</v>
      </c>
      <c r="BI20" s="139">
        <f t="shared" si="23"/>
        <v>4392.527084983541</v>
      </c>
      <c r="BJ20" s="139">
        <f t="shared" si="23"/>
        <v>4392.527084983541</v>
      </c>
      <c r="BK20" s="139">
        <f>(BI20+BJ20)/2</f>
        <v>4392.527084983541</v>
      </c>
      <c r="BM20" s="90" t="s">
        <v>340</v>
      </c>
      <c r="BO20" s="139">
        <f t="shared" si="8"/>
        <v>2799575.5730188238</v>
      </c>
      <c r="BP20" s="139">
        <f t="shared" si="13"/>
        <v>214801.63199999998</v>
      </c>
      <c r="BQ20" s="139">
        <f aca="true" t="shared" si="24" ref="BQ20:BQ25">BR20-BO20-BP20</f>
        <v>3946151.5310228933</v>
      </c>
      <c r="BR20" s="139">
        <f aca="true" t="shared" si="25" ref="BR20:BR25">1000*BE20</f>
        <v>6960528.736041717</v>
      </c>
      <c r="BT20" s="93">
        <v>6</v>
      </c>
      <c r="BU20" s="93">
        <v>11</v>
      </c>
      <c r="BV20" s="93">
        <v>11.181888402597238</v>
      </c>
      <c r="BW20" s="93">
        <f t="shared" si="14"/>
        <v>8.295933494634001</v>
      </c>
      <c r="BY20" s="245">
        <f t="shared" si="9"/>
        <v>46.659592883647065</v>
      </c>
      <c r="BZ20" s="245">
        <f t="shared" si="10"/>
        <v>1.952742109090909</v>
      </c>
      <c r="CA20" s="245">
        <f t="shared" si="11"/>
        <v>35.29056442833317</v>
      </c>
      <c r="CB20" s="245">
        <f t="shared" si="12"/>
        <v>83.90289942107114</v>
      </c>
    </row>
    <row r="21" spans="1:80" ht="15">
      <c r="A21" s="90" t="s">
        <v>131</v>
      </c>
      <c r="C21" s="101">
        <v>68643.495</v>
      </c>
      <c r="E21" s="237">
        <v>4493104.5413999995</v>
      </c>
      <c r="F21" s="237">
        <v>1529737.8834</v>
      </c>
      <c r="G21" s="237">
        <f>C21+E21+F21</f>
        <v>6091485.919799999</v>
      </c>
      <c r="H21" s="237">
        <f>G21*1.07</f>
        <v>6517889.934185999</v>
      </c>
      <c r="J21" s="101">
        <v>351763.86117822846</v>
      </c>
      <c r="K21" s="101">
        <f>J21*6/11</f>
        <v>191871.19700630644</v>
      </c>
      <c r="L21" s="101">
        <f>M21-J21</f>
        <v>235330.02312823484</v>
      </c>
      <c r="M21" s="101">
        <v>587093.8843064633</v>
      </c>
      <c r="N21" s="101">
        <f>K21+L21</f>
        <v>427201.2201345413</v>
      </c>
      <c r="P21" s="139">
        <f>H21+J21</f>
        <v>6869653.795364228</v>
      </c>
      <c r="R21" s="147">
        <f>1/0.85</f>
        <v>1.1764705882352942</v>
      </c>
      <c r="S21" s="139">
        <f>H21*R21</f>
        <v>7668105.804924705</v>
      </c>
      <c r="T21" s="139"/>
      <c r="U21" s="161"/>
      <c r="W21" s="161"/>
      <c r="X21" s="147">
        <f>1/0.85</f>
        <v>1.1764705882352942</v>
      </c>
      <c r="Y21" s="161"/>
      <c r="Z21" s="139">
        <f>S21</f>
        <v>7668105.804924705</v>
      </c>
      <c r="AA21" s="139">
        <f>S21</f>
        <v>7668105.804924705</v>
      </c>
      <c r="AB21" s="139">
        <f>H21*X21</f>
        <v>7668105.804924705</v>
      </c>
      <c r="AC21" s="139">
        <f t="shared" si="16"/>
        <v>351763.86117822846</v>
      </c>
      <c r="AD21" s="101">
        <f t="shared" si="16"/>
        <v>191871.19700630644</v>
      </c>
      <c r="AE21" s="139">
        <f t="shared" si="17"/>
        <v>8019869.666102934</v>
      </c>
      <c r="AF21" s="139">
        <f t="shared" si="17"/>
        <v>8019869.666102934</v>
      </c>
      <c r="AG21" s="139">
        <f t="shared" si="17"/>
        <v>8019869.666102934</v>
      </c>
      <c r="AH21" s="215">
        <f>(AF21+AG21)/2</f>
        <v>8019869.666102934</v>
      </c>
      <c r="AI21" s="139">
        <f t="shared" si="18"/>
        <v>7859977.001931012</v>
      </c>
      <c r="AJ21" s="139">
        <f t="shared" si="18"/>
        <v>7859977.001931012</v>
      </c>
      <c r="AK21" s="139">
        <f t="shared" si="18"/>
        <v>7859977.001931012</v>
      </c>
      <c r="AL21" s="215">
        <f>(AJ21+AK21)/2</f>
        <v>7859977.001931012</v>
      </c>
      <c r="AN21" s="174">
        <v>4.15980733835905</v>
      </c>
      <c r="AO21" s="174">
        <v>2.1603780332268507</v>
      </c>
      <c r="AP21" s="174">
        <v>0.25503739302311734</v>
      </c>
      <c r="AQ21" s="174">
        <v>0.08906899540429342</v>
      </c>
      <c r="AR21" s="155">
        <v>37690.740644998</v>
      </c>
      <c r="AS21" s="217">
        <v>1107.885438875855</v>
      </c>
      <c r="AT21" s="155">
        <f t="shared" si="19"/>
        <v>7668.105804924705</v>
      </c>
      <c r="AU21" s="155">
        <f t="shared" si="19"/>
        <v>7668.105804924705</v>
      </c>
      <c r="AV21" s="155">
        <f t="shared" si="19"/>
        <v>7668.105804924705</v>
      </c>
      <c r="AW21" s="226">
        <f t="shared" si="20"/>
        <v>46466.73188879856</v>
      </c>
      <c r="AX21" s="226">
        <f t="shared" si="20"/>
        <v>46466.73188879856</v>
      </c>
      <c r="AY21" s="226">
        <f t="shared" si="20"/>
        <v>46466.73188879856</v>
      </c>
      <c r="AZ21" s="139">
        <f>AE21*AN21</f>
        <v>33361112.68973813</v>
      </c>
      <c r="BA21" s="139">
        <f>AF21*AN21</f>
        <v>33361112.68973813</v>
      </c>
      <c r="BB21" s="139">
        <f t="shared" si="21"/>
        <v>19870.623829326272</v>
      </c>
      <c r="BC21" s="139">
        <f t="shared" si="21"/>
        <v>19870.623829326272</v>
      </c>
      <c r="BD21" s="139">
        <f t="shared" si="21"/>
        <v>19870.623829326272</v>
      </c>
      <c r="BE21" s="139">
        <f>(BC21+BD21)/2</f>
        <v>19870.623829326272</v>
      </c>
      <c r="BF21" s="139">
        <f t="shared" si="22"/>
        <v>16980521.656639997</v>
      </c>
      <c r="BG21" s="139">
        <f t="shared" si="22"/>
        <v>16980521.656639997</v>
      </c>
      <c r="BH21" s="139">
        <f t="shared" si="23"/>
        <v>12158.614795158866</v>
      </c>
      <c r="BI21" s="139">
        <f t="shared" si="23"/>
        <v>12158.614795158866</v>
      </c>
      <c r="BJ21" s="139">
        <f t="shared" si="23"/>
        <v>12158.614795158866</v>
      </c>
      <c r="BK21" s="139">
        <f>(BI21+BJ21)/2</f>
        <v>12158.614795158866</v>
      </c>
      <c r="BM21" s="90" t="s">
        <v>131</v>
      </c>
      <c r="BO21" s="139">
        <f t="shared" si="8"/>
        <v>7668105.804924705</v>
      </c>
      <c r="BP21" s="139">
        <f t="shared" si="13"/>
        <v>351763.86117822846</v>
      </c>
      <c r="BQ21" s="139">
        <f t="shared" si="24"/>
        <v>11850754.16322334</v>
      </c>
      <c r="BR21" s="139">
        <f t="shared" si="25"/>
        <v>19870623.829326272</v>
      </c>
      <c r="BT21" s="93">
        <v>6</v>
      </c>
      <c r="BU21" s="93">
        <v>11</v>
      </c>
      <c r="BV21" s="93">
        <v>11.181888402597238</v>
      </c>
      <c r="BW21" s="93">
        <f t="shared" si="14"/>
        <v>8.384890863725678</v>
      </c>
      <c r="BY21" s="245">
        <f t="shared" si="9"/>
        <v>127.80176341541176</v>
      </c>
      <c r="BZ21" s="245">
        <f t="shared" si="10"/>
        <v>3.1978532834384406</v>
      </c>
      <c r="CA21" s="245">
        <f t="shared" si="11"/>
        <v>105.9816887500929</v>
      </c>
      <c r="CB21" s="245">
        <f t="shared" si="12"/>
        <v>236.9813054489431</v>
      </c>
    </row>
    <row r="22" spans="1:80" ht="15">
      <c r="A22" s="90" t="s">
        <v>341</v>
      </c>
      <c r="C22" s="101">
        <v>51349.7238</v>
      </c>
      <c r="E22" s="237">
        <v>4369491.1559999995</v>
      </c>
      <c r="F22" s="237">
        <v>1759262.8997999998</v>
      </c>
      <c r="G22" s="237">
        <f>C22+E22+F22</f>
        <v>6180103.779599999</v>
      </c>
      <c r="H22" s="237">
        <f>G22*1.07</f>
        <v>6612711.044171999</v>
      </c>
      <c r="J22" s="101">
        <v>29512.188000000002</v>
      </c>
      <c r="K22" s="101">
        <f>J22*6/11</f>
        <v>16097.557090909093</v>
      </c>
      <c r="L22" s="101">
        <f>M22-J22</f>
        <v>19743.653772000005</v>
      </c>
      <c r="M22" s="101">
        <v>49255.84177200001</v>
      </c>
      <c r="N22" s="101">
        <f>K22+L22</f>
        <v>35841.210862909094</v>
      </c>
      <c r="P22" s="139">
        <f>H22+J22</f>
        <v>6642223.232171999</v>
      </c>
      <c r="R22" s="147">
        <f>1/0.85</f>
        <v>1.1764705882352942</v>
      </c>
      <c r="S22" s="139">
        <f>H22*R22</f>
        <v>7779660.051967058</v>
      </c>
      <c r="T22" s="139"/>
      <c r="U22" s="161"/>
      <c r="W22" s="161"/>
      <c r="X22" s="147">
        <f>1/0.85</f>
        <v>1.1764705882352942</v>
      </c>
      <c r="Y22" s="161"/>
      <c r="Z22" s="139">
        <f>S22</f>
        <v>7779660.051967058</v>
      </c>
      <c r="AA22" s="139">
        <f>S22</f>
        <v>7779660.051967058</v>
      </c>
      <c r="AB22" s="139">
        <f>H22*X22</f>
        <v>7779660.051967058</v>
      </c>
      <c r="AC22" s="139">
        <f t="shared" si="16"/>
        <v>29512.188000000002</v>
      </c>
      <c r="AD22" s="101">
        <f t="shared" si="16"/>
        <v>16097.557090909093</v>
      </c>
      <c r="AE22" s="139">
        <f t="shared" si="17"/>
        <v>7809172.239967058</v>
      </c>
      <c r="AF22" s="139">
        <f t="shared" si="17"/>
        <v>7809172.239967058</v>
      </c>
      <c r="AG22" s="139">
        <f t="shared" si="17"/>
        <v>7809172.239967058</v>
      </c>
      <c r="AH22" s="215">
        <f>(AF22+AG22)/2</f>
        <v>7809172.239967058</v>
      </c>
      <c r="AI22" s="139">
        <f t="shared" si="18"/>
        <v>7795757.609057968</v>
      </c>
      <c r="AJ22" s="139">
        <f t="shared" si="18"/>
        <v>7795757.609057968</v>
      </c>
      <c r="AK22" s="139">
        <f t="shared" si="18"/>
        <v>7795757.609057968</v>
      </c>
      <c r="AL22" s="215">
        <f>(AJ22+AK22)/2</f>
        <v>7795757.609057968</v>
      </c>
      <c r="AN22" s="174">
        <v>4.15980733835905</v>
      </c>
      <c r="AO22" s="174">
        <v>2.1603780332268507</v>
      </c>
      <c r="AP22" s="174">
        <v>0.25503739302311734</v>
      </c>
      <c r="AQ22" s="174">
        <v>0.08906899540429342</v>
      </c>
      <c r="AR22" s="155">
        <v>36871.225871316405</v>
      </c>
      <c r="AS22" s="217">
        <v>88.14806014546306</v>
      </c>
      <c r="AT22" s="155">
        <f t="shared" si="19"/>
        <v>7779.660051967058</v>
      </c>
      <c r="AU22" s="155">
        <f t="shared" si="19"/>
        <v>7779.660051967058</v>
      </c>
      <c r="AV22" s="155">
        <f t="shared" si="19"/>
        <v>7779.660051967058</v>
      </c>
      <c r="AW22" s="226">
        <f t="shared" si="20"/>
        <v>44739.033983428926</v>
      </c>
      <c r="AX22" s="226">
        <f t="shared" si="20"/>
        <v>44739.033983428926</v>
      </c>
      <c r="AY22" s="226">
        <f t="shared" si="20"/>
        <v>44739.033983428926</v>
      </c>
      <c r="AZ22" s="139">
        <f>AE22*AN22</f>
        <v>32484651.99032475</v>
      </c>
      <c r="BA22" s="139">
        <f>AF22*AN22</f>
        <v>32484651.99032475</v>
      </c>
      <c r="BB22" s="139">
        <f t="shared" si="21"/>
        <v>19219.298833473425</v>
      </c>
      <c r="BC22" s="139">
        <f t="shared" si="21"/>
        <v>19219.298833473425</v>
      </c>
      <c r="BD22" s="139">
        <f t="shared" si="21"/>
        <v>19219.298833473425</v>
      </c>
      <c r="BE22" s="139">
        <f>(BC22+BD22)/2</f>
        <v>19219.298833473425</v>
      </c>
      <c r="BF22" s="139">
        <f t="shared" si="22"/>
        <v>16841783.490969907</v>
      </c>
      <c r="BG22" s="139">
        <f t="shared" si="22"/>
        <v>16841783.490969907</v>
      </c>
      <c r="BH22" s="139">
        <f t="shared" si="23"/>
        <v>11794.033052229615</v>
      </c>
      <c r="BI22" s="139">
        <f t="shared" si="23"/>
        <v>11794.033052229615</v>
      </c>
      <c r="BJ22" s="139">
        <f t="shared" si="23"/>
        <v>11794.033052229615</v>
      </c>
      <c r="BK22" s="139">
        <f>(BI22+BJ22)/2</f>
        <v>11794.033052229615</v>
      </c>
      <c r="BM22" s="90" t="s">
        <v>341</v>
      </c>
      <c r="BO22" s="139">
        <f t="shared" si="8"/>
        <v>7779660.051967058</v>
      </c>
      <c r="BP22" s="139">
        <f t="shared" si="13"/>
        <v>29512.188000000002</v>
      </c>
      <c r="BQ22" s="139">
        <f t="shared" si="24"/>
        <v>11410126.593506368</v>
      </c>
      <c r="BR22" s="139">
        <f t="shared" si="25"/>
        <v>19219298.833473425</v>
      </c>
      <c r="BT22" s="93">
        <v>6</v>
      </c>
      <c r="BU22" s="93">
        <v>11</v>
      </c>
      <c r="BV22" s="93">
        <v>11.181888402597238</v>
      </c>
      <c r="BW22" s="93">
        <f t="shared" si="14"/>
        <v>8.285236355801834</v>
      </c>
      <c r="BY22" s="245">
        <f t="shared" si="9"/>
        <v>129.66100086611763</v>
      </c>
      <c r="BZ22" s="245">
        <f t="shared" si="10"/>
        <v>0.2682926181818182</v>
      </c>
      <c r="CA22" s="245">
        <f t="shared" si="11"/>
        <v>102.04114173466547</v>
      </c>
      <c r="CB22" s="245">
        <f t="shared" si="12"/>
        <v>231.97043521896492</v>
      </c>
    </row>
    <row r="23" spans="1:80" ht="15">
      <c r="A23" s="90" t="s">
        <v>176</v>
      </c>
      <c r="C23" s="139">
        <f>C20+C21+C22</f>
        <v>157681.0788</v>
      </c>
      <c r="D23" s="139"/>
      <c r="E23" s="237">
        <f>E20+E21+E22</f>
        <v>10499874.610799998</v>
      </c>
      <c r="F23" s="237">
        <f>F20+F21+F22</f>
        <v>3837995.9135999996</v>
      </c>
      <c r="G23" s="237">
        <f>C23+E23+F23</f>
        <v>14495551.603199998</v>
      </c>
      <c r="H23" s="237">
        <f>G23*1.07</f>
        <v>15510240.215424</v>
      </c>
      <c r="J23" s="139">
        <f>J20+J21+J22</f>
        <v>596077.6811782283</v>
      </c>
      <c r="K23" s="139">
        <f>K20+K21+K22</f>
        <v>325133.28064267006</v>
      </c>
      <c r="L23" s="139">
        <f>L20+L21+L22</f>
        <v>398775.96870823484</v>
      </c>
      <c r="M23" s="139">
        <f>M20+M21+M22</f>
        <v>994853.6498864632</v>
      </c>
      <c r="N23" s="139">
        <f>N20+N21+N22</f>
        <v>723909.2493509048</v>
      </c>
      <c r="P23" s="139">
        <f>H23+J23</f>
        <v>16106317.896602228</v>
      </c>
      <c r="R23" s="147">
        <f>1/0.85</f>
        <v>1.1764705882352942</v>
      </c>
      <c r="S23" s="139">
        <f>SUM(S20:S22)</f>
        <v>18247341.429910585</v>
      </c>
      <c r="T23" s="139"/>
      <c r="U23" s="161"/>
      <c r="W23" s="161"/>
      <c r="X23" s="147">
        <f>1/0.85</f>
        <v>1.1764705882352942</v>
      </c>
      <c r="Y23" s="161"/>
      <c r="Z23" s="155">
        <f>S23</f>
        <v>18247341.429910585</v>
      </c>
      <c r="AA23" s="155">
        <f>S23</f>
        <v>18247341.429910585</v>
      </c>
      <c r="AB23" s="139">
        <f>H23*X23</f>
        <v>18247341.42991059</v>
      </c>
      <c r="AC23" s="155">
        <f t="shared" si="16"/>
        <v>596077.6811782283</v>
      </c>
      <c r="AD23" s="155">
        <f t="shared" si="16"/>
        <v>325133.28064267006</v>
      </c>
      <c r="AE23" s="139">
        <f>AE20+AE21+AE22</f>
        <v>18843419.111088816</v>
      </c>
      <c r="AF23" s="139">
        <f>AF20+AF21+AF22</f>
        <v>18843419.111088816</v>
      </c>
      <c r="AG23" s="139">
        <f>AB23+$AC23</f>
        <v>18843419.111088816</v>
      </c>
      <c r="AH23" s="215">
        <f>(AF23+AG23)/2</f>
        <v>18843419.111088816</v>
      </c>
      <c r="AI23" s="139">
        <f>AI20+AI21+AI22</f>
        <v>18572474.71055326</v>
      </c>
      <c r="AJ23" s="139">
        <f>AJ20+AJ21+AJ22</f>
        <v>18572474.71055326</v>
      </c>
      <c r="AK23" s="139">
        <f>AB23+$AD23</f>
        <v>18572474.71055326</v>
      </c>
      <c r="AL23" s="215">
        <f>(AJ23+AK23)/2</f>
        <v>18572474.71055326</v>
      </c>
      <c r="AN23" s="174">
        <f>AZ23/AE23</f>
        <v>4.15980733835905</v>
      </c>
      <c r="AO23" s="174">
        <v>2.1603780332268507</v>
      </c>
      <c r="AP23" s="174">
        <v>0.25503739302311734</v>
      </c>
      <c r="AQ23" s="174">
        <v>0.08906899540429342</v>
      </c>
      <c r="AR23" s="139">
        <f>AR20+AR21+AR22</f>
        <v>86635.1601593864</v>
      </c>
      <c r="AS23" s="155">
        <f>AS20+AS21+AS22</f>
        <v>1796.0994003487563</v>
      </c>
      <c r="AT23" s="155">
        <f t="shared" si="19"/>
        <v>18247.341429910586</v>
      </c>
      <c r="AU23" s="155">
        <f t="shared" si="19"/>
        <v>18247.341429910586</v>
      </c>
      <c r="AV23" s="155">
        <f t="shared" si="19"/>
        <v>18247.34142991059</v>
      </c>
      <c r="AW23" s="226">
        <f t="shared" si="20"/>
        <v>106678.60098964575</v>
      </c>
      <c r="AX23" s="226">
        <f t="shared" si="20"/>
        <v>106678.60098964575</v>
      </c>
      <c r="AY23" s="226">
        <f t="shared" si="20"/>
        <v>106678.60098964575</v>
      </c>
      <c r="AZ23" s="139">
        <f>AZ20+AZ21+AZ22</f>
        <v>78384993.09808242</v>
      </c>
      <c r="BA23" s="139">
        <f>BA20+BA21+BA22</f>
        <v>78384993.09808242</v>
      </c>
      <c r="BB23" s="200">
        <f>BB20+BB21+BB22</f>
        <v>46050.45139884141</v>
      </c>
      <c r="BC23" s="139">
        <f>SUM(BC20:BC22)</f>
        <v>46050.45139884141</v>
      </c>
      <c r="BD23" s="139">
        <f>SUM(BD20:BD22)</f>
        <v>46050.45139884141</v>
      </c>
      <c r="BE23" s="139">
        <f>SUM(BE20:BE22)</f>
        <v>46050.45139884141</v>
      </c>
      <c r="BF23" s="139">
        <f>BF20+BF21+BF22</f>
        <v>40123566.38734047</v>
      </c>
      <c r="BG23" s="139">
        <f>BG20+BG21+BG22</f>
        <v>40123566.38734047</v>
      </c>
      <c r="BH23" s="139">
        <f>SUM(BH20:BH22)</f>
        <v>28345.17493237202</v>
      </c>
      <c r="BI23" s="139">
        <f>SUM(BI20:BI22)</f>
        <v>28345.17493237202</v>
      </c>
      <c r="BJ23" s="139">
        <f>SUM(BJ20:BJ22)</f>
        <v>28345.17493237202</v>
      </c>
      <c r="BK23" s="139">
        <f>SUM(BK20:BK22)</f>
        <v>28345.17493237202</v>
      </c>
      <c r="BM23" s="90" t="s">
        <v>176</v>
      </c>
      <c r="BO23" s="139">
        <f t="shared" si="8"/>
        <v>18247341.429910585</v>
      </c>
      <c r="BP23" s="139">
        <f t="shared" si="13"/>
        <v>596077.6811782283</v>
      </c>
      <c r="BQ23" s="139">
        <f t="shared" si="24"/>
        <v>27207032.2877526</v>
      </c>
      <c r="BR23" s="139">
        <f t="shared" si="25"/>
        <v>46050451.39884141</v>
      </c>
      <c r="BT23" s="93">
        <v>6</v>
      </c>
      <c r="BU23" s="93">
        <v>11</v>
      </c>
      <c r="BV23" s="93">
        <v>11.181888402597238</v>
      </c>
      <c r="BW23" s="93">
        <f t="shared" si="14"/>
        <v>8.329576720461246</v>
      </c>
      <c r="BY23" s="245">
        <f t="shared" si="9"/>
        <v>304.1223571651764</v>
      </c>
      <c r="BZ23" s="245">
        <f t="shared" si="10"/>
        <v>5.418888010711167</v>
      </c>
      <c r="CA23" s="245">
        <f t="shared" si="11"/>
        <v>243.3133949130915</v>
      </c>
      <c r="CB23" s="245">
        <f t="shared" si="12"/>
        <v>552.8546400889791</v>
      </c>
    </row>
    <row r="24" spans="1:80" ht="15">
      <c r="A24" s="90" t="s">
        <v>175</v>
      </c>
      <c r="C24" s="139">
        <f>C23+C27</f>
        <v>162187.5864</v>
      </c>
      <c r="D24" s="139"/>
      <c r="E24" s="237">
        <f>E23+E27</f>
        <v>10743069.515999999</v>
      </c>
      <c r="F24" s="237">
        <f aca="true" t="shared" si="26" ref="F24:BK24">F23+F27</f>
        <v>3968805.8633999997</v>
      </c>
      <c r="G24" s="237">
        <f t="shared" si="26"/>
        <v>14874062.965799998</v>
      </c>
      <c r="H24" s="237">
        <f t="shared" si="26"/>
        <v>15915247.373405999</v>
      </c>
      <c r="J24" s="139">
        <f t="shared" si="26"/>
        <v>703555.2851782284</v>
      </c>
      <c r="K24" s="139">
        <f t="shared" si="26"/>
        <v>383757.4282790337</v>
      </c>
      <c r="L24" s="139">
        <f t="shared" si="26"/>
        <v>474655.1571322349</v>
      </c>
      <c r="M24" s="139">
        <f t="shared" si="26"/>
        <v>1178210.4423104632</v>
      </c>
      <c r="N24" s="139">
        <f t="shared" si="26"/>
        <v>858412.5854112685</v>
      </c>
      <c r="P24" s="139">
        <f t="shared" si="26"/>
        <v>16618802.658584228</v>
      </c>
      <c r="R24" s="139">
        <f t="shared" si="26"/>
        <v>2.3529411764705883</v>
      </c>
      <c r="S24" s="139">
        <f t="shared" si="26"/>
        <v>18723820.439301174</v>
      </c>
      <c r="T24" s="139">
        <f t="shared" si="26"/>
        <v>0</v>
      </c>
      <c r="U24" s="139">
        <f t="shared" si="26"/>
        <v>0</v>
      </c>
      <c r="V24" s="139">
        <f t="shared" si="26"/>
        <v>0</v>
      </c>
      <c r="W24" s="139">
        <f t="shared" si="26"/>
        <v>0</v>
      </c>
      <c r="X24" s="139">
        <f t="shared" si="26"/>
        <v>2.3529411764705883</v>
      </c>
      <c r="Y24" s="161"/>
      <c r="Z24" s="139">
        <f t="shared" si="26"/>
        <v>18723820.439301174</v>
      </c>
      <c r="AA24" s="139">
        <f t="shared" si="26"/>
        <v>18723820.439301174</v>
      </c>
      <c r="AB24" s="139">
        <f t="shared" si="26"/>
        <v>18723820.439301178</v>
      </c>
      <c r="AC24" s="139">
        <f t="shared" si="26"/>
        <v>703555.2851782284</v>
      </c>
      <c r="AD24" s="139">
        <f t="shared" si="26"/>
        <v>383757.4282790337</v>
      </c>
      <c r="AE24" s="139">
        <f t="shared" si="26"/>
        <v>19427375.724479403</v>
      </c>
      <c r="AF24" s="139">
        <f t="shared" si="26"/>
        <v>19427375.724479403</v>
      </c>
      <c r="AG24" s="139">
        <f t="shared" si="26"/>
        <v>19427375.724479403</v>
      </c>
      <c r="AH24" s="139">
        <f t="shared" si="26"/>
        <v>19427375.724479403</v>
      </c>
      <c r="AI24" s="139">
        <f t="shared" si="26"/>
        <v>19107577.86758021</v>
      </c>
      <c r="AJ24" s="139">
        <f t="shared" si="26"/>
        <v>19107577.86758021</v>
      </c>
      <c r="AK24" s="139">
        <f t="shared" si="26"/>
        <v>19107577.86758021</v>
      </c>
      <c r="AL24" s="139">
        <f t="shared" si="26"/>
        <v>19107577.86758021</v>
      </c>
      <c r="AN24" s="139">
        <f t="shared" si="26"/>
        <v>8.3196146767181</v>
      </c>
      <c r="AO24" s="139">
        <f t="shared" si="26"/>
        <v>4.3207560664537015</v>
      </c>
      <c r="AP24" s="139">
        <f t="shared" si="26"/>
        <v>0.5100747860462347</v>
      </c>
      <c r="AQ24" s="139">
        <f t="shared" si="26"/>
        <v>0.17813799080858683</v>
      </c>
      <c r="AR24" s="139">
        <f t="shared" si="26"/>
        <v>90544.10985937041</v>
      </c>
      <c r="AS24" s="139">
        <f t="shared" si="26"/>
        <v>2095.867462345354</v>
      </c>
      <c r="AT24" s="139">
        <f t="shared" si="26"/>
        <v>18723.820439301173</v>
      </c>
      <c r="AU24" s="139">
        <f t="shared" si="26"/>
        <v>18723.820439301173</v>
      </c>
      <c r="AV24" s="139">
        <f t="shared" si="26"/>
        <v>18723.820439301177</v>
      </c>
      <c r="AW24" s="139">
        <f t="shared" si="26"/>
        <v>111363.79776101695</v>
      </c>
      <c r="AX24" s="139">
        <f t="shared" si="26"/>
        <v>111363.79776101695</v>
      </c>
      <c r="AY24" s="139">
        <f t="shared" si="26"/>
        <v>111363.79776101695</v>
      </c>
      <c r="AZ24" s="139">
        <f t="shared" si="26"/>
        <v>80814140.10374789</v>
      </c>
      <c r="BA24" s="139">
        <f t="shared" si="26"/>
        <v>80814140.10374789</v>
      </c>
      <c r="BB24" s="139">
        <f t="shared" si="26"/>
        <v>47829.30838260283</v>
      </c>
      <c r="BC24" s="139">
        <f t="shared" si="26"/>
        <v>47829.30838260283</v>
      </c>
      <c r="BD24" s="139">
        <f t="shared" si="26"/>
        <v>47829.30838260283</v>
      </c>
      <c r="BE24" s="139">
        <f t="shared" si="26"/>
        <v>47829.30838260283</v>
      </c>
      <c r="BF24" s="139">
        <f t="shared" si="26"/>
        <v>41279591.49329184</v>
      </c>
      <c r="BG24" s="139">
        <f t="shared" si="26"/>
        <v>41279591.49329184</v>
      </c>
      <c r="BH24" s="139">
        <f t="shared" si="26"/>
        <v>29346.43731546008</v>
      </c>
      <c r="BI24" s="139">
        <f t="shared" si="26"/>
        <v>29346.43731546008</v>
      </c>
      <c r="BJ24" s="139">
        <f t="shared" si="26"/>
        <v>29346.43731546008</v>
      </c>
      <c r="BK24" s="139">
        <f t="shared" si="26"/>
        <v>29346.43731546008</v>
      </c>
      <c r="BM24" s="90" t="s">
        <v>175</v>
      </c>
      <c r="BO24" s="139">
        <f t="shared" si="8"/>
        <v>18723820.439301178</v>
      </c>
      <c r="BP24" s="139">
        <f t="shared" si="13"/>
        <v>703555.2851782284</v>
      </c>
      <c r="BQ24" s="139">
        <f t="shared" si="24"/>
        <v>28401932.658123426</v>
      </c>
      <c r="BR24" s="139">
        <f t="shared" si="25"/>
        <v>47829308.38260283</v>
      </c>
      <c r="BT24" s="93">
        <v>6</v>
      </c>
      <c r="BU24" s="93">
        <v>11</v>
      </c>
      <c r="BV24" s="93">
        <v>11.181888402597238</v>
      </c>
      <c r="BW24" s="93">
        <f t="shared" si="14"/>
        <v>8.3550618272798</v>
      </c>
      <c r="BY24" s="245">
        <f t="shared" si="9"/>
        <v>312.06367398835295</v>
      </c>
      <c r="BZ24" s="245">
        <f t="shared" si="10"/>
        <v>6.395957137983895</v>
      </c>
      <c r="CA24" s="245">
        <f t="shared" si="11"/>
        <v>253.99942867902757</v>
      </c>
      <c r="CB24" s="245">
        <f t="shared" si="12"/>
        <v>572.4590598053644</v>
      </c>
    </row>
    <row r="25" spans="1:80" ht="15">
      <c r="A25" s="90" t="s">
        <v>564</v>
      </c>
      <c r="C25" s="237">
        <f>C24+C30</f>
        <v>196268.0076</v>
      </c>
      <c r="E25" s="237">
        <f>E24+E30</f>
        <v>12041109.790199999</v>
      </c>
      <c r="F25" s="237">
        <f aca="true" t="shared" si="27" ref="F25:BK25">F24+F30</f>
        <v>4613103.061199999</v>
      </c>
      <c r="G25" s="237">
        <f t="shared" si="27"/>
        <v>16850480.858999997</v>
      </c>
      <c r="H25" s="237">
        <f t="shared" si="27"/>
        <v>18030014.51913</v>
      </c>
      <c r="J25" s="237">
        <f t="shared" si="27"/>
        <v>2476206.2651782283</v>
      </c>
      <c r="K25" s="237">
        <f t="shared" si="27"/>
        <v>1350657.962824488</v>
      </c>
      <c r="L25" s="237">
        <f t="shared" si="27"/>
        <v>1726146.7490122346</v>
      </c>
      <c r="M25" s="237">
        <f t="shared" si="27"/>
        <v>4202353.014190463</v>
      </c>
      <c r="N25" s="237">
        <f t="shared" si="27"/>
        <v>3076804.7118367227</v>
      </c>
      <c r="P25" s="237">
        <f t="shared" si="27"/>
        <v>20506220.78430823</v>
      </c>
      <c r="R25" s="237">
        <f t="shared" si="27"/>
        <v>3.5294117647058822</v>
      </c>
      <c r="S25" s="237">
        <f t="shared" si="27"/>
        <v>18723820.439301174</v>
      </c>
      <c r="T25" s="237">
        <f t="shared" si="27"/>
        <v>10166675.698835723</v>
      </c>
      <c r="U25" s="237">
        <f t="shared" si="27"/>
        <v>4.807468150520712</v>
      </c>
      <c r="V25" s="237">
        <f t="shared" si="27"/>
        <v>5546188.316375762</v>
      </c>
      <c r="W25" s="237">
        <f t="shared" si="27"/>
        <v>2.6226</v>
      </c>
      <c r="X25" s="237">
        <f t="shared" si="27"/>
        <v>3.5294117647058822</v>
      </c>
      <c r="Y25" s="161"/>
      <c r="Z25" s="237">
        <f t="shared" si="27"/>
        <v>28890496.138136897</v>
      </c>
      <c r="AA25" s="237">
        <f t="shared" si="27"/>
        <v>24270008.755676936</v>
      </c>
      <c r="AB25" s="237">
        <f t="shared" si="27"/>
        <v>21211781.787211765</v>
      </c>
      <c r="AC25" s="237">
        <f t="shared" si="27"/>
        <v>2476206.2651782283</v>
      </c>
      <c r="AD25" s="237">
        <f t="shared" si="27"/>
        <v>1350657.962824488</v>
      </c>
      <c r="AE25" s="237">
        <f t="shared" si="27"/>
        <v>31366702.403315127</v>
      </c>
      <c r="AF25" s="237">
        <f t="shared" si="27"/>
        <v>26746215.020855166</v>
      </c>
      <c r="AG25" s="237">
        <f t="shared" si="27"/>
        <v>23687988.05238999</v>
      </c>
      <c r="AH25" s="237">
        <f t="shared" si="27"/>
        <v>25217101.536622576</v>
      </c>
      <c r="AI25" s="237">
        <f t="shared" si="27"/>
        <v>30241154.100961387</v>
      </c>
      <c r="AJ25" s="237">
        <f t="shared" si="27"/>
        <v>25620666.718501426</v>
      </c>
      <c r="AK25" s="237">
        <f t="shared" si="27"/>
        <v>22562439.75003625</v>
      </c>
      <c r="AL25" s="237">
        <f t="shared" si="27"/>
        <v>24091553.234268837</v>
      </c>
      <c r="AN25" s="237">
        <f t="shared" si="27"/>
        <v>10.66340420747807</v>
      </c>
      <c r="AO25" s="237">
        <f t="shared" si="27"/>
        <v>5.727897942060251</v>
      </c>
      <c r="AP25" s="237">
        <f t="shared" si="27"/>
        <v>0.7498520935171281</v>
      </c>
      <c r="AQ25" s="237">
        <f t="shared" si="27"/>
        <v>0.23423251276556586</v>
      </c>
      <c r="AR25" s="237">
        <f t="shared" si="27"/>
        <v>120107.38537110081</v>
      </c>
      <c r="AS25" s="237">
        <f t="shared" si="27"/>
        <v>7341.682184541414</v>
      </c>
      <c r="AT25" s="237">
        <f t="shared" si="27"/>
        <v>28890.496138136896</v>
      </c>
      <c r="AU25" s="237">
        <f t="shared" si="27"/>
        <v>24270.008755676936</v>
      </c>
      <c r="AV25" s="237">
        <f t="shared" si="27"/>
        <v>21211.781787211767</v>
      </c>
      <c r="AW25" s="237">
        <f t="shared" si="27"/>
        <v>156339.5636937791</v>
      </c>
      <c r="AX25" s="237">
        <f t="shared" si="27"/>
        <v>151719.07631131916</v>
      </c>
      <c r="AY25" s="237">
        <f t="shared" si="27"/>
        <v>148660.849342854</v>
      </c>
      <c r="AZ25" s="237">
        <f t="shared" si="27"/>
        <v>108797408.97792627</v>
      </c>
      <c r="BA25" s="237">
        <f t="shared" si="27"/>
        <v>97967959.02390808</v>
      </c>
      <c r="BB25" s="237">
        <f t="shared" si="27"/>
        <v>70552.80311823741</v>
      </c>
      <c r="BC25" s="237">
        <f t="shared" si="27"/>
        <v>64824.427712007964</v>
      </c>
      <c r="BD25" s="237">
        <f t="shared" si="27"/>
        <v>61032.907315409335</v>
      </c>
      <c r="BE25" s="237">
        <f t="shared" si="27"/>
        <v>62928.66751370865</v>
      </c>
      <c r="BF25" s="237">
        <f t="shared" si="27"/>
        <v>56946112.83654033</v>
      </c>
      <c r="BG25" s="237">
        <f t="shared" si="27"/>
        <v>50444431.55496922</v>
      </c>
      <c r="BH25" s="237">
        <f t="shared" si="27"/>
        <v>43808.65808394308</v>
      </c>
      <c r="BI25" s="237">
        <f t="shared" si="27"/>
        <v>38928.98667055577</v>
      </c>
      <c r="BJ25" s="237">
        <f t="shared" si="27"/>
        <v>35699.209922258604</v>
      </c>
      <c r="BK25" s="237">
        <f t="shared" si="27"/>
        <v>37314.09829640719</v>
      </c>
      <c r="BM25" s="90" t="s">
        <v>564</v>
      </c>
      <c r="BO25" s="139">
        <f t="shared" si="8"/>
        <v>22740895.27144435</v>
      </c>
      <c r="BP25" s="139">
        <f t="shared" si="13"/>
        <v>2476206.2651782283</v>
      </c>
      <c r="BQ25" s="139">
        <f t="shared" si="24"/>
        <v>37711565.977086075</v>
      </c>
      <c r="BR25" s="139">
        <f t="shared" si="25"/>
        <v>62928667.51370865</v>
      </c>
      <c r="BT25" s="93">
        <v>6</v>
      </c>
      <c r="BU25" s="93">
        <v>11</v>
      </c>
      <c r="BV25" s="93">
        <v>11.181888402597238</v>
      </c>
      <c r="BW25" s="93">
        <f t="shared" si="14"/>
        <v>8.517897712227983</v>
      </c>
      <c r="BY25" s="245">
        <f t="shared" si="9"/>
        <v>379.0149211907392</v>
      </c>
      <c r="BZ25" s="245">
        <f t="shared" si="10"/>
        <v>22.510966047074803</v>
      </c>
      <c r="CA25" s="245">
        <f t="shared" si="11"/>
        <v>337.255789177137</v>
      </c>
      <c r="CB25" s="245">
        <f t="shared" si="12"/>
        <v>738.781676414951</v>
      </c>
    </row>
    <row r="26" spans="5:75" ht="15">
      <c r="E26" s="237"/>
      <c r="F26" s="237"/>
      <c r="G26" s="237"/>
      <c r="H26" s="237"/>
      <c r="P26" s="139"/>
      <c r="R26" s="147"/>
      <c r="S26" s="139"/>
      <c r="T26" s="139"/>
      <c r="U26" s="161"/>
      <c r="W26" s="161"/>
      <c r="X26" s="147"/>
      <c r="Y26" s="161"/>
      <c r="Z26" s="139"/>
      <c r="AA26" s="139"/>
      <c r="AB26" s="139"/>
      <c r="AD26" s="101"/>
      <c r="AE26" s="139"/>
      <c r="AF26" s="139"/>
      <c r="AG26" s="139"/>
      <c r="AH26" s="215"/>
      <c r="AI26" s="139"/>
      <c r="AJ26" s="139"/>
      <c r="AK26" s="139"/>
      <c r="AL26" s="215"/>
      <c r="AN26" s="174"/>
      <c r="AO26" s="174"/>
      <c r="AP26" s="174"/>
      <c r="AQ26" s="174"/>
      <c r="AR26" s="155"/>
      <c r="AT26" s="155"/>
      <c r="AU26" s="155"/>
      <c r="AV26" s="155"/>
      <c r="AW26" s="226"/>
      <c r="AX26" s="226"/>
      <c r="AY26" s="226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O26" s="139"/>
      <c r="BP26" s="139"/>
      <c r="BT26" s="93"/>
      <c r="BU26" s="93"/>
      <c r="BW26" s="93"/>
    </row>
    <row r="27" spans="1:80" ht="15">
      <c r="A27" s="90" t="s">
        <v>342</v>
      </c>
      <c r="C27" s="101">
        <v>4506.5076</v>
      </c>
      <c r="E27" s="237">
        <v>243194.90519999998</v>
      </c>
      <c r="F27" s="237">
        <v>130809.9498</v>
      </c>
      <c r="G27" s="237">
        <f>C27+E27+F27</f>
        <v>378511.3626</v>
      </c>
      <c r="H27" s="237">
        <f>G27*1.07</f>
        <v>405007.15798200003</v>
      </c>
      <c r="J27" s="101">
        <v>107477.60400000002</v>
      </c>
      <c r="K27" s="101">
        <f>J27*6/11</f>
        <v>58624.14763636364</v>
      </c>
      <c r="L27" s="101">
        <f>M27-J27</f>
        <v>75879.18842400002</v>
      </c>
      <c r="M27" s="101">
        <v>183356.79242400004</v>
      </c>
      <c r="N27" s="101">
        <f>K27+L27</f>
        <v>134503.33606036365</v>
      </c>
      <c r="P27" s="139">
        <f>H27+J27</f>
        <v>512484.7619820001</v>
      </c>
      <c r="R27" s="147">
        <f>1/0.85</f>
        <v>1.1764705882352942</v>
      </c>
      <c r="S27" s="139">
        <f>H27*R27</f>
        <v>476479.00939058827</v>
      </c>
      <c r="T27" s="139"/>
      <c r="U27" s="161"/>
      <c r="W27" s="161"/>
      <c r="X27" s="147">
        <f>1/0.85</f>
        <v>1.1764705882352942</v>
      </c>
      <c r="Y27" s="161"/>
      <c r="Z27" s="139">
        <f>S27</f>
        <v>476479.00939058827</v>
      </c>
      <c r="AA27" s="139">
        <f>S27</f>
        <v>476479.00939058827</v>
      </c>
      <c r="AB27" s="139">
        <f>H27*X27</f>
        <v>476479.00939058827</v>
      </c>
      <c r="AC27" s="139">
        <f>J27</f>
        <v>107477.60400000002</v>
      </c>
      <c r="AD27" s="101">
        <f>K27</f>
        <v>58624.14763636364</v>
      </c>
      <c r="AE27" s="139">
        <f>Z27+$AC27</f>
        <v>583956.6133905883</v>
      </c>
      <c r="AF27" s="139">
        <f>AA27+$AC27</f>
        <v>583956.6133905883</v>
      </c>
      <c r="AG27" s="139">
        <f>AB27+$AC27</f>
        <v>583956.6133905883</v>
      </c>
      <c r="AH27" s="215">
        <f>(AF27+AG27)/2</f>
        <v>583956.6133905883</v>
      </c>
      <c r="AI27" s="139">
        <f>Z27+$AD27</f>
        <v>535103.1570269519</v>
      </c>
      <c r="AJ27" s="139">
        <f>AA27+$AD27</f>
        <v>535103.1570269519</v>
      </c>
      <c r="AK27" s="139">
        <f>AB27+$AD27</f>
        <v>535103.1570269519</v>
      </c>
      <c r="AL27" s="215">
        <f>(AJ27+AK27)/2</f>
        <v>535103.1570269519</v>
      </c>
      <c r="AN27" s="174">
        <v>4.15980733835905</v>
      </c>
      <c r="AO27" s="174">
        <v>2.1603780332268507</v>
      </c>
      <c r="AP27" s="174">
        <v>0.25503739302311734</v>
      </c>
      <c r="AQ27" s="174">
        <v>0.08906899540429342</v>
      </c>
      <c r="AR27" s="155">
        <v>3908.949699984</v>
      </c>
      <c r="AS27" s="217">
        <v>299.7680619965978</v>
      </c>
      <c r="AT27" s="155">
        <f>Z27/1000</f>
        <v>476.47900939058826</v>
      </c>
      <c r="AU27" s="155">
        <f>AA27/1000</f>
        <v>476.47900939058826</v>
      </c>
      <c r="AV27" s="155">
        <f>AB27/1000</f>
        <v>476.47900939058826</v>
      </c>
      <c r="AW27" s="226">
        <f>$AR27+$AS27+AT27</f>
        <v>4685.1967713711865</v>
      </c>
      <c r="AX27" s="226">
        <f>$AR27+$AS27+AU27</f>
        <v>4685.1967713711865</v>
      </c>
      <c r="AY27" s="226">
        <f>$AR27+$AS27+AV27</f>
        <v>4685.1967713711865</v>
      </c>
      <c r="AZ27" s="139">
        <f>AE27*AN27</f>
        <v>2429147.005665468</v>
      </c>
      <c r="BA27" s="139">
        <f>AF27*AN27</f>
        <v>2429147.005665468</v>
      </c>
      <c r="BB27" s="139">
        <f>(AE27/1000)+($AP27*($AR27+$AS27+AT27))</f>
        <v>1778.8569837614223</v>
      </c>
      <c r="BC27" s="139">
        <f>(AF27/1000)+($AP27*($AR27+$AS27+AU27))</f>
        <v>1778.8569837614223</v>
      </c>
      <c r="BD27" s="139">
        <f>(AG27/1000)+($AP27*($AR27+$AS27+AV27))</f>
        <v>1778.8569837614223</v>
      </c>
      <c r="BE27" s="139">
        <f>(BC27+BD27)/2</f>
        <v>1778.8569837614223</v>
      </c>
      <c r="BF27" s="139">
        <f>AI27*$AO27</f>
        <v>1156025.105951365</v>
      </c>
      <c r="BG27" s="139">
        <f>AJ27*$AO27</f>
        <v>1156025.105951365</v>
      </c>
      <c r="BH27" s="139">
        <f>(AE27/1000)+($AQ27*($AR27+$AS27+AT27))</f>
        <v>1001.2623830880589</v>
      </c>
      <c r="BI27" s="139">
        <f>(AF27/1000)+($AQ27*($AR27+$AS27+AU27))</f>
        <v>1001.2623830880589</v>
      </c>
      <c r="BJ27" s="139">
        <f>(AG27/1000)+($AQ27*($AR27+$AS27+AV27))</f>
        <v>1001.2623830880589</v>
      </c>
      <c r="BK27" s="139">
        <f>(BI27+BJ27)/2</f>
        <v>1001.2623830880589</v>
      </c>
      <c r="BM27" s="90" t="s">
        <v>342</v>
      </c>
      <c r="BO27" s="139">
        <f t="shared" si="8"/>
        <v>476479.00939058827</v>
      </c>
      <c r="BP27" s="139">
        <f t="shared" si="13"/>
        <v>107477.60400000002</v>
      </c>
      <c r="BQ27" s="139">
        <f>BR27-BO27-BP27</f>
        <v>1194900.370370834</v>
      </c>
      <c r="BR27" s="139">
        <f>1000*BE27</f>
        <v>1778856.9837614223</v>
      </c>
      <c r="BT27" s="93">
        <v>6</v>
      </c>
      <c r="BU27" s="93">
        <v>11</v>
      </c>
      <c r="BV27" s="93">
        <v>11.181888402597238</v>
      </c>
      <c r="BW27" s="93">
        <f t="shared" si="14"/>
        <v>9.073754844549978</v>
      </c>
      <c r="BY27" s="245">
        <f t="shared" si="9"/>
        <v>7.9413168231764715</v>
      </c>
      <c r="BZ27" s="245">
        <f t="shared" si="10"/>
        <v>0.9770691272727274</v>
      </c>
      <c r="CA27" s="245">
        <f t="shared" si="11"/>
        <v>10.686033765936102</v>
      </c>
      <c r="CB27" s="245">
        <f t="shared" si="12"/>
        <v>19.6044197163853</v>
      </c>
    </row>
    <row r="28" spans="1:75" ht="15">
      <c r="A28" s="90" t="s">
        <v>565</v>
      </c>
      <c r="B28" s="90" t="s">
        <v>568</v>
      </c>
      <c r="E28" s="237"/>
      <c r="F28" s="237"/>
      <c r="G28" s="237"/>
      <c r="H28" s="237"/>
      <c r="P28" s="139"/>
      <c r="R28" s="147"/>
      <c r="S28" s="139"/>
      <c r="T28" s="139"/>
      <c r="U28" s="161"/>
      <c r="W28" s="161"/>
      <c r="X28" s="147"/>
      <c r="Y28" s="161"/>
      <c r="Z28" s="139"/>
      <c r="AA28" s="139"/>
      <c r="AB28" s="139"/>
      <c r="AD28" s="101"/>
      <c r="AE28" s="139"/>
      <c r="AF28" s="139"/>
      <c r="AG28" s="139"/>
      <c r="AH28" s="215"/>
      <c r="AI28" s="139"/>
      <c r="AJ28" s="139"/>
      <c r="AK28" s="139"/>
      <c r="AL28" s="215"/>
      <c r="AN28" s="174"/>
      <c r="AO28" s="174"/>
      <c r="AP28" s="174"/>
      <c r="AQ28" s="174"/>
      <c r="AR28" s="155"/>
      <c r="AT28" s="155"/>
      <c r="AU28" s="155"/>
      <c r="AV28" s="155"/>
      <c r="AW28" s="226"/>
      <c r="AX28" s="226"/>
      <c r="AY28" s="226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M28" s="90" t="s">
        <v>565</v>
      </c>
      <c r="BO28" s="139"/>
      <c r="BP28" s="139"/>
      <c r="BT28" s="93"/>
      <c r="BU28" s="93"/>
      <c r="BW28" s="93"/>
    </row>
    <row r="29" spans="1:80" ht="15">
      <c r="A29" s="90" t="s">
        <v>82</v>
      </c>
      <c r="C29" s="101">
        <v>11235.195312500002</v>
      </c>
      <c r="E29" s="237">
        <v>615810.4169999999</v>
      </c>
      <c r="F29" s="237">
        <v>107857.875</v>
      </c>
      <c r="G29" s="237">
        <f>C29+E29+F29</f>
        <v>734903.4873124999</v>
      </c>
      <c r="H29" s="237">
        <f>G29*1.07</f>
        <v>786346.731424375</v>
      </c>
      <c r="J29" s="101">
        <v>998226.8379589609</v>
      </c>
      <c r="K29" s="101">
        <f>J29*6/11</f>
        <v>544487.3661594333</v>
      </c>
      <c r="L29" s="101">
        <f>M29-J29</f>
        <v>704748.1475990264</v>
      </c>
      <c r="M29" s="101">
        <v>1702974.9855579874</v>
      </c>
      <c r="N29" s="101">
        <f>K29+L29</f>
        <v>1249235.5137584596</v>
      </c>
      <c r="P29" s="139">
        <f>H29+J29</f>
        <v>1784573.5693833358</v>
      </c>
      <c r="R29" s="147">
        <f>1/0.85</f>
        <v>1.1764705882352942</v>
      </c>
      <c r="T29" s="150">
        <f>H29*($S$53/$H$35)</f>
        <v>3780336.866588747</v>
      </c>
      <c r="U29" s="162">
        <f>($S$53/$H$35)</f>
        <v>4.807468150520712</v>
      </c>
      <c r="V29" s="139">
        <f>H29*W29</f>
        <v>2062272.9378335658</v>
      </c>
      <c r="W29" s="162">
        <v>2.6226</v>
      </c>
      <c r="X29" s="147">
        <f>1/0.85</f>
        <v>1.1764705882352942</v>
      </c>
      <c r="Y29" s="161"/>
      <c r="Z29" s="139">
        <f>T29</f>
        <v>3780336.866588747</v>
      </c>
      <c r="AA29" s="139">
        <f>V29</f>
        <v>2062272.9378335658</v>
      </c>
      <c r="AB29" s="139">
        <f>H29*X29</f>
        <v>925113.8016757353</v>
      </c>
      <c r="AC29" s="139">
        <f aca="true" t="shared" si="28" ref="AC29:AD33">J29</f>
        <v>998226.8379589609</v>
      </c>
      <c r="AD29" s="101">
        <f t="shared" si="28"/>
        <v>544487.3661594333</v>
      </c>
      <c r="AE29" s="139">
        <f aca="true" t="shared" si="29" ref="AE29:AG33">Z29+$AC29</f>
        <v>4778563.704547708</v>
      </c>
      <c r="AF29" s="139">
        <f t="shared" si="29"/>
        <v>3060499.7757925265</v>
      </c>
      <c r="AG29" s="139">
        <f t="shared" si="29"/>
        <v>1923340.6396346963</v>
      </c>
      <c r="AH29" s="215">
        <f>(AF29+AG29)/2</f>
        <v>2491920.2077136114</v>
      </c>
      <c r="AI29" s="139">
        <f aca="true" t="shared" si="30" ref="AI29:AK33">Z29+$AD29</f>
        <v>4324824.232748181</v>
      </c>
      <c r="AJ29" s="139">
        <f t="shared" si="30"/>
        <v>2606760.303992999</v>
      </c>
      <c r="AK29" s="139">
        <f t="shared" si="30"/>
        <v>1469601.1678351685</v>
      </c>
      <c r="AL29" s="215">
        <f>(AJ29+AK29)/2</f>
        <v>2038180.7359140837</v>
      </c>
      <c r="AN29" s="174">
        <v>2.3437895307599703</v>
      </c>
      <c r="AO29" s="174">
        <v>1.4071418756065488</v>
      </c>
      <c r="AP29" s="174">
        <v>0.23977730747089346</v>
      </c>
      <c r="AQ29" s="174">
        <v>0.05609452195697903</v>
      </c>
      <c r="AR29" s="155">
        <v>13470.233323328002</v>
      </c>
      <c r="AS29" s="217">
        <v>2828.0273420143767</v>
      </c>
      <c r="AT29" s="155">
        <f aca="true" t="shared" si="31" ref="AT29:AV33">Z29/1000</f>
        <v>3780.336866588747</v>
      </c>
      <c r="AU29" s="155">
        <f t="shared" si="31"/>
        <v>2062.2729378335657</v>
      </c>
      <c r="AV29" s="155">
        <f t="shared" si="31"/>
        <v>925.1138016757353</v>
      </c>
      <c r="AW29" s="226">
        <f aca="true" t="shared" si="32" ref="AW29:AY33">$AR29+$AS29+AT29</f>
        <v>20078.597531931126</v>
      </c>
      <c r="AX29" s="226">
        <f t="shared" si="32"/>
        <v>18360.533603175943</v>
      </c>
      <c r="AY29" s="226">
        <f t="shared" si="32"/>
        <v>17223.374467018115</v>
      </c>
      <c r="AZ29" s="139">
        <f>AE29*AN29</f>
        <v>11199947.582788497</v>
      </c>
      <c r="BA29" s="139">
        <f>AF29*AN29</f>
        <v>7173167.3333957605</v>
      </c>
      <c r="BB29" s="139">
        <f aca="true" t="shared" si="33" ref="BB29:BD33">(AE29/1000)+($AP29*($AR29+$AS29+AT29))</f>
        <v>9592.955758545879</v>
      </c>
      <c r="BC29" s="139">
        <f t="shared" si="33"/>
        <v>7462.939086890916</v>
      </c>
      <c r="BD29" s="139">
        <f t="shared" si="33"/>
        <v>6053.114994899234</v>
      </c>
      <c r="BE29" s="139">
        <f>(BC29+BD29)/2</f>
        <v>6758.027040895075</v>
      </c>
      <c r="BF29" s="139">
        <f aca="true" t="shared" si="34" ref="BF29:BG33">AI29*$AO29</f>
        <v>6085641.282537928</v>
      </c>
      <c r="BG29" s="139">
        <f t="shared" si="34"/>
        <v>3668081.583417406</v>
      </c>
      <c r="BH29" s="139">
        <f aca="true" t="shared" si="35" ref="BH29:BJ33">(AE29/1000)+($AQ29*($AR29+$AS29+AT29))</f>
        <v>5904.863034667964</v>
      </c>
      <c r="BI29" s="139">
        <f t="shared" si="35"/>
        <v>4090.425131137731</v>
      </c>
      <c r="BJ29" s="139">
        <f t="shared" si="35"/>
        <v>2889.4775968481163</v>
      </c>
      <c r="BK29" s="139">
        <f>(BI29+BJ29)/2</f>
        <v>3489.9513639929237</v>
      </c>
      <c r="BM29" s="90" t="s">
        <v>82</v>
      </c>
      <c r="BO29" s="139">
        <f t="shared" si="8"/>
        <v>1493693.3697546506</v>
      </c>
      <c r="BP29" s="139">
        <f t="shared" si="13"/>
        <v>998226.8379589609</v>
      </c>
      <c r="BQ29" s="139">
        <f>BR29-BO29-BP29</f>
        <v>4266106.833181463</v>
      </c>
      <c r="BR29" s="139">
        <f>1000*BE29</f>
        <v>6758027.040895075</v>
      </c>
      <c r="BT29" s="93">
        <v>6</v>
      </c>
      <c r="BU29" s="93">
        <v>11</v>
      </c>
      <c r="BV29" s="93">
        <v>11.068233319104495</v>
      </c>
      <c r="BW29" s="93">
        <f t="shared" si="14"/>
        <v>9.319696561755224</v>
      </c>
      <c r="BY29" s="245">
        <f t="shared" si="9"/>
        <v>24.894889495910842</v>
      </c>
      <c r="BZ29" s="245">
        <f t="shared" si="10"/>
        <v>9.074789435990553</v>
      </c>
      <c r="CA29" s="245">
        <f t="shared" si="11"/>
        <v>38.54370169282467</v>
      </c>
      <c r="CB29" s="245">
        <f t="shared" si="12"/>
        <v>72.51338062472607</v>
      </c>
    </row>
    <row r="30" spans="1:80" ht="15">
      <c r="A30" s="90" t="s">
        <v>343</v>
      </c>
      <c r="B30" s="90" t="s">
        <v>566</v>
      </c>
      <c r="C30" s="101">
        <v>34080.4212</v>
      </c>
      <c r="E30" s="237">
        <v>1298040.2741999999</v>
      </c>
      <c r="F30" s="237">
        <v>644297.1978000001</v>
      </c>
      <c r="G30" s="237">
        <f>C30+E30+F30</f>
        <v>1976417.8931999998</v>
      </c>
      <c r="H30" s="237">
        <f>G30*1.07</f>
        <v>2114767.145724</v>
      </c>
      <c r="J30" s="101">
        <v>1772650.98</v>
      </c>
      <c r="K30" s="101">
        <f>J30*6/11</f>
        <v>966900.5345454544</v>
      </c>
      <c r="L30" s="101">
        <f>M30-J30</f>
        <v>1251491.5918799997</v>
      </c>
      <c r="M30" s="101">
        <v>3024142.5718799997</v>
      </c>
      <c r="N30" s="101">
        <f>K30+L30</f>
        <v>2218392.1264254544</v>
      </c>
      <c r="P30" s="139">
        <f>H30+J30</f>
        <v>3887418.125724</v>
      </c>
      <c r="R30" s="147">
        <f>1/0.85</f>
        <v>1.1764705882352942</v>
      </c>
      <c r="T30" s="150">
        <f>H30*($S$53/$H$35)</f>
        <v>10166675.698835723</v>
      </c>
      <c r="U30" s="162">
        <f>($S$53/$H$35)</f>
        <v>4.807468150520712</v>
      </c>
      <c r="V30" s="139">
        <f>H30*W30</f>
        <v>5546188.316375762</v>
      </c>
      <c r="W30" s="162">
        <v>2.6226</v>
      </c>
      <c r="X30" s="147">
        <f>1/0.85</f>
        <v>1.1764705882352942</v>
      </c>
      <c r="Y30" s="161"/>
      <c r="Z30" s="139">
        <f>T30</f>
        <v>10166675.698835723</v>
      </c>
      <c r="AA30" s="139">
        <f>V30</f>
        <v>5546188.316375762</v>
      </c>
      <c r="AB30" s="139">
        <f>H30*X30</f>
        <v>2487961.347910588</v>
      </c>
      <c r="AC30" s="139">
        <f t="shared" si="28"/>
        <v>1772650.98</v>
      </c>
      <c r="AD30" s="101">
        <f t="shared" si="28"/>
        <v>966900.5345454544</v>
      </c>
      <c r="AE30" s="139">
        <f t="shared" si="29"/>
        <v>11939326.678835724</v>
      </c>
      <c r="AF30" s="139">
        <f t="shared" si="29"/>
        <v>7318839.296375763</v>
      </c>
      <c r="AG30" s="139">
        <f t="shared" si="29"/>
        <v>4260612.327910588</v>
      </c>
      <c r="AH30" s="215">
        <f>(AF30+AG30)/2</f>
        <v>5789725.812143175</v>
      </c>
      <c r="AI30" s="139">
        <f t="shared" si="30"/>
        <v>11133576.233381178</v>
      </c>
      <c r="AJ30" s="139">
        <f t="shared" si="30"/>
        <v>6513088.850921216</v>
      </c>
      <c r="AK30" s="139">
        <f t="shared" si="30"/>
        <v>3454861.882456043</v>
      </c>
      <c r="AL30" s="215">
        <f>(AJ30+AK30)/2</f>
        <v>4983975.36668863</v>
      </c>
      <c r="AN30" s="174">
        <v>2.3437895307599703</v>
      </c>
      <c r="AO30" s="174">
        <v>1.4071418756065488</v>
      </c>
      <c r="AP30" s="174">
        <v>0.23977730747089346</v>
      </c>
      <c r="AQ30" s="174">
        <v>0.05609452195697903</v>
      </c>
      <c r="AR30" s="155">
        <f>28823.5755117304+739.7</f>
        <v>29563.2755117304</v>
      </c>
      <c r="AS30" s="217">
        <f>5127.81472219606+118</f>
        <v>5245.81472219606</v>
      </c>
      <c r="AT30" s="155">
        <f t="shared" si="31"/>
        <v>10166.675698835723</v>
      </c>
      <c r="AU30" s="155">
        <f t="shared" si="31"/>
        <v>5546.188316375762</v>
      </c>
      <c r="AV30" s="155">
        <f t="shared" si="31"/>
        <v>2487.9613479105883</v>
      </c>
      <c r="AW30" s="226">
        <f t="shared" si="32"/>
        <v>44975.76593276218</v>
      </c>
      <c r="AX30" s="226">
        <f t="shared" si="32"/>
        <v>40355.27855030222</v>
      </c>
      <c r="AY30" s="226">
        <f t="shared" si="32"/>
        <v>37297.05158183705</v>
      </c>
      <c r="AZ30" s="139">
        <f>AE30*AN30</f>
        <v>27983268.874178376</v>
      </c>
      <c r="BA30" s="139">
        <f>AF30*AN30</f>
        <v>17153818.92016018</v>
      </c>
      <c r="BB30" s="139">
        <f t="shared" si="33"/>
        <v>22723.494735634577</v>
      </c>
      <c r="BC30" s="139">
        <f t="shared" si="33"/>
        <v>16995.11932940513</v>
      </c>
      <c r="BD30" s="139">
        <f t="shared" si="33"/>
        <v>13203.598932806504</v>
      </c>
      <c r="BE30" s="139">
        <f>(BC30+BD30)/2</f>
        <v>15099.359131105817</v>
      </c>
      <c r="BF30" s="139">
        <f t="shared" si="34"/>
        <v>15666521.343248487</v>
      </c>
      <c r="BG30" s="139">
        <f t="shared" si="34"/>
        <v>9164840.061677381</v>
      </c>
      <c r="BH30" s="139">
        <f t="shared" si="35"/>
        <v>14462.220768483001</v>
      </c>
      <c r="BI30" s="139">
        <f t="shared" si="35"/>
        <v>9582.549355095694</v>
      </c>
      <c r="BJ30" s="139">
        <f t="shared" si="35"/>
        <v>6352.772606798526</v>
      </c>
      <c r="BK30" s="139">
        <f>(BI30+BJ30)/2</f>
        <v>7967.66098094711</v>
      </c>
      <c r="BM30" s="90" t="s">
        <v>343</v>
      </c>
      <c r="BO30" s="139">
        <f t="shared" si="8"/>
        <v>4017074.8321431754</v>
      </c>
      <c r="BP30" s="139">
        <f t="shared" si="13"/>
        <v>1772650.98</v>
      </c>
      <c r="BQ30" s="139">
        <f aca="true" t="shared" si="36" ref="BQ30:BQ37">BR30-BO30-BP30</f>
        <v>9309633.318962641</v>
      </c>
      <c r="BR30" s="139">
        <f aca="true" t="shared" si="37" ref="BR30:BR37">1000*BE30</f>
        <v>15099359.131105818</v>
      </c>
      <c r="BT30" s="93">
        <v>6</v>
      </c>
      <c r="BU30" s="93">
        <v>11</v>
      </c>
      <c r="BV30" s="93">
        <v>11.068233319104495</v>
      </c>
      <c r="BW30" s="93">
        <f t="shared" si="14"/>
        <v>9.031930360971266</v>
      </c>
      <c r="BY30" s="245">
        <f t="shared" si="9"/>
        <v>66.95124720238626</v>
      </c>
      <c r="BZ30" s="245">
        <f t="shared" si="10"/>
        <v>16.11500890909091</v>
      </c>
      <c r="CA30" s="245">
        <f t="shared" si="11"/>
        <v>84.11128542884622</v>
      </c>
      <c r="CB30" s="245">
        <f t="shared" si="12"/>
        <v>167.17754154032338</v>
      </c>
    </row>
    <row r="31" spans="1:80" ht="15">
      <c r="A31" s="90" t="s">
        <v>80</v>
      </c>
      <c r="C31" s="101">
        <v>18330.581812499997</v>
      </c>
      <c r="E31" s="237">
        <v>1674568.782</v>
      </c>
      <c r="F31" s="237">
        <v>175973.58539999998</v>
      </c>
      <c r="G31" s="237">
        <f>C31+E31+F31</f>
        <v>1868872.9492125</v>
      </c>
      <c r="H31" s="237">
        <f>G31*1.07</f>
        <v>1999694.055657375</v>
      </c>
      <c r="J31" s="101">
        <v>2110313.4119999995</v>
      </c>
      <c r="K31" s="101">
        <f>J31*6/11</f>
        <v>1151080.0429090906</v>
      </c>
      <c r="L31" s="101">
        <f>M31-J31</f>
        <v>1489881.2688719998</v>
      </c>
      <c r="M31" s="101">
        <v>3600194.6808719994</v>
      </c>
      <c r="N31" s="101">
        <f>K31+L31</f>
        <v>2640961.3117810907</v>
      </c>
      <c r="P31" s="139">
        <f>H31+J31</f>
        <v>4110007.467657374</v>
      </c>
      <c r="R31" s="147">
        <f>1/0.85</f>
        <v>1.1764705882352942</v>
      </c>
      <c r="T31" s="150">
        <f>H31*($S$53/$H$35)</f>
        <v>9613465.483358422</v>
      </c>
      <c r="U31" s="162">
        <f>($S$53/$H$35)</f>
        <v>4.807468150520712</v>
      </c>
      <c r="V31" s="139">
        <f>H31*W31</f>
        <v>5244397.630367031</v>
      </c>
      <c r="W31" s="162">
        <v>2.6226</v>
      </c>
      <c r="X31" s="147">
        <f>1/0.85</f>
        <v>1.1764705882352942</v>
      </c>
      <c r="Y31" s="161"/>
      <c r="Z31" s="139">
        <f>T31</f>
        <v>9613465.483358422</v>
      </c>
      <c r="AA31" s="139">
        <f>V31</f>
        <v>5244397.630367031</v>
      </c>
      <c r="AB31" s="139">
        <f>H31*X31</f>
        <v>2352581.241949853</v>
      </c>
      <c r="AC31" s="139">
        <f t="shared" si="28"/>
        <v>2110313.4119999995</v>
      </c>
      <c r="AD31" s="101">
        <f t="shared" si="28"/>
        <v>1151080.0429090906</v>
      </c>
      <c r="AE31" s="139">
        <f t="shared" si="29"/>
        <v>11723778.89535842</v>
      </c>
      <c r="AF31" s="139">
        <f t="shared" si="29"/>
        <v>7354711.042367031</v>
      </c>
      <c r="AG31" s="139">
        <f t="shared" si="29"/>
        <v>4462894.653949853</v>
      </c>
      <c r="AH31" s="215">
        <f>(AF31+AG31)/2</f>
        <v>5908802.8481584415</v>
      </c>
      <c r="AI31" s="139">
        <f t="shared" si="30"/>
        <v>10764545.526267514</v>
      </c>
      <c r="AJ31" s="139">
        <f t="shared" si="30"/>
        <v>6395477.673276122</v>
      </c>
      <c r="AK31" s="139">
        <f t="shared" si="30"/>
        <v>3503661.284858944</v>
      </c>
      <c r="AL31" s="215">
        <f>(AJ31+AK31)/2</f>
        <v>4949569.479067532</v>
      </c>
      <c r="AN31" s="174">
        <v>2.3437895307599703</v>
      </c>
      <c r="AO31" s="174">
        <v>1.4071418756065488</v>
      </c>
      <c r="AP31" s="174">
        <v>0.23977730747089346</v>
      </c>
      <c r="AQ31" s="174">
        <v>0.05609452195697903</v>
      </c>
      <c r="AR31" s="155">
        <v>34451.535219831996</v>
      </c>
      <c r="AS31" s="217">
        <v>5933.135966674958</v>
      </c>
      <c r="AT31" s="155">
        <f t="shared" si="31"/>
        <v>9613.465483358423</v>
      </c>
      <c r="AU31" s="155">
        <f t="shared" si="31"/>
        <v>5244.3976303670315</v>
      </c>
      <c r="AV31" s="155">
        <f t="shared" si="31"/>
        <v>2352.581241949853</v>
      </c>
      <c r="AW31" s="226">
        <f t="shared" si="32"/>
        <v>49998.13666986537</v>
      </c>
      <c r="AX31" s="226">
        <f t="shared" si="32"/>
        <v>45629.06881687399</v>
      </c>
      <c r="AY31" s="226">
        <f t="shared" si="32"/>
        <v>42737.252428456806</v>
      </c>
      <c r="AZ31" s="139">
        <f>AE31*AN31</f>
        <v>27478070.235885758</v>
      </c>
      <c r="BA31" s="139">
        <f>AF31*AN31</f>
        <v>17237894.742864594</v>
      </c>
      <c r="BB31" s="139">
        <f t="shared" si="33"/>
        <v>23712.197484620483</v>
      </c>
      <c r="BC31" s="139">
        <f t="shared" si="33"/>
        <v>18295.526305681182</v>
      </c>
      <c r="BD31" s="139">
        <f t="shared" si="33"/>
        <v>14710.31796994913</v>
      </c>
      <c r="BE31" s="139">
        <f>(BC31+BD31)/2</f>
        <v>16502.922137815156</v>
      </c>
      <c r="BF31" s="139">
        <f t="shared" si="34"/>
        <v>15147242.781884152</v>
      </c>
      <c r="BG31" s="139">
        <f t="shared" si="34"/>
        <v>8999344.448573569</v>
      </c>
      <c r="BH31" s="139">
        <f t="shared" si="35"/>
        <v>14528.400470594222</v>
      </c>
      <c r="BI31" s="139">
        <f t="shared" si="35"/>
        <v>9914.251844991675</v>
      </c>
      <c r="BJ31" s="139">
        <f t="shared" si="35"/>
        <v>6860.220398678879</v>
      </c>
      <c r="BK31" s="139">
        <f>(BI31+BJ31)/2</f>
        <v>8387.236121835278</v>
      </c>
      <c r="BM31" s="90" t="s">
        <v>80</v>
      </c>
      <c r="BO31" s="139">
        <f t="shared" si="8"/>
        <v>3798489.436158442</v>
      </c>
      <c r="BP31" s="139">
        <f t="shared" si="13"/>
        <v>2110313.4119999995</v>
      </c>
      <c r="BQ31" s="139">
        <f t="shared" si="36"/>
        <v>10594119.289656714</v>
      </c>
      <c r="BR31" s="139">
        <f t="shared" si="37"/>
        <v>16502922.137815155</v>
      </c>
      <c r="BT31" s="93">
        <v>6</v>
      </c>
      <c r="BU31" s="93">
        <v>11</v>
      </c>
      <c r="BV31" s="93">
        <v>11.068233319104495</v>
      </c>
      <c r="BW31" s="93">
        <f t="shared" si="14"/>
        <v>9.260417435315038</v>
      </c>
      <c r="BY31" s="245">
        <f t="shared" si="9"/>
        <v>63.308157269307365</v>
      </c>
      <c r="BZ31" s="245">
        <f t="shared" si="10"/>
        <v>19.184667381818176</v>
      </c>
      <c r="CA31" s="245">
        <f t="shared" si="11"/>
        <v>95.71644348489266</v>
      </c>
      <c r="CB31" s="245">
        <f t="shared" si="12"/>
        <v>178.2092681360182</v>
      </c>
    </row>
    <row r="32" spans="1:80" ht="15">
      <c r="A32" s="90" t="s">
        <v>81</v>
      </c>
      <c r="C32" s="101">
        <v>15770.709797736536</v>
      </c>
      <c r="E32" s="237">
        <v>747403.2564</v>
      </c>
      <c r="F32" s="237">
        <v>300497.5758</v>
      </c>
      <c r="G32" s="237">
        <f>C32+E32+F32</f>
        <v>1063671.5419977363</v>
      </c>
      <c r="H32" s="237">
        <f>G32*1.07</f>
        <v>1138128.549937578</v>
      </c>
      <c r="J32" s="101">
        <v>2527477.02</v>
      </c>
      <c r="K32" s="101">
        <f>J32*6/11</f>
        <v>1378623.829090909</v>
      </c>
      <c r="L32" s="101">
        <f>M32-J32</f>
        <v>1784398.77612</v>
      </c>
      <c r="M32" s="101">
        <v>4311875.79612</v>
      </c>
      <c r="N32" s="101">
        <f>K32+L32</f>
        <v>3163022.605210909</v>
      </c>
      <c r="P32" s="139">
        <f>H32+J32</f>
        <v>3665605.569937578</v>
      </c>
      <c r="R32" s="147">
        <f>1/0.85</f>
        <v>1.1764705882352942</v>
      </c>
      <c r="T32" s="150">
        <f>H32*($S$53/$H$35)</f>
        <v>5471516.755023228</v>
      </c>
      <c r="U32" s="162">
        <f>($S$53/$H$35)</f>
        <v>4.807468150520712</v>
      </c>
      <c r="V32" s="139">
        <f>H32*W32</f>
        <v>2984855.9350662916</v>
      </c>
      <c r="W32" s="162">
        <v>2.6226</v>
      </c>
      <c r="X32" s="147">
        <f>1/0.85</f>
        <v>1.1764705882352942</v>
      </c>
      <c r="Y32" s="161"/>
      <c r="Z32" s="139">
        <f>T32</f>
        <v>5471516.755023228</v>
      </c>
      <c r="AA32" s="139">
        <f>V32</f>
        <v>2984855.9350662916</v>
      </c>
      <c r="AB32" s="139">
        <f>H32*X32</f>
        <v>1338974.7646324446</v>
      </c>
      <c r="AC32" s="139">
        <f t="shared" si="28"/>
        <v>2527477.02</v>
      </c>
      <c r="AD32" s="101">
        <f t="shared" si="28"/>
        <v>1378623.829090909</v>
      </c>
      <c r="AE32" s="139">
        <f t="shared" si="29"/>
        <v>7998993.775023228</v>
      </c>
      <c r="AF32" s="139">
        <f t="shared" si="29"/>
        <v>5512332.955066292</v>
      </c>
      <c r="AG32" s="139">
        <f t="shared" si="29"/>
        <v>3866451.7846324444</v>
      </c>
      <c r="AH32" s="215">
        <f>(AF32+AG32)/2</f>
        <v>4689392.369849368</v>
      </c>
      <c r="AI32" s="139">
        <f t="shared" si="30"/>
        <v>6850140.584114137</v>
      </c>
      <c r="AJ32" s="139">
        <f t="shared" si="30"/>
        <v>4363479.7641572</v>
      </c>
      <c r="AK32" s="139">
        <f t="shared" si="30"/>
        <v>2717598.593723354</v>
      </c>
      <c r="AL32" s="215">
        <f>(AJ32+AK32)/2</f>
        <v>3540539.178940277</v>
      </c>
      <c r="AN32" s="174">
        <v>2.3437895307599703</v>
      </c>
      <c r="AO32" s="174">
        <v>1.4071418756065488</v>
      </c>
      <c r="AP32" s="174">
        <v>0.23977730747089346</v>
      </c>
      <c r="AQ32" s="174">
        <v>0.05609452195697903</v>
      </c>
      <c r="AR32" s="155">
        <v>31115.735879216005</v>
      </c>
      <c r="AS32" s="217">
        <v>7274.298865954688</v>
      </c>
      <c r="AT32" s="155">
        <f t="shared" si="31"/>
        <v>5471.516755023228</v>
      </c>
      <c r="AU32" s="155">
        <f t="shared" si="31"/>
        <v>2984.8559350662917</v>
      </c>
      <c r="AV32" s="155">
        <f t="shared" si="31"/>
        <v>1338.9747646324447</v>
      </c>
      <c r="AW32" s="226">
        <f t="shared" si="32"/>
        <v>43861.55150019392</v>
      </c>
      <c r="AX32" s="226">
        <f t="shared" si="32"/>
        <v>41374.89068023698</v>
      </c>
      <c r="AY32" s="226">
        <f t="shared" si="32"/>
        <v>39729.00950980314</v>
      </c>
      <c r="AZ32" s="139">
        <f>AE32*AN32</f>
        <v>18747957.866513614</v>
      </c>
      <c r="BA32" s="139">
        <f>AF32*AN32</f>
        <v>12919748.270147543</v>
      </c>
      <c r="BB32" s="139">
        <f t="shared" si="33"/>
        <v>18515.998495235654</v>
      </c>
      <c r="BC32" s="139">
        <f t="shared" si="33"/>
        <v>15433.09283927608</v>
      </c>
      <c r="BD32" s="139">
        <f t="shared" si="33"/>
        <v>13392.566713378561</v>
      </c>
      <c r="BE32" s="139">
        <f>(BC32+BD32)/2</f>
        <v>14412.82977632732</v>
      </c>
      <c r="BF32" s="139">
        <f t="shared" si="34"/>
        <v>9639119.669698907</v>
      </c>
      <c r="BG32" s="139">
        <f t="shared" si="34"/>
        <v>6140035.099507384</v>
      </c>
      <c r="BH32" s="139">
        <f t="shared" si="35"/>
        <v>10459.386538718023</v>
      </c>
      <c r="BI32" s="139">
        <f t="shared" si="35"/>
        <v>7833.237668796452</v>
      </c>
      <c r="BJ32" s="139">
        <f t="shared" si="35"/>
        <v>6095.031580909125</v>
      </c>
      <c r="BK32" s="139">
        <f>(BI32+BJ32)/2</f>
        <v>6964.134624852789</v>
      </c>
      <c r="BM32" s="90" t="s">
        <v>81</v>
      </c>
      <c r="BO32" s="139">
        <f t="shared" si="8"/>
        <v>2161915.349849368</v>
      </c>
      <c r="BP32" s="139">
        <f t="shared" si="13"/>
        <v>2527477.02</v>
      </c>
      <c r="BQ32" s="139">
        <f t="shared" si="36"/>
        <v>9723437.406477952</v>
      </c>
      <c r="BR32" s="139">
        <f t="shared" si="37"/>
        <v>14412829.77632732</v>
      </c>
      <c r="BT32" s="93">
        <v>6</v>
      </c>
      <c r="BU32" s="93">
        <v>11</v>
      </c>
      <c r="BV32" s="93">
        <v>11.068233319104495</v>
      </c>
      <c r="BW32" s="93">
        <f t="shared" si="14"/>
        <v>9.814063866130287</v>
      </c>
      <c r="BY32" s="245">
        <f t="shared" si="9"/>
        <v>36.03192249748947</v>
      </c>
      <c r="BZ32" s="245">
        <f t="shared" si="10"/>
        <v>22.97706381818182</v>
      </c>
      <c r="CA32" s="245">
        <f t="shared" si="11"/>
        <v>87.84994972679753</v>
      </c>
      <c r="CB32" s="245">
        <f t="shared" si="12"/>
        <v>146.85893604246883</v>
      </c>
    </row>
    <row r="33" spans="1:80" s="249" customFormat="1" ht="15">
      <c r="A33" s="249" t="s">
        <v>187</v>
      </c>
      <c r="B33" s="249" t="s">
        <v>567</v>
      </c>
      <c r="C33" s="250">
        <v>35419.886102954464</v>
      </c>
      <c r="D33" s="250"/>
      <c r="E33" s="251">
        <v>3598611.6036</v>
      </c>
      <c r="F33" s="251">
        <v>674896.0602</v>
      </c>
      <c r="G33" s="251">
        <f>C33+E33+F33</f>
        <v>4308927.549902954</v>
      </c>
      <c r="H33" s="251">
        <f>G33*1.07</f>
        <v>4610552.478396161</v>
      </c>
      <c r="I33" s="250"/>
      <c r="J33" s="250">
        <v>5634729.036000001</v>
      </c>
      <c r="K33" s="250">
        <f>J33*6/11</f>
        <v>3073488.5650909096</v>
      </c>
      <c r="L33" s="250">
        <f>M33-J33</f>
        <v>3978118.6994160013</v>
      </c>
      <c r="M33" s="250">
        <v>9612847.735416003</v>
      </c>
      <c r="N33" s="250">
        <f>K33+L33</f>
        <v>7051607.264506911</v>
      </c>
      <c r="O33" s="250"/>
      <c r="P33" s="252">
        <f>H33+J33</f>
        <v>10245281.514396163</v>
      </c>
      <c r="Q33" s="90"/>
      <c r="R33" s="253">
        <f>1/0.85</f>
        <v>1.1764705882352942</v>
      </c>
      <c r="T33" s="254">
        <f>H33*($S$53/$H$35)</f>
        <v>22165084.19619388</v>
      </c>
      <c r="U33" s="255">
        <f>($S$53/$H$35)</f>
        <v>4.807468150520712</v>
      </c>
      <c r="V33" s="252">
        <f>H33*W33</f>
        <v>12091634.929841772</v>
      </c>
      <c r="W33" s="255">
        <v>2.6226</v>
      </c>
      <c r="X33" s="253">
        <f>1/0.85</f>
        <v>1.1764705882352942</v>
      </c>
      <c r="Y33" s="256"/>
      <c r="Z33" s="252">
        <f>T33</f>
        <v>22165084.19619388</v>
      </c>
      <c r="AA33" s="252">
        <f>V33</f>
        <v>12091634.929841772</v>
      </c>
      <c r="AB33" s="252">
        <f>H33*X33</f>
        <v>5424179.386348425</v>
      </c>
      <c r="AC33" s="252">
        <f t="shared" si="28"/>
        <v>5634729.036000001</v>
      </c>
      <c r="AD33" s="250">
        <f t="shared" si="28"/>
        <v>3073488.5650909096</v>
      </c>
      <c r="AE33" s="252">
        <f t="shared" si="29"/>
        <v>27799813.232193884</v>
      </c>
      <c r="AF33" s="252">
        <f t="shared" si="29"/>
        <v>17726363.965841774</v>
      </c>
      <c r="AG33" s="252">
        <f t="shared" si="29"/>
        <v>11058908.422348427</v>
      </c>
      <c r="AH33" s="257">
        <f>(AF33+AG33)/2</f>
        <v>14392636.194095101</v>
      </c>
      <c r="AI33" s="252">
        <f t="shared" si="30"/>
        <v>25238572.76128479</v>
      </c>
      <c r="AJ33" s="252">
        <f t="shared" si="30"/>
        <v>15165123.494932681</v>
      </c>
      <c r="AK33" s="252">
        <f t="shared" si="30"/>
        <v>8497667.951439336</v>
      </c>
      <c r="AL33" s="257">
        <f>(AJ33+AK33)/2</f>
        <v>11831395.723186009</v>
      </c>
      <c r="AN33" s="258">
        <v>2.3437895307599703</v>
      </c>
      <c r="AO33" s="258">
        <v>1.4071418756065488</v>
      </c>
      <c r="AP33" s="258">
        <v>0.23977730747089346</v>
      </c>
      <c r="AQ33" s="258">
        <v>0.05609452195697903</v>
      </c>
      <c r="AR33" s="259">
        <v>69464.3913291835</v>
      </c>
      <c r="AS33" s="260">
        <v>16059.103847315366</v>
      </c>
      <c r="AT33" s="259">
        <f t="shared" si="31"/>
        <v>22165.084196193882</v>
      </c>
      <c r="AU33" s="259">
        <f t="shared" si="31"/>
        <v>12091.634929841772</v>
      </c>
      <c r="AV33" s="259">
        <f t="shared" si="31"/>
        <v>5424.179386348425</v>
      </c>
      <c r="AW33" s="261">
        <f t="shared" si="32"/>
        <v>107688.57937269275</v>
      </c>
      <c r="AX33" s="261">
        <f t="shared" si="32"/>
        <v>97615.13010634064</v>
      </c>
      <c r="AY33" s="261">
        <f t="shared" si="32"/>
        <v>90947.67456284729</v>
      </c>
      <c r="AZ33" s="252">
        <f>AE33*AN33</f>
        <v>65156911.210698515</v>
      </c>
      <c r="BA33" s="252">
        <f>AF33*AN33</f>
        <v>41546866.28158074</v>
      </c>
      <c r="BB33" s="252">
        <f t="shared" si="33"/>
        <v>53621.090839543744</v>
      </c>
      <c r="BC33" s="252">
        <f t="shared" si="33"/>
        <v>41132.25703116108</v>
      </c>
      <c r="BD33" s="252">
        <f t="shared" si="33"/>
        <v>32866.096949767016</v>
      </c>
      <c r="BE33" s="252">
        <f>(BC33+BD33)/2</f>
        <v>36999.17699046405</v>
      </c>
      <c r="BF33" s="252">
        <f t="shared" si="34"/>
        <v>35514252.61294664</v>
      </c>
      <c r="BG33" s="252">
        <f t="shared" si="34"/>
        <v>21339480.318464514</v>
      </c>
      <c r="BH33" s="252">
        <f t="shared" si="35"/>
        <v>33840.552612331274</v>
      </c>
      <c r="BI33" s="252">
        <f t="shared" si="35"/>
        <v>23202.038024925263</v>
      </c>
      <c r="BJ33" s="252">
        <f t="shared" si="35"/>
        <v>16160.574750050248</v>
      </c>
      <c r="BK33" s="252">
        <f>(BI33+BJ33)/2</f>
        <v>19681.306387487755</v>
      </c>
      <c r="BM33" s="249" t="s">
        <v>187</v>
      </c>
      <c r="BO33" s="252">
        <f t="shared" si="8"/>
        <v>8757907.158095099</v>
      </c>
      <c r="BP33" s="252">
        <f t="shared" si="13"/>
        <v>5634729.036000001</v>
      </c>
      <c r="BQ33" s="252">
        <f t="shared" si="36"/>
        <v>22606540.796368953</v>
      </c>
      <c r="BR33" s="252">
        <f t="shared" si="37"/>
        <v>36999176.990464054</v>
      </c>
      <c r="BT33" s="262">
        <v>6</v>
      </c>
      <c r="BU33" s="262">
        <v>11</v>
      </c>
      <c r="BV33" s="262">
        <v>11.068233319104495</v>
      </c>
      <c r="BW33" s="262">
        <f t="shared" si="14"/>
        <v>9.216683644784087</v>
      </c>
      <c r="BY33" s="263">
        <f t="shared" si="9"/>
        <v>145.965119301585</v>
      </c>
      <c r="BZ33" s="263">
        <f t="shared" si="10"/>
        <v>51.22480941818183</v>
      </c>
      <c r="CA33" s="263">
        <f t="shared" si="11"/>
        <v>204.24705682115126</v>
      </c>
      <c r="CB33" s="263">
        <f t="shared" si="12"/>
        <v>401.43698554091804</v>
      </c>
    </row>
    <row r="34" spans="1:80" ht="15">
      <c r="A34" s="234" t="s">
        <v>571</v>
      </c>
      <c r="C34" s="139">
        <f>SUM(C27:C33)</f>
        <v>119343.30182569099</v>
      </c>
      <c r="E34" s="237">
        <f aca="true" t="shared" si="38" ref="E34:BK34">SUM(E27:E33)</f>
        <v>8177629.2384</v>
      </c>
      <c r="F34" s="237">
        <f t="shared" si="38"/>
        <v>2034332.244</v>
      </c>
      <c r="G34" s="237">
        <f t="shared" si="38"/>
        <v>10331304.784225691</v>
      </c>
      <c r="H34" s="237">
        <f t="shared" si="38"/>
        <v>11054496.119121488</v>
      </c>
      <c r="J34" s="139">
        <f t="shared" si="38"/>
        <v>13150874.889958963</v>
      </c>
      <c r="K34" s="139">
        <f t="shared" si="38"/>
        <v>7173204.485432161</v>
      </c>
      <c r="L34" s="139">
        <f t="shared" si="38"/>
        <v>9284517.672311027</v>
      </c>
      <c r="M34" s="139">
        <f t="shared" si="38"/>
        <v>22435392.56226999</v>
      </c>
      <c r="N34" s="139">
        <f t="shared" si="38"/>
        <v>16457722.15774319</v>
      </c>
      <c r="P34" s="139">
        <f t="shared" si="38"/>
        <v>24205371.00908045</v>
      </c>
      <c r="R34" s="139">
        <f t="shared" si="38"/>
        <v>7.058823529411765</v>
      </c>
      <c r="S34" s="139">
        <f t="shared" si="38"/>
        <v>476479.00939058827</v>
      </c>
      <c r="T34" s="139">
        <f t="shared" si="38"/>
        <v>51197079</v>
      </c>
      <c r="U34" s="139">
        <f t="shared" si="38"/>
        <v>24.037340752603562</v>
      </c>
      <c r="V34" s="139">
        <f t="shared" si="38"/>
        <v>27929349.749484424</v>
      </c>
      <c r="W34" s="139">
        <f t="shared" si="38"/>
        <v>13.113</v>
      </c>
      <c r="X34" s="139">
        <f t="shared" si="38"/>
        <v>7.058823529411765</v>
      </c>
      <c r="Y34" s="161"/>
      <c r="Z34" s="139">
        <f t="shared" si="38"/>
        <v>51673558.009390585</v>
      </c>
      <c r="AA34" s="139">
        <f t="shared" si="38"/>
        <v>28405828.758875012</v>
      </c>
      <c r="AB34" s="139">
        <f t="shared" si="38"/>
        <v>13005289.551907636</v>
      </c>
      <c r="AC34" s="139">
        <f t="shared" si="38"/>
        <v>13150874.889958963</v>
      </c>
      <c r="AD34" s="139">
        <f t="shared" si="38"/>
        <v>7173204.485432161</v>
      </c>
      <c r="AE34" s="139">
        <f t="shared" si="38"/>
        <v>64824432.899349555</v>
      </c>
      <c r="AF34" s="139">
        <f t="shared" si="38"/>
        <v>41556703.648833975</v>
      </c>
      <c r="AG34" s="139">
        <f t="shared" si="38"/>
        <v>26156164.4418666</v>
      </c>
      <c r="AH34" s="139">
        <f t="shared" si="38"/>
        <v>33856434.04535028</v>
      </c>
      <c r="AI34" s="139">
        <f t="shared" si="38"/>
        <v>58846762.49482275</v>
      </c>
      <c r="AJ34" s="139">
        <f t="shared" si="38"/>
        <v>35579033.24430717</v>
      </c>
      <c r="AK34" s="139">
        <f t="shared" si="38"/>
        <v>20178494.037339795</v>
      </c>
      <c r="AL34" s="139">
        <f t="shared" si="38"/>
        <v>27878763.640823483</v>
      </c>
      <c r="AN34" s="139">
        <f t="shared" si="38"/>
        <v>15.878754992158902</v>
      </c>
      <c r="AO34" s="139">
        <f t="shared" si="38"/>
        <v>9.196087411259594</v>
      </c>
      <c r="AP34" s="139">
        <f t="shared" si="38"/>
        <v>1.4539239303775846</v>
      </c>
      <c r="AQ34" s="139">
        <f t="shared" si="38"/>
        <v>0.36954160518918866</v>
      </c>
      <c r="AR34" s="139">
        <f t="shared" si="38"/>
        <v>181974.12096327392</v>
      </c>
      <c r="AS34" s="139">
        <f t="shared" si="38"/>
        <v>37640.14880615204</v>
      </c>
      <c r="AT34" s="139">
        <f t="shared" si="38"/>
        <v>51673.55800939059</v>
      </c>
      <c r="AU34" s="139">
        <f t="shared" si="38"/>
        <v>28405.82875887501</v>
      </c>
      <c r="AV34" s="139">
        <f t="shared" si="38"/>
        <v>13005.289551907636</v>
      </c>
      <c r="AW34" s="139">
        <f t="shared" si="38"/>
        <v>271287.8277788165</v>
      </c>
      <c r="AX34" s="139">
        <f t="shared" si="38"/>
        <v>248020.09852830094</v>
      </c>
      <c r="AY34" s="139">
        <f t="shared" si="38"/>
        <v>232619.5593213336</v>
      </c>
      <c r="AZ34" s="139">
        <f t="shared" si="38"/>
        <v>152995302.77573022</v>
      </c>
      <c r="BA34" s="139">
        <f t="shared" si="38"/>
        <v>98460642.55381429</v>
      </c>
      <c r="BB34" s="139">
        <f t="shared" si="38"/>
        <v>129944.59429734176</v>
      </c>
      <c r="BC34" s="139">
        <f t="shared" si="38"/>
        <v>101097.7915761758</v>
      </c>
      <c r="BD34" s="139">
        <f t="shared" si="38"/>
        <v>82004.55254456187</v>
      </c>
      <c r="BE34" s="139">
        <f t="shared" si="38"/>
        <v>91551.17206036884</v>
      </c>
      <c r="BF34" s="139">
        <f t="shared" si="38"/>
        <v>83208802.79626748</v>
      </c>
      <c r="BG34" s="139">
        <f t="shared" si="38"/>
        <v>50467806.61759162</v>
      </c>
      <c r="BH34" s="139">
        <f t="shared" si="38"/>
        <v>80196.68580788255</v>
      </c>
      <c r="BI34" s="139">
        <f t="shared" si="38"/>
        <v>55623.76440803488</v>
      </c>
      <c r="BJ34" s="139">
        <f t="shared" si="38"/>
        <v>39359.339316372956</v>
      </c>
      <c r="BK34" s="139">
        <f t="shared" si="38"/>
        <v>47491.55186220391</v>
      </c>
      <c r="BM34" s="234" t="s">
        <v>571</v>
      </c>
      <c r="BO34" s="139">
        <f t="shared" si="8"/>
        <v>20705559.155391324</v>
      </c>
      <c r="BP34" s="139">
        <f t="shared" si="13"/>
        <v>13150874.889958963</v>
      </c>
      <c r="BQ34" s="139">
        <f t="shared" si="36"/>
        <v>57694738.01501857</v>
      </c>
      <c r="BR34" s="139">
        <f t="shared" si="37"/>
        <v>91551172.06036885</v>
      </c>
      <c r="BT34" s="93">
        <v>6</v>
      </c>
      <c r="BU34" s="93">
        <v>11</v>
      </c>
      <c r="BV34" s="93">
        <v>11.068233319104495</v>
      </c>
      <c r="BW34" s="93">
        <f t="shared" si="14"/>
        <v>9.285953862707117</v>
      </c>
      <c r="BY34" s="245">
        <f t="shared" si="9"/>
        <v>345.0926525898554</v>
      </c>
      <c r="BZ34" s="245">
        <f t="shared" si="10"/>
        <v>119.55340809053602</v>
      </c>
      <c r="CA34" s="245">
        <f t="shared" si="11"/>
        <v>521.2642013557274</v>
      </c>
      <c r="CB34" s="245">
        <f t="shared" si="12"/>
        <v>985.9102620361189</v>
      </c>
    </row>
    <row r="35" spans="1:80" ht="15">
      <c r="A35" s="235" t="s">
        <v>569</v>
      </c>
      <c r="C35" s="139">
        <f>SUM(C28:C33)</f>
        <v>114836.79422569099</v>
      </c>
      <c r="E35" s="237">
        <f>SUM(E28:E33)</f>
        <v>7934434.3332</v>
      </c>
      <c r="F35" s="237">
        <f aca="true" t="shared" si="39" ref="F35:BK35">SUM(F28:F33)</f>
        <v>1903522.2942000001</v>
      </c>
      <c r="G35" s="237">
        <f t="shared" si="39"/>
        <v>9952793.421625689</v>
      </c>
      <c r="H35" s="237">
        <f t="shared" si="39"/>
        <v>10649488.961139489</v>
      </c>
      <c r="J35" s="139">
        <f t="shared" si="39"/>
        <v>13043397.28595896</v>
      </c>
      <c r="K35" s="139">
        <f t="shared" si="39"/>
        <v>7114580.337795797</v>
      </c>
      <c r="L35" s="139">
        <f t="shared" si="39"/>
        <v>9208638.483887028</v>
      </c>
      <c r="M35" s="139">
        <f t="shared" si="39"/>
        <v>22252035.76984599</v>
      </c>
      <c r="N35" s="139">
        <f t="shared" si="39"/>
        <v>16323218.821682826</v>
      </c>
      <c r="P35" s="139">
        <f t="shared" si="39"/>
        <v>23692886.24709845</v>
      </c>
      <c r="R35" s="139">
        <f t="shared" si="39"/>
        <v>5.882352941176471</v>
      </c>
      <c r="S35" s="139">
        <f t="shared" si="39"/>
        <v>0</v>
      </c>
      <c r="T35" s="139">
        <f t="shared" si="39"/>
        <v>51197079</v>
      </c>
      <c r="U35" s="139">
        <f t="shared" si="39"/>
        <v>24.037340752603562</v>
      </c>
      <c r="V35" s="139">
        <f t="shared" si="39"/>
        <v>27929349.749484424</v>
      </c>
      <c r="W35" s="139">
        <f t="shared" si="39"/>
        <v>13.113</v>
      </c>
      <c r="X35" s="139">
        <f t="shared" si="39"/>
        <v>5.882352941176471</v>
      </c>
      <c r="Y35" s="161"/>
      <c r="Z35" s="139">
        <f t="shared" si="39"/>
        <v>51197079</v>
      </c>
      <c r="AA35" s="139">
        <f t="shared" si="39"/>
        <v>27929349.749484424</v>
      </c>
      <c r="AB35" s="139">
        <f t="shared" si="39"/>
        <v>12528810.542517047</v>
      </c>
      <c r="AC35" s="139">
        <f t="shared" si="39"/>
        <v>13043397.28595896</v>
      </c>
      <c r="AD35" s="139">
        <f t="shared" si="39"/>
        <v>7114580.337795797</v>
      </c>
      <c r="AE35" s="139">
        <f t="shared" si="39"/>
        <v>64240476.28595896</v>
      </c>
      <c r="AF35" s="139">
        <f t="shared" si="39"/>
        <v>40972747.03544338</v>
      </c>
      <c r="AG35" s="139">
        <f t="shared" si="39"/>
        <v>25572207.828476008</v>
      </c>
      <c r="AH35" s="139">
        <f t="shared" si="39"/>
        <v>33272477.431959696</v>
      </c>
      <c r="AI35" s="139">
        <f t="shared" si="39"/>
        <v>58311659.3377958</v>
      </c>
      <c r="AJ35" s="139">
        <f t="shared" si="39"/>
        <v>35043930.08728022</v>
      </c>
      <c r="AK35" s="139">
        <f t="shared" si="39"/>
        <v>19643390.880312845</v>
      </c>
      <c r="AL35" s="139">
        <f t="shared" si="39"/>
        <v>27343660.48379653</v>
      </c>
      <c r="AN35" s="139">
        <f t="shared" si="39"/>
        <v>11.718947653799852</v>
      </c>
      <c r="AO35" s="139">
        <f t="shared" si="39"/>
        <v>7.0357093780327435</v>
      </c>
      <c r="AP35" s="139">
        <f t="shared" si="39"/>
        <v>1.1988865373544673</v>
      </c>
      <c r="AQ35" s="139">
        <f t="shared" si="39"/>
        <v>0.2804726097848952</v>
      </c>
      <c r="AR35" s="139">
        <f t="shared" si="39"/>
        <v>178065.17126328993</v>
      </c>
      <c r="AS35" s="139">
        <f t="shared" si="39"/>
        <v>37340.38074415545</v>
      </c>
      <c r="AT35" s="139">
        <f t="shared" si="39"/>
        <v>51197.079</v>
      </c>
      <c r="AU35" s="139">
        <f t="shared" si="39"/>
        <v>27929.34974948442</v>
      </c>
      <c r="AV35" s="139">
        <f t="shared" si="39"/>
        <v>12528.810542517047</v>
      </c>
      <c r="AW35" s="139">
        <f t="shared" si="39"/>
        <v>266602.63100744534</v>
      </c>
      <c r="AX35" s="139">
        <f t="shared" si="39"/>
        <v>243334.90175692976</v>
      </c>
      <c r="AY35" s="139">
        <f t="shared" si="39"/>
        <v>227934.36254996242</v>
      </c>
      <c r="AZ35" s="139">
        <f t="shared" si="39"/>
        <v>150566155.77006477</v>
      </c>
      <c r="BA35" s="139">
        <f t="shared" si="39"/>
        <v>96031495.54814881</v>
      </c>
      <c r="BB35" s="139">
        <f t="shared" si="39"/>
        <v>128165.73731358034</v>
      </c>
      <c r="BC35" s="139">
        <f t="shared" si="39"/>
        <v>99318.93459241439</v>
      </c>
      <c r="BD35" s="139">
        <f t="shared" si="39"/>
        <v>80225.69556080045</v>
      </c>
      <c r="BE35" s="139">
        <f t="shared" si="39"/>
        <v>89772.31507660742</v>
      </c>
      <c r="BF35" s="139">
        <f t="shared" si="39"/>
        <v>82052777.69031611</v>
      </c>
      <c r="BG35" s="139">
        <f t="shared" si="39"/>
        <v>49311781.51164025</v>
      </c>
      <c r="BH35" s="139">
        <f t="shared" si="39"/>
        <v>79195.42342479448</v>
      </c>
      <c r="BI35" s="139">
        <f t="shared" si="39"/>
        <v>54622.50202494682</v>
      </c>
      <c r="BJ35" s="139">
        <f t="shared" si="39"/>
        <v>38358.076933284894</v>
      </c>
      <c r="BK35" s="139">
        <f t="shared" si="39"/>
        <v>46490.289479115854</v>
      </c>
      <c r="BM35" s="235" t="s">
        <v>569</v>
      </c>
      <c r="BO35" s="139">
        <f t="shared" si="8"/>
        <v>20229080.146000735</v>
      </c>
      <c r="BP35" s="139">
        <f t="shared" si="13"/>
        <v>13043397.28595896</v>
      </c>
      <c r="BQ35" s="139">
        <f t="shared" si="36"/>
        <v>56499837.64464773</v>
      </c>
      <c r="BR35" s="139">
        <f t="shared" si="37"/>
        <v>89772315.07660742</v>
      </c>
      <c r="BT35" s="93">
        <v>6</v>
      </c>
      <c r="BU35" s="93">
        <v>11</v>
      </c>
      <c r="BV35" s="93">
        <v>11.068233319104495</v>
      </c>
      <c r="BW35" s="93">
        <f t="shared" si="14"/>
        <v>9.291314048192225</v>
      </c>
      <c r="BY35" s="245">
        <f t="shared" si="9"/>
        <v>337.1513357666789</v>
      </c>
      <c r="BZ35" s="245">
        <f t="shared" si="10"/>
        <v>118.57633896326328</v>
      </c>
      <c r="CA35" s="245">
        <f t="shared" si="11"/>
        <v>510.4684371545124</v>
      </c>
      <c r="CB35" s="245">
        <f t="shared" si="12"/>
        <v>966.1961118844547</v>
      </c>
    </row>
    <row r="36" spans="1:80" ht="15">
      <c r="A36" s="235" t="s">
        <v>570</v>
      </c>
      <c r="C36" s="237">
        <f>C35-C30</f>
        <v>80756.37302569099</v>
      </c>
      <c r="E36" s="237">
        <f>E35-E30</f>
        <v>6636394.059</v>
      </c>
      <c r="F36" s="237">
        <f aca="true" t="shared" si="40" ref="F36:BK36">F35-F30</f>
        <v>1259225.0964000002</v>
      </c>
      <c r="G36" s="237">
        <f t="shared" si="40"/>
        <v>7976375.528425689</v>
      </c>
      <c r="H36" s="237">
        <f t="shared" si="40"/>
        <v>8534721.815415489</v>
      </c>
      <c r="J36" s="237">
        <f t="shared" si="40"/>
        <v>11270746.30595896</v>
      </c>
      <c r="K36" s="237">
        <f t="shared" si="40"/>
        <v>6147679.803250343</v>
      </c>
      <c r="L36" s="237">
        <f t="shared" si="40"/>
        <v>7957146.892007029</v>
      </c>
      <c r="M36" s="237">
        <f t="shared" si="40"/>
        <v>19227893.197965987</v>
      </c>
      <c r="N36" s="237">
        <f t="shared" si="40"/>
        <v>14104826.695257371</v>
      </c>
      <c r="P36" s="237">
        <f t="shared" si="40"/>
        <v>19805468.12137445</v>
      </c>
      <c r="R36" s="237">
        <f t="shared" si="40"/>
        <v>4.705882352941177</v>
      </c>
      <c r="S36" s="237">
        <f t="shared" si="40"/>
        <v>0</v>
      </c>
      <c r="T36" s="237">
        <f t="shared" si="40"/>
        <v>41030403.30116428</v>
      </c>
      <c r="U36" s="237">
        <f t="shared" si="40"/>
        <v>19.22987260208285</v>
      </c>
      <c r="V36" s="237">
        <f t="shared" si="40"/>
        <v>22383161.43310866</v>
      </c>
      <c r="W36" s="237">
        <f t="shared" si="40"/>
        <v>10.4904</v>
      </c>
      <c r="X36" s="237">
        <f t="shared" si="40"/>
        <v>4.705882352941177</v>
      </c>
      <c r="Y36" s="161"/>
      <c r="Z36" s="237">
        <f t="shared" si="40"/>
        <v>41030403.30116428</v>
      </c>
      <c r="AA36" s="237">
        <f t="shared" si="40"/>
        <v>22383161.43310866</v>
      </c>
      <c r="AB36" s="237">
        <f t="shared" si="40"/>
        <v>10040849.194606459</v>
      </c>
      <c r="AC36" s="237">
        <f t="shared" si="40"/>
        <v>11270746.30595896</v>
      </c>
      <c r="AD36" s="237">
        <f t="shared" si="40"/>
        <v>6147679.803250343</v>
      </c>
      <c r="AE36" s="237">
        <f t="shared" si="40"/>
        <v>52301149.60712324</v>
      </c>
      <c r="AF36" s="237">
        <f t="shared" si="40"/>
        <v>33653907.739067614</v>
      </c>
      <c r="AG36" s="237">
        <f t="shared" si="40"/>
        <v>21311595.50056542</v>
      </c>
      <c r="AH36" s="237">
        <f t="shared" si="40"/>
        <v>27482751.61981652</v>
      </c>
      <c r="AI36" s="237">
        <f t="shared" si="40"/>
        <v>47178083.10441463</v>
      </c>
      <c r="AJ36" s="237">
        <f t="shared" si="40"/>
        <v>28530841.236359004</v>
      </c>
      <c r="AK36" s="237">
        <f t="shared" si="40"/>
        <v>16188528.997856803</v>
      </c>
      <c r="AL36" s="237">
        <f t="shared" si="40"/>
        <v>22359685.117107898</v>
      </c>
      <c r="AN36" s="237">
        <f t="shared" si="40"/>
        <v>9.375158123039881</v>
      </c>
      <c r="AO36" s="237">
        <f t="shared" si="40"/>
        <v>5.628567502426195</v>
      </c>
      <c r="AP36" s="237">
        <f t="shared" si="40"/>
        <v>0.9591092298835738</v>
      </c>
      <c r="AQ36" s="237">
        <f t="shared" si="40"/>
        <v>0.22437808782791616</v>
      </c>
      <c r="AR36" s="237">
        <f t="shared" si="40"/>
        <v>148501.89575155952</v>
      </c>
      <c r="AS36" s="237">
        <f t="shared" si="40"/>
        <v>32094.566021959392</v>
      </c>
      <c r="AT36" s="237">
        <f t="shared" si="40"/>
        <v>41030.403301164275</v>
      </c>
      <c r="AU36" s="237">
        <f t="shared" si="40"/>
        <v>22383.161433108657</v>
      </c>
      <c r="AV36" s="237">
        <f t="shared" si="40"/>
        <v>10040.849194606459</v>
      </c>
      <c r="AW36" s="237">
        <f t="shared" si="40"/>
        <v>221626.86507468316</v>
      </c>
      <c r="AX36" s="237">
        <f t="shared" si="40"/>
        <v>202979.62320662756</v>
      </c>
      <c r="AY36" s="237">
        <f t="shared" si="40"/>
        <v>190637.31096812536</v>
      </c>
      <c r="AZ36" s="237">
        <f t="shared" si="40"/>
        <v>122582886.89588639</v>
      </c>
      <c r="BA36" s="237">
        <f t="shared" si="40"/>
        <v>78877676.62798864</v>
      </c>
      <c r="BB36" s="237">
        <f t="shared" si="40"/>
        <v>105442.24257794576</v>
      </c>
      <c r="BC36" s="237">
        <f t="shared" si="40"/>
        <v>82323.81526300925</v>
      </c>
      <c r="BD36" s="237">
        <f t="shared" si="40"/>
        <v>67022.09662799395</v>
      </c>
      <c r="BE36" s="237">
        <f t="shared" si="40"/>
        <v>74672.95594550161</v>
      </c>
      <c r="BF36" s="237">
        <f t="shared" si="40"/>
        <v>66386256.347067624</v>
      </c>
      <c r="BG36" s="237">
        <f t="shared" si="40"/>
        <v>40146941.44996287</v>
      </c>
      <c r="BH36" s="237">
        <f t="shared" si="40"/>
        <v>64733.202656311485</v>
      </c>
      <c r="BI36" s="237">
        <f t="shared" si="40"/>
        <v>45039.952669851125</v>
      </c>
      <c r="BJ36" s="237">
        <f t="shared" si="40"/>
        <v>32005.304326486366</v>
      </c>
      <c r="BK36" s="237">
        <f t="shared" si="40"/>
        <v>38522.62849816874</v>
      </c>
      <c r="BM36" s="235" t="s">
        <v>570</v>
      </c>
      <c r="BO36" s="139">
        <f t="shared" si="8"/>
        <v>16212005.31385756</v>
      </c>
      <c r="BP36" s="139">
        <f t="shared" si="13"/>
        <v>11270746.30595896</v>
      </c>
      <c r="BQ36" s="139">
        <f t="shared" si="36"/>
        <v>47190204.3256851</v>
      </c>
      <c r="BR36" s="139">
        <f t="shared" si="37"/>
        <v>74672955.94550161</v>
      </c>
      <c r="BT36" s="93">
        <v>6</v>
      </c>
      <c r="BU36" s="93">
        <v>11</v>
      </c>
      <c r="BV36" s="93">
        <v>11.068233319104495</v>
      </c>
      <c r="BW36" s="93">
        <f t="shared" si="14"/>
        <v>9.345584535455858</v>
      </c>
      <c r="BY36" s="245">
        <f t="shared" si="9"/>
        <v>270.2000885642926</v>
      </c>
      <c r="BZ36" s="245">
        <f t="shared" si="10"/>
        <v>102.46133005417236</v>
      </c>
      <c r="CA36" s="245">
        <f t="shared" si="11"/>
        <v>426.35715172566626</v>
      </c>
      <c r="CB36" s="245">
        <f t="shared" si="12"/>
        <v>799.0185703441313</v>
      </c>
    </row>
    <row r="37" spans="1:80" ht="15">
      <c r="A37" s="235" t="s">
        <v>25</v>
      </c>
      <c r="C37" s="139">
        <f>C31+C32+C29</f>
        <v>45336.486922736534</v>
      </c>
      <c r="E37" s="237">
        <f>E31+E32+E29</f>
        <v>3037782.4554</v>
      </c>
      <c r="F37" s="237">
        <f aca="true" t="shared" si="41" ref="F37:BK37">F31+F32+F29</f>
        <v>584329.0362</v>
      </c>
      <c r="G37" s="237">
        <f t="shared" si="41"/>
        <v>3667447.978522736</v>
      </c>
      <c r="H37" s="237">
        <f t="shared" si="41"/>
        <v>3924169.3370193276</v>
      </c>
      <c r="J37" s="139">
        <f t="shared" si="41"/>
        <v>5636017.269958961</v>
      </c>
      <c r="K37" s="139">
        <f t="shared" si="41"/>
        <v>3074191.238159433</v>
      </c>
      <c r="L37" s="139">
        <f t="shared" si="41"/>
        <v>3979028.1925910264</v>
      </c>
      <c r="M37" s="139">
        <f t="shared" si="41"/>
        <v>9615045.462549988</v>
      </c>
      <c r="N37" s="139">
        <f t="shared" si="41"/>
        <v>7053219.430750459</v>
      </c>
      <c r="P37" s="139">
        <f t="shared" si="41"/>
        <v>9560186.606978288</v>
      </c>
      <c r="R37" s="139">
        <f t="shared" si="41"/>
        <v>3.5294117647058822</v>
      </c>
      <c r="S37" s="139">
        <f t="shared" si="41"/>
        <v>0</v>
      </c>
      <c r="T37" s="139">
        <f t="shared" si="41"/>
        <v>18865319.104970396</v>
      </c>
      <c r="U37" s="139">
        <f t="shared" si="41"/>
        <v>14.422404451562137</v>
      </c>
      <c r="V37" s="139">
        <f t="shared" si="41"/>
        <v>10291526.50326689</v>
      </c>
      <c r="W37" s="139">
        <f t="shared" si="41"/>
        <v>7.867799999999999</v>
      </c>
      <c r="X37" s="139">
        <f t="shared" si="41"/>
        <v>3.5294117647058822</v>
      </c>
      <c r="Y37" s="161"/>
      <c r="Z37" s="139">
        <f t="shared" si="41"/>
        <v>18865319.104970396</v>
      </c>
      <c r="AA37" s="139">
        <f t="shared" si="41"/>
        <v>10291526.50326689</v>
      </c>
      <c r="AB37" s="139">
        <f t="shared" si="41"/>
        <v>4616669.808258032</v>
      </c>
      <c r="AC37" s="139">
        <f t="shared" si="41"/>
        <v>5636017.269958961</v>
      </c>
      <c r="AD37" s="139">
        <f t="shared" si="41"/>
        <v>3074191.238159433</v>
      </c>
      <c r="AE37" s="139">
        <f t="shared" si="41"/>
        <v>24501336.374929357</v>
      </c>
      <c r="AF37" s="139">
        <f t="shared" si="41"/>
        <v>15927543.77322585</v>
      </c>
      <c r="AG37" s="139">
        <f t="shared" si="41"/>
        <v>10252687.078216994</v>
      </c>
      <c r="AH37" s="139">
        <f t="shared" si="41"/>
        <v>13090115.425721422</v>
      </c>
      <c r="AI37" s="139">
        <f t="shared" si="41"/>
        <v>21939510.343129832</v>
      </c>
      <c r="AJ37" s="139">
        <f t="shared" si="41"/>
        <v>13365717.741426319</v>
      </c>
      <c r="AK37" s="139">
        <f t="shared" si="41"/>
        <v>7690861.046417466</v>
      </c>
      <c r="AL37" s="139">
        <f t="shared" si="41"/>
        <v>10528289.393921893</v>
      </c>
      <c r="AN37" s="139">
        <f t="shared" si="41"/>
        <v>7.031368592279911</v>
      </c>
      <c r="AO37" s="139">
        <f t="shared" si="41"/>
        <v>4.221425626819647</v>
      </c>
      <c r="AP37" s="139">
        <f t="shared" si="41"/>
        <v>0.7193319224126804</v>
      </c>
      <c r="AQ37" s="139">
        <f t="shared" si="41"/>
        <v>0.1682835658709371</v>
      </c>
      <c r="AR37" s="139">
        <f t="shared" si="41"/>
        <v>79037.504422376</v>
      </c>
      <c r="AS37" s="139">
        <f t="shared" si="41"/>
        <v>16035.462174644023</v>
      </c>
      <c r="AT37" s="139">
        <f t="shared" si="41"/>
        <v>18865.319104970396</v>
      </c>
      <c r="AU37" s="139">
        <f t="shared" si="41"/>
        <v>10291.526503266889</v>
      </c>
      <c r="AV37" s="139">
        <f t="shared" si="41"/>
        <v>4616.669808258032</v>
      </c>
      <c r="AW37" s="139">
        <f t="shared" si="41"/>
        <v>113938.28570199042</v>
      </c>
      <c r="AX37" s="139">
        <f t="shared" si="41"/>
        <v>105364.49310028693</v>
      </c>
      <c r="AY37" s="139">
        <f t="shared" si="41"/>
        <v>99689.63640527806</v>
      </c>
      <c r="AZ37" s="139">
        <f t="shared" si="41"/>
        <v>57425975.68518787</v>
      </c>
      <c r="BA37" s="139">
        <f t="shared" si="41"/>
        <v>37330810.3464079</v>
      </c>
      <c r="BB37" s="139">
        <f t="shared" si="41"/>
        <v>51821.15173840201</v>
      </c>
      <c r="BC37" s="139">
        <f t="shared" si="41"/>
        <v>41191.55823184818</v>
      </c>
      <c r="BD37" s="139">
        <f t="shared" si="41"/>
        <v>34155.99967822692</v>
      </c>
      <c r="BE37" s="139">
        <f t="shared" si="41"/>
        <v>37673.77895503755</v>
      </c>
      <c r="BF37" s="139">
        <f t="shared" si="41"/>
        <v>30872003.734120987</v>
      </c>
      <c r="BG37" s="139">
        <f t="shared" si="41"/>
        <v>18807461.13149836</v>
      </c>
      <c r="BH37" s="139">
        <f t="shared" si="41"/>
        <v>30892.65004398021</v>
      </c>
      <c r="BI37" s="139">
        <f t="shared" si="41"/>
        <v>21837.91464492586</v>
      </c>
      <c r="BJ37" s="139">
        <f t="shared" si="41"/>
        <v>15844.729576436119</v>
      </c>
      <c r="BK37" s="139">
        <f t="shared" si="41"/>
        <v>18841.32211068099</v>
      </c>
      <c r="BM37" s="235" t="s">
        <v>25</v>
      </c>
      <c r="BO37" s="139">
        <f t="shared" si="8"/>
        <v>7454098.155762461</v>
      </c>
      <c r="BP37" s="139">
        <f t="shared" si="13"/>
        <v>5636017.269958961</v>
      </c>
      <c r="BQ37" s="139">
        <f t="shared" si="36"/>
        <v>24583663.529316127</v>
      </c>
      <c r="BR37" s="139">
        <f t="shared" si="37"/>
        <v>37673778.95503755</v>
      </c>
      <c r="BT37" s="93">
        <v>6</v>
      </c>
      <c r="BU37" s="93">
        <v>11</v>
      </c>
      <c r="BV37" s="93">
        <v>11.068233319104495</v>
      </c>
      <c r="BW37" s="93">
        <f t="shared" si="14"/>
        <v>9.47573539495914</v>
      </c>
      <c r="BY37" s="245">
        <f t="shared" si="9"/>
        <v>124.23496926270768</v>
      </c>
      <c r="BZ37" s="245">
        <f t="shared" si="10"/>
        <v>51.23652063599055</v>
      </c>
      <c r="CA37" s="245">
        <f t="shared" si="11"/>
        <v>222.11009490451485</v>
      </c>
      <c r="CB37" s="245">
        <f t="shared" si="12"/>
        <v>397.5815848032131</v>
      </c>
    </row>
    <row r="38" spans="1:75" ht="15">
      <c r="A38" s="235"/>
      <c r="E38" s="237"/>
      <c r="F38" s="237"/>
      <c r="G38" s="237"/>
      <c r="H38" s="237"/>
      <c r="P38" s="139"/>
      <c r="R38" s="147"/>
      <c r="T38" s="150"/>
      <c r="U38" s="162"/>
      <c r="W38" s="162"/>
      <c r="X38" s="147"/>
      <c r="Y38" s="161"/>
      <c r="Z38" s="139"/>
      <c r="AA38" s="139"/>
      <c r="AB38" s="139"/>
      <c r="AD38" s="101"/>
      <c r="AE38" s="139"/>
      <c r="AF38" s="139"/>
      <c r="AG38" s="139"/>
      <c r="AH38" s="215"/>
      <c r="AI38" s="139"/>
      <c r="AJ38" s="139"/>
      <c r="AK38" s="139"/>
      <c r="AL38" s="215"/>
      <c r="AN38" s="174"/>
      <c r="AO38" s="174"/>
      <c r="AP38" s="174"/>
      <c r="AQ38" s="174"/>
      <c r="AR38" s="155"/>
      <c r="AT38" s="155"/>
      <c r="AU38" s="155"/>
      <c r="AV38" s="155"/>
      <c r="AW38" s="226"/>
      <c r="AX38" s="226"/>
      <c r="AY38" s="226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M38" s="235"/>
      <c r="BO38" s="139"/>
      <c r="BP38" s="139"/>
      <c r="BT38" s="93"/>
      <c r="BU38" s="93"/>
      <c r="BW38" s="93"/>
    </row>
    <row r="39" spans="1:80" ht="15">
      <c r="A39" s="236" t="s">
        <v>576</v>
      </c>
      <c r="C39" s="237">
        <f>C18+C23+C34</f>
        <v>474364.689025691</v>
      </c>
      <c r="E39" s="237">
        <f>E18+E23+E34</f>
        <v>27190636.5636</v>
      </c>
      <c r="F39" s="237">
        <f aca="true" t="shared" si="42" ref="F39:BK39">F18+F23+F34</f>
        <v>8355466.369799999</v>
      </c>
      <c r="G39" s="237">
        <f t="shared" si="42"/>
        <v>36020467.62242569</v>
      </c>
      <c r="H39" s="237">
        <f t="shared" si="42"/>
        <v>38541900.35599549</v>
      </c>
      <c r="J39" s="237">
        <f t="shared" si="42"/>
        <v>13770142.547137192</v>
      </c>
      <c r="K39" s="237">
        <f t="shared" si="42"/>
        <v>7510986.843893013</v>
      </c>
      <c r="L39" s="237">
        <f t="shared" si="42"/>
        <v>9698807.73496326</v>
      </c>
      <c r="M39" s="237">
        <f t="shared" si="42"/>
        <v>23468950.282100454</v>
      </c>
      <c r="N39" s="237">
        <f t="shared" si="42"/>
        <v>17209794.578856274</v>
      </c>
      <c r="P39" s="237">
        <f t="shared" si="42"/>
        <v>52312042.90313268</v>
      </c>
      <c r="R39" s="237">
        <f t="shared" si="42"/>
        <v>9.411764705882353</v>
      </c>
      <c r="S39" s="237">
        <f t="shared" si="42"/>
        <v>32814601.641007055</v>
      </c>
      <c r="T39" s="237">
        <f t="shared" si="42"/>
        <v>51197079</v>
      </c>
      <c r="U39" s="237">
        <f t="shared" si="42"/>
        <v>24.037340752603562</v>
      </c>
      <c r="V39" s="237">
        <f t="shared" si="42"/>
        <v>27929349.749484424</v>
      </c>
      <c r="W39" s="237">
        <f t="shared" si="42"/>
        <v>13.113</v>
      </c>
      <c r="X39" s="237">
        <f t="shared" si="42"/>
        <v>9.411764705882353</v>
      </c>
      <c r="Y39" s="161"/>
      <c r="Z39" s="237">
        <f t="shared" si="42"/>
        <v>84011680.64100705</v>
      </c>
      <c r="AA39" s="237">
        <f t="shared" si="42"/>
        <v>60743951.39049148</v>
      </c>
      <c r="AB39" s="237">
        <f t="shared" si="42"/>
        <v>45343412.18352411</v>
      </c>
      <c r="AC39" s="237">
        <f t="shared" si="42"/>
        <v>13770142.547137192</v>
      </c>
      <c r="AD39" s="237">
        <f t="shared" si="42"/>
        <v>7510986.843893013</v>
      </c>
      <c r="AE39" s="237">
        <f t="shared" si="42"/>
        <v>97781823.18814425</v>
      </c>
      <c r="AF39" s="237">
        <f t="shared" si="42"/>
        <v>74514093.93762867</v>
      </c>
      <c r="AG39" s="237">
        <f t="shared" si="42"/>
        <v>59113554.730661295</v>
      </c>
      <c r="AH39" s="237">
        <f t="shared" si="42"/>
        <v>66813824.33414498</v>
      </c>
      <c r="AI39" s="237">
        <f t="shared" si="42"/>
        <v>91522667.48490007</v>
      </c>
      <c r="AJ39" s="237">
        <f t="shared" si="42"/>
        <v>68254938.23438449</v>
      </c>
      <c r="AK39" s="237">
        <f t="shared" si="42"/>
        <v>52854399.02741712</v>
      </c>
      <c r="AL39" s="237">
        <f t="shared" si="42"/>
        <v>60554668.63090081</v>
      </c>
      <c r="AN39" s="237">
        <f t="shared" si="42"/>
        <v>22.56710163109082</v>
      </c>
      <c r="AO39" s="237">
        <f t="shared" si="42"/>
        <v>12.919367828924639</v>
      </c>
      <c r="AP39" s="237">
        <f t="shared" si="42"/>
        <v>1.7907466213972332</v>
      </c>
      <c r="AQ39" s="237">
        <f t="shared" si="42"/>
        <v>0.48865137189088653</v>
      </c>
      <c r="AR39" s="237">
        <f t="shared" si="42"/>
        <v>343427.08873366733</v>
      </c>
      <c r="AS39" s="237">
        <f t="shared" si="42"/>
        <v>39506.31840340146</v>
      </c>
      <c r="AT39" s="237">
        <f t="shared" si="42"/>
        <v>84011.68064100706</v>
      </c>
      <c r="AU39" s="237">
        <f t="shared" si="42"/>
        <v>60743.95139049148</v>
      </c>
      <c r="AV39" s="237">
        <f t="shared" si="42"/>
        <v>45343.41218352411</v>
      </c>
      <c r="AW39" s="237">
        <f t="shared" si="42"/>
        <v>466945.08777807583</v>
      </c>
      <c r="AX39" s="237">
        <f t="shared" si="42"/>
        <v>443677.35852756025</v>
      </c>
      <c r="AY39" s="237">
        <f t="shared" si="42"/>
        <v>428276.8193205929</v>
      </c>
      <c r="AZ39" s="237">
        <f t="shared" si="42"/>
        <v>267068026.68379474</v>
      </c>
      <c r="BA39" s="237">
        <f t="shared" si="42"/>
        <v>212533366.4618788</v>
      </c>
      <c r="BB39" s="237">
        <f t="shared" si="42"/>
        <v>197386.16301632204</v>
      </c>
      <c r="BC39" s="237">
        <f t="shared" si="42"/>
        <v>168539.36029515608</v>
      </c>
      <c r="BD39" s="237">
        <f t="shared" si="42"/>
        <v>149446.12126354215</v>
      </c>
      <c r="BE39" s="237">
        <f t="shared" si="42"/>
        <v>158992.74077934911</v>
      </c>
      <c r="BF39" s="237">
        <f t="shared" si="42"/>
        <v>145374653.99623394</v>
      </c>
      <c r="BG39" s="237">
        <f t="shared" si="42"/>
        <v>112633657.81755808</v>
      </c>
      <c r="BH39" s="237">
        <f t="shared" si="42"/>
        <v>125328.81946361798</v>
      </c>
      <c r="BI39" s="237">
        <f t="shared" si="42"/>
        <v>100755.89806377032</v>
      </c>
      <c r="BJ39" s="237">
        <f t="shared" si="42"/>
        <v>84491.4729721084</v>
      </c>
      <c r="BK39" s="237">
        <f t="shared" si="42"/>
        <v>92623.68551793936</v>
      </c>
      <c r="BL39" s="239" t="s">
        <v>577</v>
      </c>
      <c r="BM39" s="236" t="s">
        <v>576</v>
      </c>
      <c r="BO39" s="139">
        <f t="shared" si="8"/>
        <v>53043681.787007794</v>
      </c>
      <c r="BP39" s="139">
        <f t="shared" si="13"/>
        <v>13770142.547137192</v>
      </c>
      <c r="BQ39" s="139">
        <f>BR39-BO39-BP39</f>
        <v>92178916.44520414</v>
      </c>
      <c r="BR39" s="139">
        <f>1000*BE39</f>
        <v>158992740.77934912</v>
      </c>
      <c r="BT39" s="93">
        <v>6</v>
      </c>
      <c r="BU39" s="93">
        <v>11</v>
      </c>
      <c r="BV39" s="93">
        <f>100*BQ39/(1000000*CA39)</f>
        <v>11.120944525461766</v>
      </c>
      <c r="BW39" s="93">
        <f t="shared" si="14"/>
        <v>8.649742136467877</v>
      </c>
      <c r="BY39" s="245">
        <f t="shared" si="9"/>
        <v>884.0613631167965</v>
      </c>
      <c r="BZ39" s="245">
        <f t="shared" si="10"/>
        <v>125.18311406488355</v>
      </c>
      <c r="CA39" s="245">
        <f>CA18+CA23+CA34</f>
        <v>828.8766860958393</v>
      </c>
      <c r="CB39" s="245">
        <f>SUM(BY39:CA39)</f>
        <v>1838.1211632775194</v>
      </c>
    </row>
    <row r="40" spans="1:80" ht="15">
      <c r="A40" s="236" t="s">
        <v>610</v>
      </c>
      <c r="C40" s="237">
        <f>C39+C45</f>
        <v>499935.331025691</v>
      </c>
      <c r="E40" s="237">
        <f>E39+E45</f>
        <v>28757595.7878</v>
      </c>
      <c r="F40" s="237">
        <f aca="true" t="shared" si="43" ref="F40:BK40">F39+F45</f>
        <v>8441039.087399999</v>
      </c>
      <c r="G40" s="237">
        <f t="shared" si="43"/>
        <v>37698570.20622569</v>
      </c>
      <c r="H40" s="237">
        <f t="shared" si="43"/>
        <v>40337470.12066149</v>
      </c>
      <c r="J40" s="237">
        <f t="shared" si="43"/>
        <v>14600297.615137191</v>
      </c>
      <c r="K40" s="237">
        <f t="shared" si="43"/>
        <v>7963798.69916574</v>
      </c>
      <c r="L40" s="237">
        <f t="shared" si="43"/>
        <v>10284897.21297126</v>
      </c>
      <c r="M40" s="237">
        <f t="shared" si="43"/>
        <v>24885194.828108452</v>
      </c>
      <c r="N40" s="237">
        <f t="shared" si="43"/>
        <v>18248695.912137</v>
      </c>
      <c r="P40" s="237">
        <f t="shared" si="43"/>
        <v>54937767.73579868</v>
      </c>
      <c r="R40" s="237">
        <f t="shared" si="43"/>
        <v>10.588235294117647</v>
      </c>
      <c r="S40" s="237">
        <f t="shared" si="43"/>
        <v>32814601.641007055</v>
      </c>
      <c r="T40" s="237">
        <f t="shared" si="43"/>
        <v>59829223.45566977</v>
      </c>
      <c r="U40" s="237">
        <f t="shared" si="43"/>
        <v>28.844808903124274</v>
      </c>
      <c r="V40" s="237">
        <f t="shared" si="43"/>
        <v>32638411.014297474</v>
      </c>
      <c r="W40" s="237">
        <f t="shared" si="43"/>
        <v>15.7356</v>
      </c>
      <c r="X40" s="237">
        <f t="shared" si="43"/>
        <v>10.588235294117647</v>
      </c>
      <c r="Y40" s="161"/>
      <c r="Z40" s="237">
        <f t="shared" si="43"/>
        <v>92643825.09667681</v>
      </c>
      <c r="AA40" s="237">
        <f t="shared" si="43"/>
        <v>65453012.65530453</v>
      </c>
      <c r="AB40" s="237">
        <f t="shared" si="43"/>
        <v>47455847.20077823</v>
      </c>
      <c r="AC40" s="237">
        <f t="shared" si="43"/>
        <v>14600297.615137191</v>
      </c>
      <c r="AD40" s="237">
        <f t="shared" si="43"/>
        <v>7963798.69916574</v>
      </c>
      <c r="AE40" s="237">
        <f t="shared" si="43"/>
        <v>107244122.71181402</v>
      </c>
      <c r="AF40" s="237">
        <f t="shared" si="43"/>
        <v>80053310.27044173</v>
      </c>
      <c r="AG40" s="237">
        <f t="shared" si="43"/>
        <v>62056144.81591541</v>
      </c>
      <c r="AH40" s="237">
        <f t="shared" si="43"/>
        <v>71054727.54317856</v>
      </c>
      <c r="AI40" s="237">
        <f t="shared" si="43"/>
        <v>100607623.79584256</v>
      </c>
      <c r="AJ40" s="237">
        <f t="shared" si="43"/>
        <v>73416811.35447027</v>
      </c>
      <c r="AK40" s="237">
        <f t="shared" si="43"/>
        <v>55419645.89994397</v>
      </c>
      <c r="AL40" s="237">
        <f t="shared" si="43"/>
        <v>64418228.62720712</v>
      </c>
      <c r="AN40" s="237">
        <f t="shared" si="43"/>
        <v>24.91089116185079</v>
      </c>
      <c r="AO40" s="237">
        <f t="shared" si="43"/>
        <v>14.326509704531187</v>
      </c>
      <c r="AP40" s="237">
        <f t="shared" si="43"/>
        <v>2.0305239288681265</v>
      </c>
      <c r="AQ40" s="237">
        <f t="shared" si="43"/>
        <v>0.5447458938478655</v>
      </c>
      <c r="AR40" s="237">
        <f t="shared" si="43"/>
        <v>362615.94298281934</v>
      </c>
      <c r="AS40" s="237">
        <f t="shared" si="43"/>
        <v>41840.111970892234</v>
      </c>
      <c r="AT40" s="237">
        <f t="shared" si="43"/>
        <v>92643.82509667682</v>
      </c>
      <c r="AU40" s="237">
        <f t="shared" si="43"/>
        <v>65453.01265530453</v>
      </c>
      <c r="AV40" s="237">
        <f t="shared" si="43"/>
        <v>47455.847200778226</v>
      </c>
      <c r="AW40" s="237">
        <f t="shared" si="43"/>
        <v>497099.88005038834</v>
      </c>
      <c r="AX40" s="237">
        <f t="shared" si="43"/>
        <v>469909.0676090161</v>
      </c>
      <c r="AY40" s="237">
        <f t="shared" si="43"/>
        <v>451911.90215448977</v>
      </c>
      <c r="AZ40" s="237">
        <f t="shared" si="43"/>
        <v>289245665.244287</v>
      </c>
      <c r="BA40" s="237">
        <f t="shared" si="43"/>
        <v>225516123.71134067</v>
      </c>
      <c r="BB40" s="237">
        <f t="shared" si="43"/>
        <v>214078.897438391</v>
      </c>
      <c r="BC40" s="237">
        <f t="shared" si="43"/>
        <v>180368.34520188038</v>
      </c>
      <c r="BD40" s="237">
        <f t="shared" si="43"/>
        <v>158055.8678725596</v>
      </c>
      <c r="BE40" s="237">
        <f t="shared" si="43"/>
        <v>169212.10653722</v>
      </c>
      <c r="BF40" s="237">
        <f t="shared" si="43"/>
        <v>158158476.4594171</v>
      </c>
      <c r="BG40" s="237">
        <f t="shared" si="43"/>
        <v>119897145.64139861</v>
      </c>
      <c r="BH40" s="237">
        <f t="shared" si="43"/>
        <v>136482.63764451514</v>
      </c>
      <c r="BI40" s="237">
        <f t="shared" si="43"/>
        <v>107766.56957762218</v>
      </c>
      <c r="BJ40" s="237">
        <f t="shared" si="43"/>
        <v>88759.86173034356</v>
      </c>
      <c r="BK40" s="237">
        <f t="shared" si="43"/>
        <v>98263.21565398287</v>
      </c>
      <c r="BL40" s="239" t="s">
        <v>578</v>
      </c>
      <c r="BM40" s="236" t="s">
        <v>574</v>
      </c>
      <c r="BO40" s="139">
        <f t="shared" si="8"/>
        <v>56454429.92804138</v>
      </c>
      <c r="BP40" s="139">
        <f t="shared" si="13"/>
        <v>14600297.615137191</v>
      </c>
      <c r="BQ40" s="139">
        <f>BR40-BO40-BP40</f>
        <v>98157378.99404143</v>
      </c>
      <c r="BR40" s="139">
        <f>1000*BE40</f>
        <v>169212106.53722</v>
      </c>
      <c r="BT40" s="93">
        <v>6</v>
      </c>
      <c r="BU40" s="93">
        <v>11</v>
      </c>
      <c r="BV40" s="93">
        <f>100*BQ40/(1000000*CA40)</f>
        <v>11.117719694684151</v>
      </c>
      <c r="BW40" s="93">
        <f t="shared" si="14"/>
        <v>8.648589179093609</v>
      </c>
      <c r="BY40" s="245">
        <f t="shared" si="9"/>
        <v>940.9071654673564</v>
      </c>
      <c r="BZ40" s="245">
        <f t="shared" si="10"/>
        <v>132.72997831942902</v>
      </c>
      <c r="CA40" s="245">
        <f>CA18+CA23+CA34+CA45</f>
        <v>882.8912914666719</v>
      </c>
      <c r="CB40" s="245">
        <f>SUM(BY40:CA40)</f>
        <v>1956.5284352534572</v>
      </c>
    </row>
    <row r="41" spans="1:75" ht="15">
      <c r="A41" s="235"/>
      <c r="E41" s="237"/>
      <c r="F41" s="237"/>
      <c r="G41" s="237"/>
      <c r="H41" s="237"/>
      <c r="P41" s="139"/>
      <c r="R41" s="147"/>
      <c r="T41" s="150"/>
      <c r="U41" s="162"/>
      <c r="W41" s="162"/>
      <c r="X41" s="147"/>
      <c r="Y41" s="161"/>
      <c r="Z41" s="139"/>
      <c r="AA41" s="139"/>
      <c r="AB41" s="139"/>
      <c r="AD41" s="101"/>
      <c r="AE41" s="139"/>
      <c r="AF41" s="139"/>
      <c r="AG41" s="139"/>
      <c r="AH41" s="215"/>
      <c r="AI41" s="139"/>
      <c r="AJ41" s="139"/>
      <c r="AK41" s="139"/>
      <c r="AL41" s="215"/>
      <c r="AN41" s="174"/>
      <c r="AO41" s="174"/>
      <c r="AP41" s="174"/>
      <c r="AQ41" s="174"/>
      <c r="AR41" s="155"/>
      <c r="AT41" s="155"/>
      <c r="AU41" s="155"/>
      <c r="AV41" s="155"/>
      <c r="AW41" s="226"/>
      <c r="AX41" s="226"/>
      <c r="AY41" s="226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M41" s="235"/>
      <c r="BO41" s="139"/>
      <c r="BP41" s="139"/>
      <c r="BT41" s="93"/>
      <c r="BU41" s="93"/>
      <c r="BW41" s="93"/>
    </row>
    <row r="42" spans="1:80" ht="15">
      <c r="A42" s="90" t="s">
        <v>188</v>
      </c>
      <c r="C42" s="101">
        <v>15419.287</v>
      </c>
      <c r="E42" s="237">
        <v>1216099.5042</v>
      </c>
      <c r="F42" s="237">
        <v>68385.90779999999</v>
      </c>
      <c r="G42" s="237">
        <f>C42+E42+F42</f>
        <v>1299904.699</v>
      </c>
      <c r="H42" s="237">
        <f>G42*1.07</f>
        <v>1390898.02793</v>
      </c>
      <c r="J42" s="101">
        <v>615430.2239999999</v>
      </c>
      <c r="K42" s="101">
        <f>J42*6/11</f>
        <v>335689.21309090906</v>
      </c>
      <c r="L42" s="101">
        <f>M42-J42</f>
        <v>434493.7381439998</v>
      </c>
      <c r="M42" s="101">
        <v>1049923.9621439998</v>
      </c>
      <c r="N42" s="101">
        <f>K42+L42</f>
        <v>770182.9512349089</v>
      </c>
      <c r="P42" s="139">
        <f>H42+J42</f>
        <v>2006328.25193</v>
      </c>
      <c r="R42" s="147">
        <f>1/0.85</f>
        <v>1.1764705882352942</v>
      </c>
      <c r="T42" s="150">
        <f>H42*($S$53/$H$35)</f>
        <v>6686697.9698955435</v>
      </c>
      <c r="U42" s="162">
        <f>($S$53/$H$35)</f>
        <v>4.807468150520712</v>
      </c>
      <c r="V42" s="139">
        <f>H42*W42</f>
        <v>3647769.168049218</v>
      </c>
      <c r="W42" s="162">
        <v>2.6226</v>
      </c>
      <c r="X42" s="147">
        <f>1/0.85</f>
        <v>1.1764705882352942</v>
      </c>
      <c r="Y42" s="161"/>
      <c r="Z42" s="139">
        <f>T42</f>
        <v>6686697.9698955435</v>
      </c>
      <c r="AA42" s="139">
        <f>V42</f>
        <v>3647769.168049218</v>
      </c>
      <c r="AB42" s="139">
        <f>H42*X42</f>
        <v>1636350.6210941179</v>
      </c>
      <c r="AC42" s="139">
        <f>J42</f>
        <v>615430.2239999999</v>
      </c>
      <c r="AD42" s="101">
        <f>K42</f>
        <v>335689.21309090906</v>
      </c>
      <c r="AE42" s="139">
        <f>Z42+$AC42</f>
        <v>7302128.193895543</v>
      </c>
      <c r="AF42" s="139">
        <f>AA42+$AC42</f>
        <v>4263199.392049218</v>
      </c>
      <c r="AG42" s="139">
        <f>AB42+$AC42</f>
        <v>2251780.845094118</v>
      </c>
      <c r="AH42" s="215">
        <f>(AF42+AG42)/2</f>
        <v>3257490.118571668</v>
      </c>
      <c r="AI42" s="139">
        <f>Z42+$AD42</f>
        <v>7022387.182986452</v>
      </c>
      <c r="AJ42" s="139">
        <f>AA42+$AD42</f>
        <v>3983458.3811401273</v>
      </c>
      <c r="AK42" s="139">
        <f>AB42+$AD42</f>
        <v>1972039.834185027</v>
      </c>
      <c r="AL42" s="215">
        <f>(AJ42+AK42)/2</f>
        <v>2977749.107662577</v>
      </c>
      <c r="AN42" s="174">
        <v>2.3437895307599703</v>
      </c>
      <c r="AO42" s="174">
        <v>1.4071418756065488</v>
      </c>
      <c r="AP42" s="174">
        <v>0.23977730747089346</v>
      </c>
      <c r="AQ42" s="174">
        <v>0.05609452195697903</v>
      </c>
      <c r="AR42" s="155">
        <v>13380.392926475999</v>
      </c>
      <c r="AS42" s="217">
        <v>1730.195203239489</v>
      </c>
      <c r="AT42" s="155">
        <f>Z42/1000</f>
        <v>6686.697969895544</v>
      </c>
      <c r="AU42" s="155">
        <f>AA42/1000</f>
        <v>3647.769168049218</v>
      </c>
      <c r="AV42" s="155">
        <f>AB42/1000</f>
        <v>1636.350621094118</v>
      </c>
      <c r="AW42" s="226">
        <f>$AR42+$AS42+AT42</f>
        <v>21797.286099611032</v>
      </c>
      <c r="AX42" s="226">
        <f>$AR42+$AS42+AU42</f>
        <v>18758.357297764705</v>
      </c>
      <c r="AY42" s="226">
        <f>$AR42+$AS42+AV42</f>
        <v>16746.938750809608</v>
      </c>
      <c r="AZ42" s="139">
        <f>AE42*AN42</f>
        <v>17114651.613119584</v>
      </c>
      <c r="BA42" s="139">
        <f>AF42*AN42</f>
        <v>9992042.102627227</v>
      </c>
      <c r="BB42" s="139">
        <f>(AE42/1000)+($AP42*($AR42+$AS42+AT42))</f>
        <v>12528.62276503301</v>
      </c>
      <c r="BC42" s="139">
        <f>(AF42/1000)+($AP42*($AR42+$AS42+AU42))</f>
        <v>8761.027797484225</v>
      </c>
      <c r="BD42" s="139">
        <f>(AG42/1000)+($AP42*($AR42+$AS42+AV42))</f>
        <v>6267.316727143214</v>
      </c>
      <c r="BE42" s="139">
        <f>(BC42+BD42)/2</f>
        <v>7514.172262313719</v>
      </c>
      <c r="BF42" s="139">
        <f>AI42*$AO42</f>
        <v>9881495.071902946</v>
      </c>
      <c r="BG42" s="139">
        <f>AJ42*$AO42</f>
        <v>5605291.097838146</v>
      </c>
      <c r="BH42" s="139">
        <f>(AE42/1000)+($AQ42*($AR42+$AS42+AT42))</f>
        <v>8524.836537612728</v>
      </c>
      <c r="BI42" s="139">
        <f>(AF42/1000)+($AQ42*($AR42+$AS42+AU42))</f>
        <v>5315.440477365538</v>
      </c>
      <c r="BJ42" s="139">
        <f>(AG42/1000)+($AQ42*($AR42+$AS42+AV42))</f>
        <v>3191.19236856359</v>
      </c>
      <c r="BK42" s="139">
        <f>(BI42+BJ42)/2</f>
        <v>4253.3164229645645</v>
      </c>
      <c r="BM42" s="90" t="s">
        <v>188</v>
      </c>
      <c r="BO42" s="139">
        <f t="shared" si="8"/>
        <v>2642059.894571668</v>
      </c>
      <c r="BP42" s="139">
        <f t="shared" si="13"/>
        <v>615430.2239999999</v>
      </c>
      <c r="BQ42" s="139">
        <f>BR42-BO42-BP42</f>
        <v>4256682.143742051</v>
      </c>
      <c r="BR42" s="139">
        <f>1000*BE42</f>
        <v>7514172.262313719</v>
      </c>
      <c r="BT42" s="93">
        <v>6</v>
      </c>
      <c r="BU42" s="93">
        <v>11</v>
      </c>
      <c r="BV42" s="93">
        <v>11.068233319104495</v>
      </c>
      <c r="BW42" s="93">
        <f t="shared" si="14"/>
        <v>8.530330606041414</v>
      </c>
      <c r="BY42" s="245">
        <f t="shared" si="9"/>
        <v>44.03433157619447</v>
      </c>
      <c r="BZ42" s="245">
        <f t="shared" si="10"/>
        <v>5.594820218181818</v>
      </c>
      <c r="CA42" s="245">
        <f t="shared" si="11"/>
        <v>38.458550890815964</v>
      </c>
      <c r="CB42" s="245">
        <f t="shared" si="12"/>
        <v>88.08770268519226</v>
      </c>
    </row>
    <row r="43" spans="1:79" ht="15">
      <c r="A43" s="90" t="s">
        <v>572</v>
      </c>
      <c r="B43" s="90" t="s">
        <v>573</v>
      </c>
      <c r="E43" s="237"/>
      <c r="F43" s="237"/>
      <c r="G43" s="237"/>
      <c r="H43" s="237"/>
      <c r="P43" s="139"/>
      <c r="R43" s="147"/>
      <c r="T43" s="150"/>
      <c r="U43" s="162"/>
      <c r="W43" s="162"/>
      <c r="X43" s="147"/>
      <c r="Y43" s="161"/>
      <c r="Z43" s="139"/>
      <c r="AA43" s="139"/>
      <c r="AB43" s="139"/>
      <c r="AD43" s="101"/>
      <c r="AE43" s="139"/>
      <c r="AF43" s="139"/>
      <c r="AG43" s="139"/>
      <c r="AH43" s="215"/>
      <c r="AI43" s="139"/>
      <c r="AJ43" s="139"/>
      <c r="AK43" s="139"/>
      <c r="AL43" s="215"/>
      <c r="AN43" s="174"/>
      <c r="AO43" s="174"/>
      <c r="AP43" s="174"/>
      <c r="AQ43" s="174"/>
      <c r="AR43" s="155"/>
      <c r="AT43" s="155"/>
      <c r="AU43" s="155"/>
      <c r="AV43" s="155"/>
      <c r="AW43" s="226"/>
      <c r="AX43" s="226"/>
      <c r="AY43" s="226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M43" s="90" t="s">
        <v>572</v>
      </c>
      <c r="BO43" s="139"/>
      <c r="BP43" s="139"/>
      <c r="BT43" s="93">
        <v>6</v>
      </c>
      <c r="BU43" s="93">
        <v>11</v>
      </c>
      <c r="BV43" s="93">
        <v>11.068233319104495</v>
      </c>
      <c r="BW43" s="93"/>
      <c r="CA43" s="245"/>
    </row>
    <row r="44" spans="1:80" ht="15">
      <c r="A44" s="90" t="s">
        <v>189</v>
      </c>
      <c r="C44" s="101">
        <v>10151.355</v>
      </c>
      <c r="E44" s="237">
        <v>350859.72</v>
      </c>
      <c r="F44" s="237">
        <v>17186.8098</v>
      </c>
      <c r="G44" s="237">
        <f>C44+E44+F44</f>
        <v>378197.88479999994</v>
      </c>
      <c r="H44" s="237">
        <f>G44*1.07</f>
        <v>404671.73673599993</v>
      </c>
      <c r="J44" s="101">
        <v>214724.844</v>
      </c>
      <c r="K44" s="101">
        <f>J44*6/11</f>
        <v>117122.64218181818</v>
      </c>
      <c r="L44" s="101">
        <f>M44-J44</f>
        <v>151595.73986399997</v>
      </c>
      <c r="M44" s="101">
        <v>366320.583864</v>
      </c>
      <c r="N44" s="101">
        <f>K44+L44</f>
        <v>268718.38204581814</v>
      </c>
      <c r="P44" s="139">
        <f>H44+J44</f>
        <v>619396.580736</v>
      </c>
      <c r="R44" s="147">
        <f>1/0.85</f>
        <v>1.1764705882352942</v>
      </c>
      <c r="T44" s="150">
        <f>H44*($S$53/$H$35)</f>
        <v>1945446.4857742223</v>
      </c>
      <c r="U44" s="162">
        <f>($S$53/$H$35)</f>
        <v>4.807468150520712</v>
      </c>
      <c r="V44" s="139">
        <f>H44*W44</f>
        <v>1061292.0967638334</v>
      </c>
      <c r="W44" s="162">
        <v>2.6226</v>
      </c>
      <c r="X44" s="147">
        <f>1/0.85</f>
        <v>1.1764705882352942</v>
      </c>
      <c r="Y44" s="161"/>
      <c r="Z44" s="139">
        <f>T44</f>
        <v>1945446.4857742223</v>
      </c>
      <c r="AA44" s="139">
        <f>V44</f>
        <v>1061292.0967638334</v>
      </c>
      <c r="AB44" s="139">
        <f>H44*X44</f>
        <v>476084.39615999995</v>
      </c>
      <c r="AC44" s="139">
        <f>J44</f>
        <v>214724.844</v>
      </c>
      <c r="AD44" s="101">
        <f>K44</f>
        <v>117122.64218181818</v>
      </c>
      <c r="AE44" s="139">
        <f>Z44+$AC44</f>
        <v>2160171.3297742223</v>
      </c>
      <c r="AF44" s="139">
        <f>AA44+$AC44</f>
        <v>1276016.9407638335</v>
      </c>
      <c r="AG44" s="139">
        <f>AB44+$AC44</f>
        <v>690809.2401599999</v>
      </c>
      <c r="AH44" s="215">
        <f>(AF44+AG44)/2</f>
        <v>983413.0904619168</v>
      </c>
      <c r="AI44" s="139">
        <f>Z44+$AD44</f>
        <v>2062569.1279560404</v>
      </c>
      <c r="AJ44" s="139">
        <f>AA44+$AD44</f>
        <v>1178414.7389456516</v>
      </c>
      <c r="AK44" s="139">
        <f>AB44+$AD44</f>
        <v>593207.0383418181</v>
      </c>
      <c r="AL44" s="215">
        <f>(AJ44+AK44)/2</f>
        <v>885810.8886437349</v>
      </c>
      <c r="AN44" s="174">
        <v>2.3437895307599703</v>
      </c>
      <c r="AO44" s="174">
        <v>1.4071418756065488</v>
      </c>
      <c r="AP44" s="174">
        <v>0.23977730747089346</v>
      </c>
      <c r="AQ44" s="174">
        <v>0.05609452195697903</v>
      </c>
      <c r="AR44" s="155">
        <v>5808.461322676</v>
      </c>
      <c r="AS44" s="217">
        <v>603.5983642512783</v>
      </c>
      <c r="AT44" s="155">
        <f aca="true" t="shared" si="44" ref="AT44:AV45">Z44/1000</f>
        <v>1945.4464857742223</v>
      </c>
      <c r="AU44" s="155">
        <f t="shared" si="44"/>
        <v>1061.2920967638333</v>
      </c>
      <c r="AV44" s="155">
        <f t="shared" si="44"/>
        <v>476.0843961599999</v>
      </c>
      <c r="AW44" s="226">
        <f aca="true" t="shared" si="45" ref="AW44:AY45">$AR44+$AS44+AT44</f>
        <v>8357.506172701502</v>
      </c>
      <c r="AX44" s="226">
        <f t="shared" si="45"/>
        <v>7473.351783691112</v>
      </c>
      <c r="AY44" s="226">
        <f t="shared" si="45"/>
        <v>6888.144083087279</v>
      </c>
      <c r="AZ44" s="139">
        <f>AE44*AN44</f>
        <v>5062986.947372666</v>
      </c>
      <c r="BA44" s="139">
        <f>AF44*AN44</f>
        <v>2990715.146834638</v>
      </c>
      <c r="BB44" s="139">
        <f>(AE44/1000)+($AP44*($AR44+$AS44+AT44))</f>
        <v>4164.11165703596</v>
      </c>
      <c r="BC44" s="139">
        <f>(AF44/1000)+($AP44*($AR44+$AS44+AU44))</f>
        <v>3067.9571092400874</v>
      </c>
      <c r="BD44" s="139">
        <f>(AG44/1000)+($AP44*($AR44+$AS44+AV44))</f>
        <v>2342.4298818742336</v>
      </c>
      <c r="BE44" s="139">
        <f>(BC44+BD44)/2</f>
        <v>2705.1934955571605</v>
      </c>
      <c r="BF44" s="139">
        <f>AI44*$AO44</f>
        <v>2902327.3912802264</v>
      </c>
      <c r="BG44" s="139">
        <f>AJ44*$AO44</f>
        <v>1658196.7260023856</v>
      </c>
      <c r="BH44" s="139">
        <f>(AE44/1000)+($AQ44*($AR44+$AS44+AT44))</f>
        <v>2628.9816432844145</v>
      </c>
      <c r="BI44" s="139">
        <f>(AF44/1000)+($AQ44*($AR44+$AS44+AU44))</f>
        <v>1695.2310364863229</v>
      </c>
      <c r="BJ44" s="139">
        <f>(AG44/1000)+($AQ44*($AR44+$AS44+AV44))</f>
        <v>1077.1963896715745</v>
      </c>
      <c r="BK44" s="139">
        <f>(BI44+BJ44)/2</f>
        <v>1386.2137130789488</v>
      </c>
      <c r="BM44" s="90" t="s">
        <v>189</v>
      </c>
      <c r="BO44" s="139">
        <f t="shared" si="8"/>
        <v>768688.2464619167</v>
      </c>
      <c r="BP44" s="139">
        <f t="shared" si="13"/>
        <v>214724.844</v>
      </c>
      <c r="BQ44" s="139">
        <f>BR44-BO44-BP44</f>
        <v>1721780.4050952438</v>
      </c>
      <c r="BR44" s="139">
        <f>1000*BE44</f>
        <v>2705193.4955571606</v>
      </c>
      <c r="BT44" s="93">
        <v>6</v>
      </c>
      <c r="BU44" s="93">
        <v>11</v>
      </c>
      <c r="BV44" s="93">
        <v>11.068233319104495</v>
      </c>
      <c r="BW44" s="93">
        <f t="shared" si="14"/>
        <v>8.922268880590172</v>
      </c>
      <c r="BY44" s="245">
        <f t="shared" si="9"/>
        <v>12.81147077436528</v>
      </c>
      <c r="BZ44" s="245">
        <f t="shared" si="10"/>
        <v>1.9520440363636364</v>
      </c>
      <c r="CA44" s="245">
        <f t="shared" si="11"/>
        <v>15.556054480016591</v>
      </c>
      <c r="CB44" s="245">
        <f t="shared" si="12"/>
        <v>30.319569290745505</v>
      </c>
    </row>
    <row r="45" spans="1:80" ht="15">
      <c r="A45" s="236" t="s">
        <v>575</v>
      </c>
      <c r="C45" s="139">
        <f>C42+C44</f>
        <v>25570.642</v>
      </c>
      <c r="D45" s="139"/>
      <c r="E45" s="237">
        <f>E42+E44</f>
        <v>1566959.2242</v>
      </c>
      <c r="F45" s="237">
        <f>F42+F44</f>
        <v>85572.71759999999</v>
      </c>
      <c r="G45" s="237">
        <f>C45+E45+F45</f>
        <v>1678102.5838000001</v>
      </c>
      <c r="H45" s="237">
        <f>G45*1.07</f>
        <v>1795569.7646660001</v>
      </c>
      <c r="J45" s="139">
        <f>J42+J44</f>
        <v>830155.068</v>
      </c>
      <c r="K45" s="139">
        <f>K42+K44</f>
        <v>452811.85527272726</v>
      </c>
      <c r="L45" s="139">
        <f>L42+L44</f>
        <v>586089.4780079998</v>
      </c>
      <c r="M45" s="139">
        <f>M42+M44</f>
        <v>1416244.5460079997</v>
      </c>
      <c r="N45" s="139">
        <f>N42+N44</f>
        <v>1038901.333280727</v>
      </c>
      <c r="P45" s="139">
        <f>H45+J45</f>
        <v>2625724.8326660004</v>
      </c>
      <c r="R45" s="147">
        <f>1/0.85</f>
        <v>1.1764705882352942</v>
      </c>
      <c r="T45" s="139">
        <f>T42+T44</f>
        <v>8632144.455669766</v>
      </c>
      <c r="U45" s="162">
        <f>($S$53/$H$35)</f>
        <v>4.807468150520712</v>
      </c>
      <c r="V45" s="139">
        <f>V42+V44</f>
        <v>4709061.264813052</v>
      </c>
      <c r="W45" s="162">
        <v>2.6226</v>
      </c>
      <c r="X45" s="147">
        <f>1/0.85</f>
        <v>1.1764705882352942</v>
      </c>
      <c r="Y45" s="161"/>
      <c r="Z45" s="139">
        <f>T45</f>
        <v>8632144.455669766</v>
      </c>
      <c r="AA45" s="139">
        <f>V45</f>
        <v>4709061.264813052</v>
      </c>
      <c r="AB45" s="139">
        <f>H45*X45</f>
        <v>2112435.017254118</v>
      </c>
      <c r="AC45" s="139">
        <f>J45</f>
        <v>830155.068</v>
      </c>
      <c r="AD45" s="139">
        <f>K45</f>
        <v>452811.85527272726</v>
      </c>
      <c r="AE45" s="139">
        <f>AE42+AE44</f>
        <v>9462299.523669764</v>
      </c>
      <c r="AF45" s="139">
        <f>AF42+AF44</f>
        <v>5539216.332813051</v>
      </c>
      <c r="AG45" s="139">
        <f>AB45+$AC45</f>
        <v>2942590.085254118</v>
      </c>
      <c r="AH45" s="215">
        <f>(AF45+AG45)/2</f>
        <v>4240903.209033584</v>
      </c>
      <c r="AI45" s="139">
        <f>AI42+AI44</f>
        <v>9084956.310942493</v>
      </c>
      <c r="AJ45" s="139">
        <f>AJ42+AJ44</f>
        <v>5161873.120085779</v>
      </c>
      <c r="AK45" s="139">
        <f>AB45+$AD45</f>
        <v>2565246.872526845</v>
      </c>
      <c r="AL45" s="215">
        <f>(AJ45+AK45)/2</f>
        <v>3863559.996306312</v>
      </c>
      <c r="AN45" s="174">
        <f>AZ45/AE45</f>
        <v>2.3437895307599703</v>
      </c>
      <c r="AO45" s="174">
        <v>1.4071418756065488</v>
      </c>
      <c r="AP45" s="174">
        <v>0.23977730747089346</v>
      </c>
      <c r="AQ45" s="174">
        <v>0.05609452195697903</v>
      </c>
      <c r="AR45" s="139">
        <f>AR42+AR44</f>
        <v>19188.854249152</v>
      </c>
      <c r="AS45" s="155">
        <f>AS42+AS44</f>
        <v>2333.7935674907676</v>
      </c>
      <c r="AT45" s="155">
        <f t="shared" si="44"/>
        <v>8632.144455669766</v>
      </c>
      <c r="AU45" s="155">
        <f t="shared" si="44"/>
        <v>4709.061264813052</v>
      </c>
      <c r="AV45" s="155">
        <f t="shared" si="44"/>
        <v>2112.435017254118</v>
      </c>
      <c r="AW45" s="226">
        <f t="shared" si="45"/>
        <v>30154.79227231253</v>
      </c>
      <c r="AX45" s="226">
        <f t="shared" si="45"/>
        <v>26231.709081455818</v>
      </c>
      <c r="AY45" s="226">
        <f t="shared" si="45"/>
        <v>23635.082833896886</v>
      </c>
      <c r="AZ45" s="139">
        <f aca="true" t="shared" si="46" ref="AZ45:BK45">AZ42+AZ44</f>
        <v>22177638.560492247</v>
      </c>
      <c r="BA45" s="139">
        <f t="shared" si="46"/>
        <v>12982757.249461865</v>
      </c>
      <c r="BB45" s="139">
        <f t="shared" si="46"/>
        <v>16692.73442206897</v>
      </c>
      <c r="BC45" s="139">
        <f t="shared" si="46"/>
        <v>11828.984906724312</v>
      </c>
      <c r="BD45" s="139">
        <f t="shared" si="46"/>
        <v>8609.746609017448</v>
      </c>
      <c r="BE45" s="139">
        <f t="shared" si="46"/>
        <v>10219.36575787088</v>
      </c>
      <c r="BF45" s="139">
        <f t="shared" si="46"/>
        <v>12783822.463183172</v>
      </c>
      <c r="BG45" s="139">
        <f t="shared" si="46"/>
        <v>7263487.8238405315</v>
      </c>
      <c r="BH45" s="139">
        <f t="shared" si="46"/>
        <v>11153.818180897142</v>
      </c>
      <c r="BI45" s="139">
        <f t="shared" si="46"/>
        <v>7010.671513851861</v>
      </c>
      <c r="BJ45" s="139">
        <f t="shared" si="46"/>
        <v>4268.3887582351645</v>
      </c>
      <c r="BK45" s="139">
        <f t="shared" si="46"/>
        <v>5639.530136043513</v>
      </c>
      <c r="BM45" s="236" t="s">
        <v>575</v>
      </c>
      <c r="BO45" s="139">
        <f t="shared" si="8"/>
        <v>3410748.1410335847</v>
      </c>
      <c r="BP45" s="139">
        <f t="shared" si="13"/>
        <v>830155.068</v>
      </c>
      <c r="BQ45" s="139">
        <f>BR45-BO45-BP45</f>
        <v>5978462.548837297</v>
      </c>
      <c r="BR45" s="139">
        <f>1000*BE45</f>
        <v>10219365.75787088</v>
      </c>
      <c r="BT45" s="93">
        <v>6</v>
      </c>
      <c r="BU45" s="93">
        <v>11</v>
      </c>
      <c r="BV45" s="93">
        <v>11.068233319104495</v>
      </c>
      <c r="BW45" s="93">
        <f t="shared" si="14"/>
        <v>8.630690993326505</v>
      </c>
      <c r="BY45" s="245">
        <f t="shared" si="9"/>
        <v>56.845802350559744</v>
      </c>
      <c r="BZ45" s="245">
        <f t="shared" si="10"/>
        <v>7.546864254545454</v>
      </c>
      <c r="CA45" s="245">
        <f t="shared" si="11"/>
        <v>54.01460537083257</v>
      </c>
      <c r="CB45" s="245">
        <f t="shared" si="12"/>
        <v>118.40727197593777</v>
      </c>
    </row>
    <row r="46" spans="3:75" ht="15.75" thickBot="1">
      <c r="C46" s="139"/>
      <c r="D46" s="139"/>
      <c r="E46" s="237"/>
      <c r="F46" s="237"/>
      <c r="G46" s="237"/>
      <c r="H46" s="237"/>
      <c r="J46" s="139"/>
      <c r="K46" s="139"/>
      <c r="L46" s="139"/>
      <c r="M46" s="139"/>
      <c r="N46" s="139"/>
      <c r="P46" s="139"/>
      <c r="X46" s="90"/>
      <c r="Y46" s="161"/>
      <c r="AB46" s="139"/>
      <c r="AE46" s="139"/>
      <c r="AF46" s="139"/>
      <c r="AG46" s="139"/>
      <c r="AH46" s="215"/>
      <c r="AI46" s="139"/>
      <c r="AJ46" s="139"/>
      <c r="AK46" s="139"/>
      <c r="AL46" s="215"/>
      <c r="AN46" s="174"/>
      <c r="AO46" s="174"/>
      <c r="AP46" s="174"/>
      <c r="AQ46" s="174"/>
      <c r="AR46" s="139"/>
      <c r="AT46" s="155"/>
      <c r="AU46" s="155"/>
      <c r="AV46" s="155"/>
      <c r="AW46" s="155"/>
      <c r="AX46" s="227"/>
      <c r="AY46" s="227"/>
      <c r="AZ46" s="200"/>
      <c r="BA46" s="200"/>
      <c r="BB46" s="200"/>
      <c r="BC46" s="200"/>
      <c r="BD46" s="200"/>
      <c r="BE46" s="200"/>
      <c r="BF46" s="200"/>
      <c r="BG46" s="200"/>
      <c r="BH46" s="201"/>
      <c r="BI46" s="201"/>
      <c r="BO46" s="139"/>
      <c r="BP46" s="139"/>
      <c r="BT46" s="93"/>
      <c r="BU46" s="93"/>
      <c r="BW46" s="93"/>
    </row>
    <row r="47" spans="1:81" s="249" customFormat="1" ht="15.75" thickBot="1">
      <c r="A47" s="249" t="s">
        <v>611</v>
      </c>
      <c r="C47" s="252">
        <f>C18+C23+C34+C45</f>
        <v>499935.331025691</v>
      </c>
      <c r="D47" s="252"/>
      <c r="E47" s="251">
        <f>E18+E23+E34+E45</f>
        <v>28757595.7878</v>
      </c>
      <c r="F47" s="251">
        <f aca="true" t="shared" si="47" ref="F47:BK47">F18+F23+F34+F45</f>
        <v>8441039.087399999</v>
      </c>
      <c r="G47" s="251">
        <f t="shared" si="47"/>
        <v>37698570.20622569</v>
      </c>
      <c r="H47" s="251">
        <f t="shared" si="47"/>
        <v>40337470.12066149</v>
      </c>
      <c r="I47" s="250"/>
      <c r="J47" s="251">
        <f t="shared" si="47"/>
        <v>14600297.615137191</v>
      </c>
      <c r="K47" s="251">
        <f t="shared" si="47"/>
        <v>7963798.69916574</v>
      </c>
      <c r="L47" s="251">
        <f t="shared" si="47"/>
        <v>10284897.21297126</v>
      </c>
      <c r="M47" s="251">
        <f t="shared" si="47"/>
        <v>24885194.828108452</v>
      </c>
      <c r="N47" s="251">
        <f t="shared" si="47"/>
        <v>18248695.912137</v>
      </c>
      <c r="O47" s="250"/>
      <c r="P47" s="251">
        <f t="shared" si="47"/>
        <v>54937767.73579868</v>
      </c>
      <c r="Q47" s="90"/>
      <c r="R47" s="251">
        <f t="shared" si="47"/>
        <v>10.588235294117647</v>
      </c>
      <c r="S47" s="251">
        <f t="shared" si="47"/>
        <v>32814601.641007055</v>
      </c>
      <c r="T47" s="251">
        <f t="shared" si="47"/>
        <v>59829223.45566977</v>
      </c>
      <c r="U47" s="251">
        <f t="shared" si="47"/>
        <v>28.844808903124274</v>
      </c>
      <c r="V47" s="251">
        <f t="shared" si="47"/>
        <v>32638411.014297474</v>
      </c>
      <c r="W47" s="251">
        <f t="shared" si="47"/>
        <v>15.7356</v>
      </c>
      <c r="X47" s="251">
        <f t="shared" si="47"/>
        <v>10.588235294117647</v>
      </c>
      <c r="Y47" s="256"/>
      <c r="Z47" s="251">
        <f t="shared" si="47"/>
        <v>92643825.09667681</v>
      </c>
      <c r="AA47" s="251">
        <f t="shared" si="47"/>
        <v>65453012.65530453</v>
      </c>
      <c r="AB47" s="251">
        <f t="shared" si="47"/>
        <v>47455847.20077823</v>
      </c>
      <c r="AC47" s="251">
        <f t="shared" si="47"/>
        <v>14600297.615137191</v>
      </c>
      <c r="AD47" s="251">
        <f t="shared" si="47"/>
        <v>7963798.69916574</v>
      </c>
      <c r="AE47" s="251">
        <f t="shared" si="47"/>
        <v>107244122.71181402</v>
      </c>
      <c r="AF47" s="251">
        <f t="shared" si="47"/>
        <v>80053310.27044173</v>
      </c>
      <c r="AG47" s="251">
        <f t="shared" si="47"/>
        <v>62056144.81591541</v>
      </c>
      <c r="AH47" s="251">
        <f t="shared" si="47"/>
        <v>71054727.54317856</v>
      </c>
      <c r="AI47" s="251">
        <f t="shared" si="47"/>
        <v>100607623.79584256</v>
      </c>
      <c r="AJ47" s="251">
        <f t="shared" si="47"/>
        <v>73416811.35447027</v>
      </c>
      <c r="AK47" s="251">
        <f t="shared" si="47"/>
        <v>55419645.89994397</v>
      </c>
      <c r="AL47" s="251">
        <f t="shared" si="47"/>
        <v>64418228.62720712</v>
      </c>
      <c r="AN47" s="251">
        <f t="shared" si="47"/>
        <v>24.91089116185079</v>
      </c>
      <c r="AO47" s="251">
        <f t="shared" si="47"/>
        <v>14.326509704531187</v>
      </c>
      <c r="AP47" s="251">
        <f t="shared" si="47"/>
        <v>2.0305239288681265</v>
      </c>
      <c r="AQ47" s="251">
        <f t="shared" si="47"/>
        <v>0.5447458938478655</v>
      </c>
      <c r="AR47" s="251">
        <f t="shared" si="47"/>
        <v>362615.94298281934</v>
      </c>
      <c r="AS47" s="251">
        <f t="shared" si="47"/>
        <v>41840.111970892234</v>
      </c>
      <c r="AT47" s="251">
        <f t="shared" si="47"/>
        <v>92643.82509667682</v>
      </c>
      <c r="AU47" s="251">
        <f t="shared" si="47"/>
        <v>65453.01265530453</v>
      </c>
      <c r="AV47" s="251">
        <f t="shared" si="47"/>
        <v>47455.847200778226</v>
      </c>
      <c r="AW47" s="251">
        <f t="shared" si="47"/>
        <v>497099.88005038834</v>
      </c>
      <c r="AX47" s="251">
        <f t="shared" si="47"/>
        <v>469909.0676090161</v>
      </c>
      <c r="AY47" s="251">
        <f t="shared" si="47"/>
        <v>451911.90215448977</v>
      </c>
      <c r="AZ47" s="251">
        <f t="shared" si="47"/>
        <v>289245665.244287</v>
      </c>
      <c r="BA47" s="251">
        <f t="shared" si="47"/>
        <v>225516123.71134067</v>
      </c>
      <c r="BB47" s="251">
        <f t="shared" si="47"/>
        <v>214078.897438391</v>
      </c>
      <c r="BC47" s="251">
        <f t="shared" si="47"/>
        <v>180368.34520188038</v>
      </c>
      <c r="BD47" s="251">
        <f t="shared" si="47"/>
        <v>158055.8678725596</v>
      </c>
      <c r="BE47" s="251">
        <f t="shared" si="47"/>
        <v>169212.10653722</v>
      </c>
      <c r="BF47" s="251">
        <f t="shared" si="47"/>
        <v>158158476.4594171</v>
      </c>
      <c r="BG47" s="251">
        <f t="shared" si="47"/>
        <v>119897145.64139861</v>
      </c>
      <c r="BH47" s="251">
        <f t="shared" si="47"/>
        <v>136482.63764451514</v>
      </c>
      <c r="BI47" s="251">
        <f t="shared" si="47"/>
        <v>107766.56957762218</v>
      </c>
      <c r="BJ47" s="251">
        <f t="shared" si="47"/>
        <v>88759.86173034356</v>
      </c>
      <c r="BK47" s="251">
        <f t="shared" si="47"/>
        <v>98263.21565398287</v>
      </c>
      <c r="BL47" s="264" t="s">
        <v>578</v>
      </c>
      <c r="BM47" s="249" t="s">
        <v>271</v>
      </c>
      <c r="BO47" s="252">
        <f t="shared" si="8"/>
        <v>56454429.92804138</v>
      </c>
      <c r="BP47" s="252">
        <f t="shared" si="13"/>
        <v>14600297.615137191</v>
      </c>
      <c r="BQ47" s="252">
        <f>BR47-BO47-BP47</f>
        <v>98157378.99404143</v>
      </c>
      <c r="BR47" s="252">
        <f>1000*BE47</f>
        <v>169212106.53722</v>
      </c>
      <c r="BT47" s="262">
        <v>6</v>
      </c>
      <c r="BU47" s="262">
        <v>11</v>
      </c>
      <c r="BV47" s="262">
        <f>100*BQ47/(1000000*CA47)</f>
        <v>11.117719694684151</v>
      </c>
      <c r="BW47" s="262">
        <f t="shared" si="14"/>
        <v>8.648589179093609</v>
      </c>
      <c r="BY47" s="263">
        <f t="shared" si="9"/>
        <v>940.9071654673564</v>
      </c>
      <c r="BZ47" s="263">
        <f t="shared" si="10"/>
        <v>132.72997831942902</v>
      </c>
      <c r="CA47" s="263">
        <f>CA18+CA23+CA34+CA45</f>
        <v>882.8912914666719</v>
      </c>
      <c r="CB47" s="265">
        <f>SUM(BY47:CA47)</f>
        <v>1956.5284352534572</v>
      </c>
      <c r="CC47" s="266" t="s">
        <v>613</v>
      </c>
    </row>
    <row r="48" spans="3:81" ht="15.75" thickBot="1">
      <c r="C48" s="139"/>
      <c r="T48" s="157"/>
      <c r="U48" s="139"/>
      <c r="V48" s="157"/>
      <c r="Y48" s="161"/>
      <c r="AB48" s="139"/>
      <c r="AD48" s="90"/>
      <c r="AQ48" s="137"/>
      <c r="AS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245"/>
      <c r="CB48" s="246">
        <f>CB47-BZ47</f>
        <v>1823.7984569340283</v>
      </c>
      <c r="CC48" s="247" t="s">
        <v>614</v>
      </c>
    </row>
    <row r="49" spans="1:77" ht="15.75" thickBot="1">
      <c r="A49" s="238"/>
      <c r="B49" s="238"/>
      <c r="C49" s="203"/>
      <c r="D49" s="203"/>
      <c r="H49" s="149"/>
      <c r="R49" s="97" t="s">
        <v>469</v>
      </c>
      <c r="W49" s="139"/>
      <c r="X49" s="139"/>
      <c r="Y49" s="161"/>
      <c r="AD49" s="90"/>
      <c r="AQ49" s="137"/>
      <c r="AS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217">
        <f>100*BR47/(1000000*CB50)</f>
        <v>37.75915807294798</v>
      </c>
      <c r="BS49" s="137"/>
      <c r="BT49" s="137"/>
      <c r="BU49" s="137"/>
      <c r="BV49" s="137"/>
      <c r="BW49" s="137"/>
      <c r="BX49" s="137"/>
      <c r="BY49" s="137"/>
    </row>
    <row r="50" spans="1:80" ht="15.75" thickBot="1">
      <c r="A50" s="238"/>
      <c r="B50" s="113" t="s">
        <v>463</v>
      </c>
      <c r="C50" s="102"/>
      <c r="D50" s="204"/>
      <c r="R50" s="90" t="s">
        <v>554</v>
      </c>
      <c r="W50" s="139"/>
      <c r="X50" s="139"/>
      <c r="Y50" s="161"/>
      <c r="AD50" s="90"/>
      <c r="AQ50" s="137"/>
      <c r="AS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CA50" s="80" t="s">
        <v>612</v>
      </c>
      <c r="CB50" s="248">
        <f>448135274.124265/1000000</f>
        <v>448.13527412426504</v>
      </c>
    </row>
    <row r="51" spans="1:77" ht="15">
      <c r="A51" s="238"/>
      <c r="C51" s="138" t="s">
        <v>172</v>
      </c>
      <c r="D51" s="203"/>
      <c r="R51" s="90" t="s">
        <v>555</v>
      </c>
      <c r="W51" s="139"/>
      <c r="X51" s="139"/>
      <c r="Y51" s="161"/>
      <c r="AD51" s="90"/>
      <c r="AQ51" s="137"/>
      <c r="AS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</row>
    <row r="52" spans="1:79" ht="15">
      <c r="A52" s="238"/>
      <c r="B52" s="90" t="s">
        <v>270</v>
      </c>
      <c r="C52" s="139">
        <f>BK18</f>
        <v>16786.958723363423</v>
      </c>
      <c r="D52" s="203"/>
      <c r="R52" s="90" t="s">
        <v>556</v>
      </c>
      <c r="W52" s="139"/>
      <c r="X52" s="139"/>
      <c r="Y52" s="161"/>
      <c r="AD52" s="90"/>
      <c r="AQ52" s="137"/>
      <c r="AS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CA52" s="90" t="s">
        <v>617</v>
      </c>
    </row>
    <row r="53" spans="1:81" ht="15">
      <c r="A53" s="238"/>
      <c r="B53" s="90" t="s">
        <v>229</v>
      </c>
      <c r="C53" s="139">
        <f>BK24</f>
        <v>29346.43731546008</v>
      </c>
      <c r="D53" s="203"/>
      <c r="S53" s="139">
        <v>51197079</v>
      </c>
      <c r="W53" s="139"/>
      <c r="X53" s="139"/>
      <c r="Y53" s="161"/>
      <c r="AD53" s="90"/>
      <c r="AQ53" s="137"/>
      <c r="AS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CB53" s="93">
        <f>100*CB47/CB$50</f>
        <v>436.5932673068098</v>
      </c>
      <c r="CC53" s="90" t="s">
        <v>615</v>
      </c>
    </row>
    <row r="54" spans="1:81" ht="15">
      <c r="A54" s="238"/>
      <c r="B54" s="90" t="s">
        <v>230</v>
      </c>
      <c r="C54" s="139">
        <v>46490.2894791159</v>
      </c>
      <c r="D54" s="203"/>
      <c r="R54" s="90" t="s">
        <v>303</v>
      </c>
      <c r="W54" s="139"/>
      <c r="X54" s="139"/>
      <c r="Y54" s="161"/>
      <c r="AD54" s="90"/>
      <c r="AQ54" s="137"/>
      <c r="AS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CB54" s="93">
        <f>100*CB48/CB$50</f>
        <v>406.97498327888843</v>
      </c>
      <c r="CC54" s="90" t="s">
        <v>616</v>
      </c>
    </row>
    <row r="55" spans="1:77" ht="15">
      <c r="A55" s="238"/>
      <c r="B55" s="90" t="s">
        <v>231</v>
      </c>
      <c r="C55" s="139">
        <f>C52+C53+C54</f>
        <v>92623.68551793939</v>
      </c>
      <c r="D55" s="203"/>
      <c r="R55" s="90" t="s">
        <v>391</v>
      </c>
      <c r="W55" s="139"/>
      <c r="X55" s="139"/>
      <c r="Y55" s="161"/>
      <c r="AD55" s="90"/>
      <c r="AQ55" s="137"/>
      <c r="AS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</row>
    <row r="56" spans="1:77" ht="15">
      <c r="A56" s="238"/>
      <c r="B56" s="202"/>
      <c r="C56" s="203"/>
      <c r="D56" s="203"/>
      <c r="R56" s="90" t="s">
        <v>470</v>
      </c>
      <c r="W56" s="139"/>
      <c r="X56" s="139"/>
      <c r="AD56" s="90"/>
      <c r="AQ56" s="137"/>
      <c r="AS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</row>
    <row r="57" spans="18:77" ht="15">
      <c r="R57" s="90" t="s">
        <v>482</v>
      </c>
      <c r="T57" s="157"/>
      <c r="U57" s="139"/>
      <c r="V57" s="157"/>
      <c r="Y57" s="90"/>
      <c r="AB57" s="139"/>
      <c r="AD57" s="90"/>
      <c r="AQ57" s="137"/>
      <c r="AS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</row>
    <row r="58" spans="20:46" ht="15">
      <c r="T58" s="157"/>
      <c r="U58" s="139"/>
      <c r="V58" s="157"/>
      <c r="Y58" s="90"/>
      <c r="AB58" s="139"/>
      <c r="AD58" s="90"/>
      <c r="AQ58" s="137"/>
      <c r="AR58" s="217"/>
      <c r="AS58" s="137"/>
      <c r="AT58" s="90"/>
    </row>
    <row r="59" spans="2:46" ht="15">
      <c r="B59" s="101"/>
      <c r="T59" s="157"/>
      <c r="U59" s="139"/>
      <c r="V59" s="157"/>
      <c r="Y59" s="90"/>
      <c r="AB59" s="139"/>
      <c r="AD59" s="90"/>
      <c r="AQ59" s="137"/>
      <c r="AR59" s="217"/>
      <c r="AS59" s="137"/>
      <c r="AT59" s="90"/>
    </row>
    <row r="60" ht="15">
      <c r="AD60" s="90"/>
    </row>
    <row r="61" ht="15">
      <c r="AD61" s="90"/>
    </row>
    <row r="62" ht="15">
      <c r="AD62" s="9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UC-Davis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Zolas</dc:creator>
  <cp:keywords/>
  <dc:description/>
  <cp:lastModifiedBy>Peter Lindert</cp:lastModifiedBy>
  <dcterms:created xsi:type="dcterms:W3CDTF">2010-09-14T17:38:25Z</dcterms:created>
  <dcterms:modified xsi:type="dcterms:W3CDTF">2014-05-21T21:46:52Z</dcterms:modified>
  <cp:category/>
  <cp:version/>
  <cp:contentType/>
  <cp:contentStatus/>
</cp:coreProperties>
</file>