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0" yWindow="0" windowWidth="25600" windowHeight="16060" tabRatio="500" activeTab="1"/>
  </bookViews>
  <sheets>
    <sheet name="Prices" sheetId="5" r:id="rId1"/>
    <sheet name="Wages" sheetId="4" r:id="rId2"/>
    <sheet name="Conversions, Sources &amp; Comments" sheetId="3" r:id="rId3"/>
  </sheet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3" l="1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BP17" i="5"/>
  <c r="H15" i="4"/>
  <c r="F15" i="4"/>
  <c r="P15" i="4"/>
  <c r="BR17" i="5"/>
  <c r="CO17" i="5"/>
  <c r="CQ17" i="5"/>
  <c r="BV17" i="5"/>
  <c r="CR17" i="5"/>
  <c r="BP202" i="5"/>
  <c r="BW202" i="5"/>
  <c r="CS202" i="5"/>
  <c r="CB17" i="5"/>
  <c r="CU17" i="5"/>
  <c r="CB202" i="5"/>
  <c r="CU202" i="5"/>
  <c r="CS17" i="5"/>
  <c r="CA202" i="5"/>
  <c r="CT202" i="5"/>
  <c r="CT17" i="5"/>
  <c r="BX17" i="5"/>
  <c r="CZ17" i="5"/>
  <c r="DC17" i="5"/>
  <c r="DA17" i="5"/>
  <c r="CK17" i="5"/>
  <c r="DE17" i="5"/>
  <c r="DH17" i="5"/>
  <c r="DO17" i="5"/>
  <c r="E15" i="3"/>
  <c r="DQ17" i="5"/>
  <c r="BP18" i="5"/>
  <c r="H16" i="4"/>
  <c r="F16" i="4"/>
  <c r="P16" i="4"/>
  <c r="BR18" i="5"/>
  <c r="CO18" i="5"/>
  <c r="CQ18" i="5"/>
  <c r="BV18" i="5"/>
  <c r="CR18" i="5"/>
  <c r="CS18" i="5"/>
  <c r="CT18" i="5"/>
  <c r="CC18" i="5"/>
  <c r="CV18" i="5"/>
  <c r="BX18" i="5"/>
  <c r="CZ18" i="5"/>
  <c r="DC18" i="5"/>
  <c r="DA18" i="5"/>
  <c r="DH18" i="5"/>
  <c r="DO18" i="5"/>
  <c r="E16" i="3"/>
  <c r="DQ18" i="5"/>
  <c r="BP19" i="5"/>
  <c r="H17" i="4"/>
  <c r="F17" i="4"/>
  <c r="P17" i="4"/>
  <c r="BR19" i="5"/>
  <c r="CO19" i="5"/>
  <c r="CQ19" i="5"/>
  <c r="BV19" i="5"/>
  <c r="CR19" i="5"/>
  <c r="CB19" i="5"/>
  <c r="CU19" i="5"/>
  <c r="CS19" i="5"/>
  <c r="CT19" i="5"/>
  <c r="CC19" i="5"/>
  <c r="CV19" i="5"/>
  <c r="BX19" i="5"/>
  <c r="CZ19" i="5"/>
  <c r="DC19" i="5"/>
  <c r="DA19" i="5"/>
  <c r="DH19" i="5"/>
  <c r="DO19" i="5"/>
  <c r="E17" i="3"/>
  <c r="DQ19" i="5"/>
  <c r="BP20" i="5"/>
  <c r="H18" i="4"/>
  <c r="F18" i="4"/>
  <c r="P18" i="4"/>
  <c r="BR20" i="5"/>
  <c r="CO20" i="5"/>
  <c r="CQ20" i="5"/>
  <c r="BV20" i="5"/>
  <c r="CR20" i="5"/>
  <c r="CB20" i="5"/>
  <c r="CU20" i="5"/>
  <c r="CS20" i="5"/>
  <c r="CT20" i="5"/>
  <c r="CC20" i="5"/>
  <c r="CV20" i="5"/>
  <c r="BX20" i="5"/>
  <c r="CZ20" i="5"/>
  <c r="DC20" i="5"/>
  <c r="DA20" i="5"/>
  <c r="DH20" i="5"/>
  <c r="DO20" i="5"/>
  <c r="E18" i="3"/>
  <c r="DQ20" i="5"/>
  <c r="BP21" i="5"/>
  <c r="H19" i="4"/>
  <c r="F19" i="4"/>
  <c r="P19" i="4"/>
  <c r="BR21" i="5"/>
  <c r="CO21" i="5"/>
  <c r="CQ21" i="5"/>
  <c r="BV21" i="5"/>
  <c r="CR21" i="5"/>
  <c r="CS21" i="5"/>
  <c r="CT21" i="5"/>
  <c r="BX21" i="5"/>
  <c r="CZ21" i="5"/>
  <c r="DC21" i="5"/>
  <c r="DA21" i="5"/>
  <c r="DH21" i="5"/>
  <c r="DO21" i="5"/>
  <c r="E19" i="3"/>
  <c r="DQ21" i="5"/>
  <c r="BP22" i="5"/>
  <c r="H20" i="4"/>
  <c r="F20" i="4"/>
  <c r="P20" i="4"/>
  <c r="BR22" i="5"/>
  <c r="CO22" i="5"/>
  <c r="CQ22" i="5"/>
  <c r="BV22" i="5"/>
  <c r="CR22" i="5"/>
  <c r="CS22" i="5"/>
  <c r="CT22" i="5"/>
  <c r="CC22" i="5"/>
  <c r="CV22" i="5"/>
  <c r="BX22" i="5"/>
  <c r="CZ22" i="5"/>
  <c r="DC22" i="5"/>
  <c r="DA22" i="5"/>
  <c r="DH22" i="5"/>
  <c r="DO22" i="5"/>
  <c r="E20" i="3"/>
  <c r="DQ22" i="5"/>
  <c r="BP23" i="5"/>
  <c r="H21" i="4"/>
  <c r="F21" i="4"/>
  <c r="P21" i="4"/>
  <c r="BR23" i="5"/>
  <c r="CO23" i="5"/>
  <c r="CQ23" i="5"/>
  <c r="BV23" i="5"/>
  <c r="CR23" i="5"/>
  <c r="CB23" i="5"/>
  <c r="CU23" i="5"/>
  <c r="CS23" i="5"/>
  <c r="CT23" i="5"/>
  <c r="CC23" i="5"/>
  <c r="CV23" i="5"/>
  <c r="BX23" i="5"/>
  <c r="CZ23" i="5"/>
  <c r="DC23" i="5"/>
  <c r="DA23" i="5"/>
  <c r="CG23" i="5"/>
  <c r="DD23" i="5"/>
  <c r="DH23" i="5"/>
  <c r="DO23" i="5"/>
  <c r="E21" i="3"/>
  <c r="DQ23" i="5"/>
  <c r="BP24" i="5"/>
  <c r="H22" i="4"/>
  <c r="F22" i="4"/>
  <c r="P22" i="4"/>
  <c r="BR24" i="5"/>
  <c r="CO24" i="5"/>
  <c r="CQ24" i="5"/>
  <c r="BV24" i="5"/>
  <c r="CR24" i="5"/>
  <c r="CB24" i="5"/>
  <c r="CU24" i="5"/>
  <c r="CS24" i="5"/>
  <c r="CT24" i="5"/>
  <c r="CC24" i="5"/>
  <c r="CV24" i="5"/>
  <c r="BX24" i="5"/>
  <c r="CZ24" i="5"/>
  <c r="DC24" i="5"/>
  <c r="DA24" i="5"/>
  <c r="DH24" i="5"/>
  <c r="DO24" i="5"/>
  <c r="E22" i="3"/>
  <c r="DQ24" i="5"/>
  <c r="BP25" i="5"/>
  <c r="H23" i="4"/>
  <c r="F23" i="4"/>
  <c r="P23" i="4"/>
  <c r="BR25" i="5"/>
  <c r="CO25" i="5"/>
  <c r="CQ25" i="5"/>
  <c r="BV25" i="5"/>
  <c r="CR25" i="5"/>
  <c r="CB25" i="5"/>
  <c r="CU25" i="5"/>
  <c r="CS25" i="5"/>
  <c r="CT25" i="5"/>
  <c r="CC25" i="5"/>
  <c r="CV25" i="5"/>
  <c r="BX25" i="5"/>
  <c r="CZ25" i="5"/>
  <c r="DC25" i="5"/>
  <c r="DA25" i="5"/>
  <c r="DH25" i="5"/>
  <c r="DO25" i="5"/>
  <c r="E23" i="3"/>
  <c r="DQ25" i="5"/>
  <c r="BP26" i="5"/>
  <c r="H24" i="4"/>
  <c r="F24" i="4"/>
  <c r="P24" i="4"/>
  <c r="BR26" i="5"/>
  <c r="CO26" i="5"/>
  <c r="CQ26" i="5"/>
  <c r="BV26" i="5"/>
  <c r="CR26" i="5"/>
  <c r="CB26" i="5"/>
  <c r="CU26" i="5"/>
  <c r="CS26" i="5"/>
  <c r="CT26" i="5"/>
  <c r="CC26" i="5"/>
  <c r="CV26" i="5"/>
  <c r="BX26" i="5"/>
  <c r="CZ26" i="5"/>
  <c r="DC26" i="5"/>
  <c r="DA26" i="5"/>
  <c r="DH26" i="5"/>
  <c r="DO26" i="5"/>
  <c r="E24" i="3"/>
  <c r="DQ26" i="5"/>
  <c r="BP27" i="5"/>
  <c r="H25" i="4"/>
  <c r="F25" i="4"/>
  <c r="P25" i="4"/>
  <c r="BR27" i="5"/>
  <c r="CO27" i="5"/>
  <c r="CQ27" i="5"/>
  <c r="BV27" i="5"/>
  <c r="CR27" i="5"/>
  <c r="CB27" i="5"/>
  <c r="CU27" i="5"/>
  <c r="CS27" i="5"/>
  <c r="CT27" i="5"/>
  <c r="CC27" i="5"/>
  <c r="CV27" i="5"/>
  <c r="BX27" i="5"/>
  <c r="CZ27" i="5"/>
  <c r="DC27" i="5"/>
  <c r="DA27" i="5"/>
  <c r="DH27" i="5"/>
  <c r="DO27" i="5"/>
  <c r="E25" i="3"/>
  <c r="DQ27" i="5"/>
  <c r="BP28" i="5"/>
  <c r="H26" i="4"/>
  <c r="F26" i="4"/>
  <c r="P26" i="4"/>
  <c r="BR28" i="5"/>
  <c r="CO28" i="5"/>
  <c r="CQ28" i="5"/>
  <c r="BV28" i="5"/>
  <c r="CR28" i="5"/>
  <c r="CB28" i="5"/>
  <c r="CU28" i="5"/>
  <c r="CS28" i="5"/>
  <c r="CT28" i="5"/>
  <c r="CC28" i="5"/>
  <c r="CV28" i="5"/>
  <c r="BX28" i="5"/>
  <c r="CZ28" i="5"/>
  <c r="DC28" i="5"/>
  <c r="DA28" i="5"/>
  <c r="DH28" i="5"/>
  <c r="DO28" i="5"/>
  <c r="E26" i="3"/>
  <c r="DQ28" i="5"/>
  <c r="BP29" i="5"/>
  <c r="H27" i="4"/>
  <c r="F27" i="4"/>
  <c r="P27" i="4"/>
  <c r="BR29" i="5"/>
  <c r="CO29" i="5"/>
  <c r="CQ29" i="5"/>
  <c r="BV29" i="5"/>
  <c r="CR29" i="5"/>
  <c r="CB29" i="5"/>
  <c r="CU29" i="5"/>
  <c r="CS29" i="5"/>
  <c r="CT29" i="5"/>
  <c r="CC29" i="5"/>
  <c r="CV29" i="5"/>
  <c r="BX29" i="5"/>
  <c r="CZ29" i="5"/>
  <c r="DC29" i="5"/>
  <c r="DA29" i="5"/>
  <c r="DH29" i="5"/>
  <c r="DO29" i="5"/>
  <c r="E27" i="3"/>
  <c r="DQ29" i="5"/>
  <c r="BP30" i="5"/>
  <c r="H28" i="4"/>
  <c r="F28" i="4"/>
  <c r="P28" i="4"/>
  <c r="BR30" i="5"/>
  <c r="CO30" i="5"/>
  <c r="CQ30" i="5"/>
  <c r="BV30" i="5"/>
  <c r="CR30" i="5"/>
  <c r="CB30" i="5"/>
  <c r="CU30" i="5"/>
  <c r="CS30" i="5"/>
  <c r="CT30" i="5"/>
  <c r="CC30" i="5"/>
  <c r="CV30" i="5"/>
  <c r="BX30" i="5"/>
  <c r="CZ30" i="5"/>
  <c r="DC30" i="5"/>
  <c r="DA30" i="5"/>
  <c r="DH30" i="5"/>
  <c r="DO30" i="5"/>
  <c r="E28" i="3"/>
  <c r="DQ30" i="5"/>
  <c r="BP31" i="5"/>
  <c r="H29" i="4"/>
  <c r="F29" i="4"/>
  <c r="P29" i="4"/>
  <c r="BR31" i="5"/>
  <c r="CO31" i="5"/>
  <c r="CQ31" i="5"/>
  <c r="BV31" i="5"/>
  <c r="CR31" i="5"/>
  <c r="CB31" i="5"/>
  <c r="CU31" i="5"/>
  <c r="CS31" i="5"/>
  <c r="CT31" i="5"/>
  <c r="CC31" i="5"/>
  <c r="CV31" i="5"/>
  <c r="BX31" i="5"/>
  <c r="CZ31" i="5"/>
  <c r="DC31" i="5"/>
  <c r="DA31" i="5"/>
  <c r="CK31" i="5"/>
  <c r="DE31" i="5"/>
  <c r="DH31" i="5"/>
  <c r="DO31" i="5"/>
  <c r="E29" i="3"/>
  <c r="DQ31" i="5"/>
  <c r="BP32" i="5"/>
  <c r="H30" i="4"/>
  <c r="F30" i="4"/>
  <c r="P30" i="4"/>
  <c r="BR32" i="5"/>
  <c r="CO32" i="5"/>
  <c r="CQ32" i="5"/>
  <c r="BV32" i="5"/>
  <c r="CR32" i="5"/>
  <c r="CB32" i="5"/>
  <c r="CU32" i="5"/>
  <c r="CS32" i="5"/>
  <c r="CT32" i="5"/>
  <c r="CC32" i="5"/>
  <c r="CV32" i="5"/>
  <c r="BX32" i="5"/>
  <c r="CZ32" i="5"/>
  <c r="DC32" i="5"/>
  <c r="DA32" i="5"/>
  <c r="DH32" i="5"/>
  <c r="DO32" i="5"/>
  <c r="E30" i="3"/>
  <c r="DQ32" i="5"/>
  <c r="BP33" i="5"/>
  <c r="H31" i="4"/>
  <c r="F31" i="4"/>
  <c r="P31" i="4"/>
  <c r="BR33" i="5"/>
  <c r="CO33" i="5"/>
  <c r="CQ33" i="5"/>
  <c r="BV33" i="5"/>
  <c r="CR33" i="5"/>
  <c r="CB33" i="5"/>
  <c r="CU33" i="5"/>
  <c r="CS33" i="5"/>
  <c r="CT33" i="5"/>
  <c r="CC33" i="5"/>
  <c r="CV33" i="5"/>
  <c r="BX33" i="5"/>
  <c r="CZ33" i="5"/>
  <c r="DC33" i="5"/>
  <c r="DA33" i="5"/>
  <c r="CK33" i="5"/>
  <c r="DE33" i="5"/>
  <c r="DH33" i="5"/>
  <c r="DO33" i="5"/>
  <c r="E31" i="3"/>
  <c r="DQ33" i="5"/>
  <c r="BP34" i="5"/>
  <c r="H32" i="4"/>
  <c r="F32" i="4"/>
  <c r="P32" i="4"/>
  <c r="BR34" i="5"/>
  <c r="CO34" i="5"/>
  <c r="CQ34" i="5"/>
  <c r="BV34" i="5"/>
  <c r="CR34" i="5"/>
  <c r="CB34" i="5"/>
  <c r="CU34" i="5"/>
  <c r="CS34" i="5"/>
  <c r="CT34" i="5"/>
  <c r="CC34" i="5"/>
  <c r="CV34" i="5"/>
  <c r="BX34" i="5"/>
  <c r="CZ34" i="5"/>
  <c r="BY34" i="5"/>
  <c r="DC34" i="5"/>
  <c r="DA34" i="5"/>
  <c r="DH34" i="5"/>
  <c r="DO34" i="5"/>
  <c r="E32" i="3"/>
  <c r="DQ34" i="5"/>
  <c r="BP35" i="5"/>
  <c r="H33" i="4"/>
  <c r="F33" i="4"/>
  <c r="P33" i="4"/>
  <c r="BR35" i="5"/>
  <c r="CO35" i="5"/>
  <c r="CQ35" i="5"/>
  <c r="BV35" i="5"/>
  <c r="CR35" i="5"/>
  <c r="CB35" i="5"/>
  <c r="CU35" i="5"/>
  <c r="CS35" i="5"/>
  <c r="CT35" i="5"/>
  <c r="CC35" i="5"/>
  <c r="CV35" i="5"/>
  <c r="BX35" i="5"/>
  <c r="CZ35" i="5"/>
  <c r="DC35" i="5"/>
  <c r="DA35" i="5"/>
  <c r="DH35" i="5"/>
  <c r="DO35" i="5"/>
  <c r="E33" i="3"/>
  <c r="DQ35" i="5"/>
  <c r="BP36" i="5"/>
  <c r="H34" i="4"/>
  <c r="F34" i="4"/>
  <c r="P34" i="4"/>
  <c r="BR36" i="5"/>
  <c r="CO36" i="5"/>
  <c r="CQ36" i="5"/>
  <c r="BV36" i="5"/>
  <c r="CR36" i="5"/>
  <c r="CB36" i="5"/>
  <c r="CU36" i="5"/>
  <c r="CS36" i="5"/>
  <c r="CT36" i="5"/>
  <c r="CC36" i="5"/>
  <c r="CV36" i="5"/>
  <c r="BX36" i="5"/>
  <c r="CZ36" i="5"/>
  <c r="DC36" i="5"/>
  <c r="DA36" i="5"/>
  <c r="CK36" i="5"/>
  <c r="DE36" i="5"/>
  <c r="DH36" i="5"/>
  <c r="DO36" i="5"/>
  <c r="E34" i="3"/>
  <c r="DQ36" i="5"/>
  <c r="BP37" i="5"/>
  <c r="H35" i="4"/>
  <c r="F35" i="4"/>
  <c r="P35" i="4"/>
  <c r="BR37" i="5"/>
  <c r="CO37" i="5"/>
  <c r="CQ37" i="5"/>
  <c r="BV37" i="5"/>
  <c r="CR37" i="5"/>
  <c r="CB37" i="5"/>
  <c r="CU37" i="5"/>
  <c r="CS37" i="5"/>
  <c r="CT37" i="5"/>
  <c r="CC37" i="5"/>
  <c r="CV37" i="5"/>
  <c r="BX37" i="5"/>
  <c r="CZ37" i="5"/>
  <c r="DC37" i="5"/>
  <c r="DA37" i="5"/>
  <c r="CK37" i="5"/>
  <c r="DE37" i="5"/>
  <c r="DH37" i="5"/>
  <c r="DO37" i="5"/>
  <c r="E35" i="3"/>
  <c r="DQ37" i="5"/>
  <c r="BP38" i="5"/>
  <c r="H36" i="4"/>
  <c r="F36" i="4"/>
  <c r="P36" i="4"/>
  <c r="BR38" i="5"/>
  <c r="CO38" i="5"/>
  <c r="CQ38" i="5"/>
  <c r="BV38" i="5"/>
  <c r="CR38" i="5"/>
  <c r="CB38" i="5"/>
  <c r="CU38" i="5"/>
  <c r="CS38" i="5"/>
  <c r="CT38" i="5"/>
  <c r="CC38" i="5"/>
  <c r="CV38" i="5"/>
  <c r="BX38" i="5"/>
  <c r="CZ38" i="5"/>
  <c r="DC38" i="5"/>
  <c r="DA38" i="5"/>
  <c r="DH38" i="5"/>
  <c r="DO38" i="5"/>
  <c r="E36" i="3"/>
  <c r="DQ38" i="5"/>
  <c r="BP39" i="5"/>
  <c r="H37" i="4"/>
  <c r="F37" i="4"/>
  <c r="P37" i="4"/>
  <c r="BR39" i="5"/>
  <c r="CO39" i="5"/>
  <c r="CQ39" i="5"/>
  <c r="BV39" i="5"/>
  <c r="CR39" i="5"/>
  <c r="CB39" i="5"/>
  <c r="CU39" i="5"/>
  <c r="CS39" i="5"/>
  <c r="CT39" i="5"/>
  <c r="CC39" i="5"/>
  <c r="CV39" i="5"/>
  <c r="BX39" i="5"/>
  <c r="CZ39" i="5"/>
  <c r="DC39" i="5"/>
  <c r="DA39" i="5"/>
  <c r="CK39" i="5"/>
  <c r="DE39" i="5"/>
  <c r="DH39" i="5"/>
  <c r="DO39" i="5"/>
  <c r="E37" i="3"/>
  <c r="DQ39" i="5"/>
  <c r="BP40" i="5"/>
  <c r="H38" i="4"/>
  <c r="F38" i="4"/>
  <c r="P38" i="4"/>
  <c r="BR40" i="5"/>
  <c r="CO40" i="5"/>
  <c r="CQ40" i="5"/>
  <c r="BV40" i="5"/>
  <c r="CR40" i="5"/>
  <c r="CB40" i="5"/>
  <c r="CU40" i="5"/>
  <c r="CS40" i="5"/>
  <c r="CT40" i="5"/>
  <c r="CC40" i="5"/>
  <c r="CV40" i="5"/>
  <c r="BX40" i="5"/>
  <c r="CZ40" i="5"/>
  <c r="DC40" i="5"/>
  <c r="DA40" i="5"/>
  <c r="DH40" i="5"/>
  <c r="DO40" i="5"/>
  <c r="E38" i="3"/>
  <c r="DQ40" i="5"/>
  <c r="BP41" i="5"/>
  <c r="H39" i="4"/>
  <c r="F39" i="4"/>
  <c r="P39" i="4"/>
  <c r="BR41" i="5"/>
  <c r="CO41" i="5"/>
  <c r="CQ41" i="5"/>
  <c r="BV41" i="5"/>
  <c r="CR41" i="5"/>
  <c r="CB41" i="5"/>
  <c r="CU41" i="5"/>
  <c r="CS41" i="5"/>
  <c r="CT41" i="5"/>
  <c r="CC41" i="5"/>
  <c r="CV41" i="5"/>
  <c r="BX41" i="5"/>
  <c r="CZ41" i="5"/>
  <c r="DC41" i="5"/>
  <c r="DA41" i="5"/>
  <c r="DH41" i="5"/>
  <c r="DO41" i="5"/>
  <c r="E39" i="3"/>
  <c r="DQ41" i="5"/>
  <c r="BP42" i="5"/>
  <c r="H40" i="4"/>
  <c r="F40" i="4"/>
  <c r="P40" i="4"/>
  <c r="BR42" i="5"/>
  <c r="CO42" i="5"/>
  <c r="CQ42" i="5"/>
  <c r="BV42" i="5"/>
  <c r="CR42" i="5"/>
  <c r="CB42" i="5"/>
  <c r="CU42" i="5"/>
  <c r="CS42" i="5"/>
  <c r="CT42" i="5"/>
  <c r="CC42" i="5"/>
  <c r="CV42" i="5"/>
  <c r="BX42" i="5"/>
  <c r="CZ42" i="5"/>
  <c r="BY42" i="5"/>
  <c r="DC42" i="5"/>
  <c r="DA42" i="5"/>
  <c r="CK42" i="5"/>
  <c r="DE42" i="5"/>
  <c r="DH42" i="5"/>
  <c r="DO42" i="5"/>
  <c r="E40" i="3"/>
  <c r="DQ42" i="5"/>
  <c r="BP43" i="5"/>
  <c r="H41" i="4"/>
  <c r="F41" i="4"/>
  <c r="P41" i="4"/>
  <c r="BR43" i="5"/>
  <c r="CO43" i="5"/>
  <c r="CQ43" i="5"/>
  <c r="BV43" i="5"/>
  <c r="CR43" i="5"/>
  <c r="CB43" i="5"/>
  <c r="CU43" i="5"/>
  <c r="CS43" i="5"/>
  <c r="CT43" i="5"/>
  <c r="CC43" i="5"/>
  <c r="CV43" i="5"/>
  <c r="BX43" i="5"/>
  <c r="CZ43" i="5"/>
  <c r="DC43" i="5"/>
  <c r="DA43" i="5"/>
  <c r="CG43" i="5"/>
  <c r="DD43" i="5"/>
  <c r="CK43" i="5"/>
  <c r="DE43" i="5"/>
  <c r="DH43" i="5"/>
  <c r="DO43" i="5"/>
  <c r="E41" i="3"/>
  <c r="DQ43" i="5"/>
  <c r="BP44" i="5"/>
  <c r="H42" i="4"/>
  <c r="F42" i="4"/>
  <c r="P42" i="4"/>
  <c r="BR44" i="5"/>
  <c r="CO44" i="5"/>
  <c r="CQ44" i="5"/>
  <c r="BV44" i="5"/>
  <c r="CR44" i="5"/>
  <c r="CB44" i="5"/>
  <c r="CU44" i="5"/>
  <c r="CS44" i="5"/>
  <c r="CT44" i="5"/>
  <c r="CC44" i="5"/>
  <c r="CV44" i="5"/>
  <c r="BX44" i="5"/>
  <c r="CZ44" i="5"/>
  <c r="DC44" i="5"/>
  <c r="DA44" i="5"/>
  <c r="CK44" i="5"/>
  <c r="DE44" i="5"/>
  <c r="DH44" i="5"/>
  <c r="DO44" i="5"/>
  <c r="E42" i="3"/>
  <c r="DQ44" i="5"/>
  <c r="BP45" i="5"/>
  <c r="H43" i="4"/>
  <c r="F43" i="4"/>
  <c r="P43" i="4"/>
  <c r="BR45" i="5"/>
  <c r="CO45" i="5"/>
  <c r="CQ45" i="5"/>
  <c r="BV45" i="5"/>
  <c r="CR45" i="5"/>
  <c r="CB45" i="5"/>
  <c r="CU45" i="5"/>
  <c r="CS45" i="5"/>
  <c r="CT45" i="5"/>
  <c r="CC45" i="5"/>
  <c r="CV45" i="5"/>
  <c r="BX45" i="5"/>
  <c r="CZ45" i="5"/>
  <c r="DC45" i="5"/>
  <c r="DA45" i="5"/>
  <c r="DH45" i="5"/>
  <c r="DO45" i="5"/>
  <c r="E43" i="3"/>
  <c r="DQ45" i="5"/>
  <c r="BP46" i="5"/>
  <c r="H44" i="4"/>
  <c r="F44" i="4"/>
  <c r="P44" i="4"/>
  <c r="BR46" i="5"/>
  <c r="CO46" i="5"/>
  <c r="CQ46" i="5"/>
  <c r="BV46" i="5"/>
  <c r="CR46" i="5"/>
  <c r="CB46" i="5"/>
  <c r="CU46" i="5"/>
  <c r="CS46" i="5"/>
  <c r="CT46" i="5"/>
  <c r="CC46" i="5"/>
  <c r="CV46" i="5"/>
  <c r="BX46" i="5"/>
  <c r="CZ46" i="5"/>
  <c r="DC46" i="5"/>
  <c r="DA46" i="5"/>
  <c r="CK46" i="5"/>
  <c r="DE46" i="5"/>
  <c r="DH46" i="5"/>
  <c r="DO46" i="5"/>
  <c r="E44" i="3"/>
  <c r="DQ46" i="5"/>
  <c r="BP47" i="5"/>
  <c r="H45" i="4"/>
  <c r="F45" i="4"/>
  <c r="P45" i="4"/>
  <c r="BR47" i="5"/>
  <c r="CO47" i="5"/>
  <c r="CQ47" i="5"/>
  <c r="BV47" i="5"/>
  <c r="CR47" i="5"/>
  <c r="CB47" i="5"/>
  <c r="CU47" i="5"/>
  <c r="CS47" i="5"/>
  <c r="CT47" i="5"/>
  <c r="CC47" i="5"/>
  <c r="CV47" i="5"/>
  <c r="BX47" i="5"/>
  <c r="CZ47" i="5"/>
  <c r="DC47" i="5"/>
  <c r="DA47" i="5"/>
  <c r="CK47" i="5"/>
  <c r="DE47" i="5"/>
  <c r="DH47" i="5"/>
  <c r="DO47" i="5"/>
  <c r="E45" i="3"/>
  <c r="DQ47" i="5"/>
  <c r="BP48" i="5"/>
  <c r="H46" i="4"/>
  <c r="F46" i="4"/>
  <c r="P46" i="4"/>
  <c r="BR48" i="5"/>
  <c r="CO48" i="5"/>
  <c r="CQ48" i="5"/>
  <c r="BV48" i="5"/>
  <c r="CR48" i="5"/>
  <c r="CB48" i="5"/>
  <c r="CU48" i="5"/>
  <c r="CS48" i="5"/>
  <c r="CT48" i="5"/>
  <c r="CC48" i="5"/>
  <c r="CV48" i="5"/>
  <c r="BX48" i="5"/>
  <c r="CZ48" i="5"/>
  <c r="DC48" i="5"/>
  <c r="DA48" i="5"/>
  <c r="CK48" i="5"/>
  <c r="DE48" i="5"/>
  <c r="DH48" i="5"/>
  <c r="DO48" i="5"/>
  <c r="E46" i="3"/>
  <c r="DQ48" i="5"/>
  <c r="BP49" i="5"/>
  <c r="H47" i="4"/>
  <c r="F47" i="4"/>
  <c r="P47" i="4"/>
  <c r="BR49" i="5"/>
  <c r="CO49" i="5"/>
  <c r="CQ49" i="5"/>
  <c r="BV49" i="5"/>
  <c r="CR49" i="5"/>
  <c r="CB49" i="5"/>
  <c r="CU49" i="5"/>
  <c r="CS49" i="5"/>
  <c r="CT49" i="5"/>
  <c r="CC49" i="5"/>
  <c r="CV49" i="5"/>
  <c r="BX49" i="5"/>
  <c r="CZ49" i="5"/>
  <c r="DC49" i="5"/>
  <c r="DA49" i="5"/>
  <c r="CK49" i="5"/>
  <c r="DE49" i="5"/>
  <c r="DH49" i="5"/>
  <c r="DO49" i="5"/>
  <c r="E47" i="3"/>
  <c r="DQ49" i="5"/>
  <c r="BP50" i="5"/>
  <c r="H48" i="4"/>
  <c r="F48" i="4"/>
  <c r="P48" i="4"/>
  <c r="BR50" i="5"/>
  <c r="CO50" i="5"/>
  <c r="CQ50" i="5"/>
  <c r="BV50" i="5"/>
  <c r="CR50" i="5"/>
  <c r="CB50" i="5"/>
  <c r="CU50" i="5"/>
  <c r="CS50" i="5"/>
  <c r="CT50" i="5"/>
  <c r="CC50" i="5"/>
  <c r="CV50" i="5"/>
  <c r="BX50" i="5"/>
  <c r="CZ50" i="5"/>
  <c r="DC50" i="5"/>
  <c r="DA50" i="5"/>
  <c r="CK50" i="5"/>
  <c r="DE50" i="5"/>
  <c r="DH50" i="5"/>
  <c r="DO50" i="5"/>
  <c r="E48" i="3"/>
  <c r="DQ50" i="5"/>
  <c r="BP51" i="5"/>
  <c r="H49" i="4"/>
  <c r="F49" i="4"/>
  <c r="P49" i="4"/>
  <c r="BR51" i="5"/>
  <c r="CO51" i="5"/>
  <c r="CQ51" i="5"/>
  <c r="BV51" i="5"/>
  <c r="CR51" i="5"/>
  <c r="CB51" i="5"/>
  <c r="CU51" i="5"/>
  <c r="CS51" i="5"/>
  <c r="CT51" i="5"/>
  <c r="CC51" i="5"/>
  <c r="CV51" i="5"/>
  <c r="BX51" i="5"/>
  <c r="CZ51" i="5"/>
  <c r="DC51" i="5"/>
  <c r="DA51" i="5"/>
  <c r="DH51" i="5"/>
  <c r="DO51" i="5"/>
  <c r="E49" i="3"/>
  <c r="DQ51" i="5"/>
  <c r="BP52" i="5"/>
  <c r="H50" i="4"/>
  <c r="F50" i="4"/>
  <c r="P50" i="4"/>
  <c r="BR52" i="5"/>
  <c r="CO52" i="5"/>
  <c r="CQ52" i="5"/>
  <c r="BV52" i="5"/>
  <c r="CR52" i="5"/>
  <c r="CB52" i="5"/>
  <c r="CU52" i="5"/>
  <c r="CS52" i="5"/>
  <c r="CT52" i="5"/>
  <c r="CC52" i="5"/>
  <c r="CV52" i="5"/>
  <c r="BX52" i="5"/>
  <c r="CZ52" i="5"/>
  <c r="BY52" i="5"/>
  <c r="DC52" i="5"/>
  <c r="DA52" i="5"/>
  <c r="CK52" i="5"/>
  <c r="DE52" i="5"/>
  <c r="DH52" i="5"/>
  <c r="DO52" i="5"/>
  <c r="E50" i="3"/>
  <c r="DQ52" i="5"/>
  <c r="BP53" i="5"/>
  <c r="H51" i="4"/>
  <c r="F51" i="4"/>
  <c r="P51" i="4"/>
  <c r="BR53" i="5"/>
  <c r="CO53" i="5"/>
  <c r="CQ53" i="5"/>
  <c r="BV53" i="5"/>
  <c r="CR53" i="5"/>
  <c r="CB53" i="5"/>
  <c r="CU53" i="5"/>
  <c r="CS53" i="5"/>
  <c r="CT53" i="5"/>
  <c r="CC53" i="5"/>
  <c r="CV53" i="5"/>
  <c r="BX53" i="5"/>
  <c r="CZ53" i="5"/>
  <c r="DC53" i="5"/>
  <c r="DA53" i="5"/>
  <c r="DH53" i="5"/>
  <c r="DO53" i="5"/>
  <c r="E51" i="3"/>
  <c r="DQ53" i="5"/>
  <c r="BP54" i="5"/>
  <c r="H52" i="4"/>
  <c r="F52" i="4"/>
  <c r="P52" i="4"/>
  <c r="BR54" i="5"/>
  <c r="CO54" i="5"/>
  <c r="CQ54" i="5"/>
  <c r="BV54" i="5"/>
  <c r="CR54" i="5"/>
  <c r="CB54" i="5"/>
  <c r="CU54" i="5"/>
  <c r="CS54" i="5"/>
  <c r="CT54" i="5"/>
  <c r="CC54" i="5"/>
  <c r="CV54" i="5"/>
  <c r="BX54" i="5"/>
  <c r="CZ54" i="5"/>
  <c r="DC54" i="5"/>
  <c r="DA54" i="5"/>
  <c r="CK54" i="5"/>
  <c r="DE54" i="5"/>
  <c r="DH54" i="5"/>
  <c r="DO54" i="5"/>
  <c r="E52" i="3"/>
  <c r="DQ54" i="5"/>
  <c r="BP55" i="5"/>
  <c r="H53" i="4"/>
  <c r="F53" i="4"/>
  <c r="P53" i="4"/>
  <c r="BR55" i="5"/>
  <c r="CO55" i="5"/>
  <c r="CQ55" i="5"/>
  <c r="BV55" i="5"/>
  <c r="CR55" i="5"/>
  <c r="CB55" i="5"/>
  <c r="CU55" i="5"/>
  <c r="CS55" i="5"/>
  <c r="CT55" i="5"/>
  <c r="CC55" i="5"/>
  <c r="CV55" i="5"/>
  <c r="BX55" i="5"/>
  <c r="CZ55" i="5"/>
  <c r="DC55" i="5"/>
  <c r="DA55" i="5"/>
  <c r="CK55" i="5"/>
  <c r="DE55" i="5"/>
  <c r="DH55" i="5"/>
  <c r="DO55" i="5"/>
  <c r="E53" i="3"/>
  <c r="DQ55" i="5"/>
  <c r="BP56" i="5"/>
  <c r="H54" i="4"/>
  <c r="F54" i="4"/>
  <c r="P54" i="4"/>
  <c r="BR56" i="5"/>
  <c r="CO56" i="5"/>
  <c r="CQ56" i="5"/>
  <c r="BV56" i="5"/>
  <c r="CR56" i="5"/>
  <c r="CB56" i="5"/>
  <c r="CU56" i="5"/>
  <c r="CS56" i="5"/>
  <c r="CT56" i="5"/>
  <c r="CC56" i="5"/>
  <c r="CV56" i="5"/>
  <c r="BX56" i="5"/>
  <c r="CZ56" i="5"/>
  <c r="DC56" i="5"/>
  <c r="DA56" i="5"/>
  <c r="DH56" i="5"/>
  <c r="DO56" i="5"/>
  <c r="E54" i="3"/>
  <c r="DQ56" i="5"/>
  <c r="BP57" i="5"/>
  <c r="H55" i="4"/>
  <c r="F55" i="4"/>
  <c r="P55" i="4"/>
  <c r="BR57" i="5"/>
  <c r="CO57" i="5"/>
  <c r="CQ57" i="5"/>
  <c r="BV57" i="5"/>
  <c r="CR57" i="5"/>
  <c r="CS57" i="5"/>
  <c r="CT57" i="5"/>
  <c r="CC57" i="5"/>
  <c r="CV57" i="5"/>
  <c r="BX57" i="5"/>
  <c r="CZ57" i="5"/>
  <c r="DC57" i="5"/>
  <c r="DA57" i="5"/>
  <c r="DH57" i="5"/>
  <c r="DO57" i="5"/>
  <c r="E55" i="3"/>
  <c r="DQ57" i="5"/>
  <c r="BP58" i="5"/>
  <c r="H56" i="4"/>
  <c r="F56" i="4"/>
  <c r="P56" i="4"/>
  <c r="BR58" i="5"/>
  <c r="CO58" i="5"/>
  <c r="CQ58" i="5"/>
  <c r="BV58" i="5"/>
  <c r="CR58" i="5"/>
  <c r="CB58" i="5"/>
  <c r="CU58" i="5"/>
  <c r="CS58" i="5"/>
  <c r="CT58" i="5"/>
  <c r="CC58" i="5"/>
  <c r="CV58" i="5"/>
  <c r="BX58" i="5"/>
  <c r="CZ58" i="5"/>
  <c r="BY58" i="5"/>
  <c r="DC58" i="5"/>
  <c r="DA58" i="5"/>
  <c r="DH58" i="5"/>
  <c r="DO58" i="5"/>
  <c r="E56" i="3"/>
  <c r="DQ58" i="5"/>
  <c r="BP59" i="5"/>
  <c r="H57" i="4"/>
  <c r="F57" i="4"/>
  <c r="P57" i="4"/>
  <c r="BR59" i="5"/>
  <c r="CO59" i="5"/>
  <c r="CQ59" i="5"/>
  <c r="BV59" i="5"/>
  <c r="CR59" i="5"/>
  <c r="CS59" i="5"/>
  <c r="CT59" i="5"/>
  <c r="CC59" i="5"/>
  <c r="CV59" i="5"/>
  <c r="BX59" i="5"/>
  <c r="CZ59" i="5"/>
  <c r="DC59" i="5"/>
  <c r="DA59" i="5"/>
  <c r="DH59" i="5"/>
  <c r="DO59" i="5"/>
  <c r="E57" i="3"/>
  <c r="DQ59" i="5"/>
  <c r="BP60" i="5"/>
  <c r="H58" i="4"/>
  <c r="F58" i="4"/>
  <c r="P58" i="4"/>
  <c r="BR60" i="5"/>
  <c r="CO60" i="5"/>
  <c r="CQ60" i="5"/>
  <c r="BV60" i="5"/>
  <c r="CR60" i="5"/>
  <c r="CB60" i="5"/>
  <c r="CU60" i="5"/>
  <c r="CS60" i="5"/>
  <c r="CT60" i="5"/>
  <c r="CC60" i="5"/>
  <c r="CV60" i="5"/>
  <c r="BX60" i="5"/>
  <c r="CZ60" i="5"/>
  <c r="BY60" i="5"/>
  <c r="DC60" i="5"/>
  <c r="DA60" i="5"/>
  <c r="DH60" i="5"/>
  <c r="DO60" i="5"/>
  <c r="E58" i="3"/>
  <c r="DQ60" i="5"/>
  <c r="BP61" i="5"/>
  <c r="H59" i="4"/>
  <c r="F59" i="4"/>
  <c r="P59" i="4"/>
  <c r="BR61" i="5"/>
  <c r="CO61" i="5"/>
  <c r="CQ61" i="5"/>
  <c r="BV61" i="5"/>
  <c r="CR61" i="5"/>
  <c r="CB61" i="5"/>
  <c r="CU61" i="5"/>
  <c r="CS61" i="5"/>
  <c r="CT61" i="5"/>
  <c r="CC61" i="5"/>
  <c r="CV61" i="5"/>
  <c r="BX61" i="5"/>
  <c r="CZ61" i="5"/>
  <c r="DC61" i="5"/>
  <c r="DA61" i="5"/>
  <c r="DH61" i="5"/>
  <c r="DO61" i="5"/>
  <c r="E59" i="3"/>
  <c r="DQ61" i="5"/>
  <c r="BP62" i="5"/>
  <c r="H60" i="4"/>
  <c r="F60" i="4"/>
  <c r="P60" i="4"/>
  <c r="BR62" i="5"/>
  <c r="CO62" i="5"/>
  <c r="CQ62" i="5"/>
  <c r="BV62" i="5"/>
  <c r="CR62" i="5"/>
  <c r="CS62" i="5"/>
  <c r="CT62" i="5"/>
  <c r="CC62" i="5"/>
  <c r="CV62" i="5"/>
  <c r="BX62" i="5"/>
  <c r="CZ62" i="5"/>
  <c r="BY62" i="5"/>
  <c r="DC62" i="5"/>
  <c r="DA62" i="5"/>
  <c r="CG62" i="5"/>
  <c r="DD62" i="5"/>
  <c r="DH62" i="5"/>
  <c r="DO62" i="5"/>
  <c r="E60" i="3"/>
  <c r="DQ62" i="5"/>
  <c r="BP63" i="5"/>
  <c r="H61" i="4"/>
  <c r="F61" i="4"/>
  <c r="P61" i="4"/>
  <c r="BR63" i="5"/>
  <c r="CO63" i="5"/>
  <c r="CQ63" i="5"/>
  <c r="BV63" i="5"/>
  <c r="CR63" i="5"/>
  <c r="CB63" i="5"/>
  <c r="CU63" i="5"/>
  <c r="CS63" i="5"/>
  <c r="CT63" i="5"/>
  <c r="CC63" i="5"/>
  <c r="CV63" i="5"/>
  <c r="BX63" i="5"/>
  <c r="CZ63" i="5"/>
  <c r="BY63" i="5"/>
  <c r="DC63" i="5"/>
  <c r="DA63" i="5"/>
  <c r="DH63" i="5"/>
  <c r="DO63" i="5"/>
  <c r="E61" i="3"/>
  <c r="DQ63" i="5"/>
  <c r="BP64" i="5"/>
  <c r="H62" i="4"/>
  <c r="F62" i="4"/>
  <c r="P62" i="4"/>
  <c r="BR64" i="5"/>
  <c r="CO64" i="5"/>
  <c r="CQ64" i="5"/>
  <c r="BV64" i="5"/>
  <c r="CR64" i="5"/>
  <c r="CB64" i="5"/>
  <c r="CU64" i="5"/>
  <c r="CS64" i="5"/>
  <c r="CT64" i="5"/>
  <c r="CC64" i="5"/>
  <c r="CV64" i="5"/>
  <c r="BX64" i="5"/>
  <c r="CZ64" i="5"/>
  <c r="DC64" i="5"/>
  <c r="DA64" i="5"/>
  <c r="DH64" i="5"/>
  <c r="DO64" i="5"/>
  <c r="E62" i="3"/>
  <c r="DQ64" i="5"/>
  <c r="BP65" i="5"/>
  <c r="H63" i="4"/>
  <c r="F63" i="4"/>
  <c r="P63" i="4"/>
  <c r="BR65" i="5"/>
  <c r="CO65" i="5"/>
  <c r="CQ65" i="5"/>
  <c r="BV65" i="5"/>
  <c r="CR65" i="5"/>
  <c r="CB65" i="5"/>
  <c r="CU65" i="5"/>
  <c r="CS65" i="5"/>
  <c r="CT65" i="5"/>
  <c r="CC65" i="5"/>
  <c r="CV65" i="5"/>
  <c r="BX65" i="5"/>
  <c r="CZ65" i="5"/>
  <c r="DC65" i="5"/>
  <c r="DA65" i="5"/>
  <c r="DH65" i="5"/>
  <c r="DO65" i="5"/>
  <c r="E63" i="3"/>
  <c r="DQ65" i="5"/>
  <c r="BP66" i="5"/>
  <c r="H64" i="4"/>
  <c r="F64" i="4"/>
  <c r="P64" i="4"/>
  <c r="BR66" i="5"/>
  <c r="CO66" i="5"/>
  <c r="CQ66" i="5"/>
  <c r="BV66" i="5"/>
  <c r="CR66" i="5"/>
  <c r="CB66" i="5"/>
  <c r="CU66" i="5"/>
  <c r="CS66" i="5"/>
  <c r="CT66" i="5"/>
  <c r="CC66" i="5"/>
  <c r="CV66" i="5"/>
  <c r="BX66" i="5"/>
  <c r="CZ66" i="5"/>
  <c r="BY66" i="5"/>
  <c r="DC66" i="5"/>
  <c r="DA66" i="5"/>
  <c r="DH66" i="5"/>
  <c r="DO66" i="5"/>
  <c r="E64" i="3"/>
  <c r="DQ66" i="5"/>
  <c r="BP67" i="5"/>
  <c r="H65" i="4"/>
  <c r="F65" i="4"/>
  <c r="P65" i="4"/>
  <c r="BR67" i="5"/>
  <c r="CO67" i="5"/>
  <c r="CQ67" i="5"/>
  <c r="BV67" i="5"/>
  <c r="CR67" i="5"/>
  <c r="CB67" i="5"/>
  <c r="CU67" i="5"/>
  <c r="CS67" i="5"/>
  <c r="CT67" i="5"/>
  <c r="CC67" i="5"/>
  <c r="CV67" i="5"/>
  <c r="BX67" i="5"/>
  <c r="CZ67" i="5"/>
  <c r="DC67" i="5"/>
  <c r="DA67" i="5"/>
  <c r="CG67" i="5"/>
  <c r="DD67" i="5"/>
  <c r="DH67" i="5"/>
  <c r="DO67" i="5"/>
  <c r="E65" i="3"/>
  <c r="DQ67" i="5"/>
  <c r="BP68" i="5"/>
  <c r="H66" i="4"/>
  <c r="F66" i="4"/>
  <c r="P66" i="4"/>
  <c r="BR68" i="5"/>
  <c r="CO68" i="5"/>
  <c r="CQ68" i="5"/>
  <c r="BV68" i="5"/>
  <c r="CR68" i="5"/>
  <c r="CS68" i="5"/>
  <c r="CT68" i="5"/>
  <c r="CC68" i="5"/>
  <c r="CV68" i="5"/>
  <c r="BX68" i="5"/>
  <c r="CZ68" i="5"/>
  <c r="DC68" i="5"/>
  <c r="DA68" i="5"/>
  <c r="DH68" i="5"/>
  <c r="DO68" i="5"/>
  <c r="E66" i="3"/>
  <c r="DQ68" i="5"/>
  <c r="BP69" i="5"/>
  <c r="H67" i="4"/>
  <c r="F67" i="4"/>
  <c r="P67" i="4"/>
  <c r="BR69" i="5"/>
  <c r="CO69" i="5"/>
  <c r="CQ69" i="5"/>
  <c r="BV69" i="5"/>
  <c r="CR69" i="5"/>
  <c r="CB69" i="5"/>
  <c r="CU69" i="5"/>
  <c r="CS69" i="5"/>
  <c r="CT69" i="5"/>
  <c r="CC69" i="5"/>
  <c r="CV69" i="5"/>
  <c r="BX69" i="5"/>
  <c r="CZ69" i="5"/>
  <c r="BY69" i="5"/>
  <c r="DC69" i="5"/>
  <c r="DA69" i="5"/>
  <c r="DH69" i="5"/>
  <c r="DO69" i="5"/>
  <c r="E67" i="3"/>
  <c r="DQ69" i="5"/>
  <c r="BP70" i="5"/>
  <c r="H68" i="4"/>
  <c r="F68" i="4"/>
  <c r="P68" i="4"/>
  <c r="BR70" i="5"/>
  <c r="CO70" i="5"/>
  <c r="CQ70" i="5"/>
  <c r="BV70" i="5"/>
  <c r="CR70" i="5"/>
  <c r="CB70" i="5"/>
  <c r="CU70" i="5"/>
  <c r="CS70" i="5"/>
  <c r="CT70" i="5"/>
  <c r="CC70" i="5"/>
  <c r="CV70" i="5"/>
  <c r="BX70" i="5"/>
  <c r="CZ70" i="5"/>
  <c r="DC70" i="5"/>
  <c r="DA70" i="5"/>
  <c r="DH70" i="5"/>
  <c r="DO70" i="5"/>
  <c r="E68" i="3"/>
  <c r="DQ70" i="5"/>
  <c r="BP71" i="5"/>
  <c r="H69" i="4"/>
  <c r="F69" i="4"/>
  <c r="P69" i="4"/>
  <c r="BR71" i="5"/>
  <c r="CO71" i="5"/>
  <c r="CQ71" i="5"/>
  <c r="BV71" i="5"/>
  <c r="CR71" i="5"/>
  <c r="CB71" i="5"/>
  <c r="CU71" i="5"/>
  <c r="CS71" i="5"/>
  <c r="CT71" i="5"/>
  <c r="CC71" i="5"/>
  <c r="CV71" i="5"/>
  <c r="BX71" i="5"/>
  <c r="CZ71" i="5"/>
  <c r="DC71" i="5"/>
  <c r="DA71" i="5"/>
  <c r="CG71" i="5"/>
  <c r="DD71" i="5"/>
  <c r="DH71" i="5"/>
  <c r="DO71" i="5"/>
  <c r="E69" i="3"/>
  <c r="DQ71" i="5"/>
  <c r="BP72" i="5"/>
  <c r="H70" i="4"/>
  <c r="F70" i="4"/>
  <c r="P70" i="4"/>
  <c r="BR72" i="5"/>
  <c r="CO72" i="5"/>
  <c r="CQ72" i="5"/>
  <c r="BV72" i="5"/>
  <c r="CR72" i="5"/>
  <c r="CB72" i="5"/>
  <c r="CU72" i="5"/>
  <c r="CS72" i="5"/>
  <c r="CT72" i="5"/>
  <c r="CC72" i="5"/>
  <c r="CV72" i="5"/>
  <c r="BX72" i="5"/>
  <c r="CZ72" i="5"/>
  <c r="BY72" i="5"/>
  <c r="DC72" i="5"/>
  <c r="DA72" i="5"/>
  <c r="DH72" i="5"/>
  <c r="DO72" i="5"/>
  <c r="E70" i="3"/>
  <c r="DQ72" i="5"/>
  <c r="BP73" i="5"/>
  <c r="H71" i="4"/>
  <c r="F71" i="4"/>
  <c r="P71" i="4"/>
  <c r="BR73" i="5"/>
  <c r="CO73" i="5"/>
  <c r="CQ73" i="5"/>
  <c r="BV73" i="5"/>
  <c r="CR73" i="5"/>
  <c r="CB73" i="5"/>
  <c r="CU73" i="5"/>
  <c r="CS73" i="5"/>
  <c r="CT73" i="5"/>
  <c r="CC73" i="5"/>
  <c r="CV73" i="5"/>
  <c r="BX73" i="5"/>
  <c r="CZ73" i="5"/>
  <c r="BY73" i="5"/>
  <c r="DC73" i="5"/>
  <c r="DA73" i="5"/>
  <c r="DH73" i="5"/>
  <c r="DO73" i="5"/>
  <c r="E71" i="3"/>
  <c r="DQ73" i="5"/>
  <c r="BP74" i="5"/>
  <c r="H72" i="4"/>
  <c r="F72" i="4"/>
  <c r="P72" i="4"/>
  <c r="BR74" i="5"/>
  <c r="CO74" i="5"/>
  <c r="CQ74" i="5"/>
  <c r="BV74" i="5"/>
  <c r="CR74" i="5"/>
  <c r="CB74" i="5"/>
  <c r="CU74" i="5"/>
  <c r="CS74" i="5"/>
  <c r="CT74" i="5"/>
  <c r="CC74" i="5"/>
  <c r="CV74" i="5"/>
  <c r="BX74" i="5"/>
  <c r="CZ74" i="5"/>
  <c r="BY74" i="5"/>
  <c r="DC74" i="5"/>
  <c r="DA74" i="5"/>
  <c r="CG74" i="5"/>
  <c r="DD74" i="5"/>
  <c r="DH74" i="5"/>
  <c r="DO74" i="5"/>
  <c r="E72" i="3"/>
  <c r="DQ74" i="5"/>
  <c r="BP75" i="5"/>
  <c r="H73" i="4"/>
  <c r="F73" i="4"/>
  <c r="P73" i="4"/>
  <c r="BR75" i="5"/>
  <c r="CO75" i="5"/>
  <c r="CQ75" i="5"/>
  <c r="BV75" i="5"/>
  <c r="CR75" i="5"/>
  <c r="CS75" i="5"/>
  <c r="CT75" i="5"/>
  <c r="CC75" i="5"/>
  <c r="CV75" i="5"/>
  <c r="BX75" i="5"/>
  <c r="CZ75" i="5"/>
  <c r="BY75" i="5"/>
  <c r="DC75" i="5"/>
  <c r="DA75" i="5"/>
  <c r="DH75" i="5"/>
  <c r="DO75" i="5"/>
  <c r="E73" i="3"/>
  <c r="DQ75" i="5"/>
  <c r="BP76" i="5"/>
  <c r="H74" i="4"/>
  <c r="F74" i="4"/>
  <c r="P74" i="4"/>
  <c r="BR76" i="5"/>
  <c r="CO76" i="5"/>
  <c r="CQ76" i="5"/>
  <c r="BV76" i="5"/>
  <c r="CR76" i="5"/>
  <c r="CB76" i="5"/>
  <c r="CU76" i="5"/>
  <c r="CS76" i="5"/>
  <c r="CT76" i="5"/>
  <c r="CC76" i="5"/>
  <c r="CV76" i="5"/>
  <c r="BX76" i="5"/>
  <c r="CZ76" i="5"/>
  <c r="BY76" i="5"/>
  <c r="DC76" i="5"/>
  <c r="DA76" i="5"/>
  <c r="DH76" i="5"/>
  <c r="DO76" i="5"/>
  <c r="E74" i="3"/>
  <c r="DQ76" i="5"/>
  <c r="BP77" i="5"/>
  <c r="H75" i="4"/>
  <c r="F75" i="4"/>
  <c r="P75" i="4"/>
  <c r="BR77" i="5"/>
  <c r="CO77" i="5"/>
  <c r="CQ77" i="5"/>
  <c r="BV77" i="5"/>
  <c r="CR77" i="5"/>
  <c r="CS77" i="5"/>
  <c r="CT77" i="5"/>
  <c r="CC77" i="5"/>
  <c r="CV77" i="5"/>
  <c r="BX77" i="5"/>
  <c r="CZ77" i="5"/>
  <c r="DC77" i="5"/>
  <c r="DA77" i="5"/>
  <c r="DH77" i="5"/>
  <c r="DO77" i="5"/>
  <c r="E75" i="3"/>
  <c r="DQ77" i="5"/>
  <c r="BP78" i="5"/>
  <c r="H76" i="4"/>
  <c r="F76" i="4"/>
  <c r="P76" i="4"/>
  <c r="BR78" i="5"/>
  <c r="CO78" i="5"/>
  <c r="CQ78" i="5"/>
  <c r="BV78" i="5"/>
  <c r="CR78" i="5"/>
  <c r="CB78" i="5"/>
  <c r="CU78" i="5"/>
  <c r="CS78" i="5"/>
  <c r="CT78" i="5"/>
  <c r="CC78" i="5"/>
  <c r="CV78" i="5"/>
  <c r="BX78" i="5"/>
  <c r="CZ78" i="5"/>
  <c r="DC78" i="5"/>
  <c r="DA78" i="5"/>
  <c r="CG78" i="5"/>
  <c r="DD78" i="5"/>
  <c r="DH78" i="5"/>
  <c r="DO78" i="5"/>
  <c r="E76" i="3"/>
  <c r="DQ78" i="5"/>
  <c r="BP79" i="5"/>
  <c r="H77" i="4"/>
  <c r="F77" i="4"/>
  <c r="P77" i="4"/>
  <c r="BR79" i="5"/>
  <c r="CO79" i="5"/>
  <c r="CQ79" i="5"/>
  <c r="BV79" i="5"/>
  <c r="CR79" i="5"/>
  <c r="CB79" i="5"/>
  <c r="CU79" i="5"/>
  <c r="CS79" i="5"/>
  <c r="CT79" i="5"/>
  <c r="CC79" i="5"/>
  <c r="CV79" i="5"/>
  <c r="BX79" i="5"/>
  <c r="CZ79" i="5"/>
  <c r="BY79" i="5"/>
  <c r="DC79" i="5"/>
  <c r="DA79" i="5"/>
  <c r="CG79" i="5"/>
  <c r="DD79" i="5"/>
  <c r="CK79" i="5"/>
  <c r="DE79" i="5"/>
  <c r="DH79" i="5"/>
  <c r="DO79" i="5"/>
  <c r="E77" i="3"/>
  <c r="DQ79" i="5"/>
  <c r="BP80" i="5"/>
  <c r="H78" i="4"/>
  <c r="F78" i="4"/>
  <c r="P78" i="4"/>
  <c r="BR80" i="5"/>
  <c r="CO80" i="5"/>
  <c r="CQ80" i="5"/>
  <c r="BV80" i="5"/>
  <c r="CR80" i="5"/>
  <c r="CB80" i="5"/>
  <c r="CU80" i="5"/>
  <c r="CS80" i="5"/>
  <c r="CT80" i="5"/>
  <c r="CC80" i="5"/>
  <c r="CV80" i="5"/>
  <c r="BX80" i="5"/>
  <c r="CZ80" i="5"/>
  <c r="BY80" i="5"/>
  <c r="DC80" i="5"/>
  <c r="DA80" i="5"/>
  <c r="CG80" i="5"/>
  <c r="DD80" i="5"/>
  <c r="DH80" i="5"/>
  <c r="DO80" i="5"/>
  <c r="E78" i="3"/>
  <c r="DQ80" i="5"/>
  <c r="BP81" i="5"/>
  <c r="H79" i="4"/>
  <c r="F79" i="4"/>
  <c r="P79" i="4"/>
  <c r="BR81" i="5"/>
  <c r="CO81" i="5"/>
  <c r="CQ81" i="5"/>
  <c r="BV81" i="5"/>
  <c r="CR81" i="5"/>
  <c r="CB81" i="5"/>
  <c r="CU81" i="5"/>
  <c r="CS81" i="5"/>
  <c r="CT81" i="5"/>
  <c r="CC81" i="5"/>
  <c r="CV81" i="5"/>
  <c r="BX81" i="5"/>
  <c r="CZ81" i="5"/>
  <c r="BY81" i="5"/>
  <c r="DC81" i="5"/>
  <c r="DA81" i="5"/>
  <c r="DH81" i="5"/>
  <c r="DO81" i="5"/>
  <c r="E79" i="3"/>
  <c r="DQ81" i="5"/>
  <c r="BP82" i="5"/>
  <c r="H80" i="4"/>
  <c r="F80" i="4"/>
  <c r="P80" i="4"/>
  <c r="BR82" i="5"/>
  <c r="CO82" i="5"/>
  <c r="CQ82" i="5"/>
  <c r="BV82" i="5"/>
  <c r="CR82" i="5"/>
  <c r="CB82" i="5"/>
  <c r="CU82" i="5"/>
  <c r="CS82" i="5"/>
  <c r="CT82" i="5"/>
  <c r="CC82" i="5"/>
  <c r="CV82" i="5"/>
  <c r="BX82" i="5"/>
  <c r="CZ82" i="5"/>
  <c r="BY82" i="5"/>
  <c r="DC82" i="5"/>
  <c r="DA82" i="5"/>
  <c r="DH82" i="5"/>
  <c r="DO82" i="5"/>
  <c r="E80" i="3"/>
  <c r="DQ82" i="5"/>
  <c r="BP83" i="5"/>
  <c r="H81" i="4"/>
  <c r="F81" i="4"/>
  <c r="P81" i="4"/>
  <c r="BR83" i="5"/>
  <c r="CO83" i="5"/>
  <c r="CQ83" i="5"/>
  <c r="BV83" i="5"/>
  <c r="CR83" i="5"/>
  <c r="CB83" i="5"/>
  <c r="CU83" i="5"/>
  <c r="CS83" i="5"/>
  <c r="CT83" i="5"/>
  <c r="CC83" i="5"/>
  <c r="CV83" i="5"/>
  <c r="BX83" i="5"/>
  <c r="CZ83" i="5"/>
  <c r="DC83" i="5"/>
  <c r="DA83" i="5"/>
  <c r="DH83" i="5"/>
  <c r="DO83" i="5"/>
  <c r="E81" i="3"/>
  <c r="DQ83" i="5"/>
  <c r="BP84" i="5"/>
  <c r="H82" i="4"/>
  <c r="F82" i="4"/>
  <c r="P82" i="4"/>
  <c r="BR84" i="5"/>
  <c r="CO84" i="5"/>
  <c r="CQ84" i="5"/>
  <c r="BV84" i="5"/>
  <c r="CR84" i="5"/>
  <c r="CB84" i="5"/>
  <c r="CU84" i="5"/>
  <c r="CS84" i="5"/>
  <c r="CT84" i="5"/>
  <c r="CC84" i="5"/>
  <c r="CV84" i="5"/>
  <c r="BX84" i="5"/>
  <c r="CZ84" i="5"/>
  <c r="BY84" i="5"/>
  <c r="DC84" i="5"/>
  <c r="DA84" i="5"/>
  <c r="DH84" i="5"/>
  <c r="DO84" i="5"/>
  <c r="E82" i="3"/>
  <c r="DQ84" i="5"/>
  <c r="BP85" i="5"/>
  <c r="H83" i="4"/>
  <c r="F83" i="4"/>
  <c r="P83" i="4"/>
  <c r="BR85" i="5"/>
  <c r="CO85" i="5"/>
  <c r="CQ85" i="5"/>
  <c r="BV85" i="5"/>
  <c r="CR85" i="5"/>
  <c r="CB85" i="5"/>
  <c r="CU85" i="5"/>
  <c r="CS85" i="5"/>
  <c r="CT85" i="5"/>
  <c r="CC85" i="5"/>
  <c r="CV85" i="5"/>
  <c r="BX85" i="5"/>
  <c r="CZ85" i="5"/>
  <c r="BY85" i="5"/>
  <c r="DC85" i="5"/>
  <c r="DA85" i="5"/>
  <c r="DH85" i="5"/>
  <c r="DO85" i="5"/>
  <c r="E83" i="3"/>
  <c r="DQ85" i="5"/>
  <c r="BP86" i="5"/>
  <c r="H84" i="4"/>
  <c r="F84" i="4"/>
  <c r="P84" i="4"/>
  <c r="BR86" i="5"/>
  <c r="CO86" i="5"/>
  <c r="CQ86" i="5"/>
  <c r="BV86" i="5"/>
  <c r="CR86" i="5"/>
  <c r="CB86" i="5"/>
  <c r="CU86" i="5"/>
  <c r="CS86" i="5"/>
  <c r="CT86" i="5"/>
  <c r="CC86" i="5"/>
  <c r="CV86" i="5"/>
  <c r="BX86" i="5"/>
  <c r="CZ86" i="5"/>
  <c r="DC86" i="5"/>
  <c r="DA86" i="5"/>
  <c r="CG86" i="5"/>
  <c r="DD86" i="5"/>
  <c r="DH86" i="5"/>
  <c r="DO86" i="5"/>
  <c r="E84" i="3"/>
  <c r="DQ86" i="5"/>
  <c r="BP87" i="5"/>
  <c r="H85" i="4"/>
  <c r="F85" i="4"/>
  <c r="P85" i="4"/>
  <c r="BR87" i="5"/>
  <c r="CO87" i="5"/>
  <c r="CQ87" i="5"/>
  <c r="BV87" i="5"/>
  <c r="CR87" i="5"/>
  <c r="CB87" i="5"/>
  <c r="CU87" i="5"/>
  <c r="CS87" i="5"/>
  <c r="CT87" i="5"/>
  <c r="CC87" i="5"/>
  <c r="CV87" i="5"/>
  <c r="BX87" i="5"/>
  <c r="CZ87" i="5"/>
  <c r="BY87" i="5"/>
  <c r="DC87" i="5"/>
  <c r="DA87" i="5"/>
  <c r="CG87" i="5"/>
  <c r="DD87" i="5"/>
  <c r="DH87" i="5"/>
  <c r="DO87" i="5"/>
  <c r="E85" i="3"/>
  <c r="DQ87" i="5"/>
  <c r="BP88" i="5"/>
  <c r="H86" i="4"/>
  <c r="F86" i="4"/>
  <c r="P86" i="4"/>
  <c r="BR88" i="5"/>
  <c r="CO88" i="5"/>
  <c r="CQ88" i="5"/>
  <c r="BV88" i="5"/>
  <c r="CR88" i="5"/>
  <c r="CB88" i="5"/>
  <c r="CU88" i="5"/>
  <c r="CS88" i="5"/>
  <c r="CT88" i="5"/>
  <c r="CC88" i="5"/>
  <c r="CV88" i="5"/>
  <c r="BX88" i="5"/>
  <c r="CZ88" i="5"/>
  <c r="BY88" i="5"/>
  <c r="DC88" i="5"/>
  <c r="DA88" i="5"/>
  <c r="DH88" i="5"/>
  <c r="DO88" i="5"/>
  <c r="E86" i="3"/>
  <c r="DQ88" i="5"/>
  <c r="BP89" i="5"/>
  <c r="H87" i="4"/>
  <c r="F87" i="4"/>
  <c r="P87" i="4"/>
  <c r="BR89" i="5"/>
  <c r="CO89" i="5"/>
  <c r="CQ89" i="5"/>
  <c r="BV89" i="5"/>
  <c r="CR89" i="5"/>
  <c r="CB89" i="5"/>
  <c r="CU89" i="5"/>
  <c r="CS89" i="5"/>
  <c r="CT89" i="5"/>
  <c r="CC89" i="5"/>
  <c r="CV89" i="5"/>
  <c r="BX89" i="5"/>
  <c r="CZ89" i="5"/>
  <c r="BY89" i="5"/>
  <c r="DC89" i="5"/>
  <c r="DA89" i="5"/>
  <c r="CG89" i="5"/>
  <c r="DD89" i="5"/>
  <c r="CK89" i="5"/>
  <c r="DE89" i="5"/>
  <c r="DH89" i="5"/>
  <c r="DO89" i="5"/>
  <c r="E87" i="3"/>
  <c r="DQ89" i="5"/>
  <c r="BP90" i="5"/>
  <c r="H88" i="4"/>
  <c r="F88" i="4"/>
  <c r="P88" i="4"/>
  <c r="BR90" i="5"/>
  <c r="CO90" i="5"/>
  <c r="CQ90" i="5"/>
  <c r="BV90" i="5"/>
  <c r="CR90" i="5"/>
  <c r="CB90" i="5"/>
  <c r="CU90" i="5"/>
  <c r="CS90" i="5"/>
  <c r="CT90" i="5"/>
  <c r="CC90" i="5"/>
  <c r="CV90" i="5"/>
  <c r="BX90" i="5"/>
  <c r="CZ90" i="5"/>
  <c r="BY90" i="5"/>
  <c r="DC90" i="5"/>
  <c r="DA90" i="5"/>
  <c r="CK90" i="5"/>
  <c r="DE90" i="5"/>
  <c r="DH90" i="5"/>
  <c r="DO90" i="5"/>
  <c r="E88" i="3"/>
  <c r="DQ90" i="5"/>
  <c r="BP91" i="5"/>
  <c r="H89" i="4"/>
  <c r="F89" i="4"/>
  <c r="P89" i="4"/>
  <c r="BR91" i="5"/>
  <c r="CO91" i="5"/>
  <c r="CQ91" i="5"/>
  <c r="BV91" i="5"/>
  <c r="CR91" i="5"/>
  <c r="CB91" i="5"/>
  <c r="CU91" i="5"/>
  <c r="CS91" i="5"/>
  <c r="CT91" i="5"/>
  <c r="CC91" i="5"/>
  <c r="CV91" i="5"/>
  <c r="BX91" i="5"/>
  <c r="CZ91" i="5"/>
  <c r="BY91" i="5"/>
  <c r="DC91" i="5"/>
  <c r="DA91" i="5"/>
  <c r="CG91" i="5"/>
  <c r="DD91" i="5"/>
  <c r="DH91" i="5"/>
  <c r="DO91" i="5"/>
  <c r="E89" i="3"/>
  <c r="DQ91" i="5"/>
  <c r="BP92" i="5"/>
  <c r="H90" i="4"/>
  <c r="F90" i="4"/>
  <c r="P90" i="4"/>
  <c r="BR92" i="5"/>
  <c r="CO92" i="5"/>
  <c r="CQ92" i="5"/>
  <c r="BV92" i="5"/>
  <c r="CR92" i="5"/>
  <c r="CS92" i="5"/>
  <c r="CT92" i="5"/>
  <c r="CC92" i="5"/>
  <c r="CV92" i="5"/>
  <c r="BX92" i="5"/>
  <c r="CZ92" i="5"/>
  <c r="BY92" i="5"/>
  <c r="DC92" i="5"/>
  <c r="DA92" i="5"/>
  <c r="DH92" i="5"/>
  <c r="DO92" i="5"/>
  <c r="E90" i="3"/>
  <c r="DQ92" i="5"/>
  <c r="BP93" i="5"/>
  <c r="H91" i="4"/>
  <c r="F91" i="4"/>
  <c r="P91" i="4"/>
  <c r="BR93" i="5"/>
  <c r="CO93" i="5"/>
  <c r="CQ93" i="5"/>
  <c r="BV93" i="5"/>
  <c r="CR93" i="5"/>
  <c r="CS93" i="5"/>
  <c r="CT93" i="5"/>
  <c r="CC93" i="5"/>
  <c r="CV93" i="5"/>
  <c r="BX93" i="5"/>
  <c r="CZ93" i="5"/>
  <c r="BY93" i="5"/>
  <c r="DC93" i="5"/>
  <c r="DA93" i="5"/>
  <c r="CK93" i="5"/>
  <c r="DE93" i="5"/>
  <c r="DH93" i="5"/>
  <c r="DO93" i="5"/>
  <c r="E91" i="3"/>
  <c r="DQ93" i="5"/>
  <c r="BP94" i="5"/>
  <c r="H92" i="4"/>
  <c r="F92" i="4"/>
  <c r="P92" i="4"/>
  <c r="BR94" i="5"/>
  <c r="CO94" i="5"/>
  <c r="CQ94" i="5"/>
  <c r="BV94" i="5"/>
  <c r="CR94" i="5"/>
  <c r="CB94" i="5"/>
  <c r="CU94" i="5"/>
  <c r="CS94" i="5"/>
  <c r="CT94" i="5"/>
  <c r="CC94" i="5"/>
  <c r="CV94" i="5"/>
  <c r="BX94" i="5"/>
  <c r="CZ94" i="5"/>
  <c r="BY94" i="5"/>
  <c r="DC94" i="5"/>
  <c r="DA94" i="5"/>
  <c r="DH94" i="5"/>
  <c r="DO94" i="5"/>
  <c r="E92" i="3"/>
  <c r="DQ94" i="5"/>
  <c r="BP95" i="5"/>
  <c r="H93" i="4"/>
  <c r="F93" i="4"/>
  <c r="P93" i="4"/>
  <c r="BR95" i="5"/>
  <c r="CO95" i="5"/>
  <c r="CQ95" i="5"/>
  <c r="BV95" i="5"/>
  <c r="CR95" i="5"/>
  <c r="CS95" i="5"/>
  <c r="CT95" i="5"/>
  <c r="CC95" i="5"/>
  <c r="CV95" i="5"/>
  <c r="BX95" i="5"/>
  <c r="CZ95" i="5"/>
  <c r="BY95" i="5"/>
  <c r="DC95" i="5"/>
  <c r="DA95" i="5"/>
  <c r="CG95" i="5"/>
  <c r="DD95" i="5"/>
  <c r="DH95" i="5"/>
  <c r="DO95" i="5"/>
  <c r="E93" i="3"/>
  <c r="DQ95" i="5"/>
  <c r="BP96" i="5"/>
  <c r="H94" i="4"/>
  <c r="F94" i="4"/>
  <c r="P94" i="4"/>
  <c r="BR96" i="5"/>
  <c r="CO96" i="5"/>
  <c r="CQ96" i="5"/>
  <c r="BV96" i="5"/>
  <c r="CR96" i="5"/>
  <c r="CS96" i="5"/>
  <c r="CT96" i="5"/>
  <c r="CC96" i="5"/>
  <c r="CV96" i="5"/>
  <c r="BX96" i="5"/>
  <c r="CZ96" i="5"/>
  <c r="BY96" i="5"/>
  <c r="DC96" i="5"/>
  <c r="DA96" i="5"/>
  <c r="DH96" i="5"/>
  <c r="DO96" i="5"/>
  <c r="E94" i="3"/>
  <c r="DQ96" i="5"/>
  <c r="BP97" i="5"/>
  <c r="H95" i="4"/>
  <c r="F95" i="4"/>
  <c r="P95" i="4"/>
  <c r="BR97" i="5"/>
  <c r="CO97" i="5"/>
  <c r="CQ97" i="5"/>
  <c r="BV97" i="5"/>
  <c r="CR97" i="5"/>
  <c r="CB97" i="5"/>
  <c r="CU97" i="5"/>
  <c r="CS97" i="5"/>
  <c r="CT97" i="5"/>
  <c r="CC97" i="5"/>
  <c r="CV97" i="5"/>
  <c r="BX97" i="5"/>
  <c r="CZ97" i="5"/>
  <c r="BY97" i="5"/>
  <c r="DC97" i="5"/>
  <c r="DA97" i="5"/>
  <c r="DH97" i="5"/>
  <c r="DO97" i="5"/>
  <c r="E95" i="3"/>
  <c r="DQ97" i="5"/>
  <c r="BP98" i="5"/>
  <c r="H96" i="4"/>
  <c r="F96" i="4"/>
  <c r="P96" i="4"/>
  <c r="BR98" i="5"/>
  <c r="CO98" i="5"/>
  <c r="CQ98" i="5"/>
  <c r="BV98" i="5"/>
  <c r="CR98" i="5"/>
  <c r="CS98" i="5"/>
  <c r="CT98" i="5"/>
  <c r="CC98" i="5"/>
  <c r="CV98" i="5"/>
  <c r="BX98" i="5"/>
  <c r="CZ98" i="5"/>
  <c r="BY98" i="5"/>
  <c r="DC98" i="5"/>
  <c r="DA98" i="5"/>
  <c r="DH98" i="5"/>
  <c r="DO98" i="5"/>
  <c r="E96" i="3"/>
  <c r="DQ98" i="5"/>
  <c r="BP99" i="5"/>
  <c r="H97" i="4"/>
  <c r="F97" i="4"/>
  <c r="P97" i="4"/>
  <c r="BR99" i="5"/>
  <c r="CO99" i="5"/>
  <c r="CQ99" i="5"/>
  <c r="BV99" i="5"/>
  <c r="CR99" i="5"/>
  <c r="CB99" i="5"/>
  <c r="CU99" i="5"/>
  <c r="CS99" i="5"/>
  <c r="CT99" i="5"/>
  <c r="CC99" i="5"/>
  <c r="CV99" i="5"/>
  <c r="BX99" i="5"/>
  <c r="CZ99" i="5"/>
  <c r="BY99" i="5"/>
  <c r="DC99" i="5"/>
  <c r="DA99" i="5"/>
  <c r="CG99" i="5"/>
  <c r="DD99" i="5"/>
  <c r="DH99" i="5"/>
  <c r="DO99" i="5"/>
  <c r="E97" i="3"/>
  <c r="DQ99" i="5"/>
  <c r="BP100" i="5"/>
  <c r="H98" i="4"/>
  <c r="F98" i="4"/>
  <c r="P98" i="4"/>
  <c r="BR100" i="5"/>
  <c r="CO100" i="5"/>
  <c r="CQ100" i="5"/>
  <c r="BV100" i="5"/>
  <c r="CR100" i="5"/>
  <c r="CS100" i="5"/>
  <c r="CT100" i="5"/>
  <c r="CC100" i="5"/>
  <c r="CV100" i="5"/>
  <c r="BX100" i="5"/>
  <c r="CZ100" i="5"/>
  <c r="BY100" i="5"/>
  <c r="DC100" i="5"/>
  <c r="DA100" i="5"/>
  <c r="CG100" i="5"/>
  <c r="DD100" i="5"/>
  <c r="DH100" i="5"/>
  <c r="DO100" i="5"/>
  <c r="E98" i="3"/>
  <c r="DQ100" i="5"/>
  <c r="BP101" i="5"/>
  <c r="H99" i="4"/>
  <c r="F99" i="4"/>
  <c r="P99" i="4"/>
  <c r="BR101" i="5"/>
  <c r="CO101" i="5"/>
  <c r="CQ101" i="5"/>
  <c r="BV101" i="5"/>
  <c r="CR101" i="5"/>
  <c r="CS101" i="5"/>
  <c r="CT101" i="5"/>
  <c r="CC101" i="5"/>
  <c r="CV101" i="5"/>
  <c r="BX101" i="5"/>
  <c r="CZ101" i="5"/>
  <c r="BY101" i="5"/>
  <c r="DC101" i="5"/>
  <c r="DA101" i="5"/>
  <c r="DH101" i="5"/>
  <c r="DO101" i="5"/>
  <c r="E99" i="3"/>
  <c r="DQ101" i="5"/>
  <c r="BP102" i="5"/>
  <c r="H100" i="4"/>
  <c r="F100" i="4"/>
  <c r="P100" i="4"/>
  <c r="BR102" i="5"/>
  <c r="CO102" i="5"/>
  <c r="CQ102" i="5"/>
  <c r="BV102" i="5"/>
  <c r="CR102" i="5"/>
  <c r="CS102" i="5"/>
  <c r="CT102" i="5"/>
  <c r="CC102" i="5"/>
  <c r="CV102" i="5"/>
  <c r="BX102" i="5"/>
  <c r="CZ102" i="5"/>
  <c r="BY102" i="5"/>
  <c r="DC102" i="5"/>
  <c r="DA102" i="5"/>
  <c r="CG102" i="5"/>
  <c r="DD102" i="5"/>
  <c r="CK102" i="5"/>
  <c r="DE102" i="5"/>
  <c r="DH102" i="5"/>
  <c r="DO102" i="5"/>
  <c r="E100" i="3"/>
  <c r="DQ102" i="5"/>
  <c r="BP103" i="5"/>
  <c r="H101" i="4"/>
  <c r="F101" i="4"/>
  <c r="P101" i="4"/>
  <c r="BR103" i="5"/>
  <c r="CO103" i="5"/>
  <c r="CQ103" i="5"/>
  <c r="BV103" i="5"/>
  <c r="CR103" i="5"/>
  <c r="CS103" i="5"/>
  <c r="CT103" i="5"/>
  <c r="CC103" i="5"/>
  <c r="CV103" i="5"/>
  <c r="BX103" i="5"/>
  <c r="CZ103" i="5"/>
  <c r="BY103" i="5"/>
  <c r="DC103" i="5"/>
  <c r="DA103" i="5"/>
  <c r="DH103" i="5"/>
  <c r="DO103" i="5"/>
  <c r="E101" i="3"/>
  <c r="DQ103" i="5"/>
  <c r="BP104" i="5"/>
  <c r="H102" i="4"/>
  <c r="F102" i="4"/>
  <c r="P102" i="4"/>
  <c r="BR104" i="5"/>
  <c r="CO104" i="5"/>
  <c r="CQ104" i="5"/>
  <c r="BV104" i="5"/>
  <c r="CR104" i="5"/>
  <c r="CB104" i="5"/>
  <c r="CU104" i="5"/>
  <c r="CS104" i="5"/>
  <c r="CT104" i="5"/>
  <c r="CC104" i="5"/>
  <c r="CV104" i="5"/>
  <c r="BX104" i="5"/>
  <c r="CZ104" i="5"/>
  <c r="BY104" i="5"/>
  <c r="DC104" i="5"/>
  <c r="DA104" i="5"/>
  <c r="DH104" i="5"/>
  <c r="DO104" i="5"/>
  <c r="E102" i="3"/>
  <c r="DQ104" i="5"/>
  <c r="BP105" i="5"/>
  <c r="H103" i="4"/>
  <c r="F103" i="4"/>
  <c r="P103" i="4"/>
  <c r="BR105" i="5"/>
  <c r="CO105" i="5"/>
  <c r="CQ105" i="5"/>
  <c r="BV105" i="5"/>
  <c r="CR105" i="5"/>
  <c r="CB105" i="5"/>
  <c r="CU105" i="5"/>
  <c r="CS105" i="5"/>
  <c r="CT105" i="5"/>
  <c r="CC105" i="5"/>
  <c r="CV105" i="5"/>
  <c r="BX105" i="5"/>
  <c r="CZ105" i="5"/>
  <c r="BY105" i="5"/>
  <c r="DC105" i="5"/>
  <c r="DA105" i="5"/>
  <c r="CG105" i="5"/>
  <c r="DD105" i="5"/>
  <c r="CK105" i="5"/>
  <c r="DE105" i="5"/>
  <c r="DH105" i="5"/>
  <c r="DO105" i="5"/>
  <c r="E103" i="3"/>
  <c r="DQ105" i="5"/>
  <c r="BP106" i="5"/>
  <c r="H104" i="4"/>
  <c r="F104" i="4"/>
  <c r="P104" i="4"/>
  <c r="BR106" i="5"/>
  <c r="CO106" i="5"/>
  <c r="CQ106" i="5"/>
  <c r="BV106" i="5"/>
  <c r="CR106" i="5"/>
  <c r="CB106" i="5"/>
  <c r="CU106" i="5"/>
  <c r="CS106" i="5"/>
  <c r="CT106" i="5"/>
  <c r="CC106" i="5"/>
  <c r="CV106" i="5"/>
  <c r="BX106" i="5"/>
  <c r="CZ106" i="5"/>
  <c r="BY106" i="5"/>
  <c r="DC106" i="5"/>
  <c r="DA106" i="5"/>
  <c r="DH106" i="5"/>
  <c r="DO106" i="5"/>
  <c r="E104" i="3"/>
  <c r="DQ106" i="5"/>
  <c r="BP107" i="5"/>
  <c r="H105" i="4"/>
  <c r="F105" i="4"/>
  <c r="P105" i="4"/>
  <c r="BR107" i="5"/>
  <c r="CO107" i="5"/>
  <c r="CQ107" i="5"/>
  <c r="BV107" i="5"/>
  <c r="CR107" i="5"/>
  <c r="CB107" i="5"/>
  <c r="CU107" i="5"/>
  <c r="CS107" i="5"/>
  <c r="CT107" i="5"/>
  <c r="CC107" i="5"/>
  <c r="CV107" i="5"/>
  <c r="BX107" i="5"/>
  <c r="CZ107" i="5"/>
  <c r="BY107" i="5"/>
  <c r="DC107" i="5"/>
  <c r="DA107" i="5"/>
  <c r="DH107" i="5"/>
  <c r="DO107" i="5"/>
  <c r="E105" i="3"/>
  <c r="DQ107" i="5"/>
  <c r="BP108" i="5"/>
  <c r="H106" i="4"/>
  <c r="F106" i="4"/>
  <c r="P106" i="4"/>
  <c r="BR108" i="5"/>
  <c r="CO108" i="5"/>
  <c r="CQ108" i="5"/>
  <c r="BV108" i="5"/>
  <c r="CR108" i="5"/>
  <c r="CB108" i="5"/>
  <c r="CU108" i="5"/>
  <c r="CS108" i="5"/>
  <c r="CT108" i="5"/>
  <c r="BX108" i="5"/>
  <c r="CZ108" i="5"/>
  <c r="DC108" i="5"/>
  <c r="DA108" i="5"/>
  <c r="CG108" i="5"/>
  <c r="DD108" i="5"/>
  <c r="DH108" i="5"/>
  <c r="DO108" i="5"/>
  <c r="E106" i="3"/>
  <c r="DQ108" i="5"/>
  <c r="BP109" i="5"/>
  <c r="H107" i="4"/>
  <c r="F107" i="4"/>
  <c r="P107" i="4"/>
  <c r="BR109" i="5"/>
  <c r="CO109" i="5"/>
  <c r="CQ109" i="5"/>
  <c r="BV109" i="5"/>
  <c r="CR109" i="5"/>
  <c r="CB109" i="5"/>
  <c r="CU109" i="5"/>
  <c r="CS109" i="5"/>
  <c r="CT109" i="5"/>
  <c r="BX109" i="5"/>
  <c r="CZ109" i="5"/>
  <c r="DC109" i="5"/>
  <c r="DA109" i="5"/>
  <c r="DH109" i="5"/>
  <c r="DO109" i="5"/>
  <c r="E107" i="3"/>
  <c r="DQ109" i="5"/>
  <c r="BP110" i="5"/>
  <c r="H108" i="4"/>
  <c r="F108" i="4"/>
  <c r="P108" i="4"/>
  <c r="BR110" i="5"/>
  <c r="CO110" i="5"/>
  <c r="CQ110" i="5"/>
  <c r="BV110" i="5"/>
  <c r="CR110" i="5"/>
  <c r="CB110" i="5"/>
  <c r="CU110" i="5"/>
  <c r="CS110" i="5"/>
  <c r="CT110" i="5"/>
  <c r="CC110" i="5"/>
  <c r="CV110" i="5"/>
  <c r="BX110" i="5"/>
  <c r="CZ110" i="5"/>
  <c r="BY110" i="5"/>
  <c r="DC110" i="5"/>
  <c r="DA110" i="5"/>
  <c r="DH110" i="5"/>
  <c r="DO110" i="5"/>
  <c r="E108" i="3"/>
  <c r="DQ110" i="5"/>
  <c r="BP111" i="5"/>
  <c r="H109" i="4"/>
  <c r="F109" i="4"/>
  <c r="P109" i="4"/>
  <c r="BR111" i="5"/>
  <c r="CO111" i="5"/>
  <c r="CQ111" i="5"/>
  <c r="BV111" i="5"/>
  <c r="CR111" i="5"/>
  <c r="CB111" i="5"/>
  <c r="CU111" i="5"/>
  <c r="CS111" i="5"/>
  <c r="CT111" i="5"/>
  <c r="CC111" i="5"/>
  <c r="CV111" i="5"/>
  <c r="BX111" i="5"/>
  <c r="CZ111" i="5"/>
  <c r="BY111" i="5"/>
  <c r="DC111" i="5"/>
  <c r="DA111" i="5"/>
  <c r="DH111" i="5"/>
  <c r="DO111" i="5"/>
  <c r="E109" i="3"/>
  <c r="DQ111" i="5"/>
  <c r="BP112" i="5"/>
  <c r="H110" i="4"/>
  <c r="F110" i="4"/>
  <c r="P110" i="4"/>
  <c r="BR112" i="5"/>
  <c r="CO112" i="5"/>
  <c r="CQ112" i="5"/>
  <c r="BV112" i="5"/>
  <c r="CR112" i="5"/>
  <c r="CS112" i="5"/>
  <c r="CT112" i="5"/>
  <c r="CC112" i="5"/>
  <c r="CV112" i="5"/>
  <c r="BX112" i="5"/>
  <c r="CZ112" i="5"/>
  <c r="BY112" i="5"/>
  <c r="DC112" i="5"/>
  <c r="DA112" i="5"/>
  <c r="DH112" i="5"/>
  <c r="DO112" i="5"/>
  <c r="E110" i="3"/>
  <c r="DQ112" i="5"/>
  <c r="BP113" i="5"/>
  <c r="H111" i="4"/>
  <c r="F111" i="4"/>
  <c r="P111" i="4"/>
  <c r="BR113" i="5"/>
  <c r="CO113" i="5"/>
  <c r="CQ113" i="5"/>
  <c r="BV113" i="5"/>
  <c r="CR113" i="5"/>
  <c r="CB113" i="5"/>
  <c r="CU113" i="5"/>
  <c r="CS113" i="5"/>
  <c r="CT113" i="5"/>
  <c r="CC113" i="5"/>
  <c r="CV113" i="5"/>
  <c r="BX113" i="5"/>
  <c r="CZ113" i="5"/>
  <c r="BY113" i="5"/>
  <c r="DC113" i="5"/>
  <c r="DA113" i="5"/>
  <c r="CG113" i="5"/>
  <c r="DD113" i="5"/>
  <c r="DH113" i="5"/>
  <c r="DO113" i="5"/>
  <c r="E111" i="3"/>
  <c r="DQ113" i="5"/>
  <c r="BP114" i="5"/>
  <c r="H112" i="4"/>
  <c r="F112" i="4"/>
  <c r="P112" i="4"/>
  <c r="BR114" i="5"/>
  <c r="CO114" i="5"/>
  <c r="CQ114" i="5"/>
  <c r="BV114" i="5"/>
  <c r="CR114" i="5"/>
  <c r="CS114" i="5"/>
  <c r="CT114" i="5"/>
  <c r="BX114" i="5"/>
  <c r="CZ114" i="5"/>
  <c r="BY114" i="5"/>
  <c r="DC114" i="5"/>
  <c r="DA114" i="5"/>
  <c r="DH114" i="5"/>
  <c r="DO114" i="5"/>
  <c r="E112" i="3"/>
  <c r="DQ114" i="5"/>
  <c r="BP115" i="5"/>
  <c r="H113" i="4"/>
  <c r="F113" i="4"/>
  <c r="P113" i="4"/>
  <c r="BR115" i="5"/>
  <c r="CO115" i="5"/>
  <c r="CQ115" i="5"/>
  <c r="BV115" i="5"/>
  <c r="CR115" i="5"/>
  <c r="CS115" i="5"/>
  <c r="CT115" i="5"/>
  <c r="CC115" i="5"/>
  <c r="CV115" i="5"/>
  <c r="BX115" i="5"/>
  <c r="CZ115" i="5"/>
  <c r="BY115" i="5"/>
  <c r="DC115" i="5"/>
  <c r="DA115" i="5"/>
  <c r="DH115" i="5"/>
  <c r="DO115" i="5"/>
  <c r="E113" i="3"/>
  <c r="DQ115" i="5"/>
  <c r="BP116" i="5"/>
  <c r="H114" i="4"/>
  <c r="F114" i="4"/>
  <c r="P114" i="4"/>
  <c r="BR116" i="5"/>
  <c r="CO116" i="5"/>
  <c r="CQ116" i="5"/>
  <c r="BV116" i="5"/>
  <c r="CR116" i="5"/>
  <c r="CB116" i="5"/>
  <c r="CU116" i="5"/>
  <c r="CS116" i="5"/>
  <c r="CT116" i="5"/>
  <c r="CC116" i="5"/>
  <c r="CV116" i="5"/>
  <c r="BX116" i="5"/>
  <c r="CZ116" i="5"/>
  <c r="BY116" i="5"/>
  <c r="DC116" i="5"/>
  <c r="DA116" i="5"/>
  <c r="DH116" i="5"/>
  <c r="DO116" i="5"/>
  <c r="E114" i="3"/>
  <c r="DQ116" i="5"/>
  <c r="BP117" i="5"/>
  <c r="H115" i="4"/>
  <c r="F115" i="4"/>
  <c r="P115" i="4"/>
  <c r="BR117" i="5"/>
  <c r="CO117" i="5"/>
  <c r="CQ117" i="5"/>
  <c r="BV117" i="5"/>
  <c r="CR117" i="5"/>
  <c r="CB117" i="5"/>
  <c r="CU117" i="5"/>
  <c r="CS117" i="5"/>
  <c r="CT117" i="5"/>
  <c r="CC117" i="5"/>
  <c r="CV117" i="5"/>
  <c r="BX117" i="5"/>
  <c r="CZ117" i="5"/>
  <c r="BY117" i="5"/>
  <c r="DC117" i="5"/>
  <c r="DA117" i="5"/>
  <c r="DH117" i="5"/>
  <c r="DO117" i="5"/>
  <c r="E115" i="3"/>
  <c r="DQ117" i="5"/>
  <c r="BP118" i="5"/>
  <c r="H116" i="4"/>
  <c r="F116" i="4"/>
  <c r="P116" i="4"/>
  <c r="BR118" i="5"/>
  <c r="CO118" i="5"/>
  <c r="CQ118" i="5"/>
  <c r="BV118" i="5"/>
  <c r="CR118" i="5"/>
  <c r="CS118" i="5"/>
  <c r="CT118" i="5"/>
  <c r="CC118" i="5"/>
  <c r="CV118" i="5"/>
  <c r="BX118" i="5"/>
  <c r="CZ118" i="5"/>
  <c r="BY118" i="5"/>
  <c r="DC118" i="5"/>
  <c r="DA118" i="5"/>
  <c r="CG118" i="5"/>
  <c r="DD118" i="5"/>
  <c r="DH118" i="5"/>
  <c r="DO118" i="5"/>
  <c r="E116" i="3"/>
  <c r="DQ118" i="5"/>
  <c r="BP119" i="5"/>
  <c r="H117" i="4"/>
  <c r="F117" i="4"/>
  <c r="P117" i="4"/>
  <c r="BR119" i="5"/>
  <c r="CO119" i="5"/>
  <c r="CQ119" i="5"/>
  <c r="BV119" i="5"/>
  <c r="CR119" i="5"/>
  <c r="CB119" i="5"/>
  <c r="CU119" i="5"/>
  <c r="CS119" i="5"/>
  <c r="CT119" i="5"/>
  <c r="CC119" i="5"/>
  <c r="CV119" i="5"/>
  <c r="BX119" i="5"/>
  <c r="CZ119" i="5"/>
  <c r="BY119" i="5"/>
  <c r="DC119" i="5"/>
  <c r="DA119" i="5"/>
  <c r="CK119" i="5"/>
  <c r="DE119" i="5"/>
  <c r="DH119" i="5"/>
  <c r="DO119" i="5"/>
  <c r="E117" i="3"/>
  <c r="DQ119" i="5"/>
  <c r="BP120" i="5"/>
  <c r="H118" i="4"/>
  <c r="F118" i="4"/>
  <c r="P118" i="4"/>
  <c r="BR120" i="5"/>
  <c r="CO120" i="5"/>
  <c r="CQ120" i="5"/>
  <c r="BV120" i="5"/>
  <c r="CR120" i="5"/>
  <c r="CS120" i="5"/>
  <c r="CT120" i="5"/>
  <c r="CC120" i="5"/>
  <c r="CV120" i="5"/>
  <c r="BX120" i="5"/>
  <c r="CZ120" i="5"/>
  <c r="BY120" i="5"/>
  <c r="DC120" i="5"/>
  <c r="DA120" i="5"/>
  <c r="CG120" i="5"/>
  <c r="DD120" i="5"/>
  <c r="DH120" i="5"/>
  <c r="DO120" i="5"/>
  <c r="E118" i="3"/>
  <c r="DQ120" i="5"/>
  <c r="BP121" i="5"/>
  <c r="H119" i="4"/>
  <c r="F119" i="4"/>
  <c r="P119" i="4"/>
  <c r="BR121" i="5"/>
  <c r="CO121" i="5"/>
  <c r="CQ121" i="5"/>
  <c r="BV121" i="5"/>
  <c r="CR121" i="5"/>
  <c r="CB121" i="5"/>
  <c r="CU121" i="5"/>
  <c r="CS121" i="5"/>
  <c r="CT121" i="5"/>
  <c r="CC121" i="5"/>
  <c r="CV121" i="5"/>
  <c r="BX121" i="5"/>
  <c r="CZ121" i="5"/>
  <c r="BY121" i="5"/>
  <c r="DC121" i="5"/>
  <c r="DA121" i="5"/>
  <c r="CG121" i="5"/>
  <c r="DD121" i="5"/>
  <c r="CK121" i="5"/>
  <c r="DE121" i="5"/>
  <c r="DH121" i="5"/>
  <c r="DO121" i="5"/>
  <c r="E119" i="3"/>
  <c r="DQ121" i="5"/>
  <c r="BP122" i="5"/>
  <c r="H120" i="4"/>
  <c r="F120" i="4"/>
  <c r="P120" i="4"/>
  <c r="BR122" i="5"/>
  <c r="CO122" i="5"/>
  <c r="CQ122" i="5"/>
  <c r="BV122" i="5"/>
  <c r="CR122" i="5"/>
  <c r="CS122" i="5"/>
  <c r="CT122" i="5"/>
  <c r="CC122" i="5"/>
  <c r="CV122" i="5"/>
  <c r="BX122" i="5"/>
  <c r="CZ122" i="5"/>
  <c r="BY122" i="5"/>
  <c r="DC122" i="5"/>
  <c r="DA122" i="5"/>
  <c r="CG122" i="5"/>
  <c r="DD122" i="5"/>
  <c r="DH122" i="5"/>
  <c r="DO122" i="5"/>
  <c r="E120" i="3"/>
  <c r="DQ122" i="5"/>
  <c r="BP123" i="5"/>
  <c r="H121" i="4"/>
  <c r="F121" i="4"/>
  <c r="P121" i="4"/>
  <c r="BR123" i="5"/>
  <c r="CO123" i="5"/>
  <c r="CQ123" i="5"/>
  <c r="BV123" i="5"/>
  <c r="CR123" i="5"/>
  <c r="CB123" i="5"/>
  <c r="CU123" i="5"/>
  <c r="CS123" i="5"/>
  <c r="CT123" i="5"/>
  <c r="CC123" i="5"/>
  <c r="CV123" i="5"/>
  <c r="BX123" i="5"/>
  <c r="CZ123" i="5"/>
  <c r="BY123" i="5"/>
  <c r="DC123" i="5"/>
  <c r="DA123" i="5"/>
  <c r="CG123" i="5"/>
  <c r="DD123" i="5"/>
  <c r="CK123" i="5"/>
  <c r="DE123" i="5"/>
  <c r="DH123" i="5"/>
  <c r="DO123" i="5"/>
  <c r="E121" i="3"/>
  <c r="DQ123" i="5"/>
  <c r="BP124" i="5"/>
  <c r="H122" i="4"/>
  <c r="F122" i="4"/>
  <c r="P122" i="4"/>
  <c r="BR124" i="5"/>
  <c r="CO124" i="5"/>
  <c r="CQ124" i="5"/>
  <c r="BV124" i="5"/>
  <c r="CR124" i="5"/>
  <c r="CB124" i="5"/>
  <c r="CU124" i="5"/>
  <c r="CS124" i="5"/>
  <c r="CT124" i="5"/>
  <c r="CC124" i="5"/>
  <c r="CV124" i="5"/>
  <c r="BX124" i="5"/>
  <c r="CZ124" i="5"/>
  <c r="BY124" i="5"/>
  <c r="DC124" i="5"/>
  <c r="DA124" i="5"/>
  <c r="CG124" i="5"/>
  <c r="DD124" i="5"/>
  <c r="DH124" i="5"/>
  <c r="DO124" i="5"/>
  <c r="E122" i="3"/>
  <c r="DQ124" i="5"/>
  <c r="BP125" i="5"/>
  <c r="H123" i="4"/>
  <c r="F123" i="4"/>
  <c r="P123" i="4"/>
  <c r="BR125" i="5"/>
  <c r="CO125" i="5"/>
  <c r="CQ125" i="5"/>
  <c r="BV125" i="5"/>
  <c r="CR125" i="5"/>
  <c r="CB125" i="5"/>
  <c r="CU125" i="5"/>
  <c r="CS125" i="5"/>
  <c r="CT125" i="5"/>
  <c r="CC125" i="5"/>
  <c r="CV125" i="5"/>
  <c r="BX125" i="5"/>
  <c r="CZ125" i="5"/>
  <c r="BY125" i="5"/>
  <c r="DC125" i="5"/>
  <c r="DA125" i="5"/>
  <c r="CG125" i="5"/>
  <c r="DD125" i="5"/>
  <c r="DH125" i="5"/>
  <c r="DO125" i="5"/>
  <c r="E123" i="3"/>
  <c r="DQ125" i="5"/>
  <c r="BP126" i="5"/>
  <c r="H124" i="4"/>
  <c r="F124" i="4"/>
  <c r="P124" i="4"/>
  <c r="BR126" i="5"/>
  <c r="CO126" i="5"/>
  <c r="CQ126" i="5"/>
  <c r="BV126" i="5"/>
  <c r="CR126" i="5"/>
  <c r="CB126" i="5"/>
  <c r="CU126" i="5"/>
  <c r="CS126" i="5"/>
  <c r="CT126" i="5"/>
  <c r="CC126" i="5"/>
  <c r="CV126" i="5"/>
  <c r="BX126" i="5"/>
  <c r="CZ126" i="5"/>
  <c r="BY126" i="5"/>
  <c r="DC126" i="5"/>
  <c r="DA126" i="5"/>
  <c r="DH126" i="5"/>
  <c r="DO126" i="5"/>
  <c r="E124" i="3"/>
  <c r="DQ126" i="5"/>
  <c r="BP127" i="5"/>
  <c r="H125" i="4"/>
  <c r="F125" i="4"/>
  <c r="P125" i="4"/>
  <c r="BR127" i="5"/>
  <c r="CO127" i="5"/>
  <c r="CQ127" i="5"/>
  <c r="BV127" i="5"/>
  <c r="CR127" i="5"/>
  <c r="CB127" i="5"/>
  <c r="CU127" i="5"/>
  <c r="CS127" i="5"/>
  <c r="CT127" i="5"/>
  <c r="CC127" i="5"/>
  <c r="CV127" i="5"/>
  <c r="BX127" i="5"/>
  <c r="CZ127" i="5"/>
  <c r="BY127" i="5"/>
  <c r="DC127" i="5"/>
  <c r="DA127" i="5"/>
  <c r="DH127" i="5"/>
  <c r="DO127" i="5"/>
  <c r="E125" i="3"/>
  <c r="DQ127" i="5"/>
  <c r="BP128" i="5"/>
  <c r="H126" i="4"/>
  <c r="F126" i="4"/>
  <c r="P126" i="4"/>
  <c r="BR128" i="5"/>
  <c r="CO128" i="5"/>
  <c r="CQ128" i="5"/>
  <c r="BV128" i="5"/>
  <c r="CR128" i="5"/>
  <c r="CB128" i="5"/>
  <c r="CU128" i="5"/>
  <c r="CS128" i="5"/>
  <c r="CT128" i="5"/>
  <c r="CC128" i="5"/>
  <c r="CV128" i="5"/>
  <c r="BX128" i="5"/>
  <c r="CZ128" i="5"/>
  <c r="BY128" i="5"/>
  <c r="DC128" i="5"/>
  <c r="DA128" i="5"/>
  <c r="CG128" i="5"/>
  <c r="DD128" i="5"/>
  <c r="DH128" i="5"/>
  <c r="DO128" i="5"/>
  <c r="E126" i="3"/>
  <c r="DQ128" i="5"/>
  <c r="BP129" i="5"/>
  <c r="H127" i="4"/>
  <c r="F127" i="4"/>
  <c r="P127" i="4"/>
  <c r="BR129" i="5"/>
  <c r="CO129" i="5"/>
  <c r="CQ129" i="5"/>
  <c r="BV129" i="5"/>
  <c r="CR129" i="5"/>
  <c r="CB129" i="5"/>
  <c r="CU129" i="5"/>
  <c r="CS129" i="5"/>
  <c r="CT129" i="5"/>
  <c r="CC129" i="5"/>
  <c r="CV129" i="5"/>
  <c r="BX129" i="5"/>
  <c r="CZ129" i="5"/>
  <c r="BY129" i="5"/>
  <c r="DC129" i="5"/>
  <c r="DA129" i="5"/>
  <c r="CK129" i="5"/>
  <c r="DE129" i="5"/>
  <c r="DH129" i="5"/>
  <c r="DO129" i="5"/>
  <c r="E127" i="3"/>
  <c r="DQ129" i="5"/>
  <c r="BP130" i="5"/>
  <c r="H128" i="4"/>
  <c r="F128" i="4"/>
  <c r="P128" i="4"/>
  <c r="BR130" i="5"/>
  <c r="CO130" i="5"/>
  <c r="CQ130" i="5"/>
  <c r="BV130" i="5"/>
  <c r="CR130" i="5"/>
  <c r="CB130" i="5"/>
  <c r="CU130" i="5"/>
  <c r="CS130" i="5"/>
  <c r="CT130" i="5"/>
  <c r="CC130" i="5"/>
  <c r="CV130" i="5"/>
  <c r="BX130" i="5"/>
  <c r="CZ130" i="5"/>
  <c r="BY130" i="5"/>
  <c r="DC130" i="5"/>
  <c r="DA130" i="5"/>
  <c r="CG130" i="5"/>
  <c r="DD130" i="5"/>
  <c r="DH130" i="5"/>
  <c r="DO130" i="5"/>
  <c r="E128" i="3"/>
  <c r="DQ130" i="5"/>
  <c r="BP131" i="5"/>
  <c r="H129" i="4"/>
  <c r="F129" i="4"/>
  <c r="P129" i="4"/>
  <c r="BR131" i="5"/>
  <c r="CO131" i="5"/>
  <c r="CQ131" i="5"/>
  <c r="BV131" i="5"/>
  <c r="CR131" i="5"/>
  <c r="CB131" i="5"/>
  <c r="CU131" i="5"/>
  <c r="CS131" i="5"/>
  <c r="CT131" i="5"/>
  <c r="CC131" i="5"/>
  <c r="CV131" i="5"/>
  <c r="BX131" i="5"/>
  <c r="CZ131" i="5"/>
  <c r="BY131" i="5"/>
  <c r="DC131" i="5"/>
  <c r="DA131" i="5"/>
  <c r="DH131" i="5"/>
  <c r="DO131" i="5"/>
  <c r="E129" i="3"/>
  <c r="DQ131" i="5"/>
  <c r="BP132" i="5"/>
  <c r="H130" i="4"/>
  <c r="F130" i="4"/>
  <c r="P130" i="4"/>
  <c r="BR132" i="5"/>
  <c r="CO132" i="5"/>
  <c r="CQ132" i="5"/>
  <c r="BV132" i="5"/>
  <c r="CR132" i="5"/>
  <c r="CS132" i="5"/>
  <c r="CT132" i="5"/>
  <c r="CC132" i="5"/>
  <c r="CV132" i="5"/>
  <c r="BX132" i="5"/>
  <c r="CZ132" i="5"/>
  <c r="DC132" i="5"/>
  <c r="DA132" i="5"/>
  <c r="DH132" i="5"/>
  <c r="DO132" i="5"/>
  <c r="E130" i="3"/>
  <c r="DQ132" i="5"/>
  <c r="BP133" i="5"/>
  <c r="H131" i="4"/>
  <c r="F131" i="4"/>
  <c r="P131" i="4"/>
  <c r="BR133" i="5"/>
  <c r="CO133" i="5"/>
  <c r="CQ133" i="5"/>
  <c r="BV133" i="5"/>
  <c r="CR133" i="5"/>
  <c r="CB133" i="5"/>
  <c r="CU133" i="5"/>
  <c r="CS133" i="5"/>
  <c r="CT133" i="5"/>
  <c r="CC133" i="5"/>
  <c r="CV133" i="5"/>
  <c r="BX133" i="5"/>
  <c r="CZ133" i="5"/>
  <c r="BY133" i="5"/>
  <c r="DC133" i="5"/>
  <c r="DA133" i="5"/>
  <c r="DH133" i="5"/>
  <c r="DO133" i="5"/>
  <c r="E131" i="3"/>
  <c r="DQ133" i="5"/>
  <c r="BP134" i="5"/>
  <c r="H132" i="4"/>
  <c r="F132" i="4"/>
  <c r="P132" i="4"/>
  <c r="BR134" i="5"/>
  <c r="CO134" i="5"/>
  <c r="CQ134" i="5"/>
  <c r="BV134" i="5"/>
  <c r="CR134" i="5"/>
  <c r="CB134" i="5"/>
  <c r="CU134" i="5"/>
  <c r="CS134" i="5"/>
  <c r="CT134" i="5"/>
  <c r="CC134" i="5"/>
  <c r="CV134" i="5"/>
  <c r="BX134" i="5"/>
  <c r="CZ134" i="5"/>
  <c r="BY134" i="5"/>
  <c r="DC134" i="5"/>
  <c r="DA134" i="5"/>
  <c r="CG134" i="5"/>
  <c r="DD134" i="5"/>
  <c r="DH134" i="5"/>
  <c r="DO134" i="5"/>
  <c r="E132" i="3"/>
  <c r="DQ134" i="5"/>
  <c r="BP135" i="5"/>
  <c r="H133" i="4"/>
  <c r="F133" i="4"/>
  <c r="P133" i="4"/>
  <c r="BR135" i="5"/>
  <c r="CO135" i="5"/>
  <c r="CQ135" i="5"/>
  <c r="BV135" i="5"/>
  <c r="CR135" i="5"/>
  <c r="CB135" i="5"/>
  <c r="CU135" i="5"/>
  <c r="CS135" i="5"/>
  <c r="CT135" i="5"/>
  <c r="CC135" i="5"/>
  <c r="CV135" i="5"/>
  <c r="BX135" i="5"/>
  <c r="CZ135" i="5"/>
  <c r="BY135" i="5"/>
  <c r="DC135" i="5"/>
  <c r="DA135" i="5"/>
  <c r="CG135" i="5"/>
  <c r="DD135" i="5"/>
  <c r="DH135" i="5"/>
  <c r="DO135" i="5"/>
  <c r="E133" i="3"/>
  <c r="DQ135" i="5"/>
  <c r="BP136" i="5"/>
  <c r="H134" i="4"/>
  <c r="F134" i="4"/>
  <c r="P134" i="4"/>
  <c r="BR136" i="5"/>
  <c r="CO136" i="5"/>
  <c r="CQ136" i="5"/>
  <c r="BV136" i="5"/>
  <c r="CR136" i="5"/>
  <c r="CS136" i="5"/>
  <c r="CT136" i="5"/>
  <c r="CC136" i="5"/>
  <c r="CV136" i="5"/>
  <c r="BX136" i="5"/>
  <c r="CZ136" i="5"/>
  <c r="BY136" i="5"/>
  <c r="DC136" i="5"/>
  <c r="DA136" i="5"/>
  <c r="CG136" i="5"/>
  <c r="DD136" i="5"/>
  <c r="DH136" i="5"/>
  <c r="DO136" i="5"/>
  <c r="E134" i="3"/>
  <c r="DQ136" i="5"/>
  <c r="BP137" i="5"/>
  <c r="H135" i="4"/>
  <c r="F135" i="4"/>
  <c r="P135" i="4"/>
  <c r="BR137" i="5"/>
  <c r="CO137" i="5"/>
  <c r="CQ137" i="5"/>
  <c r="BV137" i="5"/>
  <c r="CR137" i="5"/>
  <c r="CB137" i="5"/>
  <c r="CU137" i="5"/>
  <c r="CS137" i="5"/>
  <c r="CT137" i="5"/>
  <c r="CC137" i="5"/>
  <c r="CV137" i="5"/>
  <c r="BX137" i="5"/>
  <c r="CZ137" i="5"/>
  <c r="BY137" i="5"/>
  <c r="DC137" i="5"/>
  <c r="DA137" i="5"/>
  <c r="CG137" i="5"/>
  <c r="DD137" i="5"/>
  <c r="DH137" i="5"/>
  <c r="DO137" i="5"/>
  <c r="E135" i="3"/>
  <c r="DQ137" i="5"/>
  <c r="BP138" i="5"/>
  <c r="H136" i="4"/>
  <c r="F136" i="4"/>
  <c r="P136" i="4"/>
  <c r="BR138" i="5"/>
  <c r="CO138" i="5"/>
  <c r="CQ138" i="5"/>
  <c r="BV138" i="5"/>
  <c r="CR138" i="5"/>
  <c r="CB138" i="5"/>
  <c r="CU138" i="5"/>
  <c r="CS138" i="5"/>
  <c r="CT138" i="5"/>
  <c r="CC138" i="5"/>
  <c r="CV138" i="5"/>
  <c r="BX138" i="5"/>
  <c r="CZ138" i="5"/>
  <c r="BY138" i="5"/>
  <c r="DC138" i="5"/>
  <c r="DA138" i="5"/>
  <c r="CG138" i="5"/>
  <c r="DD138" i="5"/>
  <c r="DH138" i="5"/>
  <c r="DO138" i="5"/>
  <c r="E136" i="3"/>
  <c r="DQ138" i="5"/>
  <c r="BP139" i="5"/>
  <c r="H137" i="4"/>
  <c r="F137" i="4"/>
  <c r="P137" i="4"/>
  <c r="BR139" i="5"/>
  <c r="CO139" i="5"/>
  <c r="CQ139" i="5"/>
  <c r="BV139" i="5"/>
  <c r="CR139" i="5"/>
  <c r="CB139" i="5"/>
  <c r="CU139" i="5"/>
  <c r="CS139" i="5"/>
  <c r="CT139" i="5"/>
  <c r="CC139" i="5"/>
  <c r="CV139" i="5"/>
  <c r="BX139" i="5"/>
  <c r="CZ139" i="5"/>
  <c r="BY139" i="5"/>
  <c r="DC139" i="5"/>
  <c r="DA139" i="5"/>
  <c r="DH139" i="5"/>
  <c r="DO139" i="5"/>
  <c r="E137" i="3"/>
  <c r="DQ139" i="5"/>
  <c r="BP140" i="5"/>
  <c r="H138" i="4"/>
  <c r="F138" i="4"/>
  <c r="P138" i="4"/>
  <c r="BR140" i="5"/>
  <c r="CO140" i="5"/>
  <c r="CQ140" i="5"/>
  <c r="BV140" i="5"/>
  <c r="CR140" i="5"/>
  <c r="CB140" i="5"/>
  <c r="CU140" i="5"/>
  <c r="CS140" i="5"/>
  <c r="CT140" i="5"/>
  <c r="CC140" i="5"/>
  <c r="CV140" i="5"/>
  <c r="BX140" i="5"/>
  <c r="CZ140" i="5"/>
  <c r="BY140" i="5"/>
  <c r="DC140" i="5"/>
  <c r="DA140" i="5"/>
  <c r="CG140" i="5"/>
  <c r="DD140" i="5"/>
  <c r="DH140" i="5"/>
  <c r="DO140" i="5"/>
  <c r="E138" i="3"/>
  <c r="DQ140" i="5"/>
  <c r="BP141" i="5"/>
  <c r="H139" i="4"/>
  <c r="F139" i="4"/>
  <c r="P139" i="4"/>
  <c r="BR141" i="5"/>
  <c r="CO141" i="5"/>
  <c r="CQ141" i="5"/>
  <c r="BV141" i="5"/>
  <c r="CR141" i="5"/>
  <c r="CB141" i="5"/>
  <c r="CU141" i="5"/>
  <c r="CS141" i="5"/>
  <c r="CT141" i="5"/>
  <c r="CC141" i="5"/>
  <c r="CV141" i="5"/>
  <c r="BX141" i="5"/>
  <c r="CZ141" i="5"/>
  <c r="BY141" i="5"/>
  <c r="DC141" i="5"/>
  <c r="DA141" i="5"/>
  <c r="DH141" i="5"/>
  <c r="DO141" i="5"/>
  <c r="E139" i="3"/>
  <c r="DQ141" i="5"/>
  <c r="BP142" i="5"/>
  <c r="H140" i="4"/>
  <c r="F140" i="4"/>
  <c r="P140" i="4"/>
  <c r="BR142" i="5"/>
  <c r="CO142" i="5"/>
  <c r="CQ142" i="5"/>
  <c r="BV142" i="5"/>
  <c r="CR142" i="5"/>
  <c r="CB142" i="5"/>
  <c r="CU142" i="5"/>
  <c r="CS142" i="5"/>
  <c r="CT142" i="5"/>
  <c r="CC142" i="5"/>
  <c r="CV142" i="5"/>
  <c r="BX142" i="5"/>
  <c r="CZ142" i="5"/>
  <c r="BY142" i="5"/>
  <c r="DC142" i="5"/>
  <c r="DA142" i="5"/>
  <c r="DH142" i="5"/>
  <c r="DO142" i="5"/>
  <c r="E140" i="3"/>
  <c r="DQ142" i="5"/>
  <c r="BP143" i="5"/>
  <c r="H141" i="4"/>
  <c r="F141" i="4"/>
  <c r="P141" i="4"/>
  <c r="BR143" i="5"/>
  <c r="CO143" i="5"/>
  <c r="CQ143" i="5"/>
  <c r="BV143" i="5"/>
  <c r="CR143" i="5"/>
  <c r="CB143" i="5"/>
  <c r="CU143" i="5"/>
  <c r="CS143" i="5"/>
  <c r="CT143" i="5"/>
  <c r="CC143" i="5"/>
  <c r="CV143" i="5"/>
  <c r="BX143" i="5"/>
  <c r="CZ143" i="5"/>
  <c r="BY143" i="5"/>
  <c r="DC143" i="5"/>
  <c r="DA143" i="5"/>
  <c r="DH143" i="5"/>
  <c r="DO143" i="5"/>
  <c r="E141" i="3"/>
  <c r="DQ143" i="5"/>
  <c r="BP144" i="5"/>
  <c r="H142" i="4"/>
  <c r="F142" i="4"/>
  <c r="P142" i="4"/>
  <c r="BR144" i="5"/>
  <c r="CO144" i="5"/>
  <c r="CQ144" i="5"/>
  <c r="BV144" i="5"/>
  <c r="CR144" i="5"/>
  <c r="CB144" i="5"/>
  <c r="CU144" i="5"/>
  <c r="CS144" i="5"/>
  <c r="CT144" i="5"/>
  <c r="CC144" i="5"/>
  <c r="CV144" i="5"/>
  <c r="BX144" i="5"/>
  <c r="CZ144" i="5"/>
  <c r="BY144" i="5"/>
  <c r="DC144" i="5"/>
  <c r="DA144" i="5"/>
  <c r="DH144" i="5"/>
  <c r="DO144" i="5"/>
  <c r="E142" i="3"/>
  <c r="DQ144" i="5"/>
  <c r="BP145" i="5"/>
  <c r="H143" i="4"/>
  <c r="F143" i="4"/>
  <c r="P143" i="4"/>
  <c r="BR145" i="5"/>
  <c r="CO145" i="5"/>
  <c r="CQ145" i="5"/>
  <c r="BV145" i="5"/>
  <c r="CR145" i="5"/>
  <c r="CB145" i="5"/>
  <c r="CU145" i="5"/>
  <c r="CS145" i="5"/>
  <c r="CT145" i="5"/>
  <c r="CC145" i="5"/>
  <c r="CV145" i="5"/>
  <c r="BX145" i="5"/>
  <c r="CZ145" i="5"/>
  <c r="BY145" i="5"/>
  <c r="DC145" i="5"/>
  <c r="DA145" i="5"/>
  <c r="BP258" i="5"/>
  <c r="BU258" i="5"/>
  <c r="DB258" i="5"/>
  <c r="BT145" i="5"/>
  <c r="DB145" i="5"/>
  <c r="DH145" i="5"/>
  <c r="DO145" i="5"/>
  <c r="E143" i="3"/>
  <c r="DQ145" i="5"/>
  <c r="BP146" i="5"/>
  <c r="H144" i="4"/>
  <c r="F144" i="4"/>
  <c r="P144" i="4"/>
  <c r="BR146" i="5"/>
  <c r="CO146" i="5"/>
  <c r="CQ146" i="5"/>
  <c r="BV146" i="5"/>
  <c r="CR146" i="5"/>
  <c r="CB146" i="5"/>
  <c r="CU146" i="5"/>
  <c r="CS146" i="5"/>
  <c r="CT146" i="5"/>
  <c r="CC146" i="5"/>
  <c r="CV146" i="5"/>
  <c r="BX146" i="5"/>
  <c r="CZ146" i="5"/>
  <c r="BY146" i="5"/>
  <c r="DC146" i="5"/>
  <c r="DA146" i="5"/>
  <c r="BT146" i="5"/>
  <c r="DB146" i="5"/>
  <c r="CK146" i="5"/>
  <c r="DE146" i="5"/>
  <c r="DH146" i="5"/>
  <c r="DO146" i="5"/>
  <c r="E144" i="3"/>
  <c r="DQ146" i="5"/>
  <c r="BP147" i="5"/>
  <c r="H145" i="4"/>
  <c r="F145" i="4"/>
  <c r="P145" i="4"/>
  <c r="BR147" i="5"/>
  <c r="CO147" i="5"/>
  <c r="CQ147" i="5"/>
  <c r="BV147" i="5"/>
  <c r="CR147" i="5"/>
  <c r="CB147" i="5"/>
  <c r="CU147" i="5"/>
  <c r="CS147" i="5"/>
  <c r="CT147" i="5"/>
  <c r="CC147" i="5"/>
  <c r="CV147" i="5"/>
  <c r="BX147" i="5"/>
  <c r="CZ147" i="5"/>
  <c r="BY147" i="5"/>
  <c r="DC147" i="5"/>
  <c r="DA147" i="5"/>
  <c r="BT147" i="5"/>
  <c r="DB147" i="5"/>
  <c r="CG147" i="5"/>
  <c r="DD147" i="5"/>
  <c r="DH147" i="5"/>
  <c r="DO147" i="5"/>
  <c r="E145" i="3"/>
  <c r="DQ147" i="5"/>
  <c r="BP148" i="5"/>
  <c r="H146" i="4"/>
  <c r="F146" i="4"/>
  <c r="P146" i="4"/>
  <c r="BR148" i="5"/>
  <c r="CO148" i="5"/>
  <c r="CQ148" i="5"/>
  <c r="BV148" i="5"/>
  <c r="CR148" i="5"/>
  <c r="CB148" i="5"/>
  <c r="CU148" i="5"/>
  <c r="CS148" i="5"/>
  <c r="CT148" i="5"/>
  <c r="CC148" i="5"/>
  <c r="CV148" i="5"/>
  <c r="BX148" i="5"/>
  <c r="CZ148" i="5"/>
  <c r="BY148" i="5"/>
  <c r="DC148" i="5"/>
  <c r="DA148" i="5"/>
  <c r="BT148" i="5"/>
  <c r="DB148" i="5"/>
  <c r="DH148" i="5"/>
  <c r="DO148" i="5"/>
  <c r="E146" i="3"/>
  <c r="DQ148" i="5"/>
  <c r="BP149" i="5"/>
  <c r="H147" i="4"/>
  <c r="F147" i="4"/>
  <c r="P147" i="4"/>
  <c r="BR149" i="5"/>
  <c r="CO149" i="5"/>
  <c r="CQ149" i="5"/>
  <c r="BV149" i="5"/>
  <c r="CR149" i="5"/>
  <c r="CB149" i="5"/>
  <c r="CU149" i="5"/>
  <c r="CS149" i="5"/>
  <c r="CT149" i="5"/>
  <c r="CC149" i="5"/>
  <c r="CV149" i="5"/>
  <c r="BX149" i="5"/>
  <c r="CZ149" i="5"/>
  <c r="BY149" i="5"/>
  <c r="DC149" i="5"/>
  <c r="DA149" i="5"/>
  <c r="BT149" i="5"/>
  <c r="DB149" i="5"/>
  <c r="CG149" i="5"/>
  <c r="DD149" i="5"/>
  <c r="DH149" i="5"/>
  <c r="DO149" i="5"/>
  <c r="E147" i="3"/>
  <c r="DQ149" i="5"/>
  <c r="BP150" i="5"/>
  <c r="H148" i="4"/>
  <c r="F148" i="4"/>
  <c r="P148" i="4"/>
  <c r="BR150" i="5"/>
  <c r="CO150" i="5"/>
  <c r="CQ150" i="5"/>
  <c r="BV150" i="5"/>
  <c r="CR150" i="5"/>
  <c r="CB150" i="5"/>
  <c r="CU150" i="5"/>
  <c r="CS150" i="5"/>
  <c r="CT150" i="5"/>
  <c r="CC150" i="5"/>
  <c r="CV150" i="5"/>
  <c r="BX150" i="5"/>
  <c r="CZ150" i="5"/>
  <c r="BY150" i="5"/>
  <c r="DC150" i="5"/>
  <c r="DA150" i="5"/>
  <c r="BT150" i="5"/>
  <c r="DB150" i="5"/>
  <c r="CG150" i="5"/>
  <c r="DD150" i="5"/>
  <c r="DH150" i="5"/>
  <c r="DO150" i="5"/>
  <c r="E148" i="3"/>
  <c r="DQ150" i="5"/>
  <c r="BP151" i="5"/>
  <c r="H149" i="4"/>
  <c r="F149" i="4"/>
  <c r="P149" i="4"/>
  <c r="BR151" i="5"/>
  <c r="CO151" i="5"/>
  <c r="CQ151" i="5"/>
  <c r="BV151" i="5"/>
  <c r="CR151" i="5"/>
  <c r="CB151" i="5"/>
  <c r="CU151" i="5"/>
  <c r="CS151" i="5"/>
  <c r="CT151" i="5"/>
  <c r="CC151" i="5"/>
  <c r="CV151" i="5"/>
  <c r="BX151" i="5"/>
  <c r="CZ151" i="5"/>
  <c r="BY151" i="5"/>
  <c r="DC151" i="5"/>
  <c r="DA151" i="5"/>
  <c r="BT151" i="5"/>
  <c r="DB151" i="5"/>
  <c r="CG151" i="5"/>
  <c r="DD151" i="5"/>
  <c r="DH151" i="5"/>
  <c r="DO151" i="5"/>
  <c r="E149" i="3"/>
  <c r="DQ151" i="5"/>
  <c r="BP152" i="5"/>
  <c r="H150" i="4"/>
  <c r="F150" i="4"/>
  <c r="P150" i="4"/>
  <c r="BR152" i="5"/>
  <c r="CO152" i="5"/>
  <c r="CQ152" i="5"/>
  <c r="BV152" i="5"/>
  <c r="CR152" i="5"/>
  <c r="CB152" i="5"/>
  <c r="CU152" i="5"/>
  <c r="CS152" i="5"/>
  <c r="CT152" i="5"/>
  <c r="CC152" i="5"/>
  <c r="CV152" i="5"/>
  <c r="BX152" i="5"/>
  <c r="CZ152" i="5"/>
  <c r="BY152" i="5"/>
  <c r="DC152" i="5"/>
  <c r="DA152" i="5"/>
  <c r="BT152" i="5"/>
  <c r="DB152" i="5"/>
  <c r="CG152" i="5"/>
  <c r="DD152" i="5"/>
  <c r="DH152" i="5"/>
  <c r="DO152" i="5"/>
  <c r="E150" i="3"/>
  <c r="DQ152" i="5"/>
  <c r="BP153" i="5"/>
  <c r="H151" i="4"/>
  <c r="F151" i="4"/>
  <c r="P151" i="4"/>
  <c r="BR153" i="5"/>
  <c r="CO153" i="5"/>
  <c r="CQ153" i="5"/>
  <c r="BV153" i="5"/>
  <c r="CR153" i="5"/>
  <c r="CB153" i="5"/>
  <c r="CU153" i="5"/>
  <c r="CS153" i="5"/>
  <c r="CT153" i="5"/>
  <c r="CC153" i="5"/>
  <c r="CV153" i="5"/>
  <c r="BX153" i="5"/>
  <c r="CZ153" i="5"/>
  <c r="CH153" i="5"/>
  <c r="DA153" i="5"/>
  <c r="BY153" i="5"/>
  <c r="DC153" i="5"/>
  <c r="CG153" i="5"/>
  <c r="DD153" i="5"/>
  <c r="DH153" i="5"/>
  <c r="DO153" i="5"/>
  <c r="E151" i="3"/>
  <c r="DQ153" i="5"/>
  <c r="BP154" i="5"/>
  <c r="H152" i="4"/>
  <c r="F152" i="4"/>
  <c r="P152" i="4"/>
  <c r="BR154" i="5"/>
  <c r="CO154" i="5"/>
  <c r="CQ154" i="5"/>
  <c r="BV154" i="5"/>
  <c r="CR154" i="5"/>
  <c r="CB154" i="5"/>
  <c r="CU154" i="5"/>
  <c r="CS154" i="5"/>
  <c r="CT154" i="5"/>
  <c r="CC154" i="5"/>
  <c r="CV154" i="5"/>
  <c r="BX154" i="5"/>
  <c r="CZ154" i="5"/>
  <c r="CH154" i="5"/>
  <c r="DA154" i="5"/>
  <c r="BY154" i="5"/>
  <c r="DC154" i="5"/>
  <c r="CG154" i="5"/>
  <c r="DD154" i="5"/>
  <c r="DH154" i="5"/>
  <c r="DO154" i="5"/>
  <c r="E152" i="3"/>
  <c r="DQ154" i="5"/>
  <c r="BP155" i="5"/>
  <c r="H153" i="4"/>
  <c r="F153" i="4"/>
  <c r="P153" i="4"/>
  <c r="BR155" i="5"/>
  <c r="CO155" i="5"/>
  <c r="CQ155" i="5"/>
  <c r="BV155" i="5"/>
  <c r="CR155" i="5"/>
  <c r="CB155" i="5"/>
  <c r="CU155" i="5"/>
  <c r="CS155" i="5"/>
  <c r="CT155" i="5"/>
  <c r="CC155" i="5"/>
  <c r="CV155" i="5"/>
  <c r="BX155" i="5"/>
  <c r="CZ155" i="5"/>
  <c r="CH155" i="5"/>
  <c r="DA155" i="5"/>
  <c r="BT155" i="5"/>
  <c r="DB155" i="5"/>
  <c r="BY155" i="5"/>
  <c r="DC155" i="5"/>
  <c r="CG155" i="5"/>
  <c r="DD155" i="5"/>
  <c r="DH155" i="5"/>
  <c r="DO155" i="5"/>
  <c r="E153" i="3"/>
  <c r="DQ155" i="5"/>
  <c r="BP156" i="5"/>
  <c r="H154" i="4"/>
  <c r="F154" i="4"/>
  <c r="P154" i="4"/>
  <c r="BR156" i="5"/>
  <c r="CO156" i="5"/>
  <c r="CQ156" i="5"/>
  <c r="BV156" i="5"/>
  <c r="CR156" i="5"/>
  <c r="CB156" i="5"/>
  <c r="CU156" i="5"/>
  <c r="CS156" i="5"/>
  <c r="CT156" i="5"/>
  <c r="CC156" i="5"/>
  <c r="CV156" i="5"/>
  <c r="BX156" i="5"/>
  <c r="CZ156" i="5"/>
  <c r="CH156" i="5"/>
  <c r="DA156" i="5"/>
  <c r="BY156" i="5"/>
  <c r="DC156" i="5"/>
  <c r="CG156" i="5"/>
  <c r="DD156" i="5"/>
  <c r="DH156" i="5"/>
  <c r="DO156" i="5"/>
  <c r="E154" i="3"/>
  <c r="DQ156" i="5"/>
  <c r="BP157" i="5"/>
  <c r="H155" i="4"/>
  <c r="F155" i="4"/>
  <c r="P155" i="4"/>
  <c r="BR157" i="5"/>
  <c r="CO157" i="5"/>
  <c r="CQ157" i="5"/>
  <c r="BV157" i="5"/>
  <c r="CR157" i="5"/>
  <c r="CB157" i="5"/>
  <c r="CU157" i="5"/>
  <c r="CS157" i="5"/>
  <c r="CT157" i="5"/>
  <c r="CC157" i="5"/>
  <c r="CV157" i="5"/>
  <c r="BX157" i="5"/>
  <c r="CZ157" i="5"/>
  <c r="CH157" i="5"/>
  <c r="DA157" i="5"/>
  <c r="BT157" i="5"/>
  <c r="DB157" i="5"/>
  <c r="BY157" i="5"/>
  <c r="DC157" i="5"/>
  <c r="CG157" i="5"/>
  <c r="DD157" i="5"/>
  <c r="CK157" i="5"/>
  <c r="DE157" i="5"/>
  <c r="DH157" i="5"/>
  <c r="DO157" i="5"/>
  <c r="E155" i="3"/>
  <c r="DQ157" i="5"/>
  <c r="BP158" i="5"/>
  <c r="H156" i="4"/>
  <c r="F156" i="4"/>
  <c r="P156" i="4"/>
  <c r="BR158" i="5"/>
  <c r="CO158" i="5"/>
  <c r="CQ158" i="5"/>
  <c r="BV158" i="5"/>
  <c r="CR158" i="5"/>
  <c r="CB158" i="5"/>
  <c r="CU158" i="5"/>
  <c r="CS158" i="5"/>
  <c r="CT158" i="5"/>
  <c r="CC158" i="5"/>
  <c r="CV158" i="5"/>
  <c r="BX158" i="5"/>
  <c r="CZ158" i="5"/>
  <c r="CH158" i="5"/>
  <c r="DA158" i="5"/>
  <c r="BT158" i="5"/>
  <c r="DB158" i="5"/>
  <c r="BY158" i="5"/>
  <c r="DC158" i="5"/>
  <c r="CG158" i="5"/>
  <c r="DD158" i="5"/>
  <c r="DH158" i="5"/>
  <c r="DO158" i="5"/>
  <c r="E156" i="3"/>
  <c r="DQ158" i="5"/>
  <c r="BP159" i="5"/>
  <c r="H157" i="4"/>
  <c r="F157" i="4"/>
  <c r="P157" i="4"/>
  <c r="BR159" i="5"/>
  <c r="CO159" i="5"/>
  <c r="CQ159" i="5"/>
  <c r="BV159" i="5"/>
  <c r="CR159" i="5"/>
  <c r="CB159" i="5"/>
  <c r="CU159" i="5"/>
  <c r="CS159" i="5"/>
  <c r="CT159" i="5"/>
  <c r="CC159" i="5"/>
  <c r="CV159" i="5"/>
  <c r="BX159" i="5"/>
  <c r="CZ159" i="5"/>
  <c r="CH159" i="5"/>
  <c r="DA159" i="5"/>
  <c r="BT159" i="5"/>
  <c r="DB159" i="5"/>
  <c r="BY159" i="5"/>
  <c r="DC159" i="5"/>
  <c r="CG159" i="5"/>
  <c r="DD159" i="5"/>
  <c r="DH159" i="5"/>
  <c r="DO159" i="5"/>
  <c r="E157" i="3"/>
  <c r="DQ159" i="5"/>
  <c r="BP160" i="5"/>
  <c r="H158" i="4"/>
  <c r="F158" i="4"/>
  <c r="P158" i="4"/>
  <c r="BR160" i="5"/>
  <c r="CO160" i="5"/>
  <c r="CQ160" i="5"/>
  <c r="BV160" i="5"/>
  <c r="CR160" i="5"/>
  <c r="CB160" i="5"/>
  <c r="CU160" i="5"/>
  <c r="CS160" i="5"/>
  <c r="CT160" i="5"/>
  <c r="CC160" i="5"/>
  <c r="CV160" i="5"/>
  <c r="BX160" i="5"/>
  <c r="CZ160" i="5"/>
  <c r="CH160" i="5"/>
  <c r="DA160" i="5"/>
  <c r="BY160" i="5"/>
  <c r="DC160" i="5"/>
  <c r="CG160" i="5"/>
  <c r="DD160" i="5"/>
  <c r="DH160" i="5"/>
  <c r="DO160" i="5"/>
  <c r="E158" i="3"/>
  <c r="DQ160" i="5"/>
  <c r="BP161" i="5"/>
  <c r="H159" i="4"/>
  <c r="F159" i="4"/>
  <c r="P159" i="4"/>
  <c r="BR161" i="5"/>
  <c r="CO161" i="5"/>
  <c r="CQ161" i="5"/>
  <c r="BV161" i="5"/>
  <c r="CR161" i="5"/>
  <c r="CB161" i="5"/>
  <c r="CU161" i="5"/>
  <c r="CS161" i="5"/>
  <c r="CT161" i="5"/>
  <c r="CC161" i="5"/>
  <c r="CV161" i="5"/>
  <c r="BX161" i="5"/>
  <c r="CZ161" i="5"/>
  <c r="CH161" i="5"/>
  <c r="DA161" i="5"/>
  <c r="BT161" i="5"/>
  <c r="DB161" i="5"/>
  <c r="BY161" i="5"/>
  <c r="DC161" i="5"/>
  <c r="CG161" i="5"/>
  <c r="DD161" i="5"/>
  <c r="DH161" i="5"/>
  <c r="DO161" i="5"/>
  <c r="E159" i="3"/>
  <c r="DQ161" i="5"/>
  <c r="BP162" i="5"/>
  <c r="H160" i="4"/>
  <c r="F160" i="4"/>
  <c r="P160" i="4"/>
  <c r="BR162" i="5"/>
  <c r="CO162" i="5"/>
  <c r="CQ162" i="5"/>
  <c r="BV162" i="5"/>
  <c r="CR162" i="5"/>
  <c r="CB162" i="5"/>
  <c r="CU162" i="5"/>
  <c r="CS162" i="5"/>
  <c r="CT162" i="5"/>
  <c r="CC162" i="5"/>
  <c r="CV162" i="5"/>
  <c r="BX162" i="5"/>
  <c r="CZ162" i="5"/>
  <c r="CH162" i="5"/>
  <c r="DA162" i="5"/>
  <c r="BT162" i="5"/>
  <c r="DB162" i="5"/>
  <c r="BY162" i="5"/>
  <c r="DC162" i="5"/>
  <c r="CG162" i="5"/>
  <c r="DD162" i="5"/>
  <c r="DH162" i="5"/>
  <c r="DO162" i="5"/>
  <c r="E160" i="3"/>
  <c r="DQ162" i="5"/>
  <c r="BP163" i="5"/>
  <c r="H161" i="4"/>
  <c r="F161" i="4"/>
  <c r="P161" i="4"/>
  <c r="BR163" i="5"/>
  <c r="CO163" i="5"/>
  <c r="CQ163" i="5"/>
  <c r="BV163" i="5"/>
  <c r="CR163" i="5"/>
  <c r="CB163" i="5"/>
  <c r="CU163" i="5"/>
  <c r="CS163" i="5"/>
  <c r="CT163" i="5"/>
  <c r="CC163" i="5"/>
  <c r="CV163" i="5"/>
  <c r="BX163" i="5"/>
  <c r="CZ163" i="5"/>
  <c r="CH163" i="5"/>
  <c r="DA163" i="5"/>
  <c r="BT163" i="5"/>
  <c r="DB163" i="5"/>
  <c r="BY163" i="5"/>
  <c r="DC163" i="5"/>
  <c r="CG163" i="5"/>
  <c r="DD163" i="5"/>
  <c r="DH163" i="5"/>
  <c r="DO163" i="5"/>
  <c r="E161" i="3"/>
  <c r="DQ163" i="5"/>
  <c r="BP164" i="5"/>
  <c r="H162" i="4"/>
  <c r="F162" i="4"/>
  <c r="P162" i="4"/>
  <c r="BR164" i="5"/>
  <c r="CO164" i="5"/>
  <c r="CQ164" i="5"/>
  <c r="BV164" i="5"/>
  <c r="CR164" i="5"/>
  <c r="CB164" i="5"/>
  <c r="CU164" i="5"/>
  <c r="CS164" i="5"/>
  <c r="CT164" i="5"/>
  <c r="CC164" i="5"/>
  <c r="CV164" i="5"/>
  <c r="BX164" i="5"/>
  <c r="CZ164" i="5"/>
  <c r="CH164" i="5"/>
  <c r="DA164" i="5"/>
  <c r="BY164" i="5"/>
  <c r="DC164" i="5"/>
  <c r="CG164" i="5"/>
  <c r="DD164" i="5"/>
  <c r="DH164" i="5"/>
  <c r="DO164" i="5"/>
  <c r="E162" i="3"/>
  <c r="DQ164" i="5"/>
  <c r="BP165" i="5"/>
  <c r="H163" i="4"/>
  <c r="F163" i="4"/>
  <c r="P163" i="4"/>
  <c r="BR165" i="5"/>
  <c r="CO165" i="5"/>
  <c r="CQ165" i="5"/>
  <c r="BV165" i="5"/>
  <c r="CR165" i="5"/>
  <c r="CB165" i="5"/>
  <c r="CU165" i="5"/>
  <c r="CS165" i="5"/>
  <c r="CT165" i="5"/>
  <c r="CC165" i="5"/>
  <c r="CV165" i="5"/>
  <c r="BX165" i="5"/>
  <c r="CZ165" i="5"/>
  <c r="CH165" i="5"/>
  <c r="DA165" i="5"/>
  <c r="BY165" i="5"/>
  <c r="DC165" i="5"/>
  <c r="CG165" i="5"/>
  <c r="DD165" i="5"/>
  <c r="DH165" i="5"/>
  <c r="DO165" i="5"/>
  <c r="E163" i="3"/>
  <c r="DQ165" i="5"/>
  <c r="BP166" i="5"/>
  <c r="H164" i="4"/>
  <c r="F164" i="4"/>
  <c r="P164" i="4"/>
  <c r="BR166" i="5"/>
  <c r="CO166" i="5"/>
  <c r="CQ166" i="5"/>
  <c r="BV166" i="5"/>
  <c r="CR166" i="5"/>
  <c r="CB166" i="5"/>
  <c r="CU166" i="5"/>
  <c r="CS166" i="5"/>
  <c r="CT166" i="5"/>
  <c r="CC166" i="5"/>
  <c r="CV166" i="5"/>
  <c r="BX166" i="5"/>
  <c r="CZ166" i="5"/>
  <c r="CH166" i="5"/>
  <c r="DA166" i="5"/>
  <c r="BT166" i="5"/>
  <c r="DB166" i="5"/>
  <c r="BY166" i="5"/>
  <c r="DC166" i="5"/>
  <c r="CG166" i="5"/>
  <c r="DD166" i="5"/>
  <c r="DH166" i="5"/>
  <c r="DO166" i="5"/>
  <c r="E164" i="3"/>
  <c r="DQ166" i="5"/>
  <c r="BP167" i="5"/>
  <c r="H165" i="4"/>
  <c r="F165" i="4"/>
  <c r="P165" i="4"/>
  <c r="BR167" i="5"/>
  <c r="CO167" i="5"/>
  <c r="CQ167" i="5"/>
  <c r="BV167" i="5"/>
  <c r="CR167" i="5"/>
  <c r="CB167" i="5"/>
  <c r="CU167" i="5"/>
  <c r="CS167" i="5"/>
  <c r="CT167" i="5"/>
  <c r="CC167" i="5"/>
  <c r="CV167" i="5"/>
  <c r="BX167" i="5"/>
  <c r="CZ167" i="5"/>
  <c r="CH167" i="5"/>
  <c r="DA167" i="5"/>
  <c r="BT167" i="5"/>
  <c r="DB167" i="5"/>
  <c r="BY167" i="5"/>
  <c r="DC167" i="5"/>
  <c r="CG167" i="5"/>
  <c r="DD167" i="5"/>
  <c r="DH167" i="5"/>
  <c r="DO167" i="5"/>
  <c r="E165" i="3"/>
  <c r="DQ167" i="5"/>
  <c r="BP168" i="5"/>
  <c r="H166" i="4"/>
  <c r="F166" i="4"/>
  <c r="P166" i="4"/>
  <c r="BR168" i="5"/>
  <c r="CO168" i="5"/>
  <c r="CQ168" i="5"/>
  <c r="BV168" i="5"/>
  <c r="CR168" i="5"/>
  <c r="CS168" i="5"/>
  <c r="CT168" i="5"/>
  <c r="CC168" i="5"/>
  <c r="CV168" i="5"/>
  <c r="BX168" i="5"/>
  <c r="CZ168" i="5"/>
  <c r="CH168" i="5"/>
  <c r="DA168" i="5"/>
  <c r="BT168" i="5"/>
  <c r="DB168" i="5"/>
  <c r="BY168" i="5"/>
  <c r="DC168" i="5"/>
  <c r="CG168" i="5"/>
  <c r="DD168" i="5"/>
  <c r="DH168" i="5"/>
  <c r="DO168" i="5"/>
  <c r="E166" i="3"/>
  <c r="DQ168" i="5"/>
  <c r="BP169" i="5"/>
  <c r="H167" i="4"/>
  <c r="F167" i="4"/>
  <c r="P167" i="4"/>
  <c r="BR169" i="5"/>
  <c r="CO169" i="5"/>
  <c r="CQ169" i="5"/>
  <c r="BV169" i="5"/>
  <c r="CR169" i="5"/>
  <c r="CB169" i="5"/>
  <c r="CU169" i="5"/>
  <c r="CS169" i="5"/>
  <c r="CT169" i="5"/>
  <c r="CC169" i="5"/>
  <c r="CV169" i="5"/>
  <c r="BX169" i="5"/>
  <c r="CZ169" i="5"/>
  <c r="CH169" i="5"/>
  <c r="DA169" i="5"/>
  <c r="BT169" i="5"/>
  <c r="DB169" i="5"/>
  <c r="BY169" i="5"/>
  <c r="DC169" i="5"/>
  <c r="CG169" i="5"/>
  <c r="DD169" i="5"/>
  <c r="DH169" i="5"/>
  <c r="DO169" i="5"/>
  <c r="E167" i="3"/>
  <c r="DQ169" i="5"/>
  <c r="BP170" i="5"/>
  <c r="H168" i="4"/>
  <c r="F168" i="4"/>
  <c r="P168" i="4"/>
  <c r="BR170" i="5"/>
  <c r="CO170" i="5"/>
  <c r="CQ170" i="5"/>
  <c r="BV170" i="5"/>
  <c r="CR170" i="5"/>
  <c r="CS170" i="5"/>
  <c r="CT170" i="5"/>
  <c r="CC170" i="5"/>
  <c r="CV170" i="5"/>
  <c r="BX170" i="5"/>
  <c r="CZ170" i="5"/>
  <c r="CH170" i="5"/>
  <c r="DA170" i="5"/>
  <c r="BT170" i="5"/>
  <c r="DB170" i="5"/>
  <c r="BY170" i="5"/>
  <c r="DC170" i="5"/>
  <c r="CG170" i="5"/>
  <c r="DD170" i="5"/>
  <c r="DH170" i="5"/>
  <c r="DO170" i="5"/>
  <c r="E168" i="3"/>
  <c r="DQ170" i="5"/>
  <c r="BP171" i="5"/>
  <c r="H169" i="4"/>
  <c r="F169" i="4"/>
  <c r="P169" i="4"/>
  <c r="BR171" i="5"/>
  <c r="CO171" i="5"/>
  <c r="CQ171" i="5"/>
  <c r="BV171" i="5"/>
  <c r="CR171" i="5"/>
  <c r="CB171" i="5"/>
  <c r="CU171" i="5"/>
  <c r="CS171" i="5"/>
  <c r="CT171" i="5"/>
  <c r="CC171" i="5"/>
  <c r="CV171" i="5"/>
  <c r="BX171" i="5"/>
  <c r="CZ171" i="5"/>
  <c r="CH171" i="5"/>
  <c r="DA171" i="5"/>
  <c r="BY171" i="5"/>
  <c r="DC171" i="5"/>
  <c r="CG171" i="5"/>
  <c r="DD171" i="5"/>
  <c r="DH171" i="5"/>
  <c r="DO171" i="5"/>
  <c r="E169" i="3"/>
  <c r="DQ171" i="5"/>
  <c r="BP172" i="5"/>
  <c r="H170" i="4"/>
  <c r="F170" i="4"/>
  <c r="P170" i="4"/>
  <c r="BR172" i="5"/>
  <c r="CO172" i="5"/>
  <c r="CQ172" i="5"/>
  <c r="BV172" i="5"/>
  <c r="CR172" i="5"/>
  <c r="CB172" i="5"/>
  <c r="CU172" i="5"/>
  <c r="CS172" i="5"/>
  <c r="CT172" i="5"/>
  <c r="CC172" i="5"/>
  <c r="CV172" i="5"/>
  <c r="BX172" i="5"/>
  <c r="CZ172" i="5"/>
  <c r="CH172" i="5"/>
  <c r="DA172" i="5"/>
  <c r="BY172" i="5"/>
  <c r="DC172" i="5"/>
  <c r="DH172" i="5"/>
  <c r="DO172" i="5"/>
  <c r="E170" i="3"/>
  <c r="DQ172" i="5"/>
  <c r="BP173" i="5"/>
  <c r="H171" i="4"/>
  <c r="F171" i="4"/>
  <c r="P171" i="4"/>
  <c r="BR173" i="5"/>
  <c r="CO173" i="5"/>
  <c r="CQ173" i="5"/>
  <c r="BV173" i="5"/>
  <c r="CR173" i="5"/>
  <c r="CB173" i="5"/>
  <c r="CU173" i="5"/>
  <c r="CS173" i="5"/>
  <c r="CT173" i="5"/>
  <c r="CC173" i="5"/>
  <c r="CV173" i="5"/>
  <c r="BX173" i="5"/>
  <c r="CZ173" i="5"/>
  <c r="CH173" i="5"/>
  <c r="DA173" i="5"/>
  <c r="BT173" i="5"/>
  <c r="DB173" i="5"/>
  <c r="BY173" i="5"/>
  <c r="DC173" i="5"/>
  <c r="DH173" i="5"/>
  <c r="DO173" i="5"/>
  <c r="E171" i="3"/>
  <c r="DQ173" i="5"/>
  <c r="BP174" i="5"/>
  <c r="H172" i="4"/>
  <c r="F172" i="4"/>
  <c r="P172" i="4"/>
  <c r="BR174" i="5"/>
  <c r="CO174" i="5"/>
  <c r="CQ174" i="5"/>
  <c r="BV174" i="5"/>
  <c r="CR174" i="5"/>
  <c r="CS174" i="5"/>
  <c r="CT174" i="5"/>
  <c r="CC174" i="5"/>
  <c r="CV174" i="5"/>
  <c r="BX174" i="5"/>
  <c r="CZ174" i="5"/>
  <c r="CH174" i="5"/>
  <c r="DA174" i="5"/>
  <c r="BY174" i="5"/>
  <c r="DC174" i="5"/>
  <c r="DH174" i="5"/>
  <c r="DO174" i="5"/>
  <c r="E172" i="3"/>
  <c r="DQ174" i="5"/>
  <c r="BP175" i="5"/>
  <c r="H173" i="4"/>
  <c r="F173" i="4"/>
  <c r="P173" i="4"/>
  <c r="BR175" i="5"/>
  <c r="CO175" i="5"/>
  <c r="CQ175" i="5"/>
  <c r="BV175" i="5"/>
  <c r="CR175" i="5"/>
  <c r="CB175" i="5"/>
  <c r="CU175" i="5"/>
  <c r="CS175" i="5"/>
  <c r="CT175" i="5"/>
  <c r="CC175" i="5"/>
  <c r="CV175" i="5"/>
  <c r="BX175" i="5"/>
  <c r="CZ175" i="5"/>
  <c r="CH175" i="5"/>
  <c r="DA175" i="5"/>
  <c r="BT175" i="5"/>
  <c r="DB175" i="5"/>
  <c r="BY175" i="5"/>
  <c r="DC175" i="5"/>
  <c r="DH175" i="5"/>
  <c r="DO175" i="5"/>
  <c r="E173" i="3"/>
  <c r="DQ175" i="5"/>
  <c r="BP176" i="5"/>
  <c r="H174" i="4"/>
  <c r="F174" i="4"/>
  <c r="P174" i="4"/>
  <c r="BR176" i="5"/>
  <c r="CO176" i="5"/>
  <c r="CQ176" i="5"/>
  <c r="BV176" i="5"/>
  <c r="CR176" i="5"/>
  <c r="CS176" i="5"/>
  <c r="CT176" i="5"/>
  <c r="CC176" i="5"/>
  <c r="CV176" i="5"/>
  <c r="BX176" i="5"/>
  <c r="CZ176" i="5"/>
  <c r="CH176" i="5"/>
  <c r="DA176" i="5"/>
  <c r="BT176" i="5"/>
  <c r="DB176" i="5"/>
  <c r="BY176" i="5"/>
  <c r="DC176" i="5"/>
  <c r="CG176" i="5"/>
  <c r="DD176" i="5"/>
  <c r="CK176" i="5"/>
  <c r="DE176" i="5"/>
  <c r="DH176" i="5"/>
  <c r="DO176" i="5"/>
  <c r="E174" i="3"/>
  <c r="DQ176" i="5"/>
  <c r="BP177" i="5"/>
  <c r="H175" i="4"/>
  <c r="F175" i="4"/>
  <c r="P175" i="4"/>
  <c r="BR177" i="5"/>
  <c r="CO177" i="5"/>
  <c r="CQ177" i="5"/>
  <c r="BV177" i="5"/>
  <c r="CR177" i="5"/>
  <c r="CS177" i="5"/>
  <c r="CT177" i="5"/>
  <c r="CC177" i="5"/>
  <c r="CV177" i="5"/>
  <c r="BX177" i="5"/>
  <c r="CZ177" i="5"/>
  <c r="CH177" i="5"/>
  <c r="DA177" i="5"/>
  <c r="BY177" i="5"/>
  <c r="DC177" i="5"/>
  <c r="CG177" i="5"/>
  <c r="DD177" i="5"/>
  <c r="CK177" i="5"/>
  <c r="DE177" i="5"/>
  <c r="DH177" i="5"/>
  <c r="DO177" i="5"/>
  <c r="E175" i="3"/>
  <c r="DQ177" i="5"/>
  <c r="BP178" i="5"/>
  <c r="H176" i="4"/>
  <c r="F176" i="4"/>
  <c r="P176" i="4"/>
  <c r="BR178" i="5"/>
  <c r="CO178" i="5"/>
  <c r="CQ178" i="5"/>
  <c r="BV178" i="5"/>
  <c r="CR178" i="5"/>
  <c r="CB178" i="5"/>
  <c r="CU178" i="5"/>
  <c r="CS178" i="5"/>
  <c r="CT178" i="5"/>
  <c r="CC178" i="5"/>
  <c r="CV178" i="5"/>
  <c r="BX178" i="5"/>
  <c r="CZ178" i="5"/>
  <c r="CH178" i="5"/>
  <c r="DA178" i="5"/>
  <c r="BT178" i="5"/>
  <c r="DB178" i="5"/>
  <c r="BY178" i="5"/>
  <c r="DC178" i="5"/>
  <c r="CG178" i="5"/>
  <c r="DD178" i="5"/>
  <c r="DH178" i="5"/>
  <c r="DO178" i="5"/>
  <c r="E176" i="3"/>
  <c r="DQ178" i="5"/>
  <c r="BP179" i="5"/>
  <c r="H177" i="4"/>
  <c r="F177" i="4"/>
  <c r="P177" i="4"/>
  <c r="BR179" i="5"/>
  <c r="CO179" i="5"/>
  <c r="CQ179" i="5"/>
  <c r="BV179" i="5"/>
  <c r="CR179" i="5"/>
  <c r="CB179" i="5"/>
  <c r="CU179" i="5"/>
  <c r="CS179" i="5"/>
  <c r="CT179" i="5"/>
  <c r="CC179" i="5"/>
  <c r="CV179" i="5"/>
  <c r="BX179" i="5"/>
  <c r="CZ179" i="5"/>
  <c r="CH179" i="5"/>
  <c r="DA179" i="5"/>
  <c r="BY179" i="5"/>
  <c r="DC179" i="5"/>
  <c r="CG179" i="5"/>
  <c r="DD179" i="5"/>
  <c r="CK179" i="5"/>
  <c r="DE179" i="5"/>
  <c r="DH179" i="5"/>
  <c r="DO179" i="5"/>
  <c r="E177" i="3"/>
  <c r="DQ179" i="5"/>
  <c r="BP180" i="5"/>
  <c r="H178" i="4"/>
  <c r="F178" i="4"/>
  <c r="P178" i="4"/>
  <c r="BR180" i="5"/>
  <c r="CO180" i="5"/>
  <c r="CQ180" i="5"/>
  <c r="BV180" i="5"/>
  <c r="CR180" i="5"/>
  <c r="CB180" i="5"/>
  <c r="CU180" i="5"/>
  <c r="CS180" i="5"/>
  <c r="CT180" i="5"/>
  <c r="CC180" i="5"/>
  <c r="CV180" i="5"/>
  <c r="BX180" i="5"/>
  <c r="CZ180" i="5"/>
  <c r="CH180" i="5"/>
  <c r="DA180" i="5"/>
  <c r="BT180" i="5"/>
  <c r="DB180" i="5"/>
  <c r="BY180" i="5"/>
  <c r="DC180" i="5"/>
  <c r="CG180" i="5"/>
  <c r="DD180" i="5"/>
  <c r="DH180" i="5"/>
  <c r="DO180" i="5"/>
  <c r="E178" i="3"/>
  <c r="DQ180" i="5"/>
  <c r="BP181" i="5"/>
  <c r="H179" i="4"/>
  <c r="F179" i="4"/>
  <c r="P179" i="4"/>
  <c r="BR181" i="5"/>
  <c r="CO181" i="5"/>
  <c r="CQ181" i="5"/>
  <c r="BV181" i="5"/>
  <c r="CR181" i="5"/>
  <c r="CS181" i="5"/>
  <c r="CT181" i="5"/>
  <c r="CC181" i="5"/>
  <c r="CV181" i="5"/>
  <c r="BX181" i="5"/>
  <c r="CZ181" i="5"/>
  <c r="CH181" i="5"/>
  <c r="DA181" i="5"/>
  <c r="BT181" i="5"/>
  <c r="DB181" i="5"/>
  <c r="BY181" i="5"/>
  <c r="DC181" i="5"/>
  <c r="CG181" i="5"/>
  <c r="DD181" i="5"/>
  <c r="CK181" i="5"/>
  <c r="DE181" i="5"/>
  <c r="DH181" i="5"/>
  <c r="DO181" i="5"/>
  <c r="E179" i="3"/>
  <c r="DQ181" i="5"/>
  <c r="BP182" i="5"/>
  <c r="H180" i="4"/>
  <c r="F180" i="4"/>
  <c r="P180" i="4"/>
  <c r="BR182" i="5"/>
  <c r="CO182" i="5"/>
  <c r="CQ182" i="5"/>
  <c r="BV182" i="5"/>
  <c r="CR182" i="5"/>
  <c r="CS182" i="5"/>
  <c r="CT182" i="5"/>
  <c r="CC182" i="5"/>
  <c r="CV182" i="5"/>
  <c r="BX182" i="5"/>
  <c r="CZ182" i="5"/>
  <c r="CH182" i="5"/>
  <c r="DA182" i="5"/>
  <c r="BT182" i="5"/>
  <c r="DB182" i="5"/>
  <c r="DC182" i="5"/>
  <c r="CG182" i="5"/>
  <c r="DD182" i="5"/>
  <c r="CK182" i="5"/>
  <c r="DE182" i="5"/>
  <c r="DH182" i="5"/>
  <c r="DO182" i="5"/>
  <c r="E180" i="3"/>
  <c r="DQ182" i="5"/>
  <c r="BP183" i="5"/>
  <c r="H181" i="4"/>
  <c r="F181" i="4"/>
  <c r="P181" i="4"/>
  <c r="BR183" i="5"/>
  <c r="CO183" i="5"/>
  <c r="CQ183" i="5"/>
  <c r="BV183" i="5"/>
  <c r="CR183" i="5"/>
  <c r="CS183" i="5"/>
  <c r="CT183" i="5"/>
  <c r="CC183" i="5"/>
  <c r="CV183" i="5"/>
  <c r="BX183" i="5"/>
  <c r="CZ183" i="5"/>
  <c r="CH183" i="5"/>
  <c r="DA183" i="5"/>
  <c r="BT183" i="5"/>
  <c r="DB183" i="5"/>
  <c r="BY183" i="5"/>
  <c r="DC183" i="5"/>
  <c r="CG183" i="5"/>
  <c r="DD183" i="5"/>
  <c r="DH183" i="5"/>
  <c r="DO183" i="5"/>
  <c r="E181" i="3"/>
  <c r="DQ183" i="5"/>
  <c r="BP184" i="5"/>
  <c r="H182" i="4"/>
  <c r="F182" i="4"/>
  <c r="P182" i="4"/>
  <c r="BR184" i="5"/>
  <c r="CO184" i="5"/>
  <c r="CQ184" i="5"/>
  <c r="BV184" i="5"/>
  <c r="CR184" i="5"/>
  <c r="CS184" i="5"/>
  <c r="CT184" i="5"/>
  <c r="CC184" i="5"/>
  <c r="CV184" i="5"/>
  <c r="BX184" i="5"/>
  <c r="CZ184" i="5"/>
  <c r="CH184" i="5"/>
  <c r="DA184" i="5"/>
  <c r="BT184" i="5"/>
  <c r="DB184" i="5"/>
  <c r="BY184" i="5"/>
  <c r="DC184" i="5"/>
  <c r="CG184" i="5"/>
  <c r="DD184" i="5"/>
  <c r="CK184" i="5"/>
  <c r="DE184" i="5"/>
  <c r="DH184" i="5"/>
  <c r="DO184" i="5"/>
  <c r="E182" i="3"/>
  <c r="DQ184" i="5"/>
  <c r="BP185" i="5"/>
  <c r="H183" i="4"/>
  <c r="F183" i="4"/>
  <c r="P183" i="4"/>
  <c r="BR185" i="5"/>
  <c r="CO185" i="5"/>
  <c r="CQ185" i="5"/>
  <c r="BV185" i="5"/>
  <c r="CR185" i="5"/>
  <c r="CS185" i="5"/>
  <c r="CT185" i="5"/>
  <c r="CC185" i="5"/>
  <c r="CV185" i="5"/>
  <c r="BX185" i="5"/>
  <c r="CZ185" i="5"/>
  <c r="CH185" i="5"/>
  <c r="DA185" i="5"/>
  <c r="BT185" i="5"/>
  <c r="DB185" i="5"/>
  <c r="BY185" i="5"/>
  <c r="DC185" i="5"/>
  <c r="CG185" i="5"/>
  <c r="DD185" i="5"/>
  <c r="DH185" i="5"/>
  <c r="DO185" i="5"/>
  <c r="E183" i="3"/>
  <c r="DQ185" i="5"/>
  <c r="BP186" i="5"/>
  <c r="H184" i="4"/>
  <c r="F184" i="4"/>
  <c r="P184" i="4"/>
  <c r="BR186" i="5"/>
  <c r="CO186" i="5"/>
  <c r="CQ186" i="5"/>
  <c r="BV186" i="5"/>
  <c r="CR186" i="5"/>
  <c r="CS186" i="5"/>
  <c r="CT186" i="5"/>
  <c r="CC186" i="5"/>
  <c r="CV186" i="5"/>
  <c r="BX186" i="5"/>
  <c r="CZ186" i="5"/>
  <c r="CH186" i="5"/>
  <c r="DA186" i="5"/>
  <c r="BT186" i="5"/>
  <c r="DB186" i="5"/>
  <c r="DC186" i="5"/>
  <c r="CG186" i="5"/>
  <c r="DD186" i="5"/>
  <c r="DH186" i="5"/>
  <c r="DO186" i="5"/>
  <c r="E184" i="3"/>
  <c r="DQ186" i="5"/>
  <c r="BP187" i="5"/>
  <c r="H185" i="4"/>
  <c r="F185" i="4"/>
  <c r="P185" i="4"/>
  <c r="BR187" i="5"/>
  <c r="CO187" i="5"/>
  <c r="CQ187" i="5"/>
  <c r="BV187" i="5"/>
  <c r="CR187" i="5"/>
  <c r="CS187" i="5"/>
  <c r="CT187" i="5"/>
  <c r="CC187" i="5"/>
  <c r="CV187" i="5"/>
  <c r="BX187" i="5"/>
  <c r="CZ187" i="5"/>
  <c r="CH187" i="5"/>
  <c r="DA187" i="5"/>
  <c r="BY187" i="5"/>
  <c r="DC187" i="5"/>
  <c r="CK187" i="5"/>
  <c r="DE187" i="5"/>
  <c r="DH187" i="5"/>
  <c r="DO187" i="5"/>
  <c r="E185" i="3"/>
  <c r="DQ187" i="5"/>
  <c r="BP188" i="5"/>
  <c r="H186" i="4"/>
  <c r="F186" i="4"/>
  <c r="P186" i="4"/>
  <c r="BR188" i="5"/>
  <c r="CO188" i="5"/>
  <c r="CQ188" i="5"/>
  <c r="BV188" i="5"/>
  <c r="CR188" i="5"/>
  <c r="CS188" i="5"/>
  <c r="CT188" i="5"/>
  <c r="CC188" i="5"/>
  <c r="CV188" i="5"/>
  <c r="BX188" i="5"/>
  <c r="CZ188" i="5"/>
  <c r="CH188" i="5"/>
  <c r="DA188" i="5"/>
  <c r="BT188" i="5"/>
  <c r="DB188" i="5"/>
  <c r="BY188" i="5"/>
  <c r="DC188" i="5"/>
  <c r="DH188" i="5"/>
  <c r="DO188" i="5"/>
  <c r="E186" i="3"/>
  <c r="DQ188" i="5"/>
  <c r="BP189" i="5"/>
  <c r="H187" i="4"/>
  <c r="F187" i="4"/>
  <c r="P187" i="4"/>
  <c r="BR189" i="5"/>
  <c r="CO189" i="5"/>
  <c r="CQ189" i="5"/>
  <c r="BV189" i="5"/>
  <c r="CR189" i="5"/>
  <c r="CS189" i="5"/>
  <c r="CT189" i="5"/>
  <c r="CC189" i="5"/>
  <c r="CV189" i="5"/>
  <c r="BX189" i="5"/>
  <c r="CZ189" i="5"/>
  <c r="CH189" i="5"/>
  <c r="DA189" i="5"/>
  <c r="BT189" i="5"/>
  <c r="DB189" i="5"/>
  <c r="BY189" i="5"/>
  <c r="DC189" i="5"/>
  <c r="CG189" i="5"/>
  <c r="DD189" i="5"/>
  <c r="CK189" i="5"/>
  <c r="DE189" i="5"/>
  <c r="DH189" i="5"/>
  <c r="DO189" i="5"/>
  <c r="E187" i="3"/>
  <c r="DQ189" i="5"/>
  <c r="BP190" i="5"/>
  <c r="H188" i="4"/>
  <c r="F188" i="4"/>
  <c r="P188" i="4"/>
  <c r="BR190" i="5"/>
  <c r="CO190" i="5"/>
  <c r="CQ190" i="5"/>
  <c r="BV190" i="5"/>
  <c r="CR190" i="5"/>
  <c r="CS190" i="5"/>
  <c r="CT190" i="5"/>
  <c r="CC190" i="5"/>
  <c r="CV190" i="5"/>
  <c r="BX190" i="5"/>
  <c r="CZ190" i="5"/>
  <c r="CH190" i="5"/>
  <c r="DA190" i="5"/>
  <c r="BT190" i="5"/>
  <c r="DB190" i="5"/>
  <c r="BY190" i="5"/>
  <c r="DC190" i="5"/>
  <c r="CG190" i="5"/>
  <c r="DD190" i="5"/>
  <c r="CK190" i="5"/>
  <c r="DE190" i="5"/>
  <c r="DH190" i="5"/>
  <c r="DO190" i="5"/>
  <c r="E188" i="3"/>
  <c r="DQ190" i="5"/>
  <c r="BP191" i="5"/>
  <c r="H189" i="4"/>
  <c r="F189" i="4"/>
  <c r="P189" i="4"/>
  <c r="BR191" i="5"/>
  <c r="CO191" i="5"/>
  <c r="CQ191" i="5"/>
  <c r="BV191" i="5"/>
  <c r="CR191" i="5"/>
  <c r="CS191" i="5"/>
  <c r="CT191" i="5"/>
  <c r="CC191" i="5"/>
  <c r="CV191" i="5"/>
  <c r="BX191" i="5"/>
  <c r="CZ191" i="5"/>
  <c r="CH191" i="5"/>
  <c r="DA191" i="5"/>
  <c r="BT191" i="5"/>
  <c r="DB191" i="5"/>
  <c r="BY191" i="5"/>
  <c r="DC191" i="5"/>
  <c r="CG191" i="5"/>
  <c r="DD191" i="5"/>
  <c r="DH191" i="5"/>
  <c r="DO191" i="5"/>
  <c r="E189" i="3"/>
  <c r="DQ191" i="5"/>
  <c r="BP192" i="5"/>
  <c r="H190" i="4"/>
  <c r="F190" i="4"/>
  <c r="P190" i="4"/>
  <c r="BR192" i="5"/>
  <c r="CO192" i="5"/>
  <c r="CQ192" i="5"/>
  <c r="BV192" i="5"/>
  <c r="CR192" i="5"/>
  <c r="CS192" i="5"/>
  <c r="CT192" i="5"/>
  <c r="CC192" i="5"/>
  <c r="CV192" i="5"/>
  <c r="BX192" i="5"/>
  <c r="CZ192" i="5"/>
  <c r="CH192" i="5"/>
  <c r="DA192" i="5"/>
  <c r="BT192" i="5"/>
  <c r="DB192" i="5"/>
  <c r="BY192" i="5"/>
  <c r="DC192" i="5"/>
  <c r="CK192" i="5"/>
  <c r="DE192" i="5"/>
  <c r="DH192" i="5"/>
  <c r="DO192" i="5"/>
  <c r="E190" i="3"/>
  <c r="DQ192" i="5"/>
  <c r="BP193" i="5"/>
  <c r="H191" i="4"/>
  <c r="F191" i="4"/>
  <c r="P191" i="4"/>
  <c r="BR193" i="5"/>
  <c r="CO193" i="5"/>
  <c r="CQ193" i="5"/>
  <c r="BV193" i="5"/>
  <c r="CR193" i="5"/>
  <c r="CS193" i="5"/>
  <c r="CT193" i="5"/>
  <c r="CC193" i="5"/>
  <c r="CV193" i="5"/>
  <c r="BX193" i="5"/>
  <c r="CZ193" i="5"/>
  <c r="CH193" i="5"/>
  <c r="DA193" i="5"/>
  <c r="BT193" i="5"/>
  <c r="DB193" i="5"/>
  <c r="BY193" i="5"/>
  <c r="DC193" i="5"/>
  <c r="CG193" i="5"/>
  <c r="DD193" i="5"/>
  <c r="CK193" i="5"/>
  <c r="DE193" i="5"/>
  <c r="DH193" i="5"/>
  <c r="DO193" i="5"/>
  <c r="E191" i="3"/>
  <c r="DQ193" i="5"/>
  <c r="BP194" i="5"/>
  <c r="H192" i="4"/>
  <c r="F192" i="4"/>
  <c r="P192" i="4"/>
  <c r="BR194" i="5"/>
  <c r="CO194" i="5"/>
  <c r="CQ194" i="5"/>
  <c r="BV194" i="5"/>
  <c r="CR194" i="5"/>
  <c r="CS194" i="5"/>
  <c r="CT194" i="5"/>
  <c r="CC194" i="5"/>
  <c r="CV194" i="5"/>
  <c r="BX194" i="5"/>
  <c r="CZ194" i="5"/>
  <c r="CH194" i="5"/>
  <c r="DA194" i="5"/>
  <c r="BT194" i="5"/>
  <c r="DB194" i="5"/>
  <c r="BY194" i="5"/>
  <c r="DC194" i="5"/>
  <c r="DH194" i="5"/>
  <c r="DO194" i="5"/>
  <c r="E192" i="3"/>
  <c r="DQ194" i="5"/>
  <c r="BP195" i="5"/>
  <c r="H193" i="4"/>
  <c r="F193" i="4"/>
  <c r="P193" i="4"/>
  <c r="BR195" i="5"/>
  <c r="CO195" i="5"/>
  <c r="CQ195" i="5"/>
  <c r="BV195" i="5"/>
  <c r="CR195" i="5"/>
  <c r="CS195" i="5"/>
  <c r="CT195" i="5"/>
  <c r="CC195" i="5"/>
  <c r="CV195" i="5"/>
  <c r="BX195" i="5"/>
  <c r="CZ195" i="5"/>
  <c r="CH195" i="5"/>
  <c r="DA195" i="5"/>
  <c r="BT195" i="5"/>
  <c r="DB195" i="5"/>
  <c r="BY195" i="5"/>
  <c r="DC195" i="5"/>
  <c r="CG195" i="5"/>
  <c r="DD195" i="5"/>
  <c r="DH195" i="5"/>
  <c r="DO195" i="5"/>
  <c r="E193" i="3"/>
  <c r="DQ195" i="5"/>
  <c r="BP196" i="5"/>
  <c r="H194" i="4"/>
  <c r="F194" i="4"/>
  <c r="P194" i="4"/>
  <c r="BR196" i="5"/>
  <c r="CO196" i="5"/>
  <c r="CQ196" i="5"/>
  <c r="BV196" i="5"/>
  <c r="CR196" i="5"/>
  <c r="CS196" i="5"/>
  <c r="CT196" i="5"/>
  <c r="CC196" i="5"/>
  <c r="CV196" i="5"/>
  <c r="BX196" i="5"/>
  <c r="CZ196" i="5"/>
  <c r="CH196" i="5"/>
  <c r="DA196" i="5"/>
  <c r="BT196" i="5"/>
  <c r="DB196" i="5"/>
  <c r="BY196" i="5"/>
  <c r="DC196" i="5"/>
  <c r="CG196" i="5"/>
  <c r="DD196" i="5"/>
  <c r="CK196" i="5"/>
  <c r="DE196" i="5"/>
  <c r="DH196" i="5"/>
  <c r="DO196" i="5"/>
  <c r="E194" i="3"/>
  <c r="DQ196" i="5"/>
  <c r="BP197" i="5"/>
  <c r="H195" i="4"/>
  <c r="F195" i="4"/>
  <c r="P195" i="4"/>
  <c r="BR197" i="5"/>
  <c r="CO197" i="5"/>
  <c r="CQ197" i="5"/>
  <c r="BV197" i="5"/>
  <c r="CR197" i="5"/>
  <c r="CS197" i="5"/>
  <c r="CT197" i="5"/>
  <c r="CC197" i="5"/>
  <c r="CV197" i="5"/>
  <c r="BX197" i="5"/>
  <c r="CZ197" i="5"/>
  <c r="CH197" i="5"/>
  <c r="DA197" i="5"/>
  <c r="BY197" i="5"/>
  <c r="DC197" i="5"/>
  <c r="CG197" i="5"/>
  <c r="DD197" i="5"/>
  <c r="CK197" i="5"/>
  <c r="DE197" i="5"/>
  <c r="DH197" i="5"/>
  <c r="DO197" i="5"/>
  <c r="E195" i="3"/>
  <c r="DQ197" i="5"/>
  <c r="BP198" i="5"/>
  <c r="H196" i="4"/>
  <c r="F196" i="4"/>
  <c r="P196" i="4"/>
  <c r="BR198" i="5"/>
  <c r="CO198" i="5"/>
  <c r="CQ198" i="5"/>
  <c r="BV198" i="5"/>
  <c r="CR198" i="5"/>
  <c r="CS198" i="5"/>
  <c r="CT198" i="5"/>
  <c r="CC198" i="5"/>
  <c r="CV198" i="5"/>
  <c r="BX198" i="5"/>
  <c r="CZ198" i="5"/>
  <c r="CH198" i="5"/>
  <c r="DA198" i="5"/>
  <c r="BT198" i="5"/>
  <c r="DB198" i="5"/>
  <c r="BY198" i="5"/>
  <c r="DC198" i="5"/>
  <c r="CG198" i="5"/>
  <c r="DD198" i="5"/>
  <c r="CK198" i="5"/>
  <c r="DE198" i="5"/>
  <c r="DH198" i="5"/>
  <c r="DO198" i="5"/>
  <c r="E196" i="3"/>
  <c r="DQ198" i="5"/>
  <c r="BP199" i="5"/>
  <c r="H197" i="4"/>
  <c r="F197" i="4"/>
  <c r="P197" i="4"/>
  <c r="BR199" i="5"/>
  <c r="CO199" i="5"/>
  <c r="CQ199" i="5"/>
  <c r="BV199" i="5"/>
  <c r="CR199" i="5"/>
  <c r="CS199" i="5"/>
  <c r="CT199" i="5"/>
  <c r="CC199" i="5"/>
  <c r="CV199" i="5"/>
  <c r="BX199" i="5"/>
  <c r="CZ199" i="5"/>
  <c r="CH199" i="5"/>
  <c r="DA199" i="5"/>
  <c r="BT199" i="5"/>
  <c r="DB199" i="5"/>
  <c r="BY199" i="5"/>
  <c r="DC199" i="5"/>
  <c r="CG199" i="5"/>
  <c r="DD199" i="5"/>
  <c r="CK199" i="5"/>
  <c r="DE199" i="5"/>
  <c r="DH199" i="5"/>
  <c r="DO199" i="5"/>
  <c r="E197" i="3"/>
  <c r="DQ199" i="5"/>
  <c r="BP200" i="5"/>
  <c r="H198" i="4"/>
  <c r="F198" i="4"/>
  <c r="P198" i="4"/>
  <c r="BR200" i="5"/>
  <c r="CO200" i="5"/>
  <c r="CQ200" i="5"/>
  <c r="BV200" i="5"/>
  <c r="CR200" i="5"/>
  <c r="CS200" i="5"/>
  <c r="CT200" i="5"/>
  <c r="CC200" i="5"/>
  <c r="CV200" i="5"/>
  <c r="BX200" i="5"/>
  <c r="CZ200" i="5"/>
  <c r="CH200" i="5"/>
  <c r="DA200" i="5"/>
  <c r="BT200" i="5"/>
  <c r="DB200" i="5"/>
  <c r="BY200" i="5"/>
  <c r="DC200" i="5"/>
  <c r="CG200" i="5"/>
  <c r="DD200" i="5"/>
  <c r="CK200" i="5"/>
  <c r="DE200" i="5"/>
  <c r="DH200" i="5"/>
  <c r="DO200" i="5"/>
  <c r="E198" i="3"/>
  <c r="DQ200" i="5"/>
  <c r="BP201" i="5"/>
  <c r="H199" i="4"/>
  <c r="F199" i="4"/>
  <c r="P199" i="4"/>
  <c r="BR201" i="5"/>
  <c r="CO201" i="5"/>
  <c r="CQ201" i="5"/>
  <c r="BV201" i="5"/>
  <c r="CR201" i="5"/>
  <c r="CS201" i="5"/>
  <c r="CT201" i="5"/>
  <c r="CC201" i="5"/>
  <c r="CV201" i="5"/>
  <c r="BX201" i="5"/>
  <c r="CZ201" i="5"/>
  <c r="CH201" i="5"/>
  <c r="DA201" i="5"/>
  <c r="BT201" i="5"/>
  <c r="DB201" i="5"/>
  <c r="BY201" i="5"/>
  <c r="DC201" i="5"/>
  <c r="CG201" i="5"/>
  <c r="DD201" i="5"/>
  <c r="CK201" i="5"/>
  <c r="DE201" i="5"/>
  <c r="DH201" i="5"/>
  <c r="DO201" i="5"/>
  <c r="E199" i="3"/>
  <c r="DQ201" i="5"/>
  <c r="H200" i="4"/>
  <c r="F200" i="4"/>
  <c r="P200" i="4"/>
  <c r="BR202" i="5"/>
  <c r="CO202" i="5"/>
  <c r="CQ202" i="5"/>
  <c r="BV202" i="5"/>
  <c r="CR202" i="5"/>
  <c r="CC202" i="5"/>
  <c r="CV202" i="5"/>
  <c r="BX202" i="5"/>
  <c r="CZ202" i="5"/>
  <c r="CH202" i="5"/>
  <c r="DA202" i="5"/>
  <c r="BT202" i="5"/>
  <c r="DB202" i="5"/>
  <c r="BY202" i="5"/>
  <c r="DC202" i="5"/>
  <c r="CG202" i="5"/>
  <c r="DD202" i="5"/>
  <c r="CK202" i="5"/>
  <c r="DE202" i="5"/>
  <c r="DH202" i="5"/>
  <c r="DO202" i="5"/>
  <c r="E200" i="3"/>
  <c r="DQ202" i="5"/>
  <c r="BP203" i="5"/>
  <c r="H201" i="4"/>
  <c r="F201" i="4"/>
  <c r="P201" i="4"/>
  <c r="BR203" i="5"/>
  <c r="CO203" i="5"/>
  <c r="CQ203" i="5"/>
  <c r="BV203" i="5"/>
  <c r="CR203" i="5"/>
  <c r="BW203" i="5"/>
  <c r="CS203" i="5"/>
  <c r="CA203" i="5"/>
  <c r="CT203" i="5"/>
  <c r="CB203" i="5"/>
  <c r="CU203" i="5"/>
  <c r="CC203" i="5"/>
  <c r="CV203" i="5"/>
  <c r="BX203" i="5"/>
  <c r="CZ203" i="5"/>
  <c r="CH203" i="5"/>
  <c r="DA203" i="5"/>
  <c r="BT203" i="5"/>
  <c r="DB203" i="5"/>
  <c r="BY203" i="5"/>
  <c r="DC203" i="5"/>
  <c r="CG203" i="5"/>
  <c r="DD203" i="5"/>
  <c r="DH203" i="5"/>
  <c r="DO203" i="5"/>
  <c r="E201" i="3"/>
  <c r="DQ203" i="5"/>
  <c r="BP204" i="5"/>
  <c r="H202" i="4"/>
  <c r="F202" i="4"/>
  <c r="P202" i="4"/>
  <c r="BR204" i="5"/>
  <c r="CO204" i="5"/>
  <c r="CQ204" i="5"/>
  <c r="BV204" i="5"/>
  <c r="CR204" i="5"/>
  <c r="BW204" i="5"/>
  <c r="CS204" i="5"/>
  <c r="CA204" i="5"/>
  <c r="CT204" i="5"/>
  <c r="CB204" i="5"/>
  <c r="CU204" i="5"/>
  <c r="CC204" i="5"/>
  <c r="CV204" i="5"/>
  <c r="BX204" i="5"/>
  <c r="CZ204" i="5"/>
  <c r="CH204" i="5"/>
  <c r="DA204" i="5"/>
  <c r="BT204" i="5"/>
  <c r="DB204" i="5"/>
  <c r="BY204" i="5"/>
  <c r="DC204" i="5"/>
  <c r="CG204" i="5"/>
  <c r="DD204" i="5"/>
  <c r="CK204" i="5"/>
  <c r="DE204" i="5"/>
  <c r="DH204" i="5"/>
  <c r="DO204" i="5"/>
  <c r="E202" i="3"/>
  <c r="DQ204" i="5"/>
  <c r="BP205" i="5"/>
  <c r="H203" i="4"/>
  <c r="F203" i="4"/>
  <c r="P203" i="4"/>
  <c r="BR205" i="5"/>
  <c r="CO205" i="5"/>
  <c r="CQ205" i="5"/>
  <c r="BV205" i="5"/>
  <c r="CR205" i="5"/>
  <c r="BW205" i="5"/>
  <c r="CS205" i="5"/>
  <c r="CA205" i="5"/>
  <c r="CT205" i="5"/>
  <c r="CB205" i="5"/>
  <c r="CU205" i="5"/>
  <c r="CC205" i="5"/>
  <c r="CV205" i="5"/>
  <c r="BX205" i="5"/>
  <c r="CZ205" i="5"/>
  <c r="CH205" i="5"/>
  <c r="DA205" i="5"/>
  <c r="BT205" i="5"/>
  <c r="DB205" i="5"/>
  <c r="DC205" i="5"/>
  <c r="CG205" i="5"/>
  <c r="DD205" i="5"/>
  <c r="CK205" i="5"/>
  <c r="DE205" i="5"/>
  <c r="DH205" i="5"/>
  <c r="DO205" i="5"/>
  <c r="E203" i="3"/>
  <c r="DQ205" i="5"/>
  <c r="BP206" i="5"/>
  <c r="H204" i="4"/>
  <c r="F204" i="4"/>
  <c r="P204" i="4"/>
  <c r="BR206" i="5"/>
  <c r="CO206" i="5"/>
  <c r="CQ206" i="5"/>
  <c r="BV206" i="5"/>
  <c r="CR206" i="5"/>
  <c r="BW206" i="5"/>
  <c r="CS206" i="5"/>
  <c r="CA206" i="5"/>
  <c r="CT206" i="5"/>
  <c r="CB206" i="5"/>
  <c r="CU206" i="5"/>
  <c r="CC206" i="5"/>
  <c r="CV206" i="5"/>
  <c r="BX206" i="5"/>
  <c r="CZ206" i="5"/>
  <c r="CH206" i="5"/>
  <c r="DA206" i="5"/>
  <c r="BT206" i="5"/>
  <c r="DB206" i="5"/>
  <c r="BY206" i="5"/>
  <c r="DC206" i="5"/>
  <c r="CG206" i="5"/>
  <c r="DD206" i="5"/>
  <c r="CK206" i="5"/>
  <c r="DE206" i="5"/>
  <c r="DH206" i="5"/>
  <c r="DO206" i="5"/>
  <c r="E204" i="3"/>
  <c r="DQ206" i="5"/>
  <c r="BP207" i="5"/>
  <c r="H205" i="4"/>
  <c r="F205" i="4"/>
  <c r="P205" i="4"/>
  <c r="BR207" i="5"/>
  <c r="CO207" i="5"/>
  <c r="CQ207" i="5"/>
  <c r="BV207" i="5"/>
  <c r="CR207" i="5"/>
  <c r="BW207" i="5"/>
  <c r="CS207" i="5"/>
  <c r="CA207" i="5"/>
  <c r="CT207" i="5"/>
  <c r="CB207" i="5"/>
  <c r="CU207" i="5"/>
  <c r="CC207" i="5"/>
  <c r="CV207" i="5"/>
  <c r="BX207" i="5"/>
  <c r="CZ207" i="5"/>
  <c r="CH207" i="5"/>
  <c r="DA207" i="5"/>
  <c r="BY207" i="5"/>
  <c r="DC207" i="5"/>
  <c r="CG207" i="5"/>
  <c r="DD207" i="5"/>
  <c r="CK207" i="5"/>
  <c r="DE207" i="5"/>
  <c r="DH207" i="5"/>
  <c r="DO207" i="5"/>
  <c r="E205" i="3"/>
  <c r="DQ207" i="5"/>
  <c r="BP208" i="5"/>
  <c r="H206" i="4"/>
  <c r="F206" i="4"/>
  <c r="P206" i="4"/>
  <c r="BR208" i="5"/>
  <c r="CO208" i="5"/>
  <c r="CQ208" i="5"/>
  <c r="BV208" i="5"/>
  <c r="CR208" i="5"/>
  <c r="BW208" i="5"/>
  <c r="CS208" i="5"/>
  <c r="CA208" i="5"/>
  <c r="CT208" i="5"/>
  <c r="CB208" i="5"/>
  <c r="CU208" i="5"/>
  <c r="CC208" i="5"/>
  <c r="CV208" i="5"/>
  <c r="BX208" i="5"/>
  <c r="CZ208" i="5"/>
  <c r="CH208" i="5"/>
  <c r="DA208" i="5"/>
  <c r="BT208" i="5"/>
  <c r="DB208" i="5"/>
  <c r="BY208" i="5"/>
  <c r="DC208" i="5"/>
  <c r="CG208" i="5"/>
  <c r="DD208" i="5"/>
  <c r="CK208" i="5"/>
  <c r="DE208" i="5"/>
  <c r="DH208" i="5"/>
  <c r="DO208" i="5"/>
  <c r="E206" i="3"/>
  <c r="DQ208" i="5"/>
  <c r="BP209" i="5"/>
  <c r="P207" i="4"/>
  <c r="BR209" i="5"/>
  <c r="CO209" i="5"/>
  <c r="CQ209" i="5"/>
  <c r="BV209" i="5"/>
  <c r="CR209" i="5"/>
  <c r="BW209" i="5"/>
  <c r="CS209" i="5"/>
  <c r="CA209" i="5"/>
  <c r="CT209" i="5"/>
  <c r="CB209" i="5"/>
  <c r="CU209" i="5"/>
  <c r="CC209" i="5"/>
  <c r="CV209" i="5"/>
  <c r="BX209" i="5"/>
  <c r="CZ209" i="5"/>
  <c r="CH209" i="5"/>
  <c r="DA209" i="5"/>
  <c r="BT209" i="5"/>
  <c r="DB209" i="5"/>
  <c r="BY209" i="5"/>
  <c r="DC209" i="5"/>
  <c r="CG209" i="5"/>
  <c r="DD209" i="5"/>
  <c r="CK209" i="5"/>
  <c r="DE209" i="5"/>
  <c r="DH209" i="5"/>
  <c r="DO209" i="5"/>
  <c r="E207" i="3"/>
  <c r="DQ209" i="5"/>
  <c r="BP210" i="5"/>
  <c r="P208" i="4"/>
  <c r="BR210" i="5"/>
  <c r="CO210" i="5"/>
  <c r="CQ210" i="5"/>
  <c r="BV210" i="5"/>
  <c r="CR210" i="5"/>
  <c r="BW210" i="5"/>
  <c r="CS210" i="5"/>
  <c r="CA210" i="5"/>
  <c r="CT210" i="5"/>
  <c r="CB210" i="5"/>
  <c r="CU210" i="5"/>
  <c r="CC210" i="5"/>
  <c r="CV210" i="5"/>
  <c r="BX210" i="5"/>
  <c r="CZ210" i="5"/>
  <c r="CH210" i="5"/>
  <c r="DA210" i="5"/>
  <c r="BY210" i="5"/>
  <c r="DC210" i="5"/>
  <c r="CG210" i="5"/>
  <c r="DD210" i="5"/>
  <c r="CK210" i="5"/>
  <c r="DE210" i="5"/>
  <c r="DH210" i="5"/>
  <c r="DO210" i="5"/>
  <c r="E208" i="3"/>
  <c r="DQ210" i="5"/>
  <c r="BP211" i="5"/>
  <c r="P209" i="4"/>
  <c r="BR211" i="5"/>
  <c r="CO211" i="5"/>
  <c r="CQ211" i="5"/>
  <c r="BV211" i="5"/>
  <c r="CR211" i="5"/>
  <c r="BW211" i="5"/>
  <c r="CS211" i="5"/>
  <c r="CA211" i="5"/>
  <c r="CT211" i="5"/>
  <c r="CB211" i="5"/>
  <c r="CU211" i="5"/>
  <c r="CC211" i="5"/>
  <c r="CV211" i="5"/>
  <c r="BX211" i="5"/>
  <c r="CZ211" i="5"/>
  <c r="CH211" i="5"/>
  <c r="DA211" i="5"/>
  <c r="DC211" i="5"/>
  <c r="CG211" i="5"/>
  <c r="DD211" i="5"/>
  <c r="CK211" i="5"/>
  <c r="DE211" i="5"/>
  <c r="DH211" i="5"/>
  <c r="DO211" i="5"/>
  <c r="E209" i="3"/>
  <c r="DQ211" i="5"/>
  <c r="BP212" i="5"/>
  <c r="P210" i="4"/>
  <c r="BR212" i="5"/>
  <c r="CO212" i="5"/>
  <c r="CQ212" i="5"/>
  <c r="BV212" i="5"/>
  <c r="CR212" i="5"/>
  <c r="BW212" i="5"/>
  <c r="CS212" i="5"/>
  <c r="CA212" i="5"/>
  <c r="CT212" i="5"/>
  <c r="CB212" i="5"/>
  <c r="CU212" i="5"/>
  <c r="CC212" i="5"/>
  <c r="CV212" i="5"/>
  <c r="BX212" i="5"/>
  <c r="CZ212" i="5"/>
  <c r="CH212" i="5"/>
  <c r="DA212" i="5"/>
  <c r="BY212" i="5"/>
  <c r="DC212" i="5"/>
  <c r="CG212" i="5"/>
  <c r="DD212" i="5"/>
  <c r="CK212" i="5"/>
  <c r="DE212" i="5"/>
  <c r="DH212" i="5"/>
  <c r="DO212" i="5"/>
  <c r="E210" i="3"/>
  <c r="DQ212" i="5"/>
  <c r="BP213" i="5"/>
  <c r="P211" i="4"/>
  <c r="BR213" i="5"/>
  <c r="CO213" i="5"/>
  <c r="CQ213" i="5"/>
  <c r="BV213" i="5"/>
  <c r="CR213" i="5"/>
  <c r="BW213" i="5"/>
  <c r="CS213" i="5"/>
  <c r="CA213" i="5"/>
  <c r="CT213" i="5"/>
  <c r="CB213" i="5"/>
  <c r="CU213" i="5"/>
  <c r="CC213" i="5"/>
  <c r="CV213" i="5"/>
  <c r="BX213" i="5"/>
  <c r="CZ213" i="5"/>
  <c r="CH213" i="5"/>
  <c r="DA213" i="5"/>
  <c r="BT213" i="5"/>
  <c r="DB213" i="5"/>
  <c r="BY213" i="5"/>
  <c r="DC213" i="5"/>
  <c r="CK213" i="5"/>
  <c r="DE213" i="5"/>
  <c r="DH213" i="5"/>
  <c r="DO213" i="5"/>
  <c r="E211" i="3"/>
  <c r="DQ213" i="5"/>
  <c r="BP214" i="5"/>
  <c r="P212" i="4"/>
  <c r="BR214" i="5"/>
  <c r="CO214" i="5"/>
  <c r="CQ214" i="5"/>
  <c r="BV214" i="5"/>
  <c r="CR214" i="5"/>
  <c r="BW214" i="5"/>
  <c r="CS214" i="5"/>
  <c r="CA214" i="5"/>
  <c r="CT214" i="5"/>
  <c r="CB214" i="5"/>
  <c r="CU214" i="5"/>
  <c r="CC214" i="5"/>
  <c r="CV214" i="5"/>
  <c r="BX214" i="5"/>
  <c r="CZ214" i="5"/>
  <c r="CH214" i="5"/>
  <c r="DA214" i="5"/>
  <c r="BY214" i="5"/>
  <c r="DC214" i="5"/>
  <c r="CK214" i="5"/>
  <c r="DE214" i="5"/>
  <c r="DH214" i="5"/>
  <c r="DO214" i="5"/>
  <c r="E212" i="3"/>
  <c r="DQ214" i="5"/>
  <c r="BP215" i="5"/>
  <c r="P213" i="4"/>
  <c r="BR215" i="5"/>
  <c r="CO215" i="5"/>
  <c r="CQ215" i="5"/>
  <c r="BV215" i="5"/>
  <c r="CR215" i="5"/>
  <c r="BW215" i="5"/>
  <c r="CS215" i="5"/>
  <c r="CA215" i="5"/>
  <c r="CT215" i="5"/>
  <c r="CB215" i="5"/>
  <c r="CU215" i="5"/>
  <c r="CC215" i="5"/>
  <c r="CV215" i="5"/>
  <c r="BX215" i="5"/>
  <c r="CZ215" i="5"/>
  <c r="CH215" i="5"/>
  <c r="DA215" i="5"/>
  <c r="BY215" i="5"/>
  <c r="DC215" i="5"/>
  <c r="CG215" i="5"/>
  <c r="DD215" i="5"/>
  <c r="CK215" i="5"/>
  <c r="DE215" i="5"/>
  <c r="DH215" i="5"/>
  <c r="DO215" i="5"/>
  <c r="E213" i="3"/>
  <c r="DQ215" i="5"/>
  <c r="BP216" i="5"/>
  <c r="P214" i="4"/>
  <c r="BR216" i="5"/>
  <c r="CO216" i="5"/>
  <c r="CQ216" i="5"/>
  <c r="BV216" i="5"/>
  <c r="CR216" i="5"/>
  <c r="BW216" i="5"/>
  <c r="CS216" i="5"/>
  <c r="CA216" i="5"/>
  <c r="CT216" i="5"/>
  <c r="CB216" i="5"/>
  <c r="CU216" i="5"/>
  <c r="CC216" i="5"/>
  <c r="CV216" i="5"/>
  <c r="BX216" i="5"/>
  <c r="CZ216" i="5"/>
  <c r="CH216" i="5"/>
  <c r="DA216" i="5"/>
  <c r="BT216" i="5"/>
  <c r="DB216" i="5"/>
  <c r="BY216" i="5"/>
  <c r="DC216" i="5"/>
  <c r="CG216" i="5"/>
  <c r="DD216" i="5"/>
  <c r="CK216" i="5"/>
  <c r="DE216" i="5"/>
  <c r="DH216" i="5"/>
  <c r="DO216" i="5"/>
  <c r="E214" i="3"/>
  <c r="DQ216" i="5"/>
  <c r="BP217" i="5"/>
  <c r="P215" i="4"/>
  <c r="BR217" i="5"/>
  <c r="CO217" i="5"/>
  <c r="CQ217" i="5"/>
  <c r="BV217" i="5"/>
  <c r="CR217" i="5"/>
  <c r="BW217" i="5"/>
  <c r="CS217" i="5"/>
  <c r="CA217" i="5"/>
  <c r="CT217" i="5"/>
  <c r="CB217" i="5"/>
  <c r="CU217" i="5"/>
  <c r="CC217" i="5"/>
  <c r="CV217" i="5"/>
  <c r="BX217" i="5"/>
  <c r="CZ217" i="5"/>
  <c r="CH217" i="5"/>
  <c r="DA217" i="5"/>
  <c r="BT217" i="5"/>
  <c r="DB217" i="5"/>
  <c r="BY217" i="5"/>
  <c r="DC217" i="5"/>
  <c r="CG217" i="5"/>
  <c r="DD217" i="5"/>
  <c r="DH217" i="5"/>
  <c r="DO217" i="5"/>
  <c r="E215" i="3"/>
  <c r="DQ217" i="5"/>
  <c r="BP218" i="5"/>
  <c r="P216" i="4"/>
  <c r="BR218" i="5"/>
  <c r="CO218" i="5"/>
  <c r="CQ218" i="5"/>
  <c r="BV218" i="5"/>
  <c r="CR218" i="5"/>
  <c r="BW218" i="5"/>
  <c r="CS218" i="5"/>
  <c r="CA218" i="5"/>
  <c r="CT218" i="5"/>
  <c r="CB218" i="5"/>
  <c r="CU218" i="5"/>
  <c r="CC218" i="5"/>
  <c r="CV218" i="5"/>
  <c r="BX218" i="5"/>
  <c r="CZ218" i="5"/>
  <c r="CH218" i="5"/>
  <c r="DA218" i="5"/>
  <c r="BT218" i="5"/>
  <c r="DB218" i="5"/>
  <c r="BY218" i="5"/>
  <c r="DC218" i="5"/>
  <c r="CG218" i="5"/>
  <c r="DD218" i="5"/>
  <c r="CK218" i="5"/>
  <c r="DE218" i="5"/>
  <c r="DH218" i="5"/>
  <c r="DO218" i="5"/>
  <c r="E216" i="3"/>
  <c r="DQ218" i="5"/>
  <c r="BP219" i="5"/>
  <c r="P217" i="4"/>
  <c r="BR219" i="5"/>
  <c r="CO219" i="5"/>
  <c r="CQ219" i="5"/>
  <c r="BV219" i="5"/>
  <c r="CR219" i="5"/>
  <c r="BW219" i="5"/>
  <c r="CS219" i="5"/>
  <c r="CA219" i="5"/>
  <c r="CT219" i="5"/>
  <c r="CB219" i="5"/>
  <c r="CU219" i="5"/>
  <c r="CC219" i="5"/>
  <c r="CV219" i="5"/>
  <c r="BX219" i="5"/>
  <c r="CZ219" i="5"/>
  <c r="CH219" i="5"/>
  <c r="DA219" i="5"/>
  <c r="BT219" i="5"/>
  <c r="DB219" i="5"/>
  <c r="BY219" i="5"/>
  <c r="DC219" i="5"/>
  <c r="DH219" i="5"/>
  <c r="DO219" i="5"/>
  <c r="E217" i="3"/>
  <c r="DQ219" i="5"/>
  <c r="BP220" i="5"/>
  <c r="P218" i="4"/>
  <c r="BR220" i="5"/>
  <c r="CO220" i="5"/>
  <c r="CQ220" i="5"/>
  <c r="BV220" i="5"/>
  <c r="CR220" i="5"/>
  <c r="BW220" i="5"/>
  <c r="CS220" i="5"/>
  <c r="CA220" i="5"/>
  <c r="CT220" i="5"/>
  <c r="CB220" i="5"/>
  <c r="CU220" i="5"/>
  <c r="CC220" i="5"/>
  <c r="CV220" i="5"/>
  <c r="BX220" i="5"/>
  <c r="CZ220" i="5"/>
  <c r="CH220" i="5"/>
  <c r="DA220" i="5"/>
  <c r="BT220" i="5"/>
  <c r="DB220" i="5"/>
  <c r="BY220" i="5"/>
  <c r="DC220" i="5"/>
  <c r="CK220" i="5"/>
  <c r="DE220" i="5"/>
  <c r="DH220" i="5"/>
  <c r="DO220" i="5"/>
  <c r="E218" i="3"/>
  <c r="DQ220" i="5"/>
  <c r="BP221" i="5"/>
  <c r="P219" i="4"/>
  <c r="BR221" i="5"/>
  <c r="CO221" i="5"/>
  <c r="CQ221" i="5"/>
  <c r="BV221" i="5"/>
  <c r="CR221" i="5"/>
  <c r="BW221" i="5"/>
  <c r="CS221" i="5"/>
  <c r="CA221" i="5"/>
  <c r="CT221" i="5"/>
  <c r="CB221" i="5"/>
  <c r="CU221" i="5"/>
  <c r="CC221" i="5"/>
  <c r="CV221" i="5"/>
  <c r="BX221" i="5"/>
  <c r="CZ221" i="5"/>
  <c r="CH221" i="5"/>
  <c r="DA221" i="5"/>
  <c r="BT221" i="5"/>
  <c r="DB221" i="5"/>
  <c r="BY221" i="5"/>
  <c r="DC221" i="5"/>
  <c r="CG221" i="5"/>
  <c r="DD221" i="5"/>
  <c r="DH221" i="5"/>
  <c r="DO221" i="5"/>
  <c r="E219" i="3"/>
  <c r="DQ221" i="5"/>
  <c r="BP222" i="5"/>
  <c r="P220" i="4"/>
  <c r="BR222" i="5"/>
  <c r="CO222" i="5"/>
  <c r="CQ222" i="5"/>
  <c r="BV222" i="5"/>
  <c r="CR222" i="5"/>
  <c r="BW222" i="5"/>
  <c r="CS222" i="5"/>
  <c r="CA222" i="5"/>
  <c r="CT222" i="5"/>
  <c r="CB222" i="5"/>
  <c r="CU222" i="5"/>
  <c r="CC222" i="5"/>
  <c r="CV222" i="5"/>
  <c r="BX222" i="5"/>
  <c r="CZ222" i="5"/>
  <c r="CH222" i="5"/>
  <c r="DA222" i="5"/>
  <c r="BT222" i="5"/>
  <c r="DB222" i="5"/>
  <c r="BY222" i="5"/>
  <c r="DC222" i="5"/>
  <c r="CG222" i="5"/>
  <c r="DD222" i="5"/>
  <c r="CK222" i="5"/>
  <c r="DE222" i="5"/>
  <c r="DH222" i="5"/>
  <c r="DO222" i="5"/>
  <c r="E220" i="3"/>
  <c r="DQ222" i="5"/>
  <c r="BP223" i="5"/>
  <c r="P221" i="4"/>
  <c r="BR223" i="5"/>
  <c r="CO223" i="5"/>
  <c r="CQ223" i="5"/>
  <c r="BV223" i="5"/>
  <c r="CR223" i="5"/>
  <c r="BW223" i="5"/>
  <c r="CS223" i="5"/>
  <c r="CA223" i="5"/>
  <c r="CT223" i="5"/>
  <c r="CB223" i="5"/>
  <c r="CU223" i="5"/>
  <c r="CC223" i="5"/>
  <c r="CV223" i="5"/>
  <c r="BX223" i="5"/>
  <c r="CZ223" i="5"/>
  <c r="CH223" i="5"/>
  <c r="DA223" i="5"/>
  <c r="BT223" i="5"/>
  <c r="DB223" i="5"/>
  <c r="DC223" i="5"/>
  <c r="DH223" i="5"/>
  <c r="DO223" i="5"/>
  <c r="E221" i="3"/>
  <c r="DQ223" i="5"/>
  <c r="BP224" i="5"/>
  <c r="P222" i="4"/>
  <c r="BR224" i="5"/>
  <c r="CO224" i="5"/>
  <c r="CQ224" i="5"/>
  <c r="BV224" i="5"/>
  <c r="CR224" i="5"/>
  <c r="BW224" i="5"/>
  <c r="CS224" i="5"/>
  <c r="CA224" i="5"/>
  <c r="CT224" i="5"/>
  <c r="CB224" i="5"/>
  <c r="CU224" i="5"/>
  <c r="CC224" i="5"/>
  <c r="CV224" i="5"/>
  <c r="BX224" i="5"/>
  <c r="CZ224" i="5"/>
  <c r="CH224" i="5"/>
  <c r="DA224" i="5"/>
  <c r="BT224" i="5"/>
  <c r="DB224" i="5"/>
  <c r="BY224" i="5"/>
  <c r="DC224" i="5"/>
  <c r="CG224" i="5"/>
  <c r="DD224" i="5"/>
  <c r="CK224" i="5"/>
  <c r="DE224" i="5"/>
  <c r="DH224" i="5"/>
  <c r="DO224" i="5"/>
  <c r="E222" i="3"/>
  <c r="DQ224" i="5"/>
  <c r="BP225" i="5"/>
  <c r="P223" i="4"/>
  <c r="BR225" i="5"/>
  <c r="CO225" i="5"/>
  <c r="CQ225" i="5"/>
  <c r="BV225" i="5"/>
  <c r="CR225" i="5"/>
  <c r="BW225" i="5"/>
  <c r="CS225" i="5"/>
  <c r="CA225" i="5"/>
  <c r="CT225" i="5"/>
  <c r="CB225" i="5"/>
  <c r="CU225" i="5"/>
  <c r="CC225" i="5"/>
  <c r="CV225" i="5"/>
  <c r="BX225" i="5"/>
  <c r="CZ225" i="5"/>
  <c r="CH225" i="5"/>
  <c r="DA225" i="5"/>
  <c r="BT225" i="5"/>
  <c r="DB225" i="5"/>
  <c r="BY225" i="5"/>
  <c r="DC225" i="5"/>
  <c r="DH225" i="5"/>
  <c r="DO225" i="5"/>
  <c r="E223" i="3"/>
  <c r="DQ225" i="5"/>
  <c r="BP226" i="5"/>
  <c r="P224" i="4"/>
  <c r="BR226" i="5"/>
  <c r="CO226" i="5"/>
  <c r="CQ226" i="5"/>
  <c r="BV226" i="5"/>
  <c r="CR226" i="5"/>
  <c r="BW226" i="5"/>
  <c r="CS226" i="5"/>
  <c r="CA226" i="5"/>
  <c r="CT226" i="5"/>
  <c r="CB226" i="5"/>
  <c r="CU226" i="5"/>
  <c r="CC226" i="5"/>
  <c r="CV226" i="5"/>
  <c r="BX226" i="5"/>
  <c r="CZ226" i="5"/>
  <c r="CH226" i="5"/>
  <c r="DA226" i="5"/>
  <c r="BT226" i="5"/>
  <c r="DB226" i="5"/>
  <c r="DC226" i="5"/>
  <c r="CK226" i="5"/>
  <c r="DE226" i="5"/>
  <c r="DH226" i="5"/>
  <c r="DO226" i="5"/>
  <c r="E224" i="3"/>
  <c r="DQ226" i="5"/>
  <c r="BP227" i="5"/>
  <c r="P225" i="4"/>
  <c r="BR227" i="5"/>
  <c r="CO227" i="5"/>
  <c r="CQ227" i="5"/>
  <c r="BV227" i="5"/>
  <c r="CR227" i="5"/>
  <c r="BW227" i="5"/>
  <c r="CS227" i="5"/>
  <c r="CA227" i="5"/>
  <c r="CT227" i="5"/>
  <c r="CB227" i="5"/>
  <c r="CU227" i="5"/>
  <c r="CC227" i="5"/>
  <c r="CV227" i="5"/>
  <c r="BX227" i="5"/>
  <c r="CZ227" i="5"/>
  <c r="CH227" i="5"/>
  <c r="DA227" i="5"/>
  <c r="BT227" i="5"/>
  <c r="DB227" i="5"/>
  <c r="DC227" i="5"/>
  <c r="DH227" i="5"/>
  <c r="DO227" i="5"/>
  <c r="E225" i="3"/>
  <c r="DQ227" i="5"/>
  <c r="BP228" i="5"/>
  <c r="P226" i="4"/>
  <c r="BR228" i="5"/>
  <c r="CO228" i="5"/>
  <c r="CQ228" i="5"/>
  <c r="BV228" i="5"/>
  <c r="CR228" i="5"/>
  <c r="BW228" i="5"/>
  <c r="CS228" i="5"/>
  <c r="CA228" i="5"/>
  <c r="CT228" i="5"/>
  <c r="CB228" i="5"/>
  <c r="CU228" i="5"/>
  <c r="CC228" i="5"/>
  <c r="CV228" i="5"/>
  <c r="BX228" i="5"/>
  <c r="CZ228" i="5"/>
  <c r="CH228" i="5"/>
  <c r="DA228" i="5"/>
  <c r="BT228" i="5"/>
  <c r="DB228" i="5"/>
  <c r="BY228" i="5"/>
  <c r="DC228" i="5"/>
  <c r="CK228" i="5"/>
  <c r="DE228" i="5"/>
  <c r="DH228" i="5"/>
  <c r="DO228" i="5"/>
  <c r="E226" i="3"/>
  <c r="DQ228" i="5"/>
  <c r="BP229" i="5"/>
  <c r="P227" i="4"/>
  <c r="BR229" i="5"/>
  <c r="CO229" i="5"/>
  <c r="CQ229" i="5"/>
  <c r="BV229" i="5"/>
  <c r="CR229" i="5"/>
  <c r="BW229" i="5"/>
  <c r="CS229" i="5"/>
  <c r="CA229" i="5"/>
  <c r="CT229" i="5"/>
  <c r="CB229" i="5"/>
  <c r="CU229" i="5"/>
  <c r="CC229" i="5"/>
  <c r="CV229" i="5"/>
  <c r="BX229" i="5"/>
  <c r="CZ229" i="5"/>
  <c r="CH229" i="5"/>
  <c r="DA229" i="5"/>
  <c r="BT229" i="5"/>
  <c r="DB229" i="5"/>
  <c r="DC229" i="5"/>
  <c r="CK229" i="5"/>
  <c r="DE229" i="5"/>
  <c r="DH229" i="5"/>
  <c r="DO229" i="5"/>
  <c r="E227" i="3"/>
  <c r="DQ229" i="5"/>
  <c r="BP230" i="5"/>
  <c r="P228" i="4"/>
  <c r="BR230" i="5"/>
  <c r="CO230" i="5"/>
  <c r="CQ230" i="5"/>
  <c r="BV230" i="5"/>
  <c r="CR230" i="5"/>
  <c r="BW230" i="5"/>
  <c r="CS230" i="5"/>
  <c r="CA230" i="5"/>
  <c r="CT230" i="5"/>
  <c r="CB230" i="5"/>
  <c r="CU230" i="5"/>
  <c r="CC230" i="5"/>
  <c r="CV230" i="5"/>
  <c r="BX230" i="5"/>
  <c r="CZ230" i="5"/>
  <c r="CH230" i="5"/>
  <c r="DA230" i="5"/>
  <c r="BY230" i="5"/>
  <c r="DC230" i="5"/>
  <c r="CK230" i="5"/>
  <c r="DE230" i="5"/>
  <c r="DH230" i="5"/>
  <c r="DO230" i="5"/>
  <c r="E228" i="3"/>
  <c r="DQ230" i="5"/>
  <c r="BP231" i="5"/>
  <c r="P229" i="4"/>
  <c r="BR231" i="5"/>
  <c r="CO231" i="5"/>
  <c r="CQ231" i="5"/>
  <c r="BV231" i="5"/>
  <c r="CR231" i="5"/>
  <c r="BW231" i="5"/>
  <c r="CS231" i="5"/>
  <c r="CA231" i="5"/>
  <c r="CT231" i="5"/>
  <c r="CB231" i="5"/>
  <c r="CU231" i="5"/>
  <c r="CC231" i="5"/>
  <c r="CV231" i="5"/>
  <c r="BX231" i="5"/>
  <c r="CZ231" i="5"/>
  <c r="CH231" i="5"/>
  <c r="DA231" i="5"/>
  <c r="DC231" i="5"/>
  <c r="CG231" i="5"/>
  <c r="DD231" i="5"/>
  <c r="CK231" i="5"/>
  <c r="DE231" i="5"/>
  <c r="DH231" i="5"/>
  <c r="DO231" i="5"/>
  <c r="E229" i="3"/>
  <c r="DQ231" i="5"/>
  <c r="BP232" i="5"/>
  <c r="P230" i="4"/>
  <c r="BR232" i="5"/>
  <c r="CO232" i="5"/>
  <c r="CQ232" i="5"/>
  <c r="BV232" i="5"/>
  <c r="CR232" i="5"/>
  <c r="BW232" i="5"/>
  <c r="CS232" i="5"/>
  <c r="CA232" i="5"/>
  <c r="CT232" i="5"/>
  <c r="CB232" i="5"/>
  <c r="CU232" i="5"/>
  <c r="CC232" i="5"/>
  <c r="CV232" i="5"/>
  <c r="BX232" i="5"/>
  <c r="CZ232" i="5"/>
  <c r="CH232" i="5"/>
  <c r="DA232" i="5"/>
  <c r="BY232" i="5"/>
  <c r="DC232" i="5"/>
  <c r="CG232" i="5"/>
  <c r="DD232" i="5"/>
  <c r="CK232" i="5"/>
  <c r="DE232" i="5"/>
  <c r="DH232" i="5"/>
  <c r="DO232" i="5"/>
  <c r="E230" i="3"/>
  <c r="DQ232" i="5"/>
  <c r="BP233" i="5"/>
  <c r="P231" i="4"/>
  <c r="BR233" i="5"/>
  <c r="CO233" i="5"/>
  <c r="CQ233" i="5"/>
  <c r="BV233" i="5"/>
  <c r="CR233" i="5"/>
  <c r="BW233" i="5"/>
  <c r="CS233" i="5"/>
  <c r="CA233" i="5"/>
  <c r="CT233" i="5"/>
  <c r="CB233" i="5"/>
  <c r="CU233" i="5"/>
  <c r="CC233" i="5"/>
  <c r="CV233" i="5"/>
  <c r="BX233" i="5"/>
  <c r="CZ233" i="5"/>
  <c r="CH233" i="5"/>
  <c r="DA233" i="5"/>
  <c r="BY233" i="5"/>
  <c r="DC233" i="5"/>
  <c r="CG233" i="5"/>
  <c r="DD233" i="5"/>
  <c r="CK233" i="5"/>
  <c r="DE233" i="5"/>
  <c r="DH233" i="5"/>
  <c r="DO233" i="5"/>
  <c r="E231" i="3"/>
  <c r="DQ233" i="5"/>
  <c r="BP234" i="5"/>
  <c r="P232" i="4"/>
  <c r="BR234" i="5"/>
  <c r="CO234" i="5"/>
  <c r="CQ234" i="5"/>
  <c r="BV234" i="5"/>
  <c r="CR234" i="5"/>
  <c r="BW234" i="5"/>
  <c r="CS234" i="5"/>
  <c r="CA234" i="5"/>
  <c r="CT234" i="5"/>
  <c r="CB234" i="5"/>
  <c r="CU234" i="5"/>
  <c r="CC234" i="5"/>
  <c r="CV234" i="5"/>
  <c r="BX234" i="5"/>
  <c r="CZ234" i="5"/>
  <c r="CH234" i="5"/>
  <c r="DA234" i="5"/>
  <c r="BY234" i="5"/>
  <c r="DC234" i="5"/>
  <c r="CG234" i="5"/>
  <c r="DD234" i="5"/>
  <c r="CK234" i="5"/>
  <c r="DE234" i="5"/>
  <c r="DH234" i="5"/>
  <c r="DO234" i="5"/>
  <c r="E232" i="3"/>
  <c r="DQ234" i="5"/>
  <c r="BP235" i="5"/>
  <c r="P233" i="4"/>
  <c r="BR235" i="5"/>
  <c r="CO235" i="5"/>
  <c r="CQ235" i="5"/>
  <c r="BV235" i="5"/>
  <c r="CR235" i="5"/>
  <c r="BW235" i="5"/>
  <c r="CS235" i="5"/>
  <c r="CA235" i="5"/>
  <c r="CT235" i="5"/>
  <c r="CB235" i="5"/>
  <c r="CU235" i="5"/>
  <c r="CC235" i="5"/>
  <c r="CV235" i="5"/>
  <c r="BX235" i="5"/>
  <c r="CZ235" i="5"/>
  <c r="CH235" i="5"/>
  <c r="DA235" i="5"/>
  <c r="BY235" i="5"/>
  <c r="DC235" i="5"/>
  <c r="CG235" i="5"/>
  <c r="DD235" i="5"/>
  <c r="CK235" i="5"/>
  <c r="DE235" i="5"/>
  <c r="DH235" i="5"/>
  <c r="DO235" i="5"/>
  <c r="E233" i="3"/>
  <c r="DQ235" i="5"/>
  <c r="BP236" i="5"/>
  <c r="P234" i="4"/>
  <c r="BR236" i="5"/>
  <c r="CO236" i="5"/>
  <c r="CQ236" i="5"/>
  <c r="BV236" i="5"/>
  <c r="CR236" i="5"/>
  <c r="BW236" i="5"/>
  <c r="CS236" i="5"/>
  <c r="CA236" i="5"/>
  <c r="CT236" i="5"/>
  <c r="CB236" i="5"/>
  <c r="CU236" i="5"/>
  <c r="CC236" i="5"/>
  <c r="CV236" i="5"/>
  <c r="BX236" i="5"/>
  <c r="CZ236" i="5"/>
  <c r="CH236" i="5"/>
  <c r="DA236" i="5"/>
  <c r="BY236" i="5"/>
  <c r="DC236" i="5"/>
  <c r="CG236" i="5"/>
  <c r="DD236" i="5"/>
  <c r="DH236" i="5"/>
  <c r="DO236" i="5"/>
  <c r="E234" i="3"/>
  <c r="DQ236" i="5"/>
  <c r="BP237" i="5"/>
  <c r="P235" i="4"/>
  <c r="BR237" i="5"/>
  <c r="CO237" i="5"/>
  <c r="CQ237" i="5"/>
  <c r="BV237" i="5"/>
  <c r="CR237" i="5"/>
  <c r="BW237" i="5"/>
  <c r="CS237" i="5"/>
  <c r="CA237" i="5"/>
  <c r="CT237" i="5"/>
  <c r="CB237" i="5"/>
  <c r="CU237" i="5"/>
  <c r="CC237" i="5"/>
  <c r="CV237" i="5"/>
  <c r="BX237" i="5"/>
  <c r="CZ237" i="5"/>
  <c r="CH237" i="5"/>
  <c r="DA237" i="5"/>
  <c r="BY237" i="5"/>
  <c r="DC237" i="5"/>
  <c r="CG237" i="5"/>
  <c r="DD237" i="5"/>
  <c r="DH237" i="5"/>
  <c r="DO237" i="5"/>
  <c r="E235" i="3"/>
  <c r="DQ237" i="5"/>
  <c r="BP238" i="5"/>
  <c r="P236" i="4"/>
  <c r="BR238" i="5"/>
  <c r="CO238" i="5"/>
  <c r="CQ238" i="5"/>
  <c r="BV238" i="5"/>
  <c r="CR238" i="5"/>
  <c r="BW238" i="5"/>
  <c r="CS238" i="5"/>
  <c r="CA238" i="5"/>
  <c r="CT238" i="5"/>
  <c r="CB238" i="5"/>
  <c r="CU238" i="5"/>
  <c r="CC238" i="5"/>
  <c r="CV238" i="5"/>
  <c r="BX238" i="5"/>
  <c r="CZ238" i="5"/>
  <c r="CH238" i="5"/>
  <c r="DA238" i="5"/>
  <c r="BY238" i="5"/>
  <c r="DC238" i="5"/>
  <c r="DH238" i="5"/>
  <c r="DO238" i="5"/>
  <c r="E236" i="3"/>
  <c r="DQ238" i="5"/>
  <c r="BP239" i="5"/>
  <c r="P237" i="4"/>
  <c r="BR239" i="5"/>
  <c r="CO239" i="5"/>
  <c r="CQ239" i="5"/>
  <c r="BV239" i="5"/>
  <c r="CR239" i="5"/>
  <c r="BW239" i="5"/>
  <c r="CS239" i="5"/>
  <c r="CA239" i="5"/>
  <c r="CT239" i="5"/>
  <c r="CB239" i="5"/>
  <c r="CU239" i="5"/>
  <c r="CC239" i="5"/>
  <c r="CV239" i="5"/>
  <c r="BX239" i="5"/>
  <c r="CZ239" i="5"/>
  <c r="CH239" i="5"/>
  <c r="DA239" i="5"/>
  <c r="BT239" i="5"/>
  <c r="DB239" i="5"/>
  <c r="BY239" i="5"/>
  <c r="DC239" i="5"/>
  <c r="CG239" i="5"/>
  <c r="DD239" i="5"/>
  <c r="DH239" i="5"/>
  <c r="DO239" i="5"/>
  <c r="E237" i="3"/>
  <c r="DQ239" i="5"/>
  <c r="BP240" i="5"/>
  <c r="P238" i="4"/>
  <c r="BR240" i="5"/>
  <c r="CO240" i="5"/>
  <c r="CQ240" i="5"/>
  <c r="BV240" i="5"/>
  <c r="CR240" i="5"/>
  <c r="BW240" i="5"/>
  <c r="CS240" i="5"/>
  <c r="CA240" i="5"/>
  <c r="CT240" i="5"/>
  <c r="CB240" i="5"/>
  <c r="CU240" i="5"/>
  <c r="CC240" i="5"/>
  <c r="CV240" i="5"/>
  <c r="BX240" i="5"/>
  <c r="CZ240" i="5"/>
  <c r="CH240" i="5"/>
  <c r="DA240" i="5"/>
  <c r="BY240" i="5"/>
  <c r="DC240" i="5"/>
  <c r="CG240" i="5"/>
  <c r="DD240" i="5"/>
  <c r="CK240" i="5"/>
  <c r="DE240" i="5"/>
  <c r="DH240" i="5"/>
  <c r="DO240" i="5"/>
  <c r="E238" i="3"/>
  <c r="DQ240" i="5"/>
  <c r="BP241" i="5"/>
  <c r="P239" i="4"/>
  <c r="BR241" i="5"/>
  <c r="CO241" i="5"/>
  <c r="CQ241" i="5"/>
  <c r="BV241" i="5"/>
  <c r="CR241" i="5"/>
  <c r="BW241" i="5"/>
  <c r="CS241" i="5"/>
  <c r="CA241" i="5"/>
  <c r="CT241" i="5"/>
  <c r="CB241" i="5"/>
  <c r="CU241" i="5"/>
  <c r="CC241" i="5"/>
  <c r="CV241" i="5"/>
  <c r="BX241" i="5"/>
  <c r="CZ241" i="5"/>
  <c r="CH241" i="5"/>
  <c r="DA241" i="5"/>
  <c r="BT241" i="5"/>
  <c r="DB241" i="5"/>
  <c r="BY241" i="5"/>
  <c r="DC241" i="5"/>
  <c r="CG241" i="5"/>
  <c r="DD241" i="5"/>
  <c r="CK241" i="5"/>
  <c r="DE241" i="5"/>
  <c r="DH241" i="5"/>
  <c r="DO241" i="5"/>
  <c r="E239" i="3"/>
  <c r="DQ241" i="5"/>
  <c r="BP242" i="5"/>
  <c r="P240" i="4"/>
  <c r="BR242" i="5"/>
  <c r="CO242" i="5"/>
  <c r="CQ242" i="5"/>
  <c r="BV242" i="5"/>
  <c r="CR242" i="5"/>
  <c r="BW242" i="5"/>
  <c r="CS242" i="5"/>
  <c r="CA242" i="5"/>
  <c r="CT242" i="5"/>
  <c r="CB242" i="5"/>
  <c r="CU242" i="5"/>
  <c r="CC242" i="5"/>
  <c r="CV242" i="5"/>
  <c r="BX242" i="5"/>
  <c r="CZ242" i="5"/>
  <c r="CH242" i="5"/>
  <c r="DA242" i="5"/>
  <c r="BT242" i="5"/>
  <c r="DB242" i="5"/>
  <c r="BY242" i="5"/>
  <c r="DC242" i="5"/>
  <c r="CK242" i="5"/>
  <c r="DE242" i="5"/>
  <c r="DH242" i="5"/>
  <c r="DO242" i="5"/>
  <c r="E240" i="3"/>
  <c r="DQ242" i="5"/>
  <c r="BP243" i="5"/>
  <c r="P241" i="4"/>
  <c r="BR243" i="5"/>
  <c r="CO243" i="5"/>
  <c r="CQ243" i="5"/>
  <c r="BV243" i="5"/>
  <c r="CR243" i="5"/>
  <c r="BW243" i="5"/>
  <c r="CS243" i="5"/>
  <c r="CA243" i="5"/>
  <c r="CT243" i="5"/>
  <c r="CB243" i="5"/>
  <c r="CU243" i="5"/>
  <c r="CC243" i="5"/>
  <c r="CV243" i="5"/>
  <c r="BX243" i="5"/>
  <c r="CZ243" i="5"/>
  <c r="CH243" i="5"/>
  <c r="DA243" i="5"/>
  <c r="BT243" i="5"/>
  <c r="DB243" i="5"/>
  <c r="BY243" i="5"/>
  <c r="DC243" i="5"/>
  <c r="CK243" i="5"/>
  <c r="DE243" i="5"/>
  <c r="DH243" i="5"/>
  <c r="DO243" i="5"/>
  <c r="E241" i="3"/>
  <c r="DQ243" i="5"/>
  <c r="BP244" i="5"/>
  <c r="P242" i="4"/>
  <c r="BR244" i="5"/>
  <c r="CO244" i="5"/>
  <c r="CQ244" i="5"/>
  <c r="BV244" i="5"/>
  <c r="CR244" i="5"/>
  <c r="BW244" i="5"/>
  <c r="CS244" i="5"/>
  <c r="CA244" i="5"/>
  <c r="CT244" i="5"/>
  <c r="CB244" i="5"/>
  <c r="CU244" i="5"/>
  <c r="CC244" i="5"/>
  <c r="CV244" i="5"/>
  <c r="BX244" i="5"/>
  <c r="CZ244" i="5"/>
  <c r="CH244" i="5"/>
  <c r="DA244" i="5"/>
  <c r="BT244" i="5"/>
  <c r="DB244" i="5"/>
  <c r="BY244" i="5"/>
  <c r="DC244" i="5"/>
  <c r="DH244" i="5"/>
  <c r="DO244" i="5"/>
  <c r="E242" i="3"/>
  <c r="DQ244" i="5"/>
  <c r="BP245" i="5"/>
  <c r="P243" i="4"/>
  <c r="BR245" i="5"/>
  <c r="CO245" i="5"/>
  <c r="CQ245" i="5"/>
  <c r="BV245" i="5"/>
  <c r="CR245" i="5"/>
  <c r="BW245" i="5"/>
  <c r="CS245" i="5"/>
  <c r="CA245" i="5"/>
  <c r="CT245" i="5"/>
  <c r="CB245" i="5"/>
  <c r="CU245" i="5"/>
  <c r="CC245" i="5"/>
  <c r="CV245" i="5"/>
  <c r="BX245" i="5"/>
  <c r="CZ245" i="5"/>
  <c r="CH245" i="5"/>
  <c r="DA245" i="5"/>
  <c r="BT245" i="5"/>
  <c r="DB245" i="5"/>
  <c r="DC245" i="5"/>
  <c r="DH245" i="5"/>
  <c r="DO245" i="5"/>
  <c r="E243" i="3"/>
  <c r="DQ245" i="5"/>
  <c r="BP246" i="5"/>
  <c r="P244" i="4"/>
  <c r="BR246" i="5"/>
  <c r="CO246" i="5"/>
  <c r="CQ246" i="5"/>
  <c r="BV246" i="5"/>
  <c r="CR246" i="5"/>
  <c r="BW246" i="5"/>
  <c r="CS246" i="5"/>
  <c r="CA246" i="5"/>
  <c r="CT246" i="5"/>
  <c r="CB246" i="5"/>
  <c r="CU246" i="5"/>
  <c r="CC246" i="5"/>
  <c r="CV246" i="5"/>
  <c r="BX246" i="5"/>
  <c r="CZ246" i="5"/>
  <c r="CH246" i="5"/>
  <c r="DA246" i="5"/>
  <c r="BT246" i="5"/>
  <c r="DB246" i="5"/>
  <c r="BY246" i="5"/>
  <c r="DC246" i="5"/>
  <c r="CG246" i="5"/>
  <c r="DD246" i="5"/>
  <c r="CK246" i="5"/>
  <c r="DE246" i="5"/>
  <c r="DH246" i="5"/>
  <c r="DO246" i="5"/>
  <c r="E244" i="3"/>
  <c r="DQ246" i="5"/>
  <c r="BP247" i="5"/>
  <c r="P245" i="4"/>
  <c r="BR247" i="5"/>
  <c r="CO247" i="5"/>
  <c r="CQ247" i="5"/>
  <c r="BV247" i="5"/>
  <c r="CR247" i="5"/>
  <c r="BW247" i="5"/>
  <c r="CS247" i="5"/>
  <c r="CA247" i="5"/>
  <c r="CT247" i="5"/>
  <c r="CB247" i="5"/>
  <c r="CU247" i="5"/>
  <c r="CC247" i="5"/>
  <c r="CV247" i="5"/>
  <c r="BX247" i="5"/>
  <c r="CZ247" i="5"/>
  <c r="CH247" i="5"/>
  <c r="DA247" i="5"/>
  <c r="BT247" i="5"/>
  <c r="DB247" i="5"/>
  <c r="BY247" i="5"/>
  <c r="DC247" i="5"/>
  <c r="CK247" i="5"/>
  <c r="DE247" i="5"/>
  <c r="DH247" i="5"/>
  <c r="DO247" i="5"/>
  <c r="E245" i="3"/>
  <c r="DQ247" i="5"/>
  <c r="BP248" i="5"/>
  <c r="P246" i="4"/>
  <c r="BR248" i="5"/>
  <c r="CO248" i="5"/>
  <c r="CQ248" i="5"/>
  <c r="BV248" i="5"/>
  <c r="CR248" i="5"/>
  <c r="BW248" i="5"/>
  <c r="CS248" i="5"/>
  <c r="CA248" i="5"/>
  <c r="CT248" i="5"/>
  <c r="CB248" i="5"/>
  <c r="CU248" i="5"/>
  <c r="CC248" i="5"/>
  <c r="CV248" i="5"/>
  <c r="BX248" i="5"/>
  <c r="CZ248" i="5"/>
  <c r="CH248" i="5"/>
  <c r="DA248" i="5"/>
  <c r="BT248" i="5"/>
  <c r="DB248" i="5"/>
  <c r="BY248" i="5"/>
  <c r="DC248" i="5"/>
  <c r="CG248" i="5"/>
  <c r="DD248" i="5"/>
  <c r="CK248" i="5"/>
  <c r="DE248" i="5"/>
  <c r="DH248" i="5"/>
  <c r="DO248" i="5"/>
  <c r="E246" i="3"/>
  <c r="DQ248" i="5"/>
  <c r="BP249" i="5"/>
  <c r="P247" i="4"/>
  <c r="BR249" i="5"/>
  <c r="CO249" i="5"/>
  <c r="CQ249" i="5"/>
  <c r="BV249" i="5"/>
  <c r="CR249" i="5"/>
  <c r="BW249" i="5"/>
  <c r="CS249" i="5"/>
  <c r="CA249" i="5"/>
  <c r="CT249" i="5"/>
  <c r="CB249" i="5"/>
  <c r="CU249" i="5"/>
  <c r="CC249" i="5"/>
  <c r="CV249" i="5"/>
  <c r="BX249" i="5"/>
  <c r="CZ249" i="5"/>
  <c r="CH249" i="5"/>
  <c r="DA249" i="5"/>
  <c r="BT249" i="5"/>
  <c r="DB249" i="5"/>
  <c r="BY249" i="5"/>
  <c r="DC249" i="5"/>
  <c r="CG249" i="5"/>
  <c r="DD249" i="5"/>
  <c r="CK249" i="5"/>
  <c r="DE249" i="5"/>
  <c r="DH249" i="5"/>
  <c r="DO249" i="5"/>
  <c r="E247" i="3"/>
  <c r="DQ249" i="5"/>
  <c r="BP250" i="5"/>
  <c r="P248" i="4"/>
  <c r="BR250" i="5"/>
  <c r="CO250" i="5"/>
  <c r="CQ250" i="5"/>
  <c r="BV250" i="5"/>
  <c r="CR250" i="5"/>
  <c r="BW250" i="5"/>
  <c r="CS250" i="5"/>
  <c r="CA250" i="5"/>
  <c r="CT250" i="5"/>
  <c r="CB250" i="5"/>
  <c r="CU250" i="5"/>
  <c r="CC250" i="5"/>
  <c r="CV250" i="5"/>
  <c r="BX250" i="5"/>
  <c r="CZ250" i="5"/>
  <c r="CH250" i="5"/>
  <c r="DA250" i="5"/>
  <c r="BT250" i="5"/>
  <c r="DB250" i="5"/>
  <c r="BY250" i="5"/>
  <c r="DC250" i="5"/>
  <c r="CG250" i="5"/>
  <c r="DD250" i="5"/>
  <c r="CK250" i="5"/>
  <c r="DE250" i="5"/>
  <c r="DH250" i="5"/>
  <c r="DO250" i="5"/>
  <c r="E248" i="3"/>
  <c r="DQ250" i="5"/>
  <c r="BP251" i="5"/>
  <c r="P249" i="4"/>
  <c r="BR251" i="5"/>
  <c r="CO251" i="5"/>
  <c r="CQ251" i="5"/>
  <c r="BV251" i="5"/>
  <c r="CR251" i="5"/>
  <c r="BW251" i="5"/>
  <c r="CS251" i="5"/>
  <c r="CA251" i="5"/>
  <c r="CT251" i="5"/>
  <c r="CB251" i="5"/>
  <c r="CU251" i="5"/>
  <c r="CC251" i="5"/>
  <c r="CV251" i="5"/>
  <c r="BX251" i="5"/>
  <c r="CZ251" i="5"/>
  <c r="CH251" i="5"/>
  <c r="DA251" i="5"/>
  <c r="BT251" i="5"/>
  <c r="DB251" i="5"/>
  <c r="BY251" i="5"/>
  <c r="DC251" i="5"/>
  <c r="CG251" i="5"/>
  <c r="DD251" i="5"/>
  <c r="DH251" i="5"/>
  <c r="DO251" i="5"/>
  <c r="E249" i="3"/>
  <c r="DQ251" i="5"/>
  <c r="BP252" i="5"/>
  <c r="P250" i="4"/>
  <c r="BR252" i="5"/>
  <c r="CO252" i="5"/>
  <c r="CQ252" i="5"/>
  <c r="BV252" i="5"/>
  <c r="CR252" i="5"/>
  <c r="BW252" i="5"/>
  <c r="CS252" i="5"/>
  <c r="CA252" i="5"/>
  <c r="CT252" i="5"/>
  <c r="CB252" i="5"/>
  <c r="CU252" i="5"/>
  <c r="CC252" i="5"/>
  <c r="CV252" i="5"/>
  <c r="BX252" i="5"/>
  <c r="CZ252" i="5"/>
  <c r="CH252" i="5"/>
  <c r="DA252" i="5"/>
  <c r="BT252" i="5"/>
  <c r="DB252" i="5"/>
  <c r="BY252" i="5"/>
  <c r="DC252" i="5"/>
  <c r="CG252" i="5"/>
  <c r="DD252" i="5"/>
  <c r="CK252" i="5"/>
  <c r="DE252" i="5"/>
  <c r="DH252" i="5"/>
  <c r="DO252" i="5"/>
  <c r="E250" i="3"/>
  <c r="DQ252" i="5"/>
  <c r="BP253" i="5"/>
  <c r="P251" i="4"/>
  <c r="BR253" i="5"/>
  <c r="CO253" i="5"/>
  <c r="CQ253" i="5"/>
  <c r="BV253" i="5"/>
  <c r="CR253" i="5"/>
  <c r="BW253" i="5"/>
  <c r="CS253" i="5"/>
  <c r="CA253" i="5"/>
  <c r="CT253" i="5"/>
  <c r="CB253" i="5"/>
  <c r="CU253" i="5"/>
  <c r="CC253" i="5"/>
  <c r="CV253" i="5"/>
  <c r="BX253" i="5"/>
  <c r="CZ253" i="5"/>
  <c r="CH253" i="5"/>
  <c r="DA253" i="5"/>
  <c r="BT253" i="5"/>
  <c r="DB253" i="5"/>
  <c r="BY253" i="5"/>
  <c r="DC253" i="5"/>
  <c r="CG253" i="5"/>
  <c r="DD253" i="5"/>
  <c r="CK253" i="5"/>
  <c r="DE253" i="5"/>
  <c r="DH253" i="5"/>
  <c r="DO253" i="5"/>
  <c r="E251" i="3"/>
  <c r="DQ253" i="5"/>
  <c r="BP254" i="5"/>
  <c r="P252" i="4"/>
  <c r="BR254" i="5"/>
  <c r="CO254" i="5"/>
  <c r="CQ254" i="5"/>
  <c r="BV254" i="5"/>
  <c r="CR254" i="5"/>
  <c r="BW254" i="5"/>
  <c r="CS254" i="5"/>
  <c r="CA254" i="5"/>
  <c r="CT254" i="5"/>
  <c r="CB254" i="5"/>
  <c r="CU254" i="5"/>
  <c r="CC254" i="5"/>
  <c r="CV254" i="5"/>
  <c r="BX254" i="5"/>
  <c r="CZ254" i="5"/>
  <c r="CH254" i="5"/>
  <c r="DA254" i="5"/>
  <c r="BY254" i="5"/>
  <c r="DC254" i="5"/>
  <c r="CG254" i="5"/>
  <c r="DD254" i="5"/>
  <c r="CK254" i="5"/>
  <c r="DE254" i="5"/>
  <c r="DH254" i="5"/>
  <c r="DO254" i="5"/>
  <c r="E252" i="3"/>
  <c r="DQ254" i="5"/>
  <c r="BP255" i="5"/>
  <c r="P253" i="4"/>
  <c r="BR255" i="5"/>
  <c r="CO255" i="5"/>
  <c r="CQ255" i="5"/>
  <c r="BV255" i="5"/>
  <c r="CR255" i="5"/>
  <c r="BW255" i="5"/>
  <c r="CS255" i="5"/>
  <c r="CA255" i="5"/>
  <c r="CT255" i="5"/>
  <c r="CB255" i="5"/>
  <c r="CU255" i="5"/>
  <c r="CC255" i="5"/>
  <c r="CV255" i="5"/>
  <c r="BX255" i="5"/>
  <c r="CZ255" i="5"/>
  <c r="CH255" i="5"/>
  <c r="DA255" i="5"/>
  <c r="BY255" i="5"/>
  <c r="DC255" i="5"/>
  <c r="CG255" i="5"/>
  <c r="DD255" i="5"/>
  <c r="DH255" i="5"/>
  <c r="DO255" i="5"/>
  <c r="E253" i="3"/>
  <c r="DQ255" i="5"/>
  <c r="BP256" i="5"/>
  <c r="P254" i="4"/>
  <c r="BR256" i="5"/>
  <c r="CO256" i="5"/>
  <c r="CQ256" i="5"/>
  <c r="BV256" i="5"/>
  <c r="CR256" i="5"/>
  <c r="BW256" i="5"/>
  <c r="CS256" i="5"/>
  <c r="CA256" i="5"/>
  <c r="CT256" i="5"/>
  <c r="CB256" i="5"/>
  <c r="CU256" i="5"/>
  <c r="CC256" i="5"/>
  <c r="CV256" i="5"/>
  <c r="BX256" i="5"/>
  <c r="CZ256" i="5"/>
  <c r="CH256" i="5"/>
  <c r="DA256" i="5"/>
  <c r="BY256" i="5"/>
  <c r="DC256" i="5"/>
  <c r="CK256" i="5"/>
  <c r="DE256" i="5"/>
  <c r="DH256" i="5"/>
  <c r="DO256" i="5"/>
  <c r="E254" i="3"/>
  <c r="DQ256" i="5"/>
  <c r="BP257" i="5"/>
  <c r="P255" i="4"/>
  <c r="BR257" i="5"/>
  <c r="CO257" i="5"/>
  <c r="CQ257" i="5"/>
  <c r="BV257" i="5"/>
  <c r="CR257" i="5"/>
  <c r="BW257" i="5"/>
  <c r="CS257" i="5"/>
  <c r="CA257" i="5"/>
  <c r="CT257" i="5"/>
  <c r="CB257" i="5"/>
  <c r="CU257" i="5"/>
  <c r="CC257" i="5"/>
  <c r="CV257" i="5"/>
  <c r="BX257" i="5"/>
  <c r="CZ257" i="5"/>
  <c r="CH257" i="5"/>
  <c r="DA257" i="5"/>
  <c r="BY257" i="5"/>
  <c r="DC257" i="5"/>
  <c r="DH257" i="5"/>
  <c r="DO257" i="5"/>
  <c r="E255" i="3"/>
  <c r="DQ257" i="5"/>
  <c r="P256" i="4"/>
  <c r="BR258" i="5"/>
  <c r="CO258" i="5"/>
  <c r="CQ258" i="5"/>
  <c r="BV258" i="5"/>
  <c r="CR258" i="5"/>
  <c r="BW258" i="5"/>
  <c r="CS258" i="5"/>
  <c r="CA258" i="5"/>
  <c r="CT258" i="5"/>
  <c r="CB258" i="5"/>
  <c r="CU258" i="5"/>
  <c r="CC258" i="5"/>
  <c r="CV258" i="5"/>
  <c r="BX258" i="5"/>
  <c r="CZ258" i="5"/>
  <c r="CH258" i="5"/>
  <c r="DA258" i="5"/>
  <c r="BY258" i="5"/>
  <c r="DC258" i="5"/>
  <c r="CG258" i="5"/>
  <c r="DD258" i="5"/>
  <c r="CK258" i="5"/>
  <c r="DE258" i="5"/>
  <c r="DH258" i="5"/>
  <c r="DO258" i="5"/>
  <c r="E256" i="3"/>
  <c r="DQ258" i="5"/>
  <c r="BP259" i="5"/>
  <c r="P257" i="4"/>
  <c r="BR259" i="5"/>
  <c r="CO259" i="5"/>
  <c r="CQ259" i="5"/>
  <c r="BV259" i="5"/>
  <c r="CR259" i="5"/>
  <c r="BW259" i="5"/>
  <c r="CS259" i="5"/>
  <c r="CA259" i="5"/>
  <c r="CT259" i="5"/>
  <c r="CB259" i="5"/>
  <c r="CU259" i="5"/>
  <c r="CC259" i="5"/>
  <c r="CV259" i="5"/>
  <c r="BX259" i="5"/>
  <c r="CZ259" i="5"/>
  <c r="CH259" i="5"/>
  <c r="DA259" i="5"/>
  <c r="BU259" i="5"/>
  <c r="DB259" i="5"/>
  <c r="BY259" i="5"/>
  <c r="DC259" i="5"/>
  <c r="CG259" i="5"/>
  <c r="DD259" i="5"/>
  <c r="CK259" i="5"/>
  <c r="DE259" i="5"/>
  <c r="DH259" i="5"/>
  <c r="DO259" i="5"/>
  <c r="E257" i="3"/>
  <c r="DQ259" i="5"/>
  <c r="BP260" i="5"/>
  <c r="P258" i="4"/>
  <c r="BR260" i="5"/>
  <c r="CO260" i="5"/>
  <c r="CQ260" i="5"/>
  <c r="BV260" i="5"/>
  <c r="CR260" i="5"/>
  <c r="BW260" i="5"/>
  <c r="CS260" i="5"/>
  <c r="CA260" i="5"/>
  <c r="CT260" i="5"/>
  <c r="CB260" i="5"/>
  <c r="CU260" i="5"/>
  <c r="CC260" i="5"/>
  <c r="CV260" i="5"/>
  <c r="BX260" i="5"/>
  <c r="CZ260" i="5"/>
  <c r="CH260" i="5"/>
  <c r="DA260" i="5"/>
  <c r="BU260" i="5"/>
  <c r="DB260" i="5"/>
  <c r="BY260" i="5"/>
  <c r="DC260" i="5"/>
  <c r="CG260" i="5"/>
  <c r="DD260" i="5"/>
  <c r="CK260" i="5"/>
  <c r="DE260" i="5"/>
  <c r="DH260" i="5"/>
  <c r="DO260" i="5"/>
  <c r="E258" i="3"/>
  <c r="DQ260" i="5"/>
  <c r="BP261" i="5"/>
  <c r="P259" i="4"/>
  <c r="BR261" i="5"/>
  <c r="CO261" i="5"/>
  <c r="CQ261" i="5"/>
  <c r="BV261" i="5"/>
  <c r="CR261" i="5"/>
  <c r="BW261" i="5"/>
  <c r="CS261" i="5"/>
  <c r="CA261" i="5"/>
  <c r="CT261" i="5"/>
  <c r="CB261" i="5"/>
  <c r="CU261" i="5"/>
  <c r="CC261" i="5"/>
  <c r="CV261" i="5"/>
  <c r="BX261" i="5"/>
  <c r="CZ261" i="5"/>
  <c r="CH261" i="5"/>
  <c r="DA261" i="5"/>
  <c r="BY261" i="5"/>
  <c r="DC261" i="5"/>
  <c r="CG261" i="5"/>
  <c r="DD261" i="5"/>
  <c r="CK261" i="5"/>
  <c r="DE261" i="5"/>
  <c r="DH261" i="5"/>
  <c r="DO261" i="5"/>
  <c r="E259" i="3"/>
  <c r="DQ261" i="5"/>
  <c r="BP262" i="5"/>
  <c r="P260" i="4"/>
  <c r="BR262" i="5"/>
  <c r="CO262" i="5"/>
  <c r="CQ262" i="5"/>
  <c r="BV262" i="5"/>
  <c r="CR262" i="5"/>
  <c r="BW262" i="5"/>
  <c r="CS262" i="5"/>
  <c r="CA262" i="5"/>
  <c r="CT262" i="5"/>
  <c r="CB262" i="5"/>
  <c r="CU262" i="5"/>
  <c r="CC262" i="5"/>
  <c r="CV262" i="5"/>
  <c r="BX262" i="5"/>
  <c r="CZ262" i="5"/>
  <c r="CH262" i="5"/>
  <c r="DA262" i="5"/>
  <c r="BU262" i="5"/>
  <c r="DB262" i="5"/>
  <c r="BY262" i="5"/>
  <c r="DC262" i="5"/>
  <c r="CG262" i="5"/>
  <c r="DD262" i="5"/>
  <c r="CK262" i="5"/>
  <c r="DE262" i="5"/>
  <c r="DH262" i="5"/>
  <c r="DO262" i="5"/>
  <c r="E260" i="3"/>
  <c r="DQ262" i="5"/>
  <c r="BP263" i="5"/>
  <c r="P261" i="4"/>
  <c r="BR263" i="5"/>
  <c r="CO263" i="5"/>
  <c r="CQ263" i="5"/>
  <c r="BV263" i="5"/>
  <c r="CR263" i="5"/>
  <c r="BW263" i="5"/>
  <c r="CS263" i="5"/>
  <c r="CA263" i="5"/>
  <c r="CT263" i="5"/>
  <c r="CB263" i="5"/>
  <c r="CU263" i="5"/>
  <c r="CC263" i="5"/>
  <c r="CV263" i="5"/>
  <c r="BX263" i="5"/>
  <c r="CZ263" i="5"/>
  <c r="CH263" i="5"/>
  <c r="DA263" i="5"/>
  <c r="BU263" i="5"/>
  <c r="DB263" i="5"/>
  <c r="BY263" i="5"/>
  <c r="DC263" i="5"/>
  <c r="CG263" i="5"/>
  <c r="DD263" i="5"/>
  <c r="CK263" i="5"/>
  <c r="DE263" i="5"/>
  <c r="DH263" i="5"/>
  <c r="DO263" i="5"/>
  <c r="E261" i="3"/>
  <c r="DQ263" i="5"/>
  <c r="BP264" i="5"/>
  <c r="P262" i="4"/>
  <c r="BR264" i="5"/>
  <c r="CO264" i="5"/>
  <c r="CQ264" i="5"/>
  <c r="BV264" i="5"/>
  <c r="CR264" i="5"/>
  <c r="BW264" i="5"/>
  <c r="CS264" i="5"/>
  <c r="CA264" i="5"/>
  <c r="CT264" i="5"/>
  <c r="CB264" i="5"/>
  <c r="CU264" i="5"/>
  <c r="CC264" i="5"/>
  <c r="CV264" i="5"/>
  <c r="BX264" i="5"/>
  <c r="CZ264" i="5"/>
  <c r="CH264" i="5"/>
  <c r="DA264" i="5"/>
  <c r="BU264" i="5"/>
  <c r="DB264" i="5"/>
  <c r="DC264" i="5"/>
  <c r="CG264" i="5"/>
  <c r="DD264" i="5"/>
  <c r="CK264" i="5"/>
  <c r="DE264" i="5"/>
  <c r="DH264" i="5"/>
  <c r="DO264" i="5"/>
  <c r="E262" i="3"/>
  <c r="DQ264" i="5"/>
  <c r="BP265" i="5"/>
  <c r="P263" i="4"/>
  <c r="BR265" i="5"/>
  <c r="CO265" i="5"/>
  <c r="CQ265" i="5"/>
  <c r="BV265" i="5"/>
  <c r="CR265" i="5"/>
  <c r="BW265" i="5"/>
  <c r="CS265" i="5"/>
  <c r="CA265" i="5"/>
  <c r="CT265" i="5"/>
  <c r="CB265" i="5"/>
  <c r="CU265" i="5"/>
  <c r="CC265" i="5"/>
  <c r="CV265" i="5"/>
  <c r="BX265" i="5"/>
  <c r="CZ265" i="5"/>
  <c r="CH265" i="5"/>
  <c r="DA265" i="5"/>
  <c r="BU265" i="5"/>
  <c r="DB265" i="5"/>
  <c r="BY265" i="5"/>
  <c r="DC265" i="5"/>
  <c r="CG265" i="5"/>
  <c r="DD265" i="5"/>
  <c r="CK265" i="5"/>
  <c r="DE265" i="5"/>
  <c r="DH265" i="5"/>
  <c r="DO265" i="5"/>
  <c r="E263" i="3"/>
  <c r="DQ265" i="5"/>
  <c r="BP266" i="5"/>
  <c r="P264" i="4"/>
  <c r="BR266" i="5"/>
  <c r="CO266" i="5"/>
  <c r="CQ266" i="5"/>
  <c r="BV266" i="5"/>
  <c r="CR266" i="5"/>
  <c r="BW266" i="5"/>
  <c r="CS266" i="5"/>
  <c r="CA266" i="5"/>
  <c r="CT266" i="5"/>
  <c r="CB266" i="5"/>
  <c r="CU266" i="5"/>
  <c r="CC266" i="5"/>
  <c r="CV266" i="5"/>
  <c r="BX266" i="5"/>
  <c r="CZ266" i="5"/>
  <c r="CH266" i="5"/>
  <c r="DA266" i="5"/>
  <c r="BY266" i="5"/>
  <c r="DC266" i="5"/>
  <c r="CG266" i="5"/>
  <c r="DD266" i="5"/>
  <c r="CK266" i="5"/>
  <c r="DE266" i="5"/>
  <c r="DH266" i="5"/>
  <c r="DO266" i="5"/>
  <c r="E264" i="3"/>
  <c r="DQ266" i="5"/>
  <c r="BP267" i="5"/>
  <c r="P265" i="4"/>
  <c r="BR267" i="5"/>
  <c r="CO267" i="5"/>
  <c r="CQ267" i="5"/>
  <c r="BV267" i="5"/>
  <c r="CR267" i="5"/>
  <c r="BW267" i="5"/>
  <c r="CS267" i="5"/>
  <c r="CA267" i="5"/>
  <c r="CT267" i="5"/>
  <c r="CB267" i="5"/>
  <c r="CU267" i="5"/>
  <c r="CC267" i="5"/>
  <c r="CV267" i="5"/>
  <c r="BX267" i="5"/>
  <c r="CZ267" i="5"/>
  <c r="CH267" i="5"/>
  <c r="DA267" i="5"/>
  <c r="BY267" i="5"/>
  <c r="DC267" i="5"/>
  <c r="CG267" i="5"/>
  <c r="DD267" i="5"/>
  <c r="DH267" i="5"/>
  <c r="DO267" i="5"/>
  <c r="E265" i="3"/>
  <c r="DQ267" i="5"/>
  <c r="BP268" i="5"/>
  <c r="P266" i="4"/>
  <c r="BR268" i="5"/>
  <c r="CO268" i="5"/>
  <c r="CQ268" i="5"/>
  <c r="BV268" i="5"/>
  <c r="CR268" i="5"/>
  <c r="BW268" i="5"/>
  <c r="CS268" i="5"/>
  <c r="CA268" i="5"/>
  <c r="CT268" i="5"/>
  <c r="CB268" i="5"/>
  <c r="CU268" i="5"/>
  <c r="CC268" i="5"/>
  <c r="CV268" i="5"/>
  <c r="BX268" i="5"/>
  <c r="CZ268" i="5"/>
  <c r="CH268" i="5"/>
  <c r="DA268" i="5"/>
  <c r="BY268" i="5"/>
  <c r="DC268" i="5"/>
  <c r="CG268" i="5"/>
  <c r="DD268" i="5"/>
  <c r="DH268" i="5"/>
  <c r="DO268" i="5"/>
  <c r="E266" i="3"/>
  <c r="DQ268" i="5"/>
  <c r="BP269" i="5"/>
  <c r="P267" i="4"/>
  <c r="BR269" i="5"/>
  <c r="CO269" i="5"/>
  <c r="CQ269" i="5"/>
  <c r="BV269" i="5"/>
  <c r="CR269" i="5"/>
  <c r="BW269" i="5"/>
  <c r="CS269" i="5"/>
  <c r="CA269" i="5"/>
  <c r="CT269" i="5"/>
  <c r="CB269" i="5"/>
  <c r="CU269" i="5"/>
  <c r="CC269" i="5"/>
  <c r="CV269" i="5"/>
  <c r="BX269" i="5"/>
  <c r="CZ269" i="5"/>
  <c r="CH269" i="5"/>
  <c r="DA269" i="5"/>
  <c r="BY269" i="5"/>
  <c r="DC269" i="5"/>
  <c r="CG269" i="5"/>
  <c r="DD269" i="5"/>
  <c r="CK269" i="5"/>
  <c r="DE269" i="5"/>
  <c r="DH269" i="5"/>
  <c r="DO269" i="5"/>
  <c r="E267" i="3"/>
  <c r="DQ269" i="5"/>
  <c r="BP270" i="5"/>
  <c r="P268" i="4"/>
  <c r="BR270" i="5"/>
  <c r="CO270" i="5"/>
  <c r="CQ270" i="5"/>
  <c r="BV270" i="5"/>
  <c r="CR270" i="5"/>
  <c r="BW270" i="5"/>
  <c r="CS270" i="5"/>
  <c r="CA270" i="5"/>
  <c r="CT270" i="5"/>
  <c r="CB270" i="5"/>
  <c r="CU270" i="5"/>
  <c r="CC270" i="5"/>
  <c r="CV270" i="5"/>
  <c r="BX270" i="5"/>
  <c r="CZ270" i="5"/>
  <c r="CH270" i="5"/>
  <c r="DA270" i="5"/>
  <c r="BY270" i="5"/>
  <c r="DC270" i="5"/>
  <c r="CG270" i="5"/>
  <c r="DD270" i="5"/>
  <c r="CK270" i="5"/>
  <c r="DE270" i="5"/>
  <c r="DH270" i="5"/>
  <c r="DO270" i="5"/>
  <c r="E268" i="3"/>
  <c r="DQ270" i="5"/>
  <c r="BP271" i="5"/>
  <c r="P269" i="4"/>
  <c r="BR271" i="5"/>
  <c r="CO271" i="5"/>
  <c r="CQ271" i="5"/>
  <c r="BV271" i="5"/>
  <c r="CR271" i="5"/>
  <c r="BW271" i="5"/>
  <c r="CS271" i="5"/>
  <c r="CA271" i="5"/>
  <c r="CT271" i="5"/>
  <c r="CB271" i="5"/>
  <c r="CU271" i="5"/>
  <c r="CC271" i="5"/>
  <c r="CV271" i="5"/>
  <c r="BX271" i="5"/>
  <c r="CZ271" i="5"/>
  <c r="CH271" i="5"/>
  <c r="DA271" i="5"/>
  <c r="BU271" i="5"/>
  <c r="DB271" i="5"/>
  <c r="BY271" i="5"/>
  <c r="DC271" i="5"/>
  <c r="CG271" i="5"/>
  <c r="DD271" i="5"/>
  <c r="CK271" i="5"/>
  <c r="DE271" i="5"/>
  <c r="DH271" i="5"/>
  <c r="DO271" i="5"/>
  <c r="E269" i="3"/>
  <c r="DQ271" i="5"/>
  <c r="BP272" i="5"/>
  <c r="P270" i="4"/>
  <c r="BR272" i="5"/>
  <c r="CO272" i="5"/>
  <c r="CQ272" i="5"/>
  <c r="BV272" i="5"/>
  <c r="CR272" i="5"/>
  <c r="BW272" i="5"/>
  <c r="CS272" i="5"/>
  <c r="CA272" i="5"/>
  <c r="CT272" i="5"/>
  <c r="CB272" i="5"/>
  <c r="CU272" i="5"/>
  <c r="CC272" i="5"/>
  <c r="CV272" i="5"/>
  <c r="BX272" i="5"/>
  <c r="CZ272" i="5"/>
  <c r="CH272" i="5"/>
  <c r="DA272" i="5"/>
  <c r="BU272" i="5"/>
  <c r="DB272" i="5"/>
  <c r="BY272" i="5"/>
  <c r="DC272" i="5"/>
  <c r="CG272" i="5"/>
  <c r="DD272" i="5"/>
  <c r="CK272" i="5"/>
  <c r="DE272" i="5"/>
  <c r="DH272" i="5"/>
  <c r="DO272" i="5"/>
  <c r="E270" i="3"/>
  <c r="DQ272" i="5"/>
  <c r="BP273" i="5"/>
  <c r="P271" i="4"/>
  <c r="BR273" i="5"/>
  <c r="CO273" i="5"/>
  <c r="CQ273" i="5"/>
  <c r="BV273" i="5"/>
  <c r="CR273" i="5"/>
  <c r="BW273" i="5"/>
  <c r="CS273" i="5"/>
  <c r="CA273" i="5"/>
  <c r="CT273" i="5"/>
  <c r="CB273" i="5"/>
  <c r="CU273" i="5"/>
  <c r="CC273" i="5"/>
  <c r="CV273" i="5"/>
  <c r="BX273" i="5"/>
  <c r="CZ273" i="5"/>
  <c r="CH273" i="5"/>
  <c r="DA273" i="5"/>
  <c r="BU273" i="5"/>
  <c r="DB273" i="5"/>
  <c r="BY273" i="5"/>
  <c r="DC273" i="5"/>
  <c r="CG273" i="5"/>
  <c r="DD273" i="5"/>
  <c r="CK273" i="5"/>
  <c r="DE273" i="5"/>
  <c r="DH273" i="5"/>
  <c r="DO273" i="5"/>
  <c r="E271" i="3"/>
  <c r="DQ273" i="5"/>
  <c r="BP274" i="5"/>
  <c r="P272" i="4"/>
  <c r="BR274" i="5"/>
  <c r="CO274" i="5"/>
  <c r="CQ274" i="5"/>
  <c r="BV274" i="5"/>
  <c r="CR274" i="5"/>
  <c r="BW274" i="5"/>
  <c r="CS274" i="5"/>
  <c r="CA274" i="5"/>
  <c r="CT274" i="5"/>
  <c r="CB274" i="5"/>
  <c r="CU274" i="5"/>
  <c r="CC274" i="5"/>
  <c r="CV274" i="5"/>
  <c r="BX274" i="5"/>
  <c r="CZ274" i="5"/>
  <c r="CH274" i="5"/>
  <c r="DA274" i="5"/>
  <c r="BY274" i="5"/>
  <c r="DC274" i="5"/>
  <c r="CG274" i="5"/>
  <c r="DD274" i="5"/>
  <c r="CK274" i="5"/>
  <c r="DE274" i="5"/>
  <c r="DH274" i="5"/>
  <c r="DO274" i="5"/>
  <c r="E272" i="3"/>
  <c r="DQ274" i="5"/>
  <c r="BP275" i="5"/>
  <c r="P273" i="4"/>
  <c r="BR275" i="5"/>
  <c r="CO275" i="5"/>
  <c r="CQ275" i="5"/>
  <c r="BV275" i="5"/>
  <c r="CR275" i="5"/>
  <c r="BW275" i="5"/>
  <c r="CS275" i="5"/>
  <c r="CA275" i="5"/>
  <c r="CT275" i="5"/>
  <c r="CB275" i="5"/>
  <c r="CU275" i="5"/>
  <c r="CC275" i="5"/>
  <c r="CV275" i="5"/>
  <c r="BX275" i="5"/>
  <c r="CZ275" i="5"/>
  <c r="CH275" i="5"/>
  <c r="DA275" i="5"/>
  <c r="BU275" i="5"/>
  <c r="DB275" i="5"/>
  <c r="BY275" i="5"/>
  <c r="DC275" i="5"/>
  <c r="CG275" i="5"/>
  <c r="DD275" i="5"/>
  <c r="CK275" i="5"/>
  <c r="DE275" i="5"/>
  <c r="DH275" i="5"/>
  <c r="DO275" i="5"/>
  <c r="E273" i="3"/>
  <c r="DQ275" i="5"/>
  <c r="BP276" i="5"/>
  <c r="P274" i="4"/>
  <c r="BR276" i="5"/>
  <c r="CO276" i="5"/>
  <c r="CQ276" i="5"/>
  <c r="BV276" i="5"/>
  <c r="CR276" i="5"/>
  <c r="BW276" i="5"/>
  <c r="CS276" i="5"/>
  <c r="CA276" i="5"/>
  <c r="CT276" i="5"/>
  <c r="CB276" i="5"/>
  <c r="CU276" i="5"/>
  <c r="CC276" i="5"/>
  <c r="CV276" i="5"/>
  <c r="BX276" i="5"/>
  <c r="CZ276" i="5"/>
  <c r="CH276" i="5"/>
  <c r="DA276" i="5"/>
  <c r="BU276" i="5"/>
  <c r="DB276" i="5"/>
  <c r="BY276" i="5"/>
  <c r="DC276" i="5"/>
  <c r="CG276" i="5"/>
  <c r="DD276" i="5"/>
  <c r="DH276" i="5"/>
  <c r="DO276" i="5"/>
  <c r="E274" i="3"/>
  <c r="DQ276" i="5"/>
  <c r="BP277" i="5"/>
  <c r="P275" i="4"/>
  <c r="BR277" i="5"/>
  <c r="CO277" i="5"/>
  <c r="CQ277" i="5"/>
  <c r="BV277" i="5"/>
  <c r="CR277" i="5"/>
  <c r="BW277" i="5"/>
  <c r="CS277" i="5"/>
  <c r="CA277" i="5"/>
  <c r="CT277" i="5"/>
  <c r="CB277" i="5"/>
  <c r="CU277" i="5"/>
  <c r="CC277" i="5"/>
  <c r="CV277" i="5"/>
  <c r="BX277" i="5"/>
  <c r="CZ277" i="5"/>
  <c r="CH277" i="5"/>
  <c r="DA277" i="5"/>
  <c r="BU277" i="5"/>
  <c r="DB277" i="5"/>
  <c r="BY277" i="5"/>
  <c r="DC277" i="5"/>
  <c r="CG277" i="5"/>
  <c r="DD277" i="5"/>
  <c r="CK277" i="5"/>
  <c r="DE277" i="5"/>
  <c r="DH277" i="5"/>
  <c r="DO277" i="5"/>
  <c r="E275" i="3"/>
  <c r="DQ277" i="5"/>
  <c r="BP278" i="5"/>
  <c r="P276" i="4"/>
  <c r="BR278" i="5"/>
  <c r="CO278" i="5"/>
  <c r="CQ278" i="5"/>
  <c r="BV278" i="5"/>
  <c r="CR278" i="5"/>
  <c r="BW278" i="5"/>
  <c r="CS278" i="5"/>
  <c r="CA278" i="5"/>
  <c r="CT278" i="5"/>
  <c r="CB278" i="5"/>
  <c r="CU278" i="5"/>
  <c r="CC278" i="5"/>
  <c r="CV278" i="5"/>
  <c r="BX278" i="5"/>
  <c r="CZ278" i="5"/>
  <c r="CH278" i="5"/>
  <c r="DA278" i="5"/>
  <c r="BY278" i="5"/>
  <c r="DC278" i="5"/>
  <c r="CG278" i="5"/>
  <c r="DD278" i="5"/>
  <c r="CK278" i="5"/>
  <c r="DE278" i="5"/>
  <c r="DH278" i="5"/>
  <c r="DO278" i="5"/>
  <c r="E276" i="3"/>
  <c r="DQ278" i="5"/>
  <c r="BP279" i="5"/>
  <c r="P277" i="4"/>
  <c r="BR279" i="5"/>
  <c r="CO279" i="5"/>
  <c r="CQ279" i="5"/>
  <c r="BV279" i="5"/>
  <c r="CR279" i="5"/>
  <c r="BW279" i="5"/>
  <c r="CS279" i="5"/>
  <c r="CA279" i="5"/>
  <c r="CT279" i="5"/>
  <c r="CB279" i="5"/>
  <c r="CU279" i="5"/>
  <c r="CC279" i="5"/>
  <c r="CV279" i="5"/>
  <c r="BX279" i="5"/>
  <c r="CZ279" i="5"/>
  <c r="CH279" i="5"/>
  <c r="DA279" i="5"/>
  <c r="BY279" i="5"/>
  <c r="DC279" i="5"/>
  <c r="CG279" i="5"/>
  <c r="DD279" i="5"/>
  <c r="CK279" i="5"/>
  <c r="DE279" i="5"/>
  <c r="DH279" i="5"/>
  <c r="DO279" i="5"/>
  <c r="E277" i="3"/>
  <c r="DQ279" i="5"/>
  <c r="BP280" i="5"/>
  <c r="P278" i="4"/>
  <c r="BR280" i="5"/>
  <c r="CO280" i="5"/>
  <c r="CQ280" i="5"/>
  <c r="BV280" i="5"/>
  <c r="CR280" i="5"/>
  <c r="BW280" i="5"/>
  <c r="CS280" i="5"/>
  <c r="CA280" i="5"/>
  <c r="CT280" i="5"/>
  <c r="CB280" i="5"/>
  <c r="CU280" i="5"/>
  <c r="CC280" i="5"/>
  <c r="CV280" i="5"/>
  <c r="BX280" i="5"/>
  <c r="CZ280" i="5"/>
  <c r="CH280" i="5"/>
  <c r="DA280" i="5"/>
  <c r="BU280" i="5"/>
  <c r="DB280" i="5"/>
  <c r="BY280" i="5"/>
  <c r="DC280" i="5"/>
  <c r="CG280" i="5"/>
  <c r="DD280" i="5"/>
  <c r="CK280" i="5"/>
  <c r="DE280" i="5"/>
  <c r="DH280" i="5"/>
  <c r="DO280" i="5"/>
  <c r="E278" i="3"/>
  <c r="DQ280" i="5"/>
  <c r="BP281" i="5"/>
  <c r="P279" i="4"/>
  <c r="BR281" i="5"/>
  <c r="CO281" i="5"/>
  <c r="CQ281" i="5"/>
  <c r="BV281" i="5"/>
  <c r="CR281" i="5"/>
  <c r="BW281" i="5"/>
  <c r="CS281" i="5"/>
  <c r="CA281" i="5"/>
  <c r="CT281" i="5"/>
  <c r="CB281" i="5"/>
  <c r="CU281" i="5"/>
  <c r="CC281" i="5"/>
  <c r="CV281" i="5"/>
  <c r="BX281" i="5"/>
  <c r="CZ281" i="5"/>
  <c r="CH281" i="5"/>
  <c r="DA281" i="5"/>
  <c r="BY281" i="5"/>
  <c r="DC281" i="5"/>
  <c r="CG281" i="5"/>
  <c r="DD281" i="5"/>
  <c r="CK281" i="5"/>
  <c r="DE281" i="5"/>
  <c r="DH281" i="5"/>
  <c r="DO281" i="5"/>
  <c r="E279" i="3"/>
  <c r="DQ281" i="5"/>
  <c r="BP282" i="5"/>
  <c r="P280" i="4"/>
  <c r="BR282" i="5"/>
  <c r="CO282" i="5"/>
  <c r="CQ282" i="5"/>
  <c r="BV282" i="5"/>
  <c r="CR282" i="5"/>
  <c r="BW282" i="5"/>
  <c r="CS282" i="5"/>
  <c r="CA282" i="5"/>
  <c r="CT282" i="5"/>
  <c r="CB282" i="5"/>
  <c r="CU282" i="5"/>
  <c r="CC282" i="5"/>
  <c r="CV282" i="5"/>
  <c r="BX282" i="5"/>
  <c r="CZ282" i="5"/>
  <c r="CH282" i="5"/>
  <c r="DA282" i="5"/>
  <c r="BU282" i="5"/>
  <c r="DB282" i="5"/>
  <c r="BY282" i="5"/>
  <c r="DC282" i="5"/>
  <c r="CG282" i="5"/>
  <c r="DD282" i="5"/>
  <c r="CK282" i="5"/>
  <c r="DE282" i="5"/>
  <c r="DH282" i="5"/>
  <c r="DO282" i="5"/>
  <c r="E280" i="3"/>
  <c r="DQ282" i="5"/>
  <c r="BP283" i="5"/>
  <c r="P281" i="4"/>
  <c r="BR283" i="5"/>
  <c r="CO283" i="5"/>
  <c r="CQ283" i="5"/>
  <c r="BV283" i="5"/>
  <c r="CR283" i="5"/>
  <c r="BW283" i="5"/>
  <c r="CS283" i="5"/>
  <c r="CA283" i="5"/>
  <c r="CT283" i="5"/>
  <c r="CB283" i="5"/>
  <c r="CU283" i="5"/>
  <c r="CC283" i="5"/>
  <c r="CV283" i="5"/>
  <c r="BX283" i="5"/>
  <c r="CZ283" i="5"/>
  <c r="CH283" i="5"/>
  <c r="DA283" i="5"/>
  <c r="BU283" i="5"/>
  <c r="DB283" i="5"/>
  <c r="BY283" i="5"/>
  <c r="DC283" i="5"/>
  <c r="CG283" i="5"/>
  <c r="DD283" i="5"/>
  <c r="CK283" i="5"/>
  <c r="DE283" i="5"/>
  <c r="DH283" i="5"/>
  <c r="DO283" i="5"/>
  <c r="E281" i="3"/>
  <c r="DQ283" i="5"/>
  <c r="BP284" i="5"/>
  <c r="P282" i="4"/>
  <c r="BR284" i="5"/>
  <c r="CO284" i="5"/>
  <c r="CQ284" i="5"/>
  <c r="BV284" i="5"/>
  <c r="CR284" i="5"/>
  <c r="BW284" i="5"/>
  <c r="CS284" i="5"/>
  <c r="CA284" i="5"/>
  <c r="CT284" i="5"/>
  <c r="CB284" i="5"/>
  <c r="CU284" i="5"/>
  <c r="CC284" i="5"/>
  <c r="CV284" i="5"/>
  <c r="BX284" i="5"/>
  <c r="CZ284" i="5"/>
  <c r="CH284" i="5"/>
  <c r="DA284" i="5"/>
  <c r="BU284" i="5"/>
  <c r="DB284" i="5"/>
  <c r="BY284" i="5"/>
  <c r="DC284" i="5"/>
  <c r="CG284" i="5"/>
  <c r="DD284" i="5"/>
  <c r="CK284" i="5"/>
  <c r="DE284" i="5"/>
  <c r="DH284" i="5"/>
  <c r="DO284" i="5"/>
  <c r="E282" i="3"/>
  <c r="DQ284" i="5"/>
  <c r="BP285" i="5"/>
  <c r="P283" i="4"/>
  <c r="BR285" i="5"/>
  <c r="CO285" i="5"/>
  <c r="CQ285" i="5"/>
  <c r="BV285" i="5"/>
  <c r="CR285" i="5"/>
  <c r="BW285" i="5"/>
  <c r="CS285" i="5"/>
  <c r="CA285" i="5"/>
  <c r="CT285" i="5"/>
  <c r="CB285" i="5"/>
  <c r="CU285" i="5"/>
  <c r="CC285" i="5"/>
  <c r="CV285" i="5"/>
  <c r="BX285" i="5"/>
  <c r="CZ285" i="5"/>
  <c r="CH285" i="5"/>
  <c r="DA285" i="5"/>
  <c r="BU285" i="5"/>
  <c r="DB285" i="5"/>
  <c r="BY285" i="5"/>
  <c r="DC285" i="5"/>
  <c r="CG285" i="5"/>
  <c r="DD285" i="5"/>
  <c r="CK285" i="5"/>
  <c r="DE285" i="5"/>
  <c r="DH285" i="5"/>
  <c r="DO285" i="5"/>
  <c r="E283" i="3"/>
  <c r="DQ285" i="5"/>
  <c r="BP286" i="5"/>
  <c r="P284" i="4"/>
  <c r="BR286" i="5"/>
  <c r="CO286" i="5"/>
  <c r="CQ286" i="5"/>
  <c r="BV286" i="5"/>
  <c r="CR286" i="5"/>
  <c r="BW286" i="5"/>
  <c r="CS286" i="5"/>
  <c r="CA286" i="5"/>
  <c r="CT286" i="5"/>
  <c r="CB286" i="5"/>
  <c r="CU286" i="5"/>
  <c r="CC286" i="5"/>
  <c r="CV286" i="5"/>
  <c r="BX286" i="5"/>
  <c r="CZ286" i="5"/>
  <c r="CH286" i="5"/>
  <c r="DA286" i="5"/>
  <c r="BU286" i="5"/>
  <c r="DB286" i="5"/>
  <c r="BY286" i="5"/>
  <c r="DC286" i="5"/>
  <c r="CG286" i="5"/>
  <c r="DD286" i="5"/>
  <c r="DH286" i="5"/>
  <c r="DO286" i="5"/>
  <c r="E284" i="3"/>
  <c r="DQ286" i="5"/>
  <c r="BP287" i="5"/>
  <c r="P285" i="4"/>
  <c r="BR287" i="5"/>
  <c r="CO287" i="5"/>
  <c r="CQ287" i="5"/>
  <c r="BV287" i="5"/>
  <c r="CR287" i="5"/>
  <c r="BW287" i="5"/>
  <c r="CS287" i="5"/>
  <c r="CA287" i="5"/>
  <c r="CT287" i="5"/>
  <c r="CB287" i="5"/>
  <c r="CU287" i="5"/>
  <c r="CC287" i="5"/>
  <c r="CV287" i="5"/>
  <c r="BX287" i="5"/>
  <c r="CZ287" i="5"/>
  <c r="CH287" i="5"/>
  <c r="DA287" i="5"/>
  <c r="BU287" i="5"/>
  <c r="DB287" i="5"/>
  <c r="BY287" i="5"/>
  <c r="DC287" i="5"/>
  <c r="CK287" i="5"/>
  <c r="DE287" i="5"/>
  <c r="DH287" i="5"/>
  <c r="DO287" i="5"/>
  <c r="E285" i="3"/>
  <c r="DQ287" i="5"/>
  <c r="BP288" i="5"/>
  <c r="P286" i="4"/>
  <c r="BR288" i="5"/>
  <c r="CO288" i="5"/>
  <c r="CQ288" i="5"/>
  <c r="BV288" i="5"/>
  <c r="CR288" i="5"/>
  <c r="BW288" i="5"/>
  <c r="CS288" i="5"/>
  <c r="CA288" i="5"/>
  <c r="CT288" i="5"/>
  <c r="CB288" i="5"/>
  <c r="CU288" i="5"/>
  <c r="CC288" i="5"/>
  <c r="CV288" i="5"/>
  <c r="BX288" i="5"/>
  <c r="CZ288" i="5"/>
  <c r="CH288" i="5"/>
  <c r="DA288" i="5"/>
  <c r="BU288" i="5"/>
  <c r="DB288" i="5"/>
  <c r="BY288" i="5"/>
  <c r="DC288" i="5"/>
  <c r="CK288" i="5"/>
  <c r="DE288" i="5"/>
  <c r="DH288" i="5"/>
  <c r="DO288" i="5"/>
  <c r="E286" i="3"/>
  <c r="DQ288" i="5"/>
  <c r="BP289" i="5"/>
  <c r="P287" i="4"/>
  <c r="BR289" i="5"/>
  <c r="CO289" i="5"/>
  <c r="CQ289" i="5"/>
  <c r="BV289" i="5"/>
  <c r="CR289" i="5"/>
  <c r="BW289" i="5"/>
  <c r="CS289" i="5"/>
  <c r="CA289" i="5"/>
  <c r="CT289" i="5"/>
  <c r="CB289" i="5"/>
  <c r="CU289" i="5"/>
  <c r="CC289" i="5"/>
  <c r="CV289" i="5"/>
  <c r="BX289" i="5"/>
  <c r="CZ289" i="5"/>
  <c r="CH289" i="5"/>
  <c r="DA289" i="5"/>
  <c r="BY289" i="5"/>
  <c r="DC289" i="5"/>
  <c r="CG289" i="5"/>
  <c r="DD289" i="5"/>
  <c r="CK289" i="5"/>
  <c r="DE289" i="5"/>
  <c r="DH289" i="5"/>
  <c r="DO289" i="5"/>
  <c r="E287" i="3"/>
  <c r="DQ289" i="5"/>
  <c r="BP290" i="5"/>
  <c r="P288" i="4"/>
  <c r="BR290" i="5"/>
  <c r="CO290" i="5"/>
  <c r="CQ290" i="5"/>
  <c r="BV290" i="5"/>
  <c r="CR290" i="5"/>
  <c r="BW290" i="5"/>
  <c r="CS290" i="5"/>
  <c r="CA290" i="5"/>
  <c r="CT290" i="5"/>
  <c r="CB290" i="5"/>
  <c r="CU290" i="5"/>
  <c r="CC290" i="5"/>
  <c r="CV290" i="5"/>
  <c r="BX290" i="5"/>
  <c r="CZ290" i="5"/>
  <c r="CH290" i="5"/>
  <c r="DA290" i="5"/>
  <c r="BU290" i="5"/>
  <c r="DB290" i="5"/>
  <c r="BY290" i="5"/>
  <c r="DC290" i="5"/>
  <c r="CG290" i="5"/>
  <c r="DD290" i="5"/>
  <c r="CK290" i="5"/>
  <c r="DE290" i="5"/>
  <c r="DH290" i="5"/>
  <c r="DO290" i="5"/>
  <c r="E288" i="3"/>
  <c r="DQ290" i="5"/>
  <c r="BP291" i="5"/>
  <c r="P289" i="4"/>
  <c r="BR291" i="5"/>
  <c r="CO291" i="5"/>
  <c r="CQ291" i="5"/>
  <c r="BV291" i="5"/>
  <c r="CR291" i="5"/>
  <c r="BW291" i="5"/>
  <c r="CS291" i="5"/>
  <c r="CA291" i="5"/>
  <c r="CT291" i="5"/>
  <c r="CB291" i="5"/>
  <c r="CU291" i="5"/>
  <c r="CC291" i="5"/>
  <c r="CV291" i="5"/>
  <c r="BX291" i="5"/>
  <c r="CZ291" i="5"/>
  <c r="CH291" i="5"/>
  <c r="DA291" i="5"/>
  <c r="BY291" i="5"/>
  <c r="DC291" i="5"/>
  <c r="CK291" i="5"/>
  <c r="DE291" i="5"/>
  <c r="DH291" i="5"/>
  <c r="DO291" i="5"/>
  <c r="E289" i="3"/>
  <c r="DQ291" i="5"/>
  <c r="BP292" i="5"/>
  <c r="P290" i="4"/>
  <c r="BR292" i="5"/>
  <c r="CO292" i="5"/>
  <c r="CQ292" i="5"/>
  <c r="BV292" i="5"/>
  <c r="CR292" i="5"/>
  <c r="BW292" i="5"/>
  <c r="CS292" i="5"/>
  <c r="CA292" i="5"/>
  <c r="CT292" i="5"/>
  <c r="CB292" i="5"/>
  <c r="CU292" i="5"/>
  <c r="CC292" i="5"/>
  <c r="CV292" i="5"/>
  <c r="BX292" i="5"/>
  <c r="CZ292" i="5"/>
  <c r="CH292" i="5"/>
  <c r="DA292" i="5"/>
  <c r="BU292" i="5"/>
  <c r="DB292" i="5"/>
  <c r="BY292" i="5"/>
  <c r="DC292" i="5"/>
  <c r="CK292" i="5"/>
  <c r="DE292" i="5"/>
  <c r="DH292" i="5"/>
  <c r="DO292" i="5"/>
  <c r="E290" i="3"/>
  <c r="DQ292" i="5"/>
  <c r="BP293" i="5"/>
  <c r="P291" i="4"/>
  <c r="BR293" i="5"/>
  <c r="CO293" i="5"/>
  <c r="CQ293" i="5"/>
  <c r="BV293" i="5"/>
  <c r="CR293" i="5"/>
  <c r="BW293" i="5"/>
  <c r="CS293" i="5"/>
  <c r="CA293" i="5"/>
  <c r="CT293" i="5"/>
  <c r="CB293" i="5"/>
  <c r="CU293" i="5"/>
  <c r="BX293" i="5"/>
  <c r="CZ293" i="5"/>
  <c r="BY293" i="5"/>
  <c r="DC293" i="5"/>
  <c r="CK293" i="5"/>
  <c r="DE293" i="5"/>
  <c r="DH293" i="5"/>
  <c r="DO293" i="5"/>
  <c r="E291" i="3"/>
  <c r="DQ293" i="5"/>
  <c r="BP294" i="5"/>
  <c r="P292" i="4"/>
  <c r="BR294" i="5"/>
  <c r="CO294" i="5"/>
  <c r="CQ294" i="5"/>
  <c r="BV294" i="5"/>
  <c r="CR294" i="5"/>
  <c r="BW294" i="5"/>
  <c r="CS294" i="5"/>
  <c r="CA294" i="5"/>
  <c r="CT294" i="5"/>
  <c r="CB294" i="5"/>
  <c r="CU294" i="5"/>
  <c r="BX294" i="5"/>
  <c r="CZ294" i="5"/>
  <c r="BY294" i="5"/>
  <c r="DC294" i="5"/>
  <c r="CK294" i="5"/>
  <c r="DE294" i="5"/>
  <c r="DH294" i="5"/>
  <c r="DO294" i="5"/>
  <c r="E292" i="3"/>
  <c r="DQ294" i="5"/>
  <c r="BP295" i="5"/>
  <c r="P293" i="4"/>
  <c r="BR295" i="5"/>
  <c r="CO295" i="5"/>
  <c r="CQ295" i="5"/>
  <c r="BV295" i="5"/>
  <c r="CR295" i="5"/>
  <c r="BW295" i="5"/>
  <c r="CS295" i="5"/>
  <c r="CA295" i="5"/>
  <c r="CT295" i="5"/>
  <c r="CB295" i="5"/>
  <c r="CU295" i="5"/>
  <c r="BX295" i="5"/>
  <c r="CZ295" i="5"/>
  <c r="BU295" i="5"/>
  <c r="DB295" i="5"/>
  <c r="BY295" i="5"/>
  <c r="DC295" i="5"/>
  <c r="CK295" i="5"/>
  <c r="DE295" i="5"/>
  <c r="DH295" i="5"/>
  <c r="DO295" i="5"/>
  <c r="E293" i="3"/>
  <c r="DQ295" i="5"/>
  <c r="BP296" i="5"/>
  <c r="F294" i="4"/>
  <c r="P294" i="4"/>
  <c r="BR296" i="5"/>
  <c r="CO296" i="5"/>
  <c r="CQ296" i="5"/>
  <c r="BV296" i="5"/>
  <c r="CR296" i="5"/>
  <c r="BW296" i="5"/>
  <c r="CS296" i="5"/>
  <c r="CA296" i="5"/>
  <c r="CT296" i="5"/>
  <c r="CB296" i="5"/>
  <c r="CU296" i="5"/>
  <c r="BX296" i="5"/>
  <c r="CZ296" i="5"/>
  <c r="BY296" i="5"/>
  <c r="DC296" i="5"/>
  <c r="DH296" i="5"/>
  <c r="DO296" i="5"/>
  <c r="E294" i="3"/>
  <c r="DQ296" i="5"/>
  <c r="BP297" i="5"/>
  <c r="BS297" i="5"/>
  <c r="CQ297" i="5"/>
  <c r="BV297" i="5"/>
  <c r="CR297" i="5"/>
  <c r="BW297" i="5"/>
  <c r="CS297" i="5"/>
  <c r="CA297" i="5"/>
  <c r="CT297" i="5"/>
  <c r="CB297" i="5"/>
  <c r="CU297" i="5"/>
  <c r="BX297" i="5"/>
  <c r="CZ297" i="5"/>
  <c r="BU297" i="5"/>
  <c r="DB297" i="5"/>
  <c r="BY297" i="5"/>
  <c r="DC297" i="5"/>
  <c r="CK297" i="5"/>
  <c r="DE297" i="5"/>
  <c r="DH297" i="5"/>
  <c r="DO297" i="5"/>
  <c r="E295" i="3"/>
  <c r="DQ297" i="5"/>
  <c r="BP298" i="5"/>
  <c r="BS298" i="5"/>
  <c r="CQ298" i="5"/>
  <c r="BV298" i="5"/>
  <c r="CR298" i="5"/>
  <c r="BW298" i="5"/>
  <c r="CS298" i="5"/>
  <c r="CA298" i="5"/>
  <c r="CT298" i="5"/>
  <c r="CB298" i="5"/>
  <c r="CU298" i="5"/>
  <c r="BX298" i="5"/>
  <c r="CZ298" i="5"/>
  <c r="BY298" i="5"/>
  <c r="DC298" i="5"/>
  <c r="CK298" i="5"/>
  <c r="DE298" i="5"/>
  <c r="DH298" i="5"/>
  <c r="DO298" i="5"/>
  <c r="E296" i="3"/>
  <c r="DQ298" i="5"/>
  <c r="BP299" i="5"/>
  <c r="BS299" i="5"/>
  <c r="CQ299" i="5"/>
  <c r="BV299" i="5"/>
  <c r="CR299" i="5"/>
  <c r="BW299" i="5"/>
  <c r="CS299" i="5"/>
  <c r="CA299" i="5"/>
  <c r="CT299" i="5"/>
  <c r="CB299" i="5"/>
  <c r="CU299" i="5"/>
  <c r="BX299" i="5"/>
  <c r="CZ299" i="5"/>
  <c r="BY299" i="5"/>
  <c r="DC299" i="5"/>
  <c r="CK299" i="5"/>
  <c r="DE299" i="5"/>
  <c r="DH299" i="5"/>
  <c r="DO299" i="5"/>
  <c r="E297" i="3"/>
  <c r="DQ299" i="5"/>
  <c r="BP300" i="5"/>
  <c r="BS300" i="5"/>
  <c r="CQ300" i="5"/>
  <c r="BV300" i="5"/>
  <c r="CR300" i="5"/>
  <c r="BW300" i="5"/>
  <c r="CS300" i="5"/>
  <c r="CA300" i="5"/>
  <c r="CT300" i="5"/>
  <c r="CB300" i="5"/>
  <c r="CU300" i="5"/>
  <c r="BX300" i="5"/>
  <c r="CZ300" i="5"/>
  <c r="BY300" i="5"/>
  <c r="DC300" i="5"/>
  <c r="CK300" i="5"/>
  <c r="DE300" i="5"/>
  <c r="DH300" i="5"/>
  <c r="DO300" i="5"/>
  <c r="E298" i="3"/>
  <c r="DQ300" i="5"/>
  <c r="BP301" i="5"/>
  <c r="BS301" i="5"/>
  <c r="CQ301" i="5"/>
  <c r="BV301" i="5"/>
  <c r="CR301" i="5"/>
  <c r="BW301" i="5"/>
  <c r="CS301" i="5"/>
  <c r="CA301" i="5"/>
  <c r="CT301" i="5"/>
  <c r="CB301" i="5"/>
  <c r="CU301" i="5"/>
  <c r="BX301" i="5"/>
  <c r="CZ301" i="5"/>
  <c r="BY301" i="5"/>
  <c r="DC301" i="5"/>
  <c r="CG301" i="5"/>
  <c r="DD301" i="5"/>
  <c r="CK301" i="5"/>
  <c r="DE301" i="5"/>
  <c r="DH301" i="5"/>
  <c r="DO301" i="5"/>
  <c r="E299" i="3"/>
  <c r="DQ301" i="5"/>
  <c r="BP302" i="5"/>
  <c r="BS302" i="5"/>
  <c r="CQ302" i="5"/>
  <c r="BV302" i="5"/>
  <c r="CR302" i="5"/>
  <c r="BW302" i="5"/>
  <c r="CS302" i="5"/>
  <c r="CA302" i="5"/>
  <c r="CT302" i="5"/>
  <c r="CB302" i="5"/>
  <c r="CU302" i="5"/>
  <c r="BX302" i="5"/>
  <c r="CZ302" i="5"/>
  <c r="BU302" i="5"/>
  <c r="DB302" i="5"/>
  <c r="BY302" i="5"/>
  <c r="DC302" i="5"/>
  <c r="CK302" i="5"/>
  <c r="DE302" i="5"/>
  <c r="DH302" i="5"/>
  <c r="DO302" i="5"/>
  <c r="E300" i="3"/>
  <c r="DQ302" i="5"/>
  <c r="BP303" i="5"/>
  <c r="BS303" i="5"/>
  <c r="CQ303" i="5"/>
  <c r="BV303" i="5"/>
  <c r="CR303" i="5"/>
  <c r="BW303" i="5"/>
  <c r="CS303" i="5"/>
  <c r="CA303" i="5"/>
  <c r="CT303" i="5"/>
  <c r="CB303" i="5"/>
  <c r="CU303" i="5"/>
  <c r="CC303" i="5"/>
  <c r="CV303" i="5"/>
  <c r="BX303" i="5"/>
  <c r="CZ303" i="5"/>
  <c r="BU303" i="5"/>
  <c r="DB303" i="5"/>
  <c r="BY303" i="5"/>
  <c r="DC303" i="5"/>
  <c r="DH303" i="5"/>
  <c r="DO303" i="5"/>
  <c r="E301" i="3"/>
  <c r="DQ303" i="5"/>
  <c r="BP304" i="5"/>
  <c r="BS304" i="5"/>
  <c r="CQ304" i="5"/>
  <c r="BV304" i="5"/>
  <c r="CR304" i="5"/>
  <c r="BW304" i="5"/>
  <c r="CS304" i="5"/>
  <c r="CA304" i="5"/>
  <c r="CT304" i="5"/>
  <c r="CB304" i="5"/>
  <c r="CU304" i="5"/>
  <c r="CC304" i="5"/>
  <c r="CV304" i="5"/>
  <c r="BX304" i="5"/>
  <c r="CZ304" i="5"/>
  <c r="BU304" i="5"/>
  <c r="DB304" i="5"/>
  <c r="BY304" i="5"/>
  <c r="DC304" i="5"/>
  <c r="CK304" i="5"/>
  <c r="DE304" i="5"/>
  <c r="DH304" i="5"/>
  <c r="DO304" i="5"/>
  <c r="E302" i="3"/>
  <c r="DQ304" i="5"/>
  <c r="BP305" i="5"/>
  <c r="BS305" i="5"/>
  <c r="CQ305" i="5"/>
  <c r="BV305" i="5"/>
  <c r="CR305" i="5"/>
  <c r="BW305" i="5"/>
  <c r="CS305" i="5"/>
  <c r="CA305" i="5"/>
  <c r="CT305" i="5"/>
  <c r="CB305" i="5"/>
  <c r="CU305" i="5"/>
  <c r="CC305" i="5"/>
  <c r="CV305" i="5"/>
  <c r="BX305" i="5"/>
  <c r="CZ305" i="5"/>
  <c r="BU305" i="5"/>
  <c r="DB305" i="5"/>
  <c r="BY305" i="5"/>
  <c r="DC305" i="5"/>
  <c r="CK305" i="5"/>
  <c r="DE305" i="5"/>
  <c r="DH305" i="5"/>
  <c r="DO305" i="5"/>
  <c r="E303" i="3"/>
  <c r="DQ305" i="5"/>
  <c r="BP306" i="5"/>
  <c r="BS306" i="5"/>
  <c r="CQ306" i="5"/>
  <c r="BV306" i="5"/>
  <c r="CR306" i="5"/>
  <c r="BW306" i="5"/>
  <c r="CS306" i="5"/>
  <c r="CA306" i="5"/>
  <c r="CT306" i="5"/>
  <c r="CB306" i="5"/>
  <c r="CU306" i="5"/>
  <c r="CC306" i="5"/>
  <c r="CV306" i="5"/>
  <c r="BX306" i="5"/>
  <c r="CZ306" i="5"/>
  <c r="BU306" i="5"/>
  <c r="DB306" i="5"/>
  <c r="BY306" i="5"/>
  <c r="DC306" i="5"/>
  <c r="CG306" i="5"/>
  <c r="DD306" i="5"/>
  <c r="CK306" i="5"/>
  <c r="DE306" i="5"/>
  <c r="DH306" i="5"/>
  <c r="DO306" i="5"/>
  <c r="E304" i="3"/>
  <c r="DQ306" i="5"/>
  <c r="BP307" i="5"/>
  <c r="BS307" i="5"/>
  <c r="CQ307" i="5"/>
  <c r="BV307" i="5"/>
  <c r="CR307" i="5"/>
  <c r="BW307" i="5"/>
  <c r="CS307" i="5"/>
  <c r="CA307" i="5"/>
  <c r="CT307" i="5"/>
  <c r="CB307" i="5"/>
  <c r="CU307" i="5"/>
  <c r="CC307" i="5"/>
  <c r="CV307" i="5"/>
  <c r="BX307" i="5"/>
  <c r="CZ307" i="5"/>
  <c r="BU307" i="5"/>
  <c r="DB307" i="5"/>
  <c r="BY307" i="5"/>
  <c r="DC307" i="5"/>
  <c r="CK307" i="5"/>
  <c r="DE307" i="5"/>
  <c r="DH307" i="5"/>
  <c r="DO307" i="5"/>
  <c r="E305" i="3"/>
  <c r="DQ307" i="5"/>
  <c r="BP308" i="5"/>
  <c r="BS308" i="5"/>
  <c r="CQ308" i="5"/>
  <c r="BV308" i="5"/>
  <c r="CR308" i="5"/>
  <c r="BW308" i="5"/>
  <c r="CS308" i="5"/>
  <c r="CA308" i="5"/>
  <c r="CT308" i="5"/>
  <c r="CB308" i="5"/>
  <c r="CU308" i="5"/>
  <c r="CC308" i="5"/>
  <c r="CV308" i="5"/>
  <c r="BX308" i="5"/>
  <c r="CZ308" i="5"/>
  <c r="BU308" i="5"/>
  <c r="DB308" i="5"/>
  <c r="BY308" i="5"/>
  <c r="DC308" i="5"/>
  <c r="CG308" i="5"/>
  <c r="DD308" i="5"/>
  <c r="CK308" i="5"/>
  <c r="DE308" i="5"/>
  <c r="DH308" i="5"/>
  <c r="DO308" i="5"/>
  <c r="E306" i="3"/>
  <c r="DQ308" i="5"/>
  <c r="BP309" i="5"/>
  <c r="BS309" i="5"/>
  <c r="CQ309" i="5"/>
  <c r="BV309" i="5"/>
  <c r="CR309" i="5"/>
  <c r="BW309" i="5"/>
  <c r="CS309" i="5"/>
  <c r="CA309" i="5"/>
  <c r="CT309" i="5"/>
  <c r="CB309" i="5"/>
  <c r="CU309" i="5"/>
  <c r="CC309" i="5"/>
  <c r="CV309" i="5"/>
  <c r="BX309" i="5"/>
  <c r="CZ309" i="5"/>
  <c r="BU309" i="5"/>
  <c r="DB309" i="5"/>
  <c r="BY309" i="5"/>
  <c r="DC309" i="5"/>
  <c r="CG309" i="5"/>
  <c r="DD309" i="5"/>
  <c r="CK309" i="5"/>
  <c r="DE309" i="5"/>
  <c r="DH309" i="5"/>
  <c r="DO309" i="5"/>
  <c r="E307" i="3"/>
  <c r="DQ309" i="5"/>
  <c r="BP310" i="5"/>
  <c r="BS310" i="5"/>
  <c r="CQ310" i="5"/>
  <c r="BV310" i="5"/>
  <c r="CR310" i="5"/>
  <c r="BW310" i="5"/>
  <c r="CS310" i="5"/>
  <c r="CA310" i="5"/>
  <c r="CT310" i="5"/>
  <c r="CB310" i="5"/>
  <c r="CU310" i="5"/>
  <c r="CC310" i="5"/>
  <c r="CV310" i="5"/>
  <c r="BX310" i="5"/>
  <c r="CZ310" i="5"/>
  <c r="BU310" i="5"/>
  <c r="DB310" i="5"/>
  <c r="BY310" i="5"/>
  <c r="DC310" i="5"/>
  <c r="CK310" i="5"/>
  <c r="DE310" i="5"/>
  <c r="DH310" i="5"/>
  <c r="DO310" i="5"/>
  <c r="E308" i="3"/>
  <c r="DQ310" i="5"/>
  <c r="BP311" i="5"/>
  <c r="BS311" i="5"/>
  <c r="CQ311" i="5"/>
  <c r="BV311" i="5"/>
  <c r="CR311" i="5"/>
  <c r="BW311" i="5"/>
  <c r="CS311" i="5"/>
  <c r="CA311" i="5"/>
  <c r="CT311" i="5"/>
  <c r="CB311" i="5"/>
  <c r="CU311" i="5"/>
  <c r="CC311" i="5"/>
  <c r="CV311" i="5"/>
  <c r="BX311" i="5"/>
  <c r="CZ311" i="5"/>
  <c r="BU311" i="5"/>
  <c r="DB311" i="5"/>
  <c r="BY311" i="5"/>
  <c r="DC311" i="5"/>
  <c r="CK311" i="5"/>
  <c r="DE311" i="5"/>
  <c r="DH311" i="5"/>
  <c r="DO311" i="5"/>
  <c r="E309" i="3"/>
  <c r="DQ311" i="5"/>
  <c r="BP312" i="5"/>
  <c r="BS312" i="5"/>
  <c r="CQ312" i="5"/>
  <c r="BV312" i="5"/>
  <c r="CR312" i="5"/>
  <c r="BW312" i="5"/>
  <c r="CS312" i="5"/>
  <c r="CA312" i="5"/>
  <c r="CT312" i="5"/>
  <c r="CB312" i="5"/>
  <c r="CU312" i="5"/>
  <c r="CC312" i="5"/>
  <c r="CV312" i="5"/>
  <c r="BX312" i="5"/>
  <c r="CZ312" i="5"/>
  <c r="BY312" i="5"/>
  <c r="DC312" i="5"/>
  <c r="CK312" i="5"/>
  <c r="DE312" i="5"/>
  <c r="DH312" i="5"/>
  <c r="DO312" i="5"/>
  <c r="E310" i="3"/>
  <c r="DQ312" i="5"/>
  <c r="BP313" i="5"/>
  <c r="BS313" i="5"/>
  <c r="CQ313" i="5"/>
  <c r="BV313" i="5"/>
  <c r="CR313" i="5"/>
  <c r="BW313" i="5"/>
  <c r="CS313" i="5"/>
  <c r="CA313" i="5"/>
  <c r="CT313" i="5"/>
  <c r="CB313" i="5"/>
  <c r="CU313" i="5"/>
  <c r="CC313" i="5"/>
  <c r="CV313" i="5"/>
  <c r="BX313" i="5"/>
  <c r="CZ313" i="5"/>
  <c r="BU313" i="5"/>
  <c r="DB313" i="5"/>
  <c r="BY313" i="5"/>
  <c r="DC313" i="5"/>
  <c r="CG313" i="5"/>
  <c r="DD313" i="5"/>
  <c r="CK313" i="5"/>
  <c r="DE313" i="5"/>
  <c r="DH313" i="5"/>
  <c r="DO313" i="5"/>
  <c r="E311" i="3"/>
  <c r="DQ313" i="5"/>
  <c r="BP314" i="5"/>
  <c r="BS314" i="5"/>
  <c r="CQ314" i="5"/>
  <c r="BV314" i="5"/>
  <c r="CR314" i="5"/>
  <c r="BW314" i="5"/>
  <c r="CS314" i="5"/>
  <c r="CA314" i="5"/>
  <c r="CT314" i="5"/>
  <c r="CB314" i="5"/>
  <c r="CU314" i="5"/>
  <c r="CC314" i="5"/>
  <c r="CV314" i="5"/>
  <c r="BX314" i="5"/>
  <c r="CZ314" i="5"/>
  <c r="BY314" i="5"/>
  <c r="DC314" i="5"/>
  <c r="CK314" i="5"/>
  <c r="DE314" i="5"/>
  <c r="DH314" i="5"/>
  <c r="DO314" i="5"/>
  <c r="E312" i="3"/>
  <c r="DQ314" i="5"/>
  <c r="BP315" i="5"/>
  <c r="BS315" i="5"/>
  <c r="CQ315" i="5"/>
  <c r="BV315" i="5"/>
  <c r="CR315" i="5"/>
  <c r="BW315" i="5"/>
  <c r="CS315" i="5"/>
  <c r="CA315" i="5"/>
  <c r="CT315" i="5"/>
  <c r="CB315" i="5"/>
  <c r="CU315" i="5"/>
  <c r="CC315" i="5"/>
  <c r="CV315" i="5"/>
  <c r="BX315" i="5"/>
  <c r="CZ315" i="5"/>
  <c r="BU315" i="5"/>
  <c r="DB315" i="5"/>
  <c r="BY315" i="5"/>
  <c r="DC315" i="5"/>
  <c r="CK315" i="5"/>
  <c r="DE315" i="5"/>
  <c r="DH315" i="5"/>
  <c r="DO315" i="5"/>
  <c r="E313" i="3"/>
  <c r="DQ315" i="5"/>
  <c r="BP316" i="5"/>
  <c r="BS316" i="5"/>
  <c r="CQ316" i="5"/>
  <c r="BV316" i="5"/>
  <c r="CR316" i="5"/>
  <c r="BW316" i="5"/>
  <c r="CS316" i="5"/>
  <c r="CA316" i="5"/>
  <c r="CT316" i="5"/>
  <c r="CB316" i="5"/>
  <c r="CU316" i="5"/>
  <c r="CC316" i="5"/>
  <c r="CV316" i="5"/>
  <c r="BX316" i="5"/>
  <c r="CZ316" i="5"/>
  <c r="BU316" i="5"/>
  <c r="DB316" i="5"/>
  <c r="BY316" i="5"/>
  <c r="DC316" i="5"/>
  <c r="CK316" i="5"/>
  <c r="DE316" i="5"/>
  <c r="DH316" i="5"/>
  <c r="DO316" i="5"/>
  <c r="E314" i="3"/>
  <c r="DQ316" i="5"/>
  <c r="BP317" i="5"/>
  <c r="BS317" i="5"/>
  <c r="CQ317" i="5"/>
  <c r="BV317" i="5"/>
  <c r="CR317" i="5"/>
  <c r="BW317" i="5"/>
  <c r="CS317" i="5"/>
  <c r="CA317" i="5"/>
  <c r="CT317" i="5"/>
  <c r="CB317" i="5"/>
  <c r="CU317" i="5"/>
  <c r="CC317" i="5"/>
  <c r="CV317" i="5"/>
  <c r="BX317" i="5"/>
  <c r="CZ317" i="5"/>
  <c r="BU317" i="5"/>
  <c r="DB317" i="5"/>
  <c r="BY317" i="5"/>
  <c r="DC317" i="5"/>
  <c r="CK317" i="5"/>
  <c r="DE317" i="5"/>
  <c r="DH317" i="5"/>
  <c r="DO317" i="5"/>
  <c r="E315" i="3"/>
  <c r="DQ317" i="5"/>
  <c r="BP318" i="5"/>
  <c r="BS318" i="5"/>
  <c r="CQ318" i="5"/>
  <c r="BV318" i="5"/>
  <c r="CR318" i="5"/>
  <c r="BW318" i="5"/>
  <c r="CS318" i="5"/>
  <c r="CA318" i="5"/>
  <c r="CT318" i="5"/>
  <c r="CB318" i="5"/>
  <c r="CU318" i="5"/>
  <c r="CC318" i="5"/>
  <c r="CV318" i="5"/>
  <c r="BX318" i="5"/>
  <c r="CZ318" i="5"/>
  <c r="BY318" i="5"/>
  <c r="DC318" i="5"/>
  <c r="CK318" i="5"/>
  <c r="DE318" i="5"/>
  <c r="DH318" i="5"/>
  <c r="DO318" i="5"/>
  <c r="E316" i="3"/>
  <c r="DQ318" i="5"/>
  <c r="BP319" i="5"/>
  <c r="BS319" i="5"/>
  <c r="CQ319" i="5"/>
  <c r="BV319" i="5"/>
  <c r="CR319" i="5"/>
  <c r="BW319" i="5"/>
  <c r="CS319" i="5"/>
  <c r="CA319" i="5"/>
  <c r="CT319" i="5"/>
  <c r="CB319" i="5"/>
  <c r="CU319" i="5"/>
  <c r="CC319" i="5"/>
  <c r="CV319" i="5"/>
  <c r="BX319" i="5"/>
  <c r="CZ319" i="5"/>
  <c r="BY319" i="5"/>
  <c r="DC319" i="5"/>
  <c r="CK319" i="5"/>
  <c r="DE319" i="5"/>
  <c r="DH319" i="5"/>
  <c r="DO319" i="5"/>
  <c r="E317" i="3"/>
  <c r="DQ319" i="5"/>
  <c r="BP320" i="5"/>
  <c r="BS320" i="5"/>
  <c r="CQ320" i="5"/>
  <c r="BV320" i="5"/>
  <c r="CR320" i="5"/>
  <c r="BW320" i="5"/>
  <c r="CS320" i="5"/>
  <c r="CA320" i="5"/>
  <c r="CT320" i="5"/>
  <c r="CB320" i="5"/>
  <c r="CU320" i="5"/>
  <c r="CC320" i="5"/>
  <c r="CV320" i="5"/>
  <c r="BX320" i="5"/>
  <c r="CZ320" i="5"/>
  <c r="BY320" i="5"/>
  <c r="DC320" i="5"/>
  <c r="CK320" i="5"/>
  <c r="DE320" i="5"/>
  <c r="DH320" i="5"/>
  <c r="DO320" i="5"/>
  <c r="E318" i="3"/>
  <c r="DQ320" i="5"/>
  <c r="BP321" i="5"/>
  <c r="BS321" i="5"/>
  <c r="CQ321" i="5"/>
  <c r="BV321" i="5"/>
  <c r="CR321" i="5"/>
  <c r="BW321" i="5"/>
  <c r="CS321" i="5"/>
  <c r="CA321" i="5"/>
  <c r="CT321" i="5"/>
  <c r="CB321" i="5"/>
  <c r="CU321" i="5"/>
  <c r="CC321" i="5"/>
  <c r="CV321" i="5"/>
  <c r="BX321" i="5"/>
  <c r="CZ321" i="5"/>
  <c r="BU321" i="5"/>
  <c r="DB321" i="5"/>
  <c r="BY321" i="5"/>
  <c r="DC321" i="5"/>
  <c r="CK321" i="5"/>
  <c r="DE321" i="5"/>
  <c r="DH321" i="5"/>
  <c r="DO321" i="5"/>
  <c r="E319" i="3"/>
  <c r="DQ321" i="5"/>
  <c r="BP322" i="5"/>
  <c r="BS322" i="5"/>
  <c r="CQ322" i="5"/>
  <c r="BV322" i="5"/>
  <c r="CR322" i="5"/>
  <c r="BW322" i="5"/>
  <c r="CS322" i="5"/>
  <c r="CA322" i="5"/>
  <c r="CT322" i="5"/>
  <c r="CB322" i="5"/>
  <c r="CU322" i="5"/>
  <c r="CC322" i="5"/>
  <c r="CV322" i="5"/>
  <c r="BX322" i="5"/>
  <c r="CZ322" i="5"/>
  <c r="BU322" i="5"/>
  <c r="DB322" i="5"/>
  <c r="BY322" i="5"/>
  <c r="DC322" i="5"/>
  <c r="CG322" i="5"/>
  <c r="DD322" i="5"/>
  <c r="CK322" i="5"/>
  <c r="DE322" i="5"/>
  <c r="DH322" i="5"/>
  <c r="DO322" i="5"/>
  <c r="E320" i="3"/>
  <c r="DQ322" i="5"/>
  <c r="BP323" i="5"/>
  <c r="BS323" i="5"/>
  <c r="CQ323" i="5"/>
  <c r="BV323" i="5"/>
  <c r="CR323" i="5"/>
  <c r="BW323" i="5"/>
  <c r="CS323" i="5"/>
  <c r="CA323" i="5"/>
  <c r="CT323" i="5"/>
  <c r="CB323" i="5"/>
  <c r="CU323" i="5"/>
  <c r="CC323" i="5"/>
  <c r="CV323" i="5"/>
  <c r="BX323" i="5"/>
  <c r="CZ323" i="5"/>
  <c r="BU323" i="5"/>
  <c r="DB323" i="5"/>
  <c r="BY323" i="5"/>
  <c r="DC323" i="5"/>
  <c r="CG323" i="5"/>
  <c r="DD323" i="5"/>
  <c r="CK323" i="5"/>
  <c r="DE323" i="5"/>
  <c r="DH323" i="5"/>
  <c r="DO323" i="5"/>
  <c r="E321" i="3"/>
  <c r="DQ323" i="5"/>
  <c r="BP324" i="5"/>
  <c r="BS324" i="5"/>
  <c r="CQ324" i="5"/>
  <c r="BV324" i="5"/>
  <c r="CR324" i="5"/>
  <c r="BW324" i="5"/>
  <c r="CS324" i="5"/>
  <c r="CA324" i="5"/>
  <c r="CT324" i="5"/>
  <c r="CB324" i="5"/>
  <c r="CU324" i="5"/>
  <c r="CC324" i="5"/>
  <c r="CV324" i="5"/>
  <c r="BX324" i="5"/>
  <c r="CZ324" i="5"/>
  <c r="BY324" i="5"/>
  <c r="DC324" i="5"/>
  <c r="CK324" i="5"/>
  <c r="DE324" i="5"/>
  <c r="DH324" i="5"/>
  <c r="DO324" i="5"/>
  <c r="E322" i="3"/>
  <c r="DQ324" i="5"/>
  <c r="BP325" i="5"/>
  <c r="BS325" i="5"/>
  <c r="CQ325" i="5"/>
  <c r="BV325" i="5"/>
  <c r="CR325" i="5"/>
  <c r="BW325" i="5"/>
  <c r="CS325" i="5"/>
  <c r="CA325" i="5"/>
  <c r="CT325" i="5"/>
  <c r="CB325" i="5"/>
  <c r="CU325" i="5"/>
  <c r="CC325" i="5"/>
  <c r="CV325" i="5"/>
  <c r="BX325" i="5"/>
  <c r="CZ325" i="5"/>
  <c r="BY325" i="5"/>
  <c r="DC325" i="5"/>
  <c r="CK325" i="5"/>
  <c r="DE325" i="5"/>
  <c r="DH325" i="5"/>
  <c r="DO325" i="5"/>
  <c r="E323" i="3"/>
  <c r="DQ325" i="5"/>
  <c r="BP326" i="5"/>
  <c r="BS326" i="5"/>
  <c r="CQ326" i="5"/>
  <c r="BV326" i="5"/>
  <c r="CR326" i="5"/>
  <c r="BW326" i="5"/>
  <c r="CS326" i="5"/>
  <c r="CA326" i="5"/>
  <c r="CT326" i="5"/>
  <c r="CB326" i="5"/>
  <c r="CU326" i="5"/>
  <c r="CC326" i="5"/>
  <c r="CV326" i="5"/>
  <c r="BX326" i="5"/>
  <c r="CZ326" i="5"/>
  <c r="BY326" i="5"/>
  <c r="DC326" i="5"/>
  <c r="CK326" i="5"/>
  <c r="DE326" i="5"/>
  <c r="DH326" i="5"/>
  <c r="DO326" i="5"/>
  <c r="E324" i="3"/>
  <c r="DQ326" i="5"/>
  <c r="BP327" i="5"/>
  <c r="BS327" i="5"/>
  <c r="CQ327" i="5"/>
  <c r="BV327" i="5"/>
  <c r="CR327" i="5"/>
  <c r="BW327" i="5"/>
  <c r="CS327" i="5"/>
  <c r="CA327" i="5"/>
  <c r="CT327" i="5"/>
  <c r="CB327" i="5"/>
  <c r="CU327" i="5"/>
  <c r="CC327" i="5"/>
  <c r="CV327" i="5"/>
  <c r="BX327" i="5"/>
  <c r="CZ327" i="5"/>
  <c r="BU327" i="5"/>
  <c r="DB327" i="5"/>
  <c r="BY327" i="5"/>
  <c r="DC327" i="5"/>
  <c r="CK327" i="5"/>
  <c r="DE327" i="5"/>
  <c r="DH327" i="5"/>
  <c r="DO327" i="5"/>
  <c r="E325" i="3"/>
  <c r="DQ327" i="5"/>
  <c r="BP328" i="5"/>
  <c r="BS328" i="5"/>
  <c r="CQ328" i="5"/>
  <c r="BV328" i="5"/>
  <c r="CR328" i="5"/>
  <c r="BW328" i="5"/>
  <c r="CS328" i="5"/>
  <c r="CA328" i="5"/>
  <c r="CT328" i="5"/>
  <c r="CB328" i="5"/>
  <c r="CU328" i="5"/>
  <c r="CC328" i="5"/>
  <c r="CV328" i="5"/>
  <c r="BX328" i="5"/>
  <c r="CZ328" i="5"/>
  <c r="BY328" i="5"/>
  <c r="DC328" i="5"/>
  <c r="DH328" i="5"/>
  <c r="DO328" i="5"/>
  <c r="E326" i="3"/>
  <c r="DQ328" i="5"/>
  <c r="BP329" i="5"/>
  <c r="BS329" i="5"/>
  <c r="CQ329" i="5"/>
  <c r="BV329" i="5"/>
  <c r="CR329" i="5"/>
  <c r="BW329" i="5"/>
  <c r="CS329" i="5"/>
  <c r="CA329" i="5"/>
  <c r="CT329" i="5"/>
  <c r="CB329" i="5"/>
  <c r="CU329" i="5"/>
  <c r="CC329" i="5"/>
  <c r="CV329" i="5"/>
  <c r="BX329" i="5"/>
  <c r="CZ329" i="5"/>
  <c r="BY329" i="5"/>
  <c r="DC329" i="5"/>
  <c r="CK329" i="5"/>
  <c r="DE329" i="5"/>
  <c r="DH329" i="5"/>
  <c r="DO329" i="5"/>
  <c r="E327" i="3"/>
  <c r="DQ329" i="5"/>
  <c r="BP330" i="5"/>
  <c r="BS330" i="5"/>
  <c r="CQ330" i="5"/>
  <c r="BV330" i="5"/>
  <c r="CR330" i="5"/>
  <c r="BW330" i="5"/>
  <c r="CS330" i="5"/>
  <c r="CA330" i="5"/>
  <c r="CT330" i="5"/>
  <c r="CB330" i="5"/>
  <c r="CU330" i="5"/>
  <c r="CC330" i="5"/>
  <c r="CV330" i="5"/>
  <c r="BX330" i="5"/>
  <c r="CZ330" i="5"/>
  <c r="BU330" i="5"/>
  <c r="DB330" i="5"/>
  <c r="BY330" i="5"/>
  <c r="DC330" i="5"/>
  <c r="CK330" i="5"/>
  <c r="DE330" i="5"/>
  <c r="DH330" i="5"/>
  <c r="DO330" i="5"/>
  <c r="E328" i="3"/>
  <c r="DQ330" i="5"/>
  <c r="BP331" i="5"/>
  <c r="BS331" i="5"/>
  <c r="CQ331" i="5"/>
  <c r="BV331" i="5"/>
  <c r="CR331" i="5"/>
  <c r="BW331" i="5"/>
  <c r="CS331" i="5"/>
  <c r="CA331" i="5"/>
  <c r="CT331" i="5"/>
  <c r="CB331" i="5"/>
  <c r="CU331" i="5"/>
  <c r="CC331" i="5"/>
  <c r="CV331" i="5"/>
  <c r="BX331" i="5"/>
  <c r="CZ331" i="5"/>
  <c r="BY331" i="5"/>
  <c r="DC331" i="5"/>
  <c r="DH331" i="5"/>
  <c r="DO331" i="5"/>
  <c r="E329" i="3"/>
  <c r="DQ331" i="5"/>
  <c r="BP332" i="5"/>
  <c r="BS332" i="5"/>
  <c r="CQ332" i="5"/>
  <c r="BV332" i="5"/>
  <c r="CR332" i="5"/>
  <c r="BW332" i="5"/>
  <c r="CS332" i="5"/>
  <c r="CA332" i="5"/>
  <c r="CT332" i="5"/>
  <c r="CB332" i="5"/>
  <c r="CU332" i="5"/>
  <c r="CC332" i="5"/>
  <c r="CV332" i="5"/>
  <c r="BX332" i="5"/>
  <c r="CZ332" i="5"/>
  <c r="BY332" i="5"/>
  <c r="DC332" i="5"/>
  <c r="CG332" i="5"/>
  <c r="DD332" i="5"/>
  <c r="CK332" i="5"/>
  <c r="DE332" i="5"/>
  <c r="DH332" i="5"/>
  <c r="DO332" i="5"/>
  <c r="E330" i="3"/>
  <c r="DQ332" i="5"/>
  <c r="BP333" i="5"/>
  <c r="BS333" i="5"/>
  <c r="CQ333" i="5"/>
  <c r="BV333" i="5"/>
  <c r="CR333" i="5"/>
  <c r="BW333" i="5"/>
  <c r="CS333" i="5"/>
  <c r="CA333" i="5"/>
  <c r="CT333" i="5"/>
  <c r="CB333" i="5"/>
  <c r="CU333" i="5"/>
  <c r="CC333" i="5"/>
  <c r="CV333" i="5"/>
  <c r="BX333" i="5"/>
  <c r="CZ333" i="5"/>
  <c r="BY333" i="5"/>
  <c r="DC333" i="5"/>
  <c r="DH333" i="5"/>
  <c r="DO333" i="5"/>
  <c r="E331" i="3"/>
  <c r="DQ333" i="5"/>
  <c r="BP334" i="5"/>
  <c r="BS334" i="5"/>
  <c r="CQ334" i="5"/>
  <c r="BV334" i="5"/>
  <c r="CR334" i="5"/>
  <c r="BW334" i="5"/>
  <c r="CS334" i="5"/>
  <c r="CA334" i="5"/>
  <c r="CT334" i="5"/>
  <c r="CB334" i="5"/>
  <c r="CU334" i="5"/>
  <c r="CC334" i="5"/>
  <c r="CV334" i="5"/>
  <c r="BX334" i="5"/>
  <c r="CZ334" i="5"/>
  <c r="BU334" i="5"/>
  <c r="DB334" i="5"/>
  <c r="BY334" i="5"/>
  <c r="DC334" i="5"/>
  <c r="CK334" i="5"/>
  <c r="DE334" i="5"/>
  <c r="DH334" i="5"/>
  <c r="DO334" i="5"/>
  <c r="E332" i="3"/>
  <c r="DQ334" i="5"/>
  <c r="BP335" i="5"/>
  <c r="BS335" i="5"/>
  <c r="CQ335" i="5"/>
  <c r="BV335" i="5"/>
  <c r="CR335" i="5"/>
  <c r="BW335" i="5"/>
  <c r="CS335" i="5"/>
  <c r="CA335" i="5"/>
  <c r="CT335" i="5"/>
  <c r="CB335" i="5"/>
  <c r="CU335" i="5"/>
  <c r="CC335" i="5"/>
  <c r="CV335" i="5"/>
  <c r="BX335" i="5"/>
  <c r="CZ335" i="5"/>
  <c r="BY335" i="5"/>
  <c r="DC335" i="5"/>
  <c r="CK335" i="5"/>
  <c r="DE335" i="5"/>
  <c r="DH335" i="5"/>
  <c r="DO335" i="5"/>
  <c r="E333" i="3"/>
  <c r="DQ335" i="5"/>
  <c r="BP336" i="5"/>
  <c r="BS336" i="5"/>
  <c r="CQ336" i="5"/>
  <c r="BV336" i="5"/>
  <c r="CR336" i="5"/>
  <c r="BW336" i="5"/>
  <c r="CS336" i="5"/>
  <c r="CA336" i="5"/>
  <c r="CT336" i="5"/>
  <c r="CB336" i="5"/>
  <c r="CU336" i="5"/>
  <c r="BX336" i="5"/>
  <c r="CZ336" i="5"/>
  <c r="BU336" i="5"/>
  <c r="DB336" i="5"/>
  <c r="BY336" i="5"/>
  <c r="DC336" i="5"/>
  <c r="CK336" i="5"/>
  <c r="DE336" i="5"/>
  <c r="DH336" i="5"/>
  <c r="DO336" i="5"/>
  <c r="E334" i="3"/>
  <c r="DQ336" i="5"/>
  <c r="BP337" i="5"/>
  <c r="BS337" i="5"/>
  <c r="CQ337" i="5"/>
  <c r="BV337" i="5"/>
  <c r="CR337" i="5"/>
  <c r="BW337" i="5"/>
  <c r="CS337" i="5"/>
  <c r="CA337" i="5"/>
  <c r="CT337" i="5"/>
  <c r="CB337" i="5"/>
  <c r="CU337" i="5"/>
  <c r="CC337" i="5"/>
  <c r="CV337" i="5"/>
  <c r="BX337" i="5"/>
  <c r="CZ337" i="5"/>
  <c r="BY337" i="5"/>
  <c r="DC337" i="5"/>
  <c r="CK337" i="5"/>
  <c r="DE337" i="5"/>
  <c r="DH337" i="5"/>
  <c r="DO337" i="5"/>
  <c r="E335" i="3"/>
  <c r="DQ337" i="5"/>
  <c r="BP338" i="5"/>
  <c r="BS338" i="5"/>
  <c r="CQ338" i="5"/>
  <c r="BV338" i="5"/>
  <c r="CR338" i="5"/>
  <c r="BW338" i="5"/>
  <c r="CS338" i="5"/>
  <c r="CA338" i="5"/>
  <c r="CT338" i="5"/>
  <c r="CB338" i="5"/>
  <c r="CU338" i="5"/>
  <c r="BX338" i="5"/>
  <c r="CZ338" i="5"/>
  <c r="BY338" i="5"/>
  <c r="DC338" i="5"/>
  <c r="CK338" i="5"/>
  <c r="DE338" i="5"/>
  <c r="DH338" i="5"/>
  <c r="DO338" i="5"/>
  <c r="E336" i="3"/>
  <c r="DQ338" i="5"/>
  <c r="BP339" i="5"/>
  <c r="BS339" i="5"/>
  <c r="CQ339" i="5"/>
  <c r="BV339" i="5"/>
  <c r="CR339" i="5"/>
  <c r="BW339" i="5"/>
  <c r="CS339" i="5"/>
  <c r="CA339" i="5"/>
  <c r="CT339" i="5"/>
  <c r="CB339" i="5"/>
  <c r="CU339" i="5"/>
  <c r="CC339" i="5"/>
  <c r="CV339" i="5"/>
  <c r="BX339" i="5"/>
  <c r="CZ339" i="5"/>
  <c r="BU339" i="5"/>
  <c r="DB339" i="5"/>
  <c r="BY339" i="5"/>
  <c r="DC339" i="5"/>
  <c r="CK339" i="5"/>
  <c r="DE339" i="5"/>
  <c r="DH339" i="5"/>
  <c r="DO339" i="5"/>
  <c r="E337" i="3"/>
  <c r="DQ339" i="5"/>
  <c r="BP340" i="5"/>
  <c r="BS340" i="5"/>
  <c r="CQ340" i="5"/>
  <c r="BV340" i="5"/>
  <c r="CR340" i="5"/>
  <c r="BW340" i="5"/>
  <c r="CS340" i="5"/>
  <c r="CA340" i="5"/>
  <c r="CT340" i="5"/>
  <c r="CB340" i="5"/>
  <c r="CU340" i="5"/>
  <c r="CC340" i="5"/>
  <c r="CV340" i="5"/>
  <c r="BX340" i="5"/>
  <c r="CZ340" i="5"/>
  <c r="BU340" i="5"/>
  <c r="DB340" i="5"/>
  <c r="BY340" i="5"/>
  <c r="DC340" i="5"/>
  <c r="CK340" i="5"/>
  <c r="DE340" i="5"/>
  <c r="DH340" i="5"/>
  <c r="DO340" i="5"/>
  <c r="E338" i="3"/>
  <c r="DQ340" i="5"/>
  <c r="BP341" i="5"/>
  <c r="BS341" i="5"/>
  <c r="CQ341" i="5"/>
  <c r="BV341" i="5"/>
  <c r="CR341" i="5"/>
  <c r="BW341" i="5"/>
  <c r="CS341" i="5"/>
  <c r="CA341" i="5"/>
  <c r="CT341" i="5"/>
  <c r="CB341" i="5"/>
  <c r="CU341" i="5"/>
  <c r="CC341" i="5"/>
  <c r="CV341" i="5"/>
  <c r="BX341" i="5"/>
  <c r="CZ341" i="5"/>
  <c r="BY341" i="5"/>
  <c r="DC341" i="5"/>
  <c r="CK341" i="5"/>
  <c r="DE341" i="5"/>
  <c r="DH341" i="5"/>
  <c r="DO341" i="5"/>
  <c r="E339" i="3"/>
  <c r="DQ341" i="5"/>
  <c r="BP342" i="5"/>
  <c r="BS342" i="5"/>
  <c r="CQ342" i="5"/>
  <c r="BV342" i="5"/>
  <c r="CR342" i="5"/>
  <c r="BW342" i="5"/>
  <c r="CS342" i="5"/>
  <c r="CA342" i="5"/>
  <c r="CT342" i="5"/>
  <c r="CB342" i="5"/>
  <c r="CU342" i="5"/>
  <c r="CC342" i="5"/>
  <c r="CV342" i="5"/>
  <c r="BX342" i="5"/>
  <c r="CZ342" i="5"/>
  <c r="BU342" i="5"/>
  <c r="DB342" i="5"/>
  <c r="BY342" i="5"/>
  <c r="DC342" i="5"/>
  <c r="CK342" i="5"/>
  <c r="DE342" i="5"/>
  <c r="DH342" i="5"/>
  <c r="DO342" i="5"/>
  <c r="E340" i="3"/>
  <c r="DQ342" i="5"/>
  <c r="BP343" i="5"/>
  <c r="BS343" i="5"/>
  <c r="CQ343" i="5"/>
  <c r="BV343" i="5"/>
  <c r="CR343" i="5"/>
  <c r="BW343" i="5"/>
  <c r="CS343" i="5"/>
  <c r="CA343" i="5"/>
  <c r="CT343" i="5"/>
  <c r="CB343" i="5"/>
  <c r="CU343" i="5"/>
  <c r="CC343" i="5"/>
  <c r="CV343" i="5"/>
  <c r="BX343" i="5"/>
  <c r="CZ343" i="5"/>
  <c r="BU343" i="5"/>
  <c r="DB343" i="5"/>
  <c r="BY343" i="5"/>
  <c r="DC343" i="5"/>
  <c r="CK343" i="5"/>
  <c r="DE343" i="5"/>
  <c r="DH343" i="5"/>
  <c r="DO343" i="5"/>
  <c r="E341" i="3"/>
  <c r="DQ343" i="5"/>
  <c r="BP344" i="5"/>
  <c r="BS344" i="5"/>
  <c r="CQ344" i="5"/>
  <c r="BV344" i="5"/>
  <c r="CR344" i="5"/>
  <c r="BW344" i="5"/>
  <c r="CS344" i="5"/>
  <c r="CA344" i="5"/>
  <c r="CT344" i="5"/>
  <c r="CB344" i="5"/>
  <c r="CU344" i="5"/>
  <c r="CC344" i="5"/>
  <c r="CV344" i="5"/>
  <c r="BX344" i="5"/>
  <c r="CZ344" i="5"/>
  <c r="BU344" i="5"/>
  <c r="DB344" i="5"/>
  <c r="BY344" i="5"/>
  <c r="DC344" i="5"/>
  <c r="CK344" i="5"/>
  <c r="DE344" i="5"/>
  <c r="DH344" i="5"/>
  <c r="DO344" i="5"/>
  <c r="E342" i="3"/>
  <c r="DQ344" i="5"/>
  <c r="BP345" i="5"/>
  <c r="BS345" i="5"/>
  <c r="CQ345" i="5"/>
  <c r="BV345" i="5"/>
  <c r="CR345" i="5"/>
  <c r="BW345" i="5"/>
  <c r="CS345" i="5"/>
  <c r="CA345" i="5"/>
  <c r="CT345" i="5"/>
  <c r="CB345" i="5"/>
  <c r="CU345" i="5"/>
  <c r="CC345" i="5"/>
  <c r="CV345" i="5"/>
  <c r="BX345" i="5"/>
  <c r="CZ345" i="5"/>
  <c r="BY345" i="5"/>
  <c r="DC345" i="5"/>
  <c r="CK345" i="5"/>
  <c r="DE345" i="5"/>
  <c r="DH345" i="5"/>
  <c r="DO345" i="5"/>
  <c r="E343" i="3"/>
  <c r="DQ345" i="5"/>
  <c r="BP346" i="5"/>
  <c r="BS346" i="5"/>
  <c r="CQ346" i="5"/>
  <c r="BV346" i="5"/>
  <c r="CR346" i="5"/>
  <c r="BW346" i="5"/>
  <c r="CS346" i="5"/>
  <c r="CA346" i="5"/>
  <c r="CT346" i="5"/>
  <c r="CB346" i="5"/>
  <c r="CU346" i="5"/>
  <c r="CC346" i="5"/>
  <c r="CV346" i="5"/>
  <c r="BX346" i="5"/>
  <c r="CZ346" i="5"/>
  <c r="BU346" i="5"/>
  <c r="DB346" i="5"/>
  <c r="BY346" i="5"/>
  <c r="DC346" i="5"/>
  <c r="CK346" i="5"/>
  <c r="DE346" i="5"/>
  <c r="DH346" i="5"/>
  <c r="DO346" i="5"/>
  <c r="E344" i="3"/>
  <c r="DQ346" i="5"/>
  <c r="BP347" i="5"/>
  <c r="BS347" i="5"/>
  <c r="CQ347" i="5"/>
  <c r="BV347" i="5"/>
  <c r="CR347" i="5"/>
  <c r="BW347" i="5"/>
  <c r="CS347" i="5"/>
  <c r="CA347" i="5"/>
  <c r="CT347" i="5"/>
  <c r="CB347" i="5"/>
  <c r="CU347" i="5"/>
  <c r="CC347" i="5"/>
  <c r="CV347" i="5"/>
  <c r="BX347" i="5"/>
  <c r="CZ347" i="5"/>
  <c r="BU347" i="5"/>
  <c r="DB347" i="5"/>
  <c r="BY347" i="5"/>
  <c r="DC347" i="5"/>
  <c r="CK347" i="5"/>
  <c r="DE347" i="5"/>
  <c r="DH347" i="5"/>
  <c r="DO347" i="5"/>
  <c r="E345" i="3"/>
  <c r="DQ347" i="5"/>
  <c r="BP348" i="5"/>
  <c r="BS348" i="5"/>
  <c r="CQ348" i="5"/>
  <c r="BV348" i="5"/>
  <c r="CR348" i="5"/>
  <c r="BW348" i="5"/>
  <c r="CS348" i="5"/>
  <c r="CA348" i="5"/>
  <c r="CT348" i="5"/>
  <c r="CB348" i="5"/>
  <c r="CU348" i="5"/>
  <c r="CC348" i="5"/>
  <c r="CV348" i="5"/>
  <c r="BX348" i="5"/>
  <c r="CZ348" i="5"/>
  <c r="BU348" i="5"/>
  <c r="DB348" i="5"/>
  <c r="BY348" i="5"/>
  <c r="DC348" i="5"/>
  <c r="CK348" i="5"/>
  <c r="DE348" i="5"/>
  <c r="DH348" i="5"/>
  <c r="DO348" i="5"/>
  <c r="E346" i="3"/>
  <c r="DQ348" i="5"/>
  <c r="BP349" i="5"/>
  <c r="BS349" i="5"/>
  <c r="CQ349" i="5"/>
  <c r="BV349" i="5"/>
  <c r="CR349" i="5"/>
  <c r="BW349" i="5"/>
  <c r="CS349" i="5"/>
  <c r="CA349" i="5"/>
  <c r="CT349" i="5"/>
  <c r="CB349" i="5"/>
  <c r="CU349" i="5"/>
  <c r="CC349" i="5"/>
  <c r="CV349" i="5"/>
  <c r="BX349" i="5"/>
  <c r="CZ349" i="5"/>
  <c r="CH349" i="5"/>
  <c r="DA349" i="5"/>
  <c r="BU349" i="5"/>
  <c r="DB349" i="5"/>
  <c r="BY349" i="5"/>
  <c r="DC349" i="5"/>
  <c r="CK349" i="5"/>
  <c r="DE349" i="5"/>
  <c r="DH349" i="5"/>
  <c r="DO349" i="5"/>
  <c r="E347" i="3"/>
  <c r="DQ349" i="5"/>
  <c r="BP350" i="5"/>
  <c r="BS350" i="5"/>
  <c r="CQ350" i="5"/>
  <c r="BV350" i="5"/>
  <c r="CR350" i="5"/>
  <c r="BW350" i="5"/>
  <c r="CS350" i="5"/>
  <c r="CA350" i="5"/>
  <c r="CT350" i="5"/>
  <c r="CB350" i="5"/>
  <c r="CU350" i="5"/>
  <c r="CC350" i="5"/>
  <c r="CV350" i="5"/>
  <c r="BX350" i="5"/>
  <c r="CZ350" i="5"/>
  <c r="CH350" i="5"/>
  <c r="DA350" i="5"/>
  <c r="BU350" i="5"/>
  <c r="DB350" i="5"/>
  <c r="BY350" i="5"/>
  <c r="DC350" i="5"/>
  <c r="CK350" i="5"/>
  <c r="DE350" i="5"/>
  <c r="DH350" i="5"/>
  <c r="DO350" i="5"/>
  <c r="E348" i="3"/>
  <c r="DQ350" i="5"/>
  <c r="BP351" i="5"/>
  <c r="BS351" i="5"/>
  <c r="CQ351" i="5"/>
  <c r="BV351" i="5"/>
  <c r="CR351" i="5"/>
  <c r="BW351" i="5"/>
  <c r="CS351" i="5"/>
  <c r="CA351" i="5"/>
  <c r="CT351" i="5"/>
  <c r="CB351" i="5"/>
  <c r="CU351" i="5"/>
  <c r="CC351" i="5"/>
  <c r="CV351" i="5"/>
  <c r="BX351" i="5"/>
  <c r="CZ351" i="5"/>
  <c r="CH351" i="5"/>
  <c r="DA351" i="5"/>
  <c r="BU351" i="5"/>
  <c r="DB351" i="5"/>
  <c r="BY351" i="5"/>
  <c r="DC351" i="5"/>
  <c r="CK351" i="5"/>
  <c r="DE351" i="5"/>
  <c r="DH351" i="5"/>
  <c r="DO351" i="5"/>
  <c r="E349" i="3"/>
  <c r="DQ351" i="5"/>
  <c r="BP352" i="5"/>
  <c r="BS352" i="5"/>
  <c r="CQ352" i="5"/>
  <c r="BV352" i="5"/>
  <c r="CR352" i="5"/>
  <c r="BW352" i="5"/>
  <c r="CS352" i="5"/>
  <c r="CA352" i="5"/>
  <c r="CT352" i="5"/>
  <c r="CB352" i="5"/>
  <c r="CU352" i="5"/>
  <c r="CC352" i="5"/>
  <c r="CV352" i="5"/>
  <c r="BX352" i="5"/>
  <c r="CZ352" i="5"/>
  <c r="CH352" i="5"/>
  <c r="DA352" i="5"/>
  <c r="BY352" i="5"/>
  <c r="DC352" i="5"/>
  <c r="CK352" i="5"/>
  <c r="DE352" i="5"/>
  <c r="DH352" i="5"/>
  <c r="DO352" i="5"/>
  <c r="E350" i="3"/>
  <c r="DQ352" i="5"/>
  <c r="BP353" i="5"/>
  <c r="BS353" i="5"/>
  <c r="CQ353" i="5"/>
  <c r="BV353" i="5"/>
  <c r="CR353" i="5"/>
  <c r="BW353" i="5"/>
  <c r="CS353" i="5"/>
  <c r="CA353" i="5"/>
  <c r="CT353" i="5"/>
  <c r="CB353" i="5"/>
  <c r="CU353" i="5"/>
  <c r="BX353" i="5"/>
  <c r="CZ353" i="5"/>
  <c r="BU353" i="5"/>
  <c r="DB353" i="5"/>
  <c r="BY353" i="5"/>
  <c r="DC353" i="5"/>
  <c r="CK353" i="5"/>
  <c r="DE353" i="5"/>
  <c r="DH353" i="5"/>
  <c r="DO353" i="5"/>
  <c r="E351" i="3"/>
  <c r="DQ353" i="5"/>
  <c r="BP354" i="5"/>
  <c r="BS354" i="5"/>
  <c r="CQ354" i="5"/>
  <c r="BV354" i="5"/>
  <c r="CR354" i="5"/>
  <c r="BW354" i="5"/>
  <c r="CS354" i="5"/>
  <c r="CA354" i="5"/>
  <c r="CT354" i="5"/>
  <c r="CB354" i="5"/>
  <c r="CU354" i="5"/>
  <c r="CC354" i="5"/>
  <c r="CV354" i="5"/>
  <c r="BX354" i="5"/>
  <c r="CZ354" i="5"/>
  <c r="CH354" i="5"/>
  <c r="DA354" i="5"/>
  <c r="BY354" i="5"/>
  <c r="DC354" i="5"/>
  <c r="CK354" i="5"/>
  <c r="DE354" i="5"/>
  <c r="DH354" i="5"/>
  <c r="DO354" i="5"/>
  <c r="E352" i="3"/>
  <c r="DQ354" i="5"/>
  <c r="BP355" i="5"/>
  <c r="BS355" i="5"/>
  <c r="CQ355" i="5"/>
  <c r="BV355" i="5"/>
  <c r="CR355" i="5"/>
  <c r="BW355" i="5"/>
  <c r="CS355" i="5"/>
  <c r="CA355" i="5"/>
  <c r="CT355" i="5"/>
  <c r="CB355" i="5"/>
  <c r="CU355" i="5"/>
  <c r="CC355" i="5"/>
  <c r="CV355" i="5"/>
  <c r="BX355" i="5"/>
  <c r="CZ355" i="5"/>
  <c r="CH355" i="5"/>
  <c r="DA355" i="5"/>
  <c r="BU355" i="5"/>
  <c r="DB355" i="5"/>
  <c r="BY355" i="5"/>
  <c r="DC355" i="5"/>
  <c r="CK355" i="5"/>
  <c r="DE355" i="5"/>
  <c r="DH355" i="5"/>
  <c r="DO355" i="5"/>
  <c r="E353" i="3"/>
  <c r="DQ355" i="5"/>
  <c r="BP356" i="5"/>
  <c r="BS356" i="5"/>
  <c r="CQ356" i="5"/>
  <c r="BV356" i="5"/>
  <c r="CR356" i="5"/>
  <c r="BW356" i="5"/>
  <c r="CS356" i="5"/>
  <c r="CA356" i="5"/>
  <c r="CT356" i="5"/>
  <c r="CB356" i="5"/>
  <c r="CU356" i="5"/>
  <c r="BX356" i="5"/>
  <c r="CZ356" i="5"/>
  <c r="BY356" i="5"/>
  <c r="DC356" i="5"/>
  <c r="CK356" i="5"/>
  <c r="DE356" i="5"/>
  <c r="DH356" i="5"/>
  <c r="DO356" i="5"/>
  <c r="E354" i="3"/>
  <c r="DQ356" i="5"/>
  <c r="BP357" i="5"/>
  <c r="BS357" i="5"/>
  <c r="CQ357" i="5"/>
  <c r="BV357" i="5"/>
  <c r="CR357" i="5"/>
  <c r="BW357" i="5"/>
  <c r="CS357" i="5"/>
  <c r="CA357" i="5"/>
  <c r="CT357" i="5"/>
  <c r="CB357" i="5"/>
  <c r="CU357" i="5"/>
  <c r="CC357" i="5"/>
  <c r="CV357" i="5"/>
  <c r="BX357" i="5"/>
  <c r="CZ357" i="5"/>
  <c r="CH357" i="5"/>
  <c r="DA357" i="5"/>
  <c r="BY357" i="5"/>
  <c r="DC357" i="5"/>
  <c r="CK357" i="5"/>
  <c r="DE357" i="5"/>
  <c r="DH357" i="5"/>
  <c r="DO357" i="5"/>
  <c r="E355" i="3"/>
  <c r="DQ357" i="5"/>
  <c r="BP358" i="5"/>
  <c r="BS358" i="5"/>
  <c r="CQ358" i="5"/>
  <c r="BV358" i="5"/>
  <c r="CR358" i="5"/>
  <c r="BW358" i="5"/>
  <c r="CS358" i="5"/>
  <c r="CA358" i="5"/>
  <c r="CT358" i="5"/>
  <c r="CB358" i="5"/>
  <c r="CU358" i="5"/>
  <c r="CC358" i="5"/>
  <c r="CV358" i="5"/>
  <c r="BX358" i="5"/>
  <c r="CZ358" i="5"/>
  <c r="CH358" i="5"/>
  <c r="DA358" i="5"/>
  <c r="BU358" i="5"/>
  <c r="DB358" i="5"/>
  <c r="BY358" i="5"/>
  <c r="DC358" i="5"/>
  <c r="CK358" i="5"/>
  <c r="DE358" i="5"/>
  <c r="DH358" i="5"/>
  <c r="DO358" i="5"/>
  <c r="E356" i="3"/>
  <c r="DQ358" i="5"/>
  <c r="BP359" i="5"/>
  <c r="BS359" i="5"/>
  <c r="CQ359" i="5"/>
  <c r="BV359" i="5"/>
  <c r="CR359" i="5"/>
  <c r="BW359" i="5"/>
  <c r="CS359" i="5"/>
  <c r="CA359" i="5"/>
  <c r="CT359" i="5"/>
  <c r="CB359" i="5"/>
  <c r="CU359" i="5"/>
  <c r="CC359" i="5"/>
  <c r="CV359" i="5"/>
  <c r="BX359" i="5"/>
  <c r="CZ359" i="5"/>
  <c r="CH359" i="5"/>
  <c r="DA359" i="5"/>
  <c r="BY359" i="5"/>
  <c r="DC359" i="5"/>
  <c r="CK359" i="5"/>
  <c r="DE359" i="5"/>
  <c r="DH359" i="5"/>
  <c r="DO359" i="5"/>
  <c r="E357" i="3"/>
  <c r="DQ359" i="5"/>
  <c r="BP360" i="5"/>
  <c r="BS360" i="5"/>
  <c r="CQ360" i="5"/>
  <c r="BV360" i="5"/>
  <c r="CR360" i="5"/>
  <c r="BW360" i="5"/>
  <c r="CS360" i="5"/>
  <c r="CA360" i="5"/>
  <c r="CT360" i="5"/>
  <c r="CB360" i="5"/>
  <c r="CU360" i="5"/>
  <c r="CC360" i="5"/>
  <c r="CV360" i="5"/>
  <c r="BX360" i="5"/>
  <c r="CZ360" i="5"/>
  <c r="CH360" i="5"/>
  <c r="DA360" i="5"/>
  <c r="BU360" i="5"/>
  <c r="DB360" i="5"/>
  <c r="BY360" i="5"/>
  <c r="DC360" i="5"/>
  <c r="CK360" i="5"/>
  <c r="DE360" i="5"/>
  <c r="DH360" i="5"/>
  <c r="DO360" i="5"/>
  <c r="E358" i="3"/>
  <c r="DQ360" i="5"/>
  <c r="BP361" i="5"/>
  <c r="BS361" i="5"/>
  <c r="CQ361" i="5"/>
  <c r="BV361" i="5"/>
  <c r="CR361" i="5"/>
  <c r="BW361" i="5"/>
  <c r="CS361" i="5"/>
  <c r="CA361" i="5"/>
  <c r="CT361" i="5"/>
  <c r="CB361" i="5"/>
  <c r="CU361" i="5"/>
  <c r="CC361" i="5"/>
  <c r="CV361" i="5"/>
  <c r="BX361" i="5"/>
  <c r="CZ361" i="5"/>
  <c r="BU361" i="5"/>
  <c r="DB361" i="5"/>
  <c r="BY361" i="5"/>
  <c r="DC361" i="5"/>
  <c r="CK361" i="5"/>
  <c r="DE361" i="5"/>
  <c r="DH361" i="5"/>
  <c r="DO361" i="5"/>
  <c r="E359" i="3"/>
  <c r="DQ361" i="5"/>
  <c r="BP362" i="5"/>
  <c r="BS362" i="5"/>
  <c r="CQ362" i="5"/>
  <c r="BV362" i="5"/>
  <c r="CR362" i="5"/>
  <c r="BW362" i="5"/>
  <c r="CS362" i="5"/>
  <c r="CA362" i="5"/>
  <c r="CT362" i="5"/>
  <c r="CB362" i="5"/>
  <c r="CU362" i="5"/>
  <c r="BX362" i="5"/>
  <c r="CZ362" i="5"/>
  <c r="CH362" i="5"/>
  <c r="DA362" i="5"/>
  <c r="BY362" i="5"/>
  <c r="DC362" i="5"/>
  <c r="CK362" i="5"/>
  <c r="DE362" i="5"/>
  <c r="DH362" i="5"/>
  <c r="DO362" i="5"/>
  <c r="E360" i="3"/>
  <c r="DQ362" i="5"/>
  <c r="BP363" i="5"/>
  <c r="BS363" i="5"/>
  <c r="CQ363" i="5"/>
  <c r="BV363" i="5"/>
  <c r="CR363" i="5"/>
  <c r="BW363" i="5"/>
  <c r="CS363" i="5"/>
  <c r="CA363" i="5"/>
  <c r="CT363" i="5"/>
  <c r="CB363" i="5"/>
  <c r="CU363" i="5"/>
  <c r="CC363" i="5"/>
  <c r="CV363" i="5"/>
  <c r="BX363" i="5"/>
  <c r="CZ363" i="5"/>
  <c r="CH363" i="5"/>
  <c r="DA363" i="5"/>
  <c r="BY363" i="5"/>
  <c r="DC363" i="5"/>
  <c r="CK363" i="5"/>
  <c r="DE363" i="5"/>
  <c r="DH363" i="5"/>
  <c r="DO363" i="5"/>
  <c r="E361" i="3"/>
  <c r="DQ363" i="5"/>
  <c r="BP364" i="5"/>
  <c r="BS364" i="5"/>
  <c r="CQ364" i="5"/>
  <c r="BV364" i="5"/>
  <c r="CR364" i="5"/>
  <c r="BW364" i="5"/>
  <c r="CS364" i="5"/>
  <c r="CA364" i="5"/>
  <c r="CT364" i="5"/>
  <c r="CB364" i="5"/>
  <c r="CU364" i="5"/>
  <c r="CC364" i="5"/>
  <c r="CV364" i="5"/>
  <c r="BX364" i="5"/>
  <c r="CZ364" i="5"/>
  <c r="CH364" i="5"/>
  <c r="DA364" i="5"/>
  <c r="BY364" i="5"/>
  <c r="DC364" i="5"/>
  <c r="CK364" i="5"/>
  <c r="DE364" i="5"/>
  <c r="DH364" i="5"/>
  <c r="DO364" i="5"/>
  <c r="E362" i="3"/>
  <c r="DQ364" i="5"/>
  <c r="BP365" i="5"/>
  <c r="BS365" i="5"/>
  <c r="CQ365" i="5"/>
  <c r="BV365" i="5"/>
  <c r="CR365" i="5"/>
  <c r="BW365" i="5"/>
  <c r="CS365" i="5"/>
  <c r="CA365" i="5"/>
  <c r="CT365" i="5"/>
  <c r="CB365" i="5"/>
  <c r="CU365" i="5"/>
  <c r="CC365" i="5"/>
  <c r="CV365" i="5"/>
  <c r="BX365" i="5"/>
  <c r="CZ365" i="5"/>
  <c r="CH365" i="5"/>
  <c r="DA365" i="5"/>
  <c r="BY365" i="5"/>
  <c r="DC365" i="5"/>
  <c r="CK365" i="5"/>
  <c r="DE365" i="5"/>
  <c r="DH365" i="5"/>
  <c r="DO365" i="5"/>
  <c r="E363" i="3"/>
  <c r="DQ365" i="5"/>
  <c r="BP366" i="5"/>
  <c r="BS366" i="5"/>
  <c r="CQ366" i="5"/>
  <c r="BV366" i="5"/>
  <c r="CR366" i="5"/>
  <c r="BW366" i="5"/>
  <c r="CS366" i="5"/>
  <c r="CA366" i="5"/>
  <c r="CT366" i="5"/>
  <c r="CB366" i="5"/>
  <c r="CU366" i="5"/>
  <c r="CC366" i="5"/>
  <c r="CV366" i="5"/>
  <c r="BX366" i="5"/>
  <c r="CZ366" i="5"/>
  <c r="CH366" i="5"/>
  <c r="DA366" i="5"/>
  <c r="BY366" i="5"/>
  <c r="DC366" i="5"/>
  <c r="CK366" i="5"/>
  <c r="DE366" i="5"/>
  <c r="DH366" i="5"/>
  <c r="DO366" i="5"/>
  <c r="E364" i="3"/>
  <c r="DQ366" i="5"/>
  <c r="BP367" i="5"/>
  <c r="BS367" i="5"/>
  <c r="CQ367" i="5"/>
  <c r="BV367" i="5"/>
  <c r="CR367" i="5"/>
  <c r="BW367" i="5"/>
  <c r="CS367" i="5"/>
  <c r="CA367" i="5"/>
  <c r="CT367" i="5"/>
  <c r="CB367" i="5"/>
  <c r="CU367" i="5"/>
  <c r="CC367" i="5"/>
  <c r="CV367" i="5"/>
  <c r="BX367" i="5"/>
  <c r="CZ367" i="5"/>
  <c r="CH367" i="5"/>
  <c r="DA367" i="5"/>
  <c r="BY367" i="5"/>
  <c r="DC367" i="5"/>
  <c r="DH367" i="5"/>
  <c r="DO367" i="5"/>
  <c r="E365" i="3"/>
  <c r="DQ367" i="5"/>
  <c r="BP368" i="5"/>
  <c r="BS368" i="5"/>
  <c r="CQ368" i="5"/>
  <c r="BV368" i="5"/>
  <c r="CR368" i="5"/>
  <c r="BW368" i="5"/>
  <c r="CS368" i="5"/>
  <c r="CA368" i="5"/>
  <c r="CT368" i="5"/>
  <c r="CB368" i="5"/>
  <c r="CU368" i="5"/>
  <c r="CC368" i="5"/>
  <c r="CV368" i="5"/>
  <c r="BX368" i="5"/>
  <c r="CZ368" i="5"/>
  <c r="BY368" i="5"/>
  <c r="DC368" i="5"/>
  <c r="DH368" i="5"/>
  <c r="DO368" i="5"/>
  <c r="E366" i="3"/>
  <c r="DQ368" i="5"/>
  <c r="BP369" i="5"/>
  <c r="BS369" i="5"/>
  <c r="CQ369" i="5"/>
  <c r="BV369" i="5"/>
  <c r="CR369" i="5"/>
  <c r="BW369" i="5"/>
  <c r="CS369" i="5"/>
  <c r="CA369" i="5"/>
  <c r="CT369" i="5"/>
  <c r="CB369" i="5"/>
  <c r="CU369" i="5"/>
  <c r="CC369" i="5"/>
  <c r="CV369" i="5"/>
  <c r="BX369" i="5"/>
  <c r="CZ369" i="5"/>
  <c r="CH369" i="5"/>
  <c r="DA369" i="5"/>
  <c r="BU369" i="5"/>
  <c r="DB369" i="5"/>
  <c r="BY369" i="5"/>
  <c r="DC369" i="5"/>
  <c r="CK369" i="5"/>
  <c r="DE369" i="5"/>
  <c r="DH369" i="5"/>
  <c r="DO369" i="5"/>
  <c r="E367" i="3"/>
  <c r="DQ369" i="5"/>
  <c r="BP370" i="5"/>
  <c r="BS370" i="5"/>
  <c r="CQ370" i="5"/>
  <c r="BV370" i="5"/>
  <c r="CR370" i="5"/>
  <c r="BW370" i="5"/>
  <c r="CS370" i="5"/>
  <c r="CA370" i="5"/>
  <c r="CT370" i="5"/>
  <c r="CB370" i="5"/>
  <c r="CU370" i="5"/>
  <c r="CC370" i="5"/>
  <c r="CV370" i="5"/>
  <c r="BX370" i="5"/>
  <c r="CZ370" i="5"/>
  <c r="BY370" i="5"/>
  <c r="DC370" i="5"/>
  <c r="DH370" i="5"/>
  <c r="DO370" i="5"/>
  <c r="E368" i="3"/>
  <c r="DQ370" i="5"/>
  <c r="BP371" i="5"/>
  <c r="BS371" i="5"/>
  <c r="CQ371" i="5"/>
  <c r="BV371" i="5"/>
  <c r="CR371" i="5"/>
  <c r="BW371" i="5"/>
  <c r="CS371" i="5"/>
  <c r="CA371" i="5"/>
  <c r="CT371" i="5"/>
  <c r="CB371" i="5"/>
  <c r="CU371" i="5"/>
  <c r="CC371" i="5"/>
  <c r="CV371" i="5"/>
  <c r="BX371" i="5"/>
  <c r="CZ371" i="5"/>
  <c r="BU371" i="5"/>
  <c r="DB371" i="5"/>
  <c r="BY371" i="5"/>
  <c r="DC371" i="5"/>
  <c r="CK371" i="5"/>
  <c r="DE371" i="5"/>
  <c r="DH371" i="5"/>
  <c r="DO371" i="5"/>
  <c r="E369" i="3"/>
  <c r="DQ371" i="5"/>
  <c r="BP372" i="5"/>
  <c r="BS372" i="5"/>
  <c r="CQ372" i="5"/>
  <c r="BV372" i="5"/>
  <c r="CR372" i="5"/>
  <c r="BW372" i="5"/>
  <c r="CS372" i="5"/>
  <c r="CA372" i="5"/>
  <c r="CT372" i="5"/>
  <c r="CB372" i="5"/>
  <c r="CU372" i="5"/>
  <c r="CC372" i="5"/>
  <c r="CV372" i="5"/>
  <c r="BX372" i="5"/>
  <c r="CZ372" i="5"/>
  <c r="BU372" i="5"/>
  <c r="DB372" i="5"/>
  <c r="BY372" i="5"/>
  <c r="DC372" i="5"/>
  <c r="DH372" i="5"/>
  <c r="DO372" i="5"/>
  <c r="E370" i="3"/>
  <c r="DQ372" i="5"/>
  <c r="BP373" i="5"/>
  <c r="BS373" i="5"/>
  <c r="CQ373" i="5"/>
  <c r="BV373" i="5"/>
  <c r="CR373" i="5"/>
  <c r="BW373" i="5"/>
  <c r="CS373" i="5"/>
  <c r="CA373" i="5"/>
  <c r="CT373" i="5"/>
  <c r="CB373" i="5"/>
  <c r="CU373" i="5"/>
  <c r="CC373" i="5"/>
  <c r="CV373" i="5"/>
  <c r="BX373" i="5"/>
  <c r="CZ373" i="5"/>
  <c r="BU373" i="5"/>
  <c r="DB373" i="5"/>
  <c r="BY373" i="5"/>
  <c r="DC373" i="5"/>
  <c r="CK373" i="5"/>
  <c r="DE373" i="5"/>
  <c r="DH373" i="5"/>
  <c r="DO373" i="5"/>
  <c r="E371" i="3"/>
  <c r="DQ373" i="5"/>
  <c r="BP374" i="5"/>
  <c r="BS374" i="5"/>
  <c r="CQ374" i="5"/>
  <c r="BV374" i="5"/>
  <c r="CR374" i="5"/>
  <c r="BW374" i="5"/>
  <c r="CS374" i="5"/>
  <c r="CA374" i="5"/>
  <c r="CT374" i="5"/>
  <c r="CB374" i="5"/>
  <c r="CU374" i="5"/>
  <c r="CC374" i="5"/>
  <c r="CV374" i="5"/>
  <c r="BX374" i="5"/>
  <c r="CZ374" i="5"/>
  <c r="BY374" i="5"/>
  <c r="DC374" i="5"/>
  <c r="CK374" i="5"/>
  <c r="DE374" i="5"/>
  <c r="DH374" i="5"/>
  <c r="DO374" i="5"/>
  <c r="E372" i="3"/>
  <c r="DQ374" i="5"/>
  <c r="BP375" i="5"/>
  <c r="BS375" i="5"/>
  <c r="CQ375" i="5"/>
  <c r="BV375" i="5"/>
  <c r="CR375" i="5"/>
  <c r="BW375" i="5"/>
  <c r="CS375" i="5"/>
  <c r="CA375" i="5"/>
  <c r="CT375" i="5"/>
  <c r="CB375" i="5"/>
  <c r="CU375" i="5"/>
  <c r="CC375" i="5"/>
  <c r="CV375" i="5"/>
  <c r="BX375" i="5"/>
  <c r="CZ375" i="5"/>
  <c r="BU375" i="5"/>
  <c r="DB375" i="5"/>
  <c r="BY375" i="5"/>
  <c r="DC375" i="5"/>
  <c r="CK375" i="5"/>
  <c r="DE375" i="5"/>
  <c r="DH375" i="5"/>
  <c r="DO375" i="5"/>
  <c r="E373" i="3"/>
  <c r="DQ375" i="5"/>
  <c r="BP376" i="5"/>
  <c r="BS376" i="5"/>
  <c r="CQ376" i="5"/>
  <c r="BV376" i="5"/>
  <c r="CR376" i="5"/>
  <c r="BW376" i="5"/>
  <c r="CS376" i="5"/>
  <c r="CA376" i="5"/>
  <c r="CT376" i="5"/>
  <c r="CB376" i="5"/>
  <c r="CU376" i="5"/>
  <c r="CC376" i="5"/>
  <c r="CV376" i="5"/>
  <c r="BX376" i="5"/>
  <c r="CZ376" i="5"/>
  <c r="CH376" i="5"/>
  <c r="DA376" i="5"/>
  <c r="BU376" i="5"/>
  <c r="DB376" i="5"/>
  <c r="BY376" i="5"/>
  <c r="DC376" i="5"/>
  <c r="DH376" i="5"/>
  <c r="DO376" i="5"/>
  <c r="E374" i="3"/>
  <c r="DQ376" i="5"/>
  <c r="BP377" i="5"/>
  <c r="BS377" i="5"/>
  <c r="CQ377" i="5"/>
  <c r="BV377" i="5"/>
  <c r="CR377" i="5"/>
  <c r="BW377" i="5"/>
  <c r="CS377" i="5"/>
  <c r="CA377" i="5"/>
  <c r="CT377" i="5"/>
  <c r="CB377" i="5"/>
  <c r="CU377" i="5"/>
  <c r="BX377" i="5"/>
  <c r="CZ377" i="5"/>
  <c r="CH377" i="5"/>
  <c r="DA377" i="5"/>
  <c r="BU377" i="5"/>
  <c r="DB377" i="5"/>
  <c r="BY377" i="5"/>
  <c r="DC377" i="5"/>
  <c r="DH377" i="5"/>
  <c r="DO377" i="5"/>
  <c r="E375" i="3"/>
  <c r="DQ377" i="5"/>
  <c r="BP378" i="5"/>
  <c r="BS378" i="5"/>
  <c r="CQ378" i="5"/>
  <c r="BV378" i="5"/>
  <c r="CR378" i="5"/>
  <c r="BW378" i="5"/>
  <c r="CS378" i="5"/>
  <c r="CA378" i="5"/>
  <c r="CT378" i="5"/>
  <c r="CB378" i="5"/>
  <c r="CU378" i="5"/>
  <c r="BX378" i="5"/>
  <c r="CZ378" i="5"/>
  <c r="BU378" i="5"/>
  <c r="DB378" i="5"/>
  <c r="BY378" i="5"/>
  <c r="DC378" i="5"/>
  <c r="DH378" i="5"/>
  <c r="DO378" i="5"/>
  <c r="E376" i="3"/>
  <c r="DQ378" i="5"/>
  <c r="BP379" i="5"/>
  <c r="BS379" i="5"/>
  <c r="CQ379" i="5"/>
  <c r="BV379" i="5"/>
  <c r="CR379" i="5"/>
  <c r="BW379" i="5"/>
  <c r="CS379" i="5"/>
  <c r="CA379" i="5"/>
  <c r="CT379" i="5"/>
  <c r="CB379" i="5"/>
  <c r="CU379" i="5"/>
  <c r="CC379" i="5"/>
  <c r="CV379" i="5"/>
  <c r="BX379" i="5"/>
  <c r="CZ379" i="5"/>
  <c r="BU379" i="5"/>
  <c r="DB379" i="5"/>
  <c r="BY379" i="5"/>
  <c r="DC379" i="5"/>
  <c r="DH379" i="5"/>
  <c r="DO379" i="5"/>
  <c r="E377" i="3"/>
  <c r="DQ379" i="5"/>
  <c r="BP380" i="5"/>
  <c r="BS380" i="5"/>
  <c r="CQ380" i="5"/>
  <c r="BV380" i="5"/>
  <c r="CR380" i="5"/>
  <c r="BW380" i="5"/>
  <c r="CS380" i="5"/>
  <c r="CA380" i="5"/>
  <c r="CT380" i="5"/>
  <c r="CB380" i="5"/>
  <c r="CU380" i="5"/>
  <c r="BX380" i="5"/>
  <c r="CZ380" i="5"/>
  <c r="CH380" i="5"/>
  <c r="DA380" i="5"/>
  <c r="BU380" i="5"/>
  <c r="DB380" i="5"/>
  <c r="BY380" i="5"/>
  <c r="DC380" i="5"/>
  <c r="DH380" i="5"/>
  <c r="DO380" i="5"/>
  <c r="E378" i="3"/>
  <c r="DQ380" i="5"/>
  <c r="BP381" i="5"/>
  <c r="BS381" i="5"/>
  <c r="CQ381" i="5"/>
  <c r="BV381" i="5"/>
  <c r="CR381" i="5"/>
  <c r="BW381" i="5"/>
  <c r="CS381" i="5"/>
  <c r="CA381" i="5"/>
  <c r="CT381" i="5"/>
  <c r="CB381" i="5"/>
  <c r="CU381" i="5"/>
  <c r="CC381" i="5"/>
  <c r="CV381" i="5"/>
  <c r="BX381" i="5"/>
  <c r="CZ381" i="5"/>
  <c r="BU381" i="5"/>
  <c r="DB381" i="5"/>
  <c r="BY381" i="5"/>
  <c r="DC381" i="5"/>
  <c r="DH381" i="5"/>
  <c r="DO381" i="5"/>
  <c r="E379" i="3"/>
  <c r="DQ381" i="5"/>
  <c r="BP382" i="5"/>
  <c r="BS382" i="5"/>
  <c r="CQ382" i="5"/>
  <c r="BV382" i="5"/>
  <c r="CR382" i="5"/>
  <c r="BW382" i="5"/>
  <c r="CS382" i="5"/>
  <c r="CA382" i="5"/>
  <c r="CT382" i="5"/>
  <c r="CB382" i="5"/>
  <c r="CU382" i="5"/>
  <c r="BX382" i="5"/>
  <c r="CZ382" i="5"/>
  <c r="BU382" i="5"/>
  <c r="DB382" i="5"/>
  <c r="BY382" i="5"/>
  <c r="DC382" i="5"/>
  <c r="DH382" i="5"/>
  <c r="DO382" i="5"/>
  <c r="E380" i="3"/>
  <c r="DQ382" i="5"/>
  <c r="BP383" i="5"/>
  <c r="BS383" i="5"/>
  <c r="CQ383" i="5"/>
  <c r="BV383" i="5"/>
  <c r="CR383" i="5"/>
  <c r="BW383" i="5"/>
  <c r="CS383" i="5"/>
  <c r="CA383" i="5"/>
  <c r="CT383" i="5"/>
  <c r="CB383" i="5"/>
  <c r="CU383" i="5"/>
  <c r="CC383" i="5"/>
  <c r="CV383" i="5"/>
  <c r="BX383" i="5"/>
  <c r="CZ383" i="5"/>
  <c r="BU383" i="5"/>
  <c r="DB383" i="5"/>
  <c r="BY383" i="5"/>
  <c r="DC383" i="5"/>
  <c r="DH383" i="5"/>
  <c r="DO383" i="5"/>
  <c r="E381" i="3"/>
  <c r="DQ383" i="5"/>
  <c r="BP384" i="5"/>
  <c r="BS384" i="5"/>
  <c r="CQ384" i="5"/>
  <c r="BV384" i="5"/>
  <c r="CR384" i="5"/>
  <c r="BW384" i="5"/>
  <c r="CS384" i="5"/>
  <c r="CA384" i="5"/>
  <c r="CT384" i="5"/>
  <c r="CB384" i="5"/>
  <c r="CU384" i="5"/>
  <c r="BX384" i="5"/>
  <c r="CZ384" i="5"/>
  <c r="BU384" i="5"/>
  <c r="DB384" i="5"/>
  <c r="BY384" i="5"/>
  <c r="DC384" i="5"/>
  <c r="DH384" i="5"/>
  <c r="DO384" i="5"/>
  <c r="E382" i="3"/>
  <c r="DQ384" i="5"/>
  <c r="BP385" i="5"/>
  <c r="BS385" i="5"/>
  <c r="CQ385" i="5"/>
  <c r="BV385" i="5"/>
  <c r="CR385" i="5"/>
  <c r="BW385" i="5"/>
  <c r="CS385" i="5"/>
  <c r="CA385" i="5"/>
  <c r="CT385" i="5"/>
  <c r="CB385" i="5"/>
  <c r="CU385" i="5"/>
  <c r="BX385" i="5"/>
  <c r="CZ385" i="5"/>
  <c r="CH385" i="5"/>
  <c r="DA385" i="5"/>
  <c r="BU385" i="5"/>
  <c r="DB385" i="5"/>
  <c r="BY385" i="5"/>
  <c r="DC385" i="5"/>
  <c r="DH385" i="5"/>
  <c r="DO385" i="5"/>
  <c r="E383" i="3"/>
  <c r="DQ385" i="5"/>
  <c r="BP386" i="5"/>
  <c r="BS386" i="5"/>
  <c r="CQ386" i="5"/>
  <c r="BV386" i="5"/>
  <c r="CR386" i="5"/>
  <c r="BW386" i="5"/>
  <c r="CS386" i="5"/>
  <c r="CA386" i="5"/>
  <c r="CT386" i="5"/>
  <c r="CB386" i="5"/>
  <c r="CU386" i="5"/>
  <c r="CC386" i="5"/>
  <c r="CV386" i="5"/>
  <c r="BX386" i="5"/>
  <c r="CZ386" i="5"/>
  <c r="BU386" i="5"/>
  <c r="DB386" i="5"/>
  <c r="BY386" i="5"/>
  <c r="DC386" i="5"/>
  <c r="DH386" i="5"/>
  <c r="DO386" i="5"/>
  <c r="E384" i="3"/>
  <c r="DQ386" i="5"/>
  <c r="BP387" i="5"/>
  <c r="BS387" i="5"/>
  <c r="CQ387" i="5"/>
  <c r="BV387" i="5"/>
  <c r="CR387" i="5"/>
  <c r="BW387" i="5"/>
  <c r="CS387" i="5"/>
  <c r="CA387" i="5"/>
  <c r="CT387" i="5"/>
  <c r="CB387" i="5"/>
  <c r="CU387" i="5"/>
  <c r="CC387" i="5"/>
  <c r="CV387" i="5"/>
  <c r="BX387" i="5"/>
  <c r="CZ387" i="5"/>
  <c r="BU387" i="5"/>
  <c r="DB387" i="5"/>
  <c r="BY387" i="5"/>
  <c r="DC387" i="5"/>
  <c r="DH387" i="5"/>
  <c r="DO387" i="5"/>
  <c r="E385" i="3"/>
  <c r="DQ387" i="5"/>
  <c r="BP388" i="5"/>
  <c r="BS388" i="5"/>
  <c r="CQ388" i="5"/>
  <c r="BV388" i="5"/>
  <c r="CR388" i="5"/>
  <c r="BW388" i="5"/>
  <c r="CS388" i="5"/>
  <c r="CA388" i="5"/>
  <c r="CT388" i="5"/>
  <c r="CB388" i="5"/>
  <c r="CU388" i="5"/>
  <c r="CC388" i="5"/>
  <c r="CV388" i="5"/>
  <c r="BX388" i="5"/>
  <c r="CZ388" i="5"/>
  <c r="BU388" i="5"/>
  <c r="DB388" i="5"/>
  <c r="BY388" i="5"/>
  <c r="DC388" i="5"/>
  <c r="DH388" i="5"/>
  <c r="DO388" i="5"/>
  <c r="E386" i="3"/>
  <c r="DQ388" i="5"/>
  <c r="BP389" i="5"/>
  <c r="BS389" i="5"/>
  <c r="CQ389" i="5"/>
  <c r="BV389" i="5"/>
  <c r="CR389" i="5"/>
  <c r="BW389" i="5"/>
  <c r="CS389" i="5"/>
  <c r="CA389" i="5"/>
  <c r="CT389" i="5"/>
  <c r="CB389" i="5"/>
  <c r="CU389" i="5"/>
  <c r="BX389" i="5"/>
  <c r="CZ389" i="5"/>
  <c r="BU389" i="5"/>
  <c r="DB389" i="5"/>
  <c r="BY389" i="5"/>
  <c r="DC389" i="5"/>
  <c r="DH389" i="5"/>
  <c r="DO389" i="5"/>
  <c r="E387" i="3"/>
  <c r="DQ389" i="5"/>
  <c r="BP390" i="5"/>
  <c r="BS390" i="5"/>
  <c r="CQ390" i="5"/>
  <c r="BV390" i="5"/>
  <c r="CR390" i="5"/>
  <c r="BW390" i="5"/>
  <c r="CS390" i="5"/>
  <c r="CA390" i="5"/>
  <c r="CT390" i="5"/>
  <c r="CB390" i="5"/>
  <c r="CU390" i="5"/>
  <c r="BX390" i="5"/>
  <c r="CZ390" i="5"/>
  <c r="BU390" i="5"/>
  <c r="DB390" i="5"/>
  <c r="BY390" i="5"/>
  <c r="DC390" i="5"/>
  <c r="DH390" i="5"/>
  <c r="DO390" i="5"/>
  <c r="E388" i="3"/>
  <c r="DQ390" i="5"/>
  <c r="BP391" i="5"/>
  <c r="BS391" i="5"/>
  <c r="CQ391" i="5"/>
  <c r="BV391" i="5"/>
  <c r="CR391" i="5"/>
  <c r="BW391" i="5"/>
  <c r="CS391" i="5"/>
  <c r="CA391" i="5"/>
  <c r="CT391" i="5"/>
  <c r="CB391" i="5"/>
  <c r="CU391" i="5"/>
  <c r="CC391" i="5"/>
  <c r="CV391" i="5"/>
  <c r="BX391" i="5"/>
  <c r="CZ391" i="5"/>
  <c r="BU391" i="5"/>
  <c r="DB391" i="5"/>
  <c r="BY391" i="5"/>
  <c r="DC391" i="5"/>
  <c r="DH391" i="5"/>
  <c r="DO391" i="5"/>
  <c r="E389" i="3"/>
  <c r="DQ391" i="5"/>
  <c r="BP392" i="5"/>
  <c r="BS392" i="5"/>
  <c r="CQ392" i="5"/>
  <c r="BV392" i="5"/>
  <c r="CR392" i="5"/>
  <c r="BW392" i="5"/>
  <c r="CS392" i="5"/>
  <c r="CA392" i="5"/>
  <c r="CT392" i="5"/>
  <c r="CB392" i="5"/>
  <c r="CU392" i="5"/>
  <c r="CC392" i="5"/>
  <c r="CV392" i="5"/>
  <c r="BX392" i="5"/>
  <c r="CZ392" i="5"/>
  <c r="CH392" i="5"/>
  <c r="DA392" i="5"/>
  <c r="BU392" i="5"/>
  <c r="DB392" i="5"/>
  <c r="BY392" i="5"/>
  <c r="DC392" i="5"/>
  <c r="DH392" i="5"/>
  <c r="DO392" i="5"/>
  <c r="E390" i="3"/>
  <c r="DQ392" i="5"/>
  <c r="BP393" i="5"/>
  <c r="BS393" i="5"/>
  <c r="CQ393" i="5"/>
  <c r="BV393" i="5"/>
  <c r="CR393" i="5"/>
  <c r="BW393" i="5"/>
  <c r="CS393" i="5"/>
  <c r="CA393" i="5"/>
  <c r="CT393" i="5"/>
  <c r="CB393" i="5"/>
  <c r="CU393" i="5"/>
  <c r="CC393" i="5"/>
  <c r="CV393" i="5"/>
  <c r="BX393" i="5"/>
  <c r="CZ393" i="5"/>
  <c r="BU393" i="5"/>
  <c r="DB393" i="5"/>
  <c r="BY393" i="5"/>
  <c r="DC393" i="5"/>
  <c r="DH393" i="5"/>
  <c r="DO393" i="5"/>
  <c r="E391" i="3"/>
  <c r="DQ393" i="5"/>
  <c r="BP394" i="5"/>
  <c r="BS394" i="5"/>
  <c r="CQ394" i="5"/>
  <c r="BV394" i="5"/>
  <c r="CR394" i="5"/>
  <c r="BW394" i="5"/>
  <c r="CS394" i="5"/>
  <c r="CA394" i="5"/>
  <c r="CT394" i="5"/>
  <c r="CB394" i="5"/>
  <c r="CU394" i="5"/>
  <c r="CC394" i="5"/>
  <c r="CV394" i="5"/>
  <c r="BX394" i="5"/>
  <c r="CZ394" i="5"/>
  <c r="BY394" i="5"/>
  <c r="DC394" i="5"/>
  <c r="DH394" i="5"/>
  <c r="DO394" i="5"/>
  <c r="E392" i="3"/>
  <c r="DQ394" i="5"/>
  <c r="BP395" i="5"/>
  <c r="BS395" i="5"/>
  <c r="CQ395" i="5"/>
  <c r="BV395" i="5"/>
  <c r="CR395" i="5"/>
  <c r="BW395" i="5"/>
  <c r="CS395" i="5"/>
  <c r="CA395" i="5"/>
  <c r="CT395" i="5"/>
  <c r="CB395" i="5"/>
  <c r="CU395" i="5"/>
  <c r="CC395" i="5"/>
  <c r="CV395" i="5"/>
  <c r="BX395" i="5"/>
  <c r="CZ395" i="5"/>
  <c r="BY395" i="5"/>
  <c r="DC395" i="5"/>
  <c r="DH395" i="5"/>
  <c r="DO395" i="5"/>
  <c r="E393" i="3"/>
  <c r="DQ395" i="5"/>
  <c r="BP396" i="5"/>
  <c r="BS396" i="5"/>
  <c r="CQ396" i="5"/>
  <c r="BV396" i="5"/>
  <c r="CR396" i="5"/>
  <c r="BW396" i="5"/>
  <c r="CS396" i="5"/>
  <c r="CA396" i="5"/>
  <c r="CT396" i="5"/>
  <c r="CB396" i="5"/>
  <c r="CU396" i="5"/>
  <c r="CC396" i="5"/>
  <c r="CV396" i="5"/>
  <c r="BX396" i="5"/>
  <c r="CZ396" i="5"/>
  <c r="BY396" i="5"/>
  <c r="DC396" i="5"/>
  <c r="CK396" i="5"/>
  <c r="DE396" i="5"/>
  <c r="DH396" i="5"/>
  <c r="DO396" i="5"/>
  <c r="E394" i="3"/>
  <c r="DQ396" i="5"/>
  <c r="BP397" i="5"/>
  <c r="BS397" i="5"/>
  <c r="CQ397" i="5"/>
  <c r="BV397" i="5"/>
  <c r="CR397" i="5"/>
  <c r="BW397" i="5"/>
  <c r="CS397" i="5"/>
  <c r="CA397" i="5"/>
  <c r="CT397" i="5"/>
  <c r="CB397" i="5"/>
  <c r="CU397" i="5"/>
  <c r="CC397" i="5"/>
  <c r="CV397" i="5"/>
  <c r="BX397" i="5"/>
  <c r="CZ397" i="5"/>
  <c r="BU397" i="5"/>
  <c r="DB397" i="5"/>
  <c r="BY397" i="5"/>
  <c r="DC397" i="5"/>
  <c r="CK397" i="5"/>
  <c r="DE397" i="5"/>
  <c r="DH397" i="5"/>
  <c r="DO397" i="5"/>
  <c r="E395" i="3"/>
  <c r="DQ397" i="5"/>
  <c r="BP398" i="5"/>
  <c r="BS398" i="5"/>
  <c r="CQ398" i="5"/>
  <c r="BV398" i="5"/>
  <c r="CR398" i="5"/>
  <c r="BW398" i="5"/>
  <c r="CS398" i="5"/>
  <c r="CA398" i="5"/>
  <c r="CT398" i="5"/>
  <c r="CB398" i="5"/>
  <c r="CU398" i="5"/>
  <c r="BX398" i="5"/>
  <c r="CZ398" i="5"/>
  <c r="BU398" i="5"/>
  <c r="DB398" i="5"/>
  <c r="BY398" i="5"/>
  <c r="DC398" i="5"/>
  <c r="CK398" i="5"/>
  <c r="DE398" i="5"/>
  <c r="DH398" i="5"/>
  <c r="DO398" i="5"/>
  <c r="E396" i="3"/>
  <c r="DQ398" i="5"/>
  <c r="BP399" i="5"/>
  <c r="BS399" i="5"/>
  <c r="CQ399" i="5"/>
  <c r="BV399" i="5"/>
  <c r="CR399" i="5"/>
  <c r="BW399" i="5"/>
  <c r="CS399" i="5"/>
  <c r="CA399" i="5"/>
  <c r="CT399" i="5"/>
  <c r="CB399" i="5"/>
  <c r="CU399" i="5"/>
  <c r="BX399" i="5"/>
  <c r="CZ399" i="5"/>
  <c r="BU399" i="5"/>
  <c r="DB399" i="5"/>
  <c r="BY399" i="5"/>
  <c r="DC399" i="5"/>
  <c r="CK399" i="5"/>
  <c r="DE399" i="5"/>
  <c r="DH399" i="5"/>
  <c r="DO399" i="5"/>
  <c r="E397" i="3"/>
  <c r="DQ399" i="5"/>
  <c r="BP400" i="5"/>
  <c r="BS400" i="5"/>
  <c r="CQ400" i="5"/>
  <c r="BV400" i="5"/>
  <c r="CR400" i="5"/>
  <c r="BW400" i="5"/>
  <c r="CS400" i="5"/>
  <c r="CA400" i="5"/>
  <c r="CT400" i="5"/>
  <c r="CB400" i="5"/>
  <c r="CU400" i="5"/>
  <c r="BX400" i="5"/>
  <c r="CZ400" i="5"/>
  <c r="BU400" i="5"/>
  <c r="DB400" i="5"/>
  <c r="BY400" i="5"/>
  <c r="DC400" i="5"/>
  <c r="CK400" i="5"/>
  <c r="DE400" i="5"/>
  <c r="DH400" i="5"/>
  <c r="DO400" i="5"/>
  <c r="E398" i="3"/>
  <c r="DQ400" i="5"/>
  <c r="BP401" i="5"/>
  <c r="BS401" i="5"/>
  <c r="CQ401" i="5"/>
  <c r="BV401" i="5"/>
  <c r="CR401" i="5"/>
  <c r="BW401" i="5"/>
  <c r="CS401" i="5"/>
  <c r="CA401" i="5"/>
  <c r="CT401" i="5"/>
  <c r="CB401" i="5"/>
  <c r="CU401" i="5"/>
  <c r="BX401" i="5"/>
  <c r="CZ401" i="5"/>
  <c r="BY401" i="5"/>
  <c r="DC401" i="5"/>
  <c r="CK401" i="5"/>
  <c r="DE401" i="5"/>
  <c r="DH401" i="5"/>
  <c r="DO401" i="5"/>
  <c r="E399" i="3"/>
  <c r="DQ401" i="5"/>
  <c r="BP402" i="5"/>
  <c r="BS402" i="5"/>
  <c r="CQ402" i="5"/>
  <c r="BV402" i="5"/>
  <c r="CR402" i="5"/>
  <c r="BW402" i="5"/>
  <c r="CS402" i="5"/>
  <c r="CA402" i="5"/>
  <c r="CT402" i="5"/>
  <c r="CB402" i="5"/>
  <c r="CU402" i="5"/>
  <c r="BX402" i="5"/>
  <c r="CZ402" i="5"/>
  <c r="CH402" i="5"/>
  <c r="DA402" i="5"/>
  <c r="BU402" i="5"/>
  <c r="DB402" i="5"/>
  <c r="BY402" i="5"/>
  <c r="DC402" i="5"/>
  <c r="CK402" i="5"/>
  <c r="DE402" i="5"/>
  <c r="DH402" i="5"/>
  <c r="DO402" i="5"/>
  <c r="E400" i="3"/>
  <c r="DQ402" i="5"/>
  <c r="BP403" i="5"/>
  <c r="BS403" i="5"/>
  <c r="CQ403" i="5"/>
  <c r="BV403" i="5"/>
  <c r="CR403" i="5"/>
  <c r="BW403" i="5"/>
  <c r="CS403" i="5"/>
  <c r="CA403" i="5"/>
  <c r="CT403" i="5"/>
  <c r="CB403" i="5"/>
  <c r="CU403" i="5"/>
  <c r="BX403" i="5"/>
  <c r="CZ403" i="5"/>
  <c r="BY403" i="5"/>
  <c r="DC403" i="5"/>
  <c r="CK403" i="5"/>
  <c r="DE403" i="5"/>
  <c r="DH403" i="5"/>
  <c r="DO403" i="5"/>
  <c r="E401" i="3"/>
  <c r="DQ403" i="5"/>
  <c r="BP404" i="5"/>
  <c r="BS404" i="5"/>
  <c r="CQ404" i="5"/>
  <c r="BV404" i="5"/>
  <c r="CR404" i="5"/>
  <c r="BW404" i="5"/>
  <c r="CS404" i="5"/>
  <c r="CA404" i="5"/>
  <c r="CT404" i="5"/>
  <c r="CB404" i="5"/>
  <c r="CU404" i="5"/>
  <c r="BX404" i="5"/>
  <c r="CZ404" i="5"/>
  <c r="BU404" i="5"/>
  <c r="DB404" i="5"/>
  <c r="BY404" i="5"/>
  <c r="DC404" i="5"/>
  <c r="CK404" i="5"/>
  <c r="DE404" i="5"/>
  <c r="DH404" i="5"/>
  <c r="DO404" i="5"/>
  <c r="E402" i="3"/>
  <c r="DQ404" i="5"/>
  <c r="BP405" i="5"/>
  <c r="BS405" i="5"/>
  <c r="CQ405" i="5"/>
  <c r="BV405" i="5"/>
  <c r="CR405" i="5"/>
  <c r="BW405" i="5"/>
  <c r="CS405" i="5"/>
  <c r="CA405" i="5"/>
  <c r="CT405" i="5"/>
  <c r="CB405" i="5"/>
  <c r="CU405" i="5"/>
  <c r="BX405" i="5"/>
  <c r="CZ405" i="5"/>
  <c r="BU405" i="5"/>
  <c r="DB405" i="5"/>
  <c r="BY405" i="5"/>
  <c r="DC405" i="5"/>
  <c r="CK405" i="5"/>
  <c r="DE405" i="5"/>
  <c r="DH405" i="5"/>
  <c r="DO405" i="5"/>
  <c r="E403" i="3"/>
  <c r="DQ405" i="5"/>
  <c r="BP406" i="5"/>
  <c r="BS406" i="5"/>
  <c r="CQ406" i="5"/>
  <c r="BV406" i="5"/>
  <c r="CR406" i="5"/>
  <c r="BW406" i="5"/>
  <c r="CS406" i="5"/>
  <c r="CA406" i="5"/>
  <c r="CT406" i="5"/>
  <c r="CB406" i="5"/>
  <c r="CU406" i="5"/>
  <c r="BX406" i="5"/>
  <c r="CZ406" i="5"/>
  <c r="BU406" i="5"/>
  <c r="DB406" i="5"/>
  <c r="BY406" i="5"/>
  <c r="DC406" i="5"/>
  <c r="CK406" i="5"/>
  <c r="DE406" i="5"/>
  <c r="DH406" i="5"/>
  <c r="DO406" i="5"/>
  <c r="E404" i="3"/>
  <c r="DQ406" i="5"/>
  <c r="BP407" i="5"/>
  <c r="BS407" i="5"/>
  <c r="CQ407" i="5"/>
  <c r="BV407" i="5"/>
  <c r="CR407" i="5"/>
  <c r="BW407" i="5"/>
  <c r="CS407" i="5"/>
  <c r="CA407" i="5"/>
  <c r="CT407" i="5"/>
  <c r="CB407" i="5"/>
  <c r="CU407" i="5"/>
  <c r="BX407" i="5"/>
  <c r="CZ407" i="5"/>
  <c r="BY407" i="5"/>
  <c r="DC407" i="5"/>
  <c r="CK407" i="5"/>
  <c r="DE407" i="5"/>
  <c r="DH407" i="5"/>
  <c r="DO407" i="5"/>
  <c r="E405" i="3"/>
  <c r="DQ407" i="5"/>
  <c r="BP408" i="5"/>
  <c r="BS408" i="5"/>
  <c r="CQ408" i="5"/>
  <c r="BV408" i="5"/>
  <c r="CR408" i="5"/>
  <c r="BW408" i="5"/>
  <c r="CS408" i="5"/>
  <c r="CA408" i="5"/>
  <c r="CT408" i="5"/>
  <c r="CB408" i="5"/>
  <c r="CU408" i="5"/>
  <c r="BX408" i="5"/>
  <c r="CZ408" i="5"/>
  <c r="BU408" i="5"/>
  <c r="DB408" i="5"/>
  <c r="BY408" i="5"/>
  <c r="DC408" i="5"/>
  <c r="CK408" i="5"/>
  <c r="DE408" i="5"/>
  <c r="DH408" i="5"/>
  <c r="DO408" i="5"/>
  <c r="E406" i="3"/>
  <c r="DQ408" i="5"/>
  <c r="BP409" i="5"/>
  <c r="BS409" i="5"/>
  <c r="CQ409" i="5"/>
  <c r="BV409" i="5"/>
  <c r="CR409" i="5"/>
  <c r="BW409" i="5"/>
  <c r="CS409" i="5"/>
  <c r="CA409" i="5"/>
  <c r="CT409" i="5"/>
  <c r="CB409" i="5"/>
  <c r="CU409" i="5"/>
  <c r="BX409" i="5"/>
  <c r="CZ409" i="5"/>
  <c r="CH409" i="5"/>
  <c r="DA409" i="5"/>
  <c r="BY409" i="5"/>
  <c r="DC409" i="5"/>
  <c r="CK409" i="5"/>
  <c r="DE409" i="5"/>
  <c r="DH409" i="5"/>
  <c r="DO409" i="5"/>
  <c r="E407" i="3"/>
  <c r="DQ409" i="5"/>
  <c r="BP410" i="5"/>
  <c r="BS410" i="5"/>
  <c r="CQ410" i="5"/>
  <c r="BV410" i="5"/>
  <c r="CR410" i="5"/>
  <c r="BW410" i="5"/>
  <c r="CS410" i="5"/>
  <c r="CA410" i="5"/>
  <c r="CT410" i="5"/>
  <c r="CB410" i="5"/>
  <c r="CU410" i="5"/>
  <c r="BX410" i="5"/>
  <c r="CZ410" i="5"/>
  <c r="BU410" i="5"/>
  <c r="DB410" i="5"/>
  <c r="BY410" i="5"/>
  <c r="DC410" i="5"/>
  <c r="CK410" i="5"/>
  <c r="DE410" i="5"/>
  <c r="DH410" i="5"/>
  <c r="DO410" i="5"/>
  <c r="E408" i="3"/>
  <c r="DQ410" i="5"/>
  <c r="BP411" i="5"/>
  <c r="BS411" i="5"/>
  <c r="CQ411" i="5"/>
  <c r="BV411" i="5"/>
  <c r="CR411" i="5"/>
  <c r="BW411" i="5"/>
  <c r="CS411" i="5"/>
  <c r="CA411" i="5"/>
  <c r="CT411" i="5"/>
  <c r="CB411" i="5"/>
  <c r="CU411" i="5"/>
  <c r="BX411" i="5"/>
  <c r="CZ411" i="5"/>
  <c r="BU411" i="5"/>
  <c r="DB411" i="5"/>
  <c r="BY411" i="5"/>
  <c r="DC411" i="5"/>
  <c r="DH411" i="5"/>
  <c r="DO411" i="5"/>
  <c r="E409" i="3"/>
  <c r="DQ411" i="5"/>
  <c r="BP412" i="5"/>
  <c r="BS412" i="5"/>
  <c r="CQ412" i="5"/>
  <c r="BV412" i="5"/>
  <c r="CR412" i="5"/>
  <c r="BW412" i="5"/>
  <c r="CS412" i="5"/>
  <c r="CA412" i="5"/>
  <c r="CT412" i="5"/>
  <c r="CB412" i="5"/>
  <c r="CU412" i="5"/>
  <c r="BX412" i="5"/>
  <c r="CZ412" i="5"/>
  <c r="BY412" i="5"/>
  <c r="DC412" i="5"/>
  <c r="DH412" i="5"/>
  <c r="DO412" i="5"/>
  <c r="E410" i="3"/>
  <c r="DQ412" i="5"/>
  <c r="BP413" i="5"/>
  <c r="BS413" i="5"/>
  <c r="CQ413" i="5"/>
  <c r="BV413" i="5"/>
  <c r="CR413" i="5"/>
  <c r="BW413" i="5"/>
  <c r="CS413" i="5"/>
  <c r="CA413" i="5"/>
  <c r="CT413" i="5"/>
  <c r="CB413" i="5"/>
  <c r="CU413" i="5"/>
  <c r="BX413" i="5"/>
  <c r="CZ413" i="5"/>
  <c r="BU413" i="5"/>
  <c r="DB413" i="5"/>
  <c r="BY413" i="5"/>
  <c r="DC413" i="5"/>
  <c r="CK413" i="5"/>
  <c r="DE413" i="5"/>
  <c r="DH413" i="5"/>
  <c r="DO413" i="5"/>
  <c r="E411" i="3"/>
  <c r="DQ413" i="5"/>
  <c r="BP414" i="5"/>
  <c r="BS414" i="5"/>
  <c r="CQ414" i="5"/>
  <c r="BV414" i="5"/>
  <c r="CR414" i="5"/>
  <c r="BW414" i="5"/>
  <c r="CS414" i="5"/>
  <c r="CA414" i="5"/>
  <c r="CT414" i="5"/>
  <c r="CB414" i="5"/>
  <c r="CU414" i="5"/>
  <c r="BX414" i="5"/>
  <c r="CZ414" i="5"/>
  <c r="BY414" i="5"/>
  <c r="DC414" i="5"/>
  <c r="CK414" i="5"/>
  <c r="DE414" i="5"/>
  <c r="DH414" i="5"/>
  <c r="DO414" i="5"/>
  <c r="E412" i="3"/>
  <c r="DQ414" i="5"/>
  <c r="BP415" i="5"/>
  <c r="BS415" i="5"/>
  <c r="CQ415" i="5"/>
  <c r="BV415" i="5"/>
  <c r="CR415" i="5"/>
  <c r="BW415" i="5"/>
  <c r="CS415" i="5"/>
  <c r="CA415" i="5"/>
  <c r="CT415" i="5"/>
  <c r="CB415" i="5"/>
  <c r="CU415" i="5"/>
  <c r="BX415" i="5"/>
  <c r="CZ415" i="5"/>
  <c r="BU415" i="5"/>
  <c r="DB415" i="5"/>
  <c r="BY415" i="5"/>
  <c r="DC415" i="5"/>
  <c r="CK415" i="5"/>
  <c r="DE415" i="5"/>
  <c r="DH415" i="5"/>
  <c r="DO415" i="5"/>
  <c r="E413" i="3"/>
  <c r="DQ415" i="5"/>
  <c r="BP416" i="5"/>
  <c r="BS416" i="5"/>
  <c r="CQ416" i="5"/>
  <c r="BV416" i="5"/>
  <c r="CR416" i="5"/>
  <c r="BW416" i="5"/>
  <c r="CS416" i="5"/>
  <c r="CA416" i="5"/>
  <c r="CT416" i="5"/>
  <c r="CB416" i="5"/>
  <c r="CU416" i="5"/>
  <c r="BX416" i="5"/>
  <c r="CZ416" i="5"/>
  <c r="BU416" i="5"/>
  <c r="DB416" i="5"/>
  <c r="BY416" i="5"/>
  <c r="DC416" i="5"/>
  <c r="CK416" i="5"/>
  <c r="DE416" i="5"/>
  <c r="DH416" i="5"/>
  <c r="DO416" i="5"/>
  <c r="E414" i="3"/>
  <c r="DQ416" i="5"/>
  <c r="BP417" i="5"/>
  <c r="BS417" i="5"/>
  <c r="CQ417" i="5"/>
  <c r="BV417" i="5"/>
  <c r="CR417" i="5"/>
  <c r="BW417" i="5"/>
  <c r="CS417" i="5"/>
  <c r="CA417" i="5"/>
  <c r="CT417" i="5"/>
  <c r="CB417" i="5"/>
  <c r="CU417" i="5"/>
  <c r="BX417" i="5"/>
  <c r="CZ417" i="5"/>
  <c r="CH417" i="5"/>
  <c r="DA417" i="5"/>
  <c r="BU417" i="5"/>
  <c r="DB417" i="5"/>
  <c r="BY417" i="5"/>
  <c r="DC417" i="5"/>
  <c r="CK417" i="5"/>
  <c r="DE417" i="5"/>
  <c r="DH417" i="5"/>
  <c r="DO417" i="5"/>
  <c r="E415" i="3"/>
  <c r="DQ417" i="5"/>
  <c r="BP418" i="5"/>
  <c r="BS418" i="5"/>
  <c r="CQ418" i="5"/>
  <c r="BV418" i="5"/>
  <c r="CR418" i="5"/>
  <c r="BW418" i="5"/>
  <c r="CS418" i="5"/>
  <c r="CA418" i="5"/>
  <c r="CT418" i="5"/>
  <c r="CB418" i="5"/>
  <c r="CU418" i="5"/>
  <c r="BX418" i="5"/>
  <c r="CZ418" i="5"/>
  <c r="BU418" i="5"/>
  <c r="DB418" i="5"/>
  <c r="BY418" i="5"/>
  <c r="DC418" i="5"/>
  <c r="CK418" i="5"/>
  <c r="DE418" i="5"/>
  <c r="DH418" i="5"/>
  <c r="DO418" i="5"/>
  <c r="E416" i="3"/>
  <c r="DQ418" i="5"/>
  <c r="BP419" i="5"/>
  <c r="BS419" i="5"/>
  <c r="CQ419" i="5"/>
  <c r="BV419" i="5"/>
  <c r="CR419" i="5"/>
  <c r="BW419" i="5"/>
  <c r="CS419" i="5"/>
  <c r="CA419" i="5"/>
  <c r="CT419" i="5"/>
  <c r="CB419" i="5"/>
  <c r="CU419" i="5"/>
  <c r="BX419" i="5"/>
  <c r="CZ419" i="5"/>
  <c r="BU419" i="5"/>
  <c r="DB419" i="5"/>
  <c r="BY419" i="5"/>
  <c r="DC419" i="5"/>
  <c r="CK419" i="5"/>
  <c r="DE419" i="5"/>
  <c r="DH419" i="5"/>
  <c r="DO419" i="5"/>
  <c r="E417" i="3"/>
  <c r="DQ419" i="5"/>
  <c r="BP420" i="5"/>
  <c r="BS420" i="5"/>
  <c r="CQ420" i="5"/>
  <c r="BV420" i="5"/>
  <c r="CR420" i="5"/>
  <c r="BW420" i="5"/>
  <c r="CS420" i="5"/>
  <c r="CA420" i="5"/>
  <c r="CT420" i="5"/>
  <c r="CB420" i="5"/>
  <c r="CU420" i="5"/>
  <c r="BX420" i="5"/>
  <c r="CZ420" i="5"/>
  <c r="CH420" i="5"/>
  <c r="DA420" i="5"/>
  <c r="BU420" i="5"/>
  <c r="DB420" i="5"/>
  <c r="BY420" i="5"/>
  <c r="DC420" i="5"/>
  <c r="CK420" i="5"/>
  <c r="DE420" i="5"/>
  <c r="DH420" i="5"/>
  <c r="DO420" i="5"/>
  <c r="E418" i="3"/>
  <c r="DQ420" i="5"/>
  <c r="BP421" i="5"/>
  <c r="BS421" i="5"/>
  <c r="CQ421" i="5"/>
  <c r="BV421" i="5"/>
  <c r="CR421" i="5"/>
  <c r="BW421" i="5"/>
  <c r="CS421" i="5"/>
  <c r="CA421" i="5"/>
  <c r="CT421" i="5"/>
  <c r="CB421" i="5"/>
  <c r="CU421" i="5"/>
  <c r="CC421" i="5"/>
  <c r="CV421" i="5"/>
  <c r="BX421" i="5"/>
  <c r="CZ421" i="5"/>
  <c r="BU421" i="5"/>
  <c r="DB421" i="5"/>
  <c r="BY421" i="5"/>
  <c r="DC421" i="5"/>
  <c r="CK421" i="5"/>
  <c r="DE421" i="5"/>
  <c r="DH421" i="5"/>
  <c r="DO421" i="5"/>
  <c r="E419" i="3"/>
  <c r="DQ421" i="5"/>
  <c r="BP422" i="5"/>
  <c r="BS422" i="5"/>
  <c r="CQ422" i="5"/>
  <c r="BV422" i="5"/>
  <c r="CR422" i="5"/>
  <c r="BW422" i="5"/>
  <c r="CS422" i="5"/>
  <c r="CA422" i="5"/>
  <c r="CT422" i="5"/>
  <c r="CB422" i="5"/>
  <c r="CU422" i="5"/>
  <c r="CC422" i="5"/>
  <c r="CV422" i="5"/>
  <c r="BX422" i="5"/>
  <c r="CZ422" i="5"/>
  <c r="CH422" i="5"/>
  <c r="DA422" i="5"/>
  <c r="BU422" i="5"/>
  <c r="DB422" i="5"/>
  <c r="BY422" i="5"/>
  <c r="DC422" i="5"/>
  <c r="CK422" i="5"/>
  <c r="DE422" i="5"/>
  <c r="DH422" i="5"/>
  <c r="DO422" i="5"/>
  <c r="E420" i="3"/>
  <c r="DQ422" i="5"/>
  <c r="BP423" i="5"/>
  <c r="BS423" i="5"/>
  <c r="CQ423" i="5"/>
  <c r="BV423" i="5"/>
  <c r="CR423" i="5"/>
  <c r="BW423" i="5"/>
  <c r="CS423" i="5"/>
  <c r="CA423" i="5"/>
  <c r="CT423" i="5"/>
  <c r="CB423" i="5"/>
  <c r="CU423" i="5"/>
  <c r="CC423" i="5"/>
  <c r="CV423" i="5"/>
  <c r="BX423" i="5"/>
  <c r="CZ423" i="5"/>
  <c r="BU423" i="5"/>
  <c r="DB423" i="5"/>
  <c r="BY423" i="5"/>
  <c r="DC423" i="5"/>
  <c r="CK423" i="5"/>
  <c r="DE423" i="5"/>
  <c r="DH423" i="5"/>
  <c r="DO423" i="5"/>
  <c r="E421" i="3"/>
  <c r="DQ423" i="5"/>
  <c r="BP424" i="5"/>
  <c r="BS424" i="5"/>
  <c r="CQ424" i="5"/>
  <c r="BV424" i="5"/>
  <c r="CR424" i="5"/>
  <c r="BW424" i="5"/>
  <c r="CS424" i="5"/>
  <c r="CA424" i="5"/>
  <c r="CT424" i="5"/>
  <c r="CB424" i="5"/>
  <c r="CU424" i="5"/>
  <c r="CC424" i="5"/>
  <c r="CV424" i="5"/>
  <c r="BX424" i="5"/>
  <c r="CZ424" i="5"/>
  <c r="BU424" i="5"/>
  <c r="DB424" i="5"/>
  <c r="BY424" i="5"/>
  <c r="DC424" i="5"/>
  <c r="CK424" i="5"/>
  <c r="DE424" i="5"/>
  <c r="DH424" i="5"/>
  <c r="DO424" i="5"/>
  <c r="E422" i="3"/>
  <c r="DQ424" i="5"/>
  <c r="BP425" i="5"/>
  <c r="BS425" i="5"/>
  <c r="CQ425" i="5"/>
  <c r="BV425" i="5"/>
  <c r="CR425" i="5"/>
  <c r="BW425" i="5"/>
  <c r="CS425" i="5"/>
  <c r="CA425" i="5"/>
  <c r="CT425" i="5"/>
  <c r="CB425" i="5"/>
  <c r="CU425" i="5"/>
  <c r="CC425" i="5"/>
  <c r="CV425" i="5"/>
  <c r="BX425" i="5"/>
  <c r="CZ425" i="5"/>
  <c r="BT425" i="5"/>
  <c r="BT424" i="5"/>
  <c r="DB425" i="5"/>
  <c r="BY425" i="5"/>
  <c r="DC425" i="5"/>
  <c r="CK425" i="5"/>
  <c r="DE425" i="5"/>
  <c r="DH425" i="5"/>
  <c r="DO425" i="5"/>
  <c r="E423" i="3"/>
  <c r="DQ425" i="5"/>
  <c r="BP426" i="5"/>
  <c r="BS426" i="5"/>
  <c r="CQ426" i="5"/>
  <c r="BV426" i="5"/>
  <c r="CR426" i="5"/>
  <c r="BW426" i="5"/>
  <c r="CS426" i="5"/>
  <c r="CA426" i="5"/>
  <c r="CT426" i="5"/>
  <c r="CB426" i="5"/>
  <c r="CU426" i="5"/>
  <c r="CC426" i="5"/>
  <c r="CV426" i="5"/>
  <c r="BX426" i="5"/>
  <c r="CZ426" i="5"/>
  <c r="CH426" i="5"/>
  <c r="DA426" i="5"/>
  <c r="BT426" i="5"/>
  <c r="DB426" i="5"/>
  <c r="BY426" i="5"/>
  <c r="DC426" i="5"/>
  <c r="CK426" i="5"/>
  <c r="DE426" i="5"/>
  <c r="DH426" i="5"/>
  <c r="DO426" i="5"/>
  <c r="E424" i="3"/>
  <c r="DQ426" i="5"/>
  <c r="BP427" i="5"/>
  <c r="BS427" i="5"/>
  <c r="CQ427" i="5"/>
  <c r="BV427" i="5"/>
  <c r="CR427" i="5"/>
  <c r="BW427" i="5"/>
  <c r="CS427" i="5"/>
  <c r="CA427" i="5"/>
  <c r="CT427" i="5"/>
  <c r="CB427" i="5"/>
  <c r="CU427" i="5"/>
  <c r="CC427" i="5"/>
  <c r="CV427" i="5"/>
  <c r="BX427" i="5"/>
  <c r="CZ427" i="5"/>
  <c r="BT427" i="5"/>
  <c r="DB427" i="5"/>
  <c r="BY427" i="5"/>
  <c r="DC427" i="5"/>
  <c r="CK427" i="5"/>
  <c r="DE427" i="5"/>
  <c r="DH427" i="5"/>
  <c r="DO427" i="5"/>
  <c r="E425" i="3"/>
  <c r="DQ427" i="5"/>
  <c r="BP428" i="5"/>
  <c r="BS428" i="5"/>
  <c r="CQ428" i="5"/>
  <c r="BV428" i="5"/>
  <c r="CR428" i="5"/>
  <c r="BW428" i="5"/>
  <c r="CS428" i="5"/>
  <c r="CA428" i="5"/>
  <c r="CT428" i="5"/>
  <c r="CB428" i="5"/>
  <c r="CU428" i="5"/>
  <c r="CC428" i="5"/>
  <c r="CV428" i="5"/>
  <c r="BX428" i="5"/>
  <c r="CZ428" i="5"/>
  <c r="BT428" i="5"/>
  <c r="DB428" i="5"/>
  <c r="BY428" i="5"/>
  <c r="DC428" i="5"/>
  <c r="DH428" i="5"/>
  <c r="DO428" i="5"/>
  <c r="E426" i="3"/>
  <c r="DQ428" i="5"/>
  <c r="BP429" i="5"/>
  <c r="BS429" i="5"/>
  <c r="CQ429" i="5"/>
  <c r="BV429" i="5"/>
  <c r="CR429" i="5"/>
  <c r="BW429" i="5"/>
  <c r="CS429" i="5"/>
  <c r="CA429" i="5"/>
  <c r="CT429" i="5"/>
  <c r="CB429" i="5"/>
  <c r="CU429" i="5"/>
  <c r="CC429" i="5"/>
  <c r="CV429" i="5"/>
  <c r="BX429" i="5"/>
  <c r="CZ429" i="5"/>
  <c r="BT429" i="5"/>
  <c r="DB429" i="5"/>
  <c r="BY429" i="5"/>
  <c r="DC429" i="5"/>
  <c r="DH429" i="5"/>
  <c r="DO429" i="5"/>
  <c r="E427" i="3"/>
  <c r="DQ429" i="5"/>
  <c r="BP430" i="5"/>
  <c r="BS430" i="5"/>
  <c r="CQ430" i="5"/>
  <c r="BV430" i="5"/>
  <c r="CR430" i="5"/>
  <c r="BW430" i="5"/>
  <c r="CS430" i="5"/>
  <c r="CA430" i="5"/>
  <c r="CT430" i="5"/>
  <c r="CB430" i="5"/>
  <c r="CU430" i="5"/>
  <c r="CC430" i="5"/>
  <c r="CV430" i="5"/>
  <c r="BX430" i="5"/>
  <c r="CZ430" i="5"/>
  <c r="BT430" i="5"/>
  <c r="DB430" i="5"/>
  <c r="BY430" i="5"/>
  <c r="DC430" i="5"/>
  <c r="CK430" i="5"/>
  <c r="DE430" i="5"/>
  <c r="DH430" i="5"/>
  <c r="DO430" i="5"/>
  <c r="E428" i="3"/>
  <c r="DQ430" i="5"/>
  <c r="BP431" i="5"/>
  <c r="BS431" i="5"/>
  <c r="CQ431" i="5"/>
  <c r="BV431" i="5"/>
  <c r="CR431" i="5"/>
  <c r="BW431" i="5"/>
  <c r="CS431" i="5"/>
  <c r="CA431" i="5"/>
  <c r="CT431" i="5"/>
  <c r="CB431" i="5"/>
  <c r="CU431" i="5"/>
  <c r="CC431" i="5"/>
  <c r="CV431" i="5"/>
  <c r="BX431" i="5"/>
  <c r="CZ431" i="5"/>
  <c r="BT431" i="5"/>
  <c r="DB431" i="5"/>
  <c r="BY431" i="5"/>
  <c r="DC431" i="5"/>
  <c r="CK431" i="5"/>
  <c r="DE431" i="5"/>
  <c r="DH431" i="5"/>
  <c r="DO431" i="5"/>
  <c r="E429" i="3"/>
  <c r="DQ431" i="5"/>
  <c r="BP432" i="5"/>
  <c r="BS432" i="5"/>
  <c r="CQ432" i="5"/>
  <c r="BV432" i="5"/>
  <c r="CR432" i="5"/>
  <c r="BW432" i="5"/>
  <c r="CS432" i="5"/>
  <c r="CA432" i="5"/>
  <c r="CT432" i="5"/>
  <c r="CB432" i="5"/>
  <c r="CU432" i="5"/>
  <c r="CC432" i="5"/>
  <c r="CV432" i="5"/>
  <c r="BX432" i="5"/>
  <c r="CZ432" i="5"/>
  <c r="BT432" i="5"/>
  <c r="DB432" i="5"/>
  <c r="BY432" i="5"/>
  <c r="DC432" i="5"/>
  <c r="CK432" i="5"/>
  <c r="DE432" i="5"/>
  <c r="DH432" i="5"/>
  <c r="DO432" i="5"/>
  <c r="E430" i="3"/>
  <c r="DQ432" i="5"/>
  <c r="BP433" i="5"/>
  <c r="BS433" i="5"/>
  <c r="CQ433" i="5"/>
  <c r="BV433" i="5"/>
  <c r="CR433" i="5"/>
  <c r="BW433" i="5"/>
  <c r="CS433" i="5"/>
  <c r="CA433" i="5"/>
  <c r="CT433" i="5"/>
  <c r="CB433" i="5"/>
  <c r="CU433" i="5"/>
  <c r="CC433" i="5"/>
  <c r="CV433" i="5"/>
  <c r="BX433" i="5"/>
  <c r="CZ433" i="5"/>
  <c r="BT433" i="5"/>
  <c r="DB433" i="5"/>
  <c r="BY433" i="5"/>
  <c r="DC433" i="5"/>
  <c r="CK433" i="5"/>
  <c r="DE433" i="5"/>
  <c r="DH433" i="5"/>
  <c r="DO433" i="5"/>
  <c r="E431" i="3"/>
  <c r="DQ433" i="5"/>
  <c r="BP434" i="5"/>
  <c r="BS434" i="5"/>
  <c r="CQ434" i="5"/>
  <c r="BV434" i="5"/>
  <c r="CR434" i="5"/>
  <c r="BW434" i="5"/>
  <c r="CS434" i="5"/>
  <c r="CA434" i="5"/>
  <c r="CT434" i="5"/>
  <c r="CB434" i="5"/>
  <c r="CU434" i="5"/>
  <c r="CC434" i="5"/>
  <c r="CV434" i="5"/>
  <c r="BX434" i="5"/>
  <c r="CZ434" i="5"/>
  <c r="BT434" i="5"/>
  <c r="DB434" i="5"/>
  <c r="BY434" i="5"/>
  <c r="DC434" i="5"/>
  <c r="CK434" i="5"/>
  <c r="DE434" i="5"/>
  <c r="DH434" i="5"/>
  <c r="DO434" i="5"/>
  <c r="E432" i="3"/>
  <c r="DQ434" i="5"/>
  <c r="BP435" i="5"/>
  <c r="BS435" i="5"/>
  <c r="CQ435" i="5"/>
  <c r="BV435" i="5"/>
  <c r="CR435" i="5"/>
  <c r="BW435" i="5"/>
  <c r="CS435" i="5"/>
  <c r="CA435" i="5"/>
  <c r="CT435" i="5"/>
  <c r="CB435" i="5"/>
  <c r="CU435" i="5"/>
  <c r="BX435" i="5"/>
  <c r="CZ435" i="5"/>
  <c r="BT435" i="5"/>
  <c r="DB435" i="5"/>
  <c r="BY435" i="5"/>
  <c r="DC435" i="5"/>
  <c r="CK435" i="5"/>
  <c r="DE435" i="5"/>
  <c r="DH435" i="5"/>
  <c r="DO435" i="5"/>
  <c r="E433" i="3"/>
  <c r="DQ435" i="5"/>
  <c r="BP436" i="5"/>
  <c r="BS436" i="5"/>
  <c r="CQ436" i="5"/>
  <c r="BV436" i="5"/>
  <c r="CR436" i="5"/>
  <c r="BW436" i="5"/>
  <c r="CS436" i="5"/>
  <c r="CA436" i="5"/>
  <c r="CT436" i="5"/>
  <c r="CB436" i="5"/>
  <c r="CU436" i="5"/>
  <c r="CC436" i="5"/>
  <c r="CV436" i="5"/>
  <c r="BX436" i="5"/>
  <c r="CZ436" i="5"/>
  <c r="BT436" i="5"/>
  <c r="DB436" i="5"/>
  <c r="BY436" i="5"/>
  <c r="DC436" i="5"/>
  <c r="CK436" i="5"/>
  <c r="DE436" i="5"/>
  <c r="DH436" i="5"/>
  <c r="DO436" i="5"/>
  <c r="E434" i="3"/>
  <c r="DQ436" i="5"/>
  <c r="BP437" i="5"/>
  <c r="BS437" i="5"/>
  <c r="CQ437" i="5"/>
  <c r="BV437" i="5"/>
  <c r="CR437" i="5"/>
  <c r="BW437" i="5"/>
  <c r="CS437" i="5"/>
  <c r="CA437" i="5"/>
  <c r="CT437" i="5"/>
  <c r="CB437" i="5"/>
  <c r="CU437" i="5"/>
  <c r="CC437" i="5"/>
  <c r="CV437" i="5"/>
  <c r="BX437" i="5"/>
  <c r="CZ437" i="5"/>
  <c r="BT437" i="5"/>
  <c r="DB437" i="5"/>
  <c r="BY437" i="5"/>
  <c r="DC437" i="5"/>
  <c r="CK437" i="5"/>
  <c r="DE437" i="5"/>
  <c r="DH437" i="5"/>
  <c r="DO437" i="5"/>
  <c r="E435" i="3"/>
  <c r="DQ437" i="5"/>
  <c r="BP438" i="5"/>
  <c r="BS438" i="5"/>
  <c r="CQ438" i="5"/>
  <c r="BV438" i="5"/>
  <c r="CR438" i="5"/>
  <c r="BW438" i="5"/>
  <c r="CS438" i="5"/>
  <c r="CA438" i="5"/>
  <c r="CT438" i="5"/>
  <c r="CB438" i="5"/>
  <c r="CU438" i="5"/>
  <c r="CC438" i="5"/>
  <c r="CV438" i="5"/>
  <c r="BX438" i="5"/>
  <c r="CZ438" i="5"/>
  <c r="BT438" i="5"/>
  <c r="DB438" i="5"/>
  <c r="BY438" i="5"/>
  <c r="DC438" i="5"/>
  <c r="CK438" i="5"/>
  <c r="DE438" i="5"/>
  <c r="DH438" i="5"/>
  <c r="DO438" i="5"/>
  <c r="E436" i="3"/>
  <c r="DQ438" i="5"/>
  <c r="BP439" i="5"/>
  <c r="BS439" i="5"/>
  <c r="CQ439" i="5"/>
  <c r="BV439" i="5"/>
  <c r="CR439" i="5"/>
  <c r="BW439" i="5"/>
  <c r="CS439" i="5"/>
  <c r="CA439" i="5"/>
  <c r="CT439" i="5"/>
  <c r="CB439" i="5"/>
  <c r="CU439" i="5"/>
  <c r="CC439" i="5"/>
  <c r="CV439" i="5"/>
  <c r="BX439" i="5"/>
  <c r="CZ439" i="5"/>
  <c r="BT439" i="5"/>
  <c r="DB439" i="5"/>
  <c r="BY439" i="5"/>
  <c r="DC439" i="5"/>
  <c r="CK439" i="5"/>
  <c r="DE439" i="5"/>
  <c r="DH439" i="5"/>
  <c r="DO439" i="5"/>
  <c r="E437" i="3"/>
  <c r="DQ439" i="5"/>
  <c r="BP440" i="5"/>
  <c r="BS440" i="5"/>
  <c r="CQ440" i="5"/>
  <c r="BV440" i="5"/>
  <c r="CR440" i="5"/>
  <c r="BW440" i="5"/>
  <c r="CS440" i="5"/>
  <c r="CA440" i="5"/>
  <c r="CT440" i="5"/>
  <c r="CB440" i="5"/>
  <c r="CU440" i="5"/>
  <c r="CC440" i="5"/>
  <c r="CV440" i="5"/>
  <c r="BX440" i="5"/>
  <c r="CZ440" i="5"/>
  <c r="BT440" i="5"/>
  <c r="DB440" i="5"/>
  <c r="BY440" i="5"/>
  <c r="DC440" i="5"/>
  <c r="CK440" i="5"/>
  <c r="DE440" i="5"/>
  <c r="DH440" i="5"/>
  <c r="DO440" i="5"/>
  <c r="E438" i="3"/>
  <c r="DQ440" i="5"/>
  <c r="BP441" i="5"/>
  <c r="BS441" i="5"/>
  <c r="CQ441" i="5"/>
  <c r="BV441" i="5"/>
  <c r="CR441" i="5"/>
  <c r="BW441" i="5"/>
  <c r="CS441" i="5"/>
  <c r="CA441" i="5"/>
  <c r="CT441" i="5"/>
  <c r="CB441" i="5"/>
  <c r="CU441" i="5"/>
  <c r="BX441" i="5"/>
  <c r="CZ441" i="5"/>
  <c r="CH441" i="5"/>
  <c r="DA441" i="5"/>
  <c r="BT441" i="5"/>
  <c r="DB441" i="5"/>
  <c r="BY441" i="5"/>
  <c r="DC441" i="5"/>
  <c r="CK441" i="5"/>
  <c r="DE441" i="5"/>
  <c r="DH441" i="5"/>
  <c r="DO441" i="5"/>
  <c r="E439" i="3"/>
  <c r="DQ441" i="5"/>
  <c r="BP442" i="5"/>
  <c r="BS442" i="5"/>
  <c r="CQ442" i="5"/>
  <c r="BV442" i="5"/>
  <c r="CR442" i="5"/>
  <c r="BW442" i="5"/>
  <c r="CS442" i="5"/>
  <c r="CA442" i="5"/>
  <c r="CT442" i="5"/>
  <c r="CB442" i="5"/>
  <c r="CU442" i="5"/>
  <c r="CC442" i="5"/>
  <c r="CV442" i="5"/>
  <c r="BX442" i="5"/>
  <c r="CZ442" i="5"/>
  <c r="CH442" i="5"/>
  <c r="DA442" i="5"/>
  <c r="BY442" i="5"/>
  <c r="DC442" i="5"/>
  <c r="CK442" i="5"/>
  <c r="DE442" i="5"/>
  <c r="DH442" i="5"/>
  <c r="DO442" i="5"/>
  <c r="E440" i="3"/>
  <c r="DQ442" i="5"/>
  <c r="BP443" i="5"/>
  <c r="BS443" i="5"/>
  <c r="CQ443" i="5"/>
  <c r="BV443" i="5"/>
  <c r="CR443" i="5"/>
  <c r="BW443" i="5"/>
  <c r="CS443" i="5"/>
  <c r="CA443" i="5"/>
  <c r="CT443" i="5"/>
  <c r="CB443" i="5"/>
  <c r="CU443" i="5"/>
  <c r="CC443" i="5"/>
  <c r="CV443" i="5"/>
  <c r="BX443" i="5"/>
  <c r="CZ443" i="5"/>
  <c r="BT443" i="5"/>
  <c r="DB443" i="5"/>
  <c r="BY443" i="5"/>
  <c r="DC443" i="5"/>
  <c r="CK443" i="5"/>
  <c r="DE443" i="5"/>
  <c r="DH443" i="5"/>
  <c r="DO443" i="5"/>
  <c r="E441" i="3"/>
  <c r="DQ443" i="5"/>
  <c r="BP444" i="5"/>
  <c r="BS444" i="5"/>
  <c r="CQ444" i="5"/>
  <c r="BV444" i="5"/>
  <c r="CR444" i="5"/>
  <c r="BW444" i="5"/>
  <c r="CS444" i="5"/>
  <c r="CA444" i="5"/>
  <c r="CT444" i="5"/>
  <c r="CB444" i="5"/>
  <c r="CU444" i="5"/>
  <c r="CC444" i="5"/>
  <c r="CV444" i="5"/>
  <c r="BX444" i="5"/>
  <c r="CZ444" i="5"/>
  <c r="BT444" i="5"/>
  <c r="DB444" i="5"/>
  <c r="BY444" i="5"/>
  <c r="DC444" i="5"/>
  <c r="CK444" i="5"/>
  <c r="DE444" i="5"/>
  <c r="DH444" i="5"/>
  <c r="DO444" i="5"/>
  <c r="E442" i="3"/>
  <c r="DQ444" i="5"/>
  <c r="BP445" i="5"/>
  <c r="BS445" i="5"/>
  <c r="CQ445" i="5"/>
  <c r="BV445" i="5"/>
  <c r="CR445" i="5"/>
  <c r="BW445" i="5"/>
  <c r="CS445" i="5"/>
  <c r="CA445" i="5"/>
  <c r="CT445" i="5"/>
  <c r="CB445" i="5"/>
  <c r="CU445" i="5"/>
  <c r="CC445" i="5"/>
  <c r="CV445" i="5"/>
  <c r="BX445" i="5"/>
  <c r="CZ445" i="5"/>
  <c r="BT445" i="5"/>
  <c r="DB445" i="5"/>
  <c r="BY445" i="5"/>
  <c r="DC445" i="5"/>
  <c r="DH445" i="5"/>
  <c r="DO445" i="5"/>
  <c r="E443" i="3"/>
  <c r="DQ445" i="5"/>
  <c r="BP446" i="5"/>
  <c r="BS446" i="5"/>
  <c r="CQ446" i="5"/>
  <c r="BV446" i="5"/>
  <c r="CR446" i="5"/>
  <c r="BW446" i="5"/>
  <c r="CS446" i="5"/>
  <c r="CA446" i="5"/>
  <c r="CT446" i="5"/>
  <c r="CB446" i="5"/>
  <c r="CU446" i="5"/>
  <c r="CC446" i="5"/>
  <c r="CV446" i="5"/>
  <c r="BX446" i="5"/>
  <c r="CZ446" i="5"/>
  <c r="BT446" i="5"/>
  <c r="DB446" i="5"/>
  <c r="BY446" i="5"/>
  <c r="DC446" i="5"/>
  <c r="DH446" i="5"/>
  <c r="DO446" i="5"/>
  <c r="E444" i="3"/>
  <c r="DQ446" i="5"/>
  <c r="BP447" i="5"/>
  <c r="BS447" i="5"/>
  <c r="CQ447" i="5"/>
  <c r="BV447" i="5"/>
  <c r="CR447" i="5"/>
  <c r="BW447" i="5"/>
  <c r="CS447" i="5"/>
  <c r="CA447" i="5"/>
  <c r="CT447" i="5"/>
  <c r="CB447" i="5"/>
  <c r="CU447" i="5"/>
  <c r="CC447" i="5"/>
  <c r="CV447" i="5"/>
  <c r="BX447" i="5"/>
  <c r="CZ447" i="5"/>
  <c r="BT447" i="5"/>
  <c r="DB447" i="5"/>
  <c r="BY447" i="5"/>
  <c r="DC447" i="5"/>
  <c r="DH447" i="5"/>
  <c r="DO447" i="5"/>
  <c r="E445" i="3"/>
  <c r="DQ447" i="5"/>
  <c r="BP448" i="5"/>
  <c r="BS448" i="5"/>
  <c r="CQ448" i="5"/>
  <c r="BV448" i="5"/>
  <c r="CR448" i="5"/>
  <c r="BW448" i="5"/>
  <c r="CS448" i="5"/>
  <c r="CA448" i="5"/>
  <c r="CT448" i="5"/>
  <c r="CB448" i="5"/>
  <c r="CU448" i="5"/>
  <c r="BX448" i="5"/>
  <c r="CZ448" i="5"/>
  <c r="CH448" i="5"/>
  <c r="DA448" i="5"/>
  <c r="BT448" i="5"/>
  <c r="DB448" i="5"/>
  <c r="BY448" i="5"/>
  <c r="DC448" i="5"/>
  <c r="CG448" i="5"/>
  <c r="DD448" i="5"/>
  <c r="DH448" i="5"/>
  <c r="DO448" i="5"/>
  <c r="E446" i="3"/>
  <c r="DQ448" i="5"/>
  <c r="BP449" i="5"/>
  <c r="BS449" i="5"/>
  <c r="CQ449" i="5"/>
  <c r="BV449" i="5"/>
  <c r="CR449" i="5"/>
  <c r="BW449" i="5"/>
  <c r="CS449" i="5"/>
  <c r="CA449" i="5"/>
  <c r="CT449" i="5"/>
  <c r="CB449" i="5"/>
  <c r="CU449" i="5"/>
  <c r="BX449" i="5"/>
  <c r="CZ449" i="5"/>
  <c r="BT449" i="5"/>
  <c r="DB449" i="5"/>
  <c r="BY449" i="5"/>
  <c r="DC449" i="5"/>
  <c r="CG449" i="5"/>
  <c r="DD449" i="5"/>
  <c r="DH449" i="5"/>
  <c r="DO449" i="5"/>
  <c r="E447" i="3"/>
  <c r="DQ449" i="5"/>
  <c r="BP450" i="5"/>
  <c r="BS450" i="5"/>
  <c r="CQ450" i="5"/>
  <c r="BV450" i="5"/>
  <c r="CR450" i="5"/>
  <c r="BW450" i="5"/>
  <c r="CS450" i="5"/>
  <c r="CA450" i="5"/>
  <c r="CT450" i="5"/>
  <c r="CB450" i="5"/>
  <c r="CU450" i="5"/>
  <c r="CC450" i="5"/>
  <c r="CV450" i="5"/>
  <c r="BX450" i="5"/>
  <c r="CZ450" i="5"/>
  <c r="BT450" i="5"/>
  <c r="DB450" i="5"/>
  <c r="BY450" i="5"/>
  <c r="DC450" i="5"/>
  <c r="DH450" i="5"/>
  <c r="DO450" i="5"/>
  <c r="E448" i="3"/>
  <c r="DQ450" i="5"/>
  <c r="BP451" i="5"/>
  <c r="BS451" i="5"/>
  <c r="CQ451" i="5"/>
  <c r="BV451" i="5"/>
  <c r="CR451" i="5"/>
  <c r="BW451" i="5"/>
  <c r="CS451" i="5"/>
  <c r="CA451" i="5"/>
  <c r="CT451" i="5"/>
  <c r="CB451" i="5"/>
  <c r="CU451" i="5"/>
  <c r="CC451" i="5"/>
  <c r="CV451" i="5"/>
  <c r="BX451" i="5"/>
  <c r="CZ451" i="5"/>
  <c r="BT451" i="5"/>
  <c r="DB451" i="5"/>
  <c r="BY451" i="5"/>
  <c r="DC451" i="5"/>
  <c r="CK451" i="5"/>
  <c r="DE451" i="5"/>
  <c r="DH451" i="5"/>
  <c r="DO451" i="5"/>
  <c r="E449" i="3"/>
  <c r="DQ451" i="5"/>
  <c r="BP452" i="5"/>
  <c r="BS452" i="5"/>
  <c r="CQ452" i="5"/>
  <c r="BV452" i="5"/>
  <c r="CR452" i="5"/>
  <c r="BW452" i="5"/>
  <c r="CS452" i="5"/>
  <c r="CA452" i="5"/>
  <c r="CT452" i="5"/>
  <c r="CB452" i="5"/>
  <c r="CU452" i="5"/>
  <c r="CC452" i="5"/>
  <c r="CV452" i="5"/>
  <c r="BX452" i="5"/>
  <c r="CZ452" i="5"/>
  <c r="BT452" i="5"/>
  <c r="DB452" i="5"/>
  <c r="BY452" i="5"/>
  <c r="DC452" i="5"/>
  <c r="CG452" i="5"/>
  <c r="DD452" i="5"/>
  <c r="CK452" i="5"/>
  <c r="DE452" i="5"/>
  <c r="DH452" i="5"/>
  <c r="DO452" i="5"/>
  <c r="E450" i="3"/>
  <c r="DQ452" i="5"/>
  <c r="BP453" i="5"/>
  <c r="BS453" i="5"/>
  <c r="CQ453" i="5"/>
  <c r="BV453" i="5"/>
  <c r="CR453" i="5"/>
  <c r="BW453" i="5"/>
  <c r="CS453" i="5"/>
  <c r="CA453" i="5"/>
  <c r="CT453" i="5"/>
  <c r="CB453" i="5"/>
  <c r="CU453" i="5"/>
  <c r="CC453" i="5"/>
  <c r="CV453" i="5"/>
  <c r="BX453" i="5"/>
  <c r="CZ453" i="5"/>
  <c r="BT453" i="5"/>
  <c r="DB453" i="5"/>
  <c r="BY453" i="5"/>
  <c r="DC453" i="5"/>
  <c r="CK453" i="5"/>
  <c r="DE453" i="5"/>
  <c r="DH453" i="5"/>
  <c r="DO453" i="5"/>
  <c r="E451" i="3"/>
  <c r="DQ453" i="5"/>
  <c r="BP454" i="5"/>
  <c r="BS454" i="5"/>
  <c r="CQ454" i="5"/>
  <c r="BV454" i="5"/>
  <c r="CR454" i="5"/>
  <c r="BW454" i="5"/>
  <c r="CS454" i="5"/>
  <c r="CA454" i="5"/>
  <c r="CT454" i="5"/>
  <c r="CB454" i="5"/>
  <c r="CU454" i="5"/>
  <c r="CC454" i="5"/>
  <c r="CV454" i="5"/>
  <c r="BX454" i="5"/>
  <c r="CZ454" i="5"/>
  <c r="BT454" i="5"/>
  <c r="DB454" i="5"/>
  <c r="BY454" i="5"/>
  <c r="DC454" i="5"/>
  <c r="CG454" i="5"/>
  <c r="DD454" i="5"/>
  <c r="CK454" i="5"/>
  <c r="DE454" i="5"/>
  <c r="DH454" i="5"/>
  <c r="DO454" i="5"/>
  <c r="E452" i="3"/>
  <c r="DQ454" i="5"/>
  <c r="BP455" i="5"/>
  <c r="BS455" i="5"/>
  <c r="CQ455" i="5"/>
  <c r="BV455" i="5"/>
  <c r="CR455" i="5"/>
  <c r="BW455" i="5"/>
  <c r="CS455" i="5"/>
  <c r="CA455" i="5"/>
  <c r="CT455" i="5"/>
  <c r="CB455" i="5"/>
  <c r="CU455" i="5"/>
  <c r="CC455" i="5"/>
  <c r="CV455" i="5"/>
  <c r="BX455" i="5"/>
  <c r="CZ455" i="5"/>
  <c r="BT455" i="5"/>
  <c r="DB455" i="5"/>
  <c r="BY455" i="5"/>
  <c r="DC455" i="5"/>
  <c r="CK455" i="5"/>
  <c r="DE455" i="5"/>
  <c r="DH455" i="5"/>
  <c r="DO455" i="5"/>
  <c r="E453" i="3"/>
  <c r="DQ455" i="5"/>
  <c r="BP456" i="5"/>
  <c r="BS456" i="5"/>
  <c r="CQ456" i="5"/>
  <c r="BV456" i="5"/>
  <c r="CR456" i="5"/>
  <c r="BW456" i="5"/>
  <c r="CS456" i="5"/>
  <c r="CA456" i="5"/>
  <c r="CT456" i="5"/>
  <c r="CB456" i="5"/>
  <c r="CU456" i="5"/>
  <c r="CC456" i="5"/>
  <c r="CV456" i="5"/>
  <c r="BX456" i="5"/>
  <c r="CZ456" i="5"/>
  <c r="BT456" i="5"/>
  <c r="DB456" i="5"/>
  <c r="BY456" i="5"/>
  <c r="DC456" i="5"/>
  <c r="CG456" i="5"/>
  <c r="DD456" i="5"/>
  <c r="CK456" i="5"/>
  <c r="DE456" i="5"/>
  <c r="DH456" i="5"/>
  <c r="DO456" i="5"/>
  <c r="E454" i="3"/>
  <c r="DQ456" i="5"/>
  <c r="BP457" i="5"/>
  <c r="BS457" i="5"/>
  <c r="CQ457" i="5"/>
  <c r="BV457" i="5"/>
  <c r="CR457" i="5"/>
  <c r="BW457" i="5"/>
  <c r="CS457" i="5"/>
  <c r="CA457" i="5"/>
  <c r="CT457" i="5"/>
  <c r="CB457" i="5"/>
  <c r="CU457" i="5"/>
  <c r="CC457" i="5"/>
  <c r="CV457" i="5"/>
  <c r="BX457" i="5"/>
  <c r="CZ457" i="5"/>
  <c r="BT457" i="5"/>
  <c r="DB457" i="5"/>
  <c r="BY457" i="5"/>
  <c r="DC457" i="5"/>
  <c r="CG457" i="5"/>
  <c r="DD457" i="5"/>
  <c r="CK457" i="5"/>
  <c r="DE457" i="5"/>
  <c r="DH457" i="5"/>
  <c r="DO457" i="5"/>
  <c r="E455" i="3"/>
  <c r="DQ457" i="5"/>
  <c r="BP458" i="5"/>
  <c r="BS458" i="5"/>
  <c r="CQ458" i="5"/>
  <c r="BV458" i="5"/>
  <c r="CR458" i="5"/>
  <c r="BW458" i="5"/>
  <c r="CS458" i="5"/>
  <c r="CA458" i="5"/>
  <c r="CT458" i="5"/>
  <c r="CB458" i="5"/>
  <c r="CU458" i="5"/>
  <c r="CC458" i="5"/>
  <c r="CV458" i="5"/>
  <c r="BX458" i="5"/>
  <c r="CZ458" i="5"/>
  <c r="BT458" i="5"/>
  <c r="DB458" i="5"/>
  <c r="BY458" i="5"/>
  <c r="DC458" i="5"/>
  <c r="CG458" i="5"/>
  <c r="DD458" i="5"/>
  <c r="CK458" i="5"/>
  <c r="DE458" i="5"/>
  <c r="DH458" i="5"/>
  <c r="DO458" i="5"/>
  <c r="E456" i="3"/>
  <c r="DQ458" i="5"/>
  <c r="BP459" i="5"/>
  <c r="BS459" i="5"/>
  <c r="CQ459" i="5"/>
  <c r="BV459" i="5"/>
  <c r="CR459" i="5"/>
  <c r="BW459" i="5"/>
  <c r="CS459" i="5"/>
  <c r="CA459" i="5"/>
  <c r="CT459" i="5"/>
  <c r="CB459" i="5"/>
  <c r="CU459" i="5"/>
  <c r="CC459" i="5"/>
  <c r="CV459" i="5"/>
  <c r="BX459" i="5"/>
  <c r="CZ459" i="5"/>
  <c r="BT459" i="5"/>
  <c r="DB459" i="5"/>
  <c r="BY459" i="5"/>
  <c r="DC459" i="5"/>
  <c r="CG459" i="5"/>
  <c r="DD459" i="5"/>
  <c r="CK459" i="5"/>
  <c r="DE459" i="5"/>
  <c r="DH459" i="5"/>
  <c r="DO459" i="5"/>
  <c r="E457" i="3"/>
  <c r="DQ459" i="5"/>
  <c r="BP460" i="5"/>
  <c r="BS460" i="5"/>
  <c r="CQ460" i="5"/>
  <c r="BV460" i="5"/>
  <c r="CR460" i="5"/>
  <c r="BW460" i="5"/>
  <c r="CS460" i="5"/>
  <c r="CA460" i="5"/>
  <c r="CT460" i="5"/>
  <c r="CB460" i="5"/>
  <c r="CU460" i="5"/>
  <c r="CC460" i="5"/>
  <c r="CV460" i="5"/>
  <c r="BX460" i="5"/>
  <c r="CZ460" i="5"/>
  <c r="BT460" i="5"/>
  <c r="DB460" i="5"/>
  <c r="BY460" i="5"/>
  <c r="DC460" i="5"/>
  <c r="CG460" i="5"/>
  <c r="DD460" i="5"/>
  <c r="CK460" i="5"/>
  <c r="DE460" i="5"/>
  <c r="DH460" i="5"/>
  <c r="DO460" i="5"/>
  <c r="E458" i="3"/>
  <c r="DQ460" i="5"/>
  <c r="BP461" i="5"/>
  <c r="BS461" i="5"/>
  <c r="CQ461" i="5"/>
  <c r="BV461" i="5"/>
  <c r="CR461" i="5"/>
  <c r="BW461" i="5"/>
  <c r="CS461" i="5"/>
  <c r="CA461" i="5"/>
  <c r="CT461" i="5"/>
  <c r="CB461" i="5"/>
  <c r="CU461" i="5"/>
  <c r="CC461" i="5"/>
  <c r="CV461" i="5"/>
  <c r="BX461" i="5"/>
  <c r="CZ461" i="5"/>
  <c r="BT461" i="5"/>
  <c r="DB461" i="5"/>
  <c r="BY461" i="5"/>
  <c r="DC461" i="5"/>
  <c r="CG461" i="5"/>
  <c r="DD461" i="5"/>
  <c r="CK461" i="5"/>
  <c r="DE461" i="5"/>
  <c r="DH461" i="5"/>
  <c r="DO461" i="5"/>
  <c r="E459" i="3"/>
  <c r="DQ461" i="5"/>
  <c r="BP462" i="5"/>
  <c r="BS462" i="5"/>
  <c r="CQ462" i="5"/>
  <c r="BV462" i="5"/>
  <c r="CR462" i="5"/>
  <c r="BW462" i="5"/>
  <c r="CS462" i="5"/>
  <c r="CA462" i="5"/>
  <c r="CT462" i="5"/>
  <c r="CB462" i="5"/>
  <c r="CU462" i="5"/>
  <c r="CC462" i="5"/>
  <c r="CV462" i="5"/>
  <c r="BX462" i="5"/>
  <c r="CZ462" i="5"/>
  <c r="BT462" i="5"/>
  <c r="DB462" i="5"/>
  <c r="BY462" i="5"/>
  <c r="DC462" i="5"/>
  <c r="CG462" i="5"/>
  <c r="DD462" i="5"/>
  <c r="CK462" i="5"/>
  <c r="DE462" i="5"/>
  <c r="DH462" i="5"/>
  <c r="DO462" i="5"/>
  <c r="E460" i="3"/>
  <c r="DQ462" i="5"/>
  <c r="BP463" i="5"/>
  <c r="BS463" i="5"/>
  <c r="CQ463" i="5"/>
  <c r="BV463" i="5"/>
  <c r="CR463" i="5"/>
  <c r="BW463" i="5"/>
  <c r="CS463" i="5"/>
  <c r="CA463" i="5"/>
  <c r="CT463" i="5"/>
  <c r="CB463" i="5"/>
  <c r="CU463" i="5"/>
  <c r="CC463" i="5"/>
  <c r="CV463" i="5"/>
  <c r="BX463" i="5"/>
  <c r="CZ463" i="5"/>
  <c r="BT463" i="5"/>
  <c r="DB463" i="5"/>
  <c r="BY463" i="5"/>
  <c r="DC463" i="5"/>
  <c r="CG463" i="5"/>
  <c r="DD463" i="5"/>
  <c r="CK463" i="5"/>
  <c r="DE463" i="5"/>
  <c r="DH463" i="5"/>
  <c r="DO463" i="5"/>
  <c r="E461" i="3"/>
  <c r="DQ463" i="5"/>
  <c r="BP464" i="5"/>
  <c r="BS464" i="5"/>
  <c r="CQ464" i="5"/>
  <c r="BV464" i="5"/>
  <c r="CR464" i="5"/>
  <c r="BW464" i="5"/>
  <c r="CS464" i="5"/>
  <c r="CA464" i="5"/>
  <c r="CT464" i="5"/>
  <c r="CB464" i="5"/>
  <c r="CU464" i="5"/>
  <c r="CC464" i="5"/>
  <c r="CV464" i="5"/>
  <c r="BX464" i="5"/>
  <c r="CZ464" i="5"/>
  <c r="BT464" i="5"/>
  <c r="DB464" i="5"/>
  <c r="BY464" i="5"/>
  <c r="DC464" i="5"/>
  <c r="CG464" i="5"/>
  <c r="DD464" i="5"/>
  <c r="CK464" i="5"/>
  <c r="DE464" i="5"/>
  <c r="DH464" i="5"/>
  <c r="DO464" i="5"/>
  <c r="E462" i="3"/>
  <c r="DQ464" i="5"/>
  <c r="BP465" i="5"/>
  <c r="BS465" i="5"/>
  <c r="CQ465" i="5"/>
  <c r="BV465" i="5"/>
  <c r="CR465" i="5"/>
  <c r="BW465" i="5"/>
  <c r="CS465" i="5"/>
  <c r="CA465" i="5"/>
  <c r="CT465" i="5"/>
  <c r="CB465" i="5"/>
  <c r="CU465" i="5"/>
  <c r="CC465" i="5"/>
  <c r="CV465" i="5"/>
  <c r="BX465" i="5"/>
  <c r="CZ465" i="5"/>
  <c r="BT465" i="5"/>
  <c r="DB465" i="5"/>
  <c r="BY465" i="5"/>
  <c r="DC465" i="5"/>
  <c r="CK465" i="5"/>
  <c r="DE465" i="5"/>
  <c r="DH465" i="5"/>
  <c r="DO465" i="5"/>
  <c r="E463" i="3"/>
  <c r="DQ465" i="5"/>
  <c r="BP466" i="5"/>
  <c r="BS466" i="5"/>
  <c r="CQ466" i="5"/>
  <c r="BV466" i="5"/>
  <c r="CR466" i="5"/>
  <c r="BW466" i="5"/>
  <c r="CS466" i="5"/>
  <c r="CA466" i="5"/>
  <c r="CT466" i="5"/>
  <c r="CB466" i="5"/>
  <c r="CU466" i="5"/>
  <c r="CC466" i="5"/>
  <c r="CV466" i="5"/>
  <c r="BX466" i="5"/>
  <c r="CZ466" i="5"/>
  <c r="BT466" i="5"/>
  <c r="DB466" i="5"/>
  <c r="BY466" i="5"/>
  <c r="DC466" i="5"/>
  <c r="CG466" i="5"/>
  <c r="DD466" i="5"/>
  <c r="CK466" i="5"/>
  <c r="DE466" i="5"/>
  <c r="DH466" i="5"/>
  <c r="DO466" i="5"/>
  <c r="E464" i="3"/>
  <c r="DQ466" i="5"/>
  <c r="BP467" i="5"/>
  <c r="BS467" i="5"/>
  <c r="CQ467" i="5"/>
  <c r="BV467" i="5"/>
  <c r="CR467" i="5"/>
  <c r="BW467" i="5"/>
  <c r="CS467" i="5"/>
  <c r="CA467" i="5"/>
  <c r="CT467" i="5"/>
  <c r="CB467" i="5"/>
  <c r="CU467" i="5"/>
  <c r="CC467" i="5"/>
  <c r="CV467" i="5"/>
  <c r="BX467" i="5"/>
  <c r="CZ467" i="5"/>
  <c r="BT467" i="5"/>
  <c r="DB467" i="5"/>
  <c r="BY467" i="5"/>
  <c r="DC467" i="5"/>
  <c r="CG467" i="5"/>
  <c r="DD467" i="5"/>
  <c r="CK467" i="5"/>
  <c r="DE467" i="5"/>
  <c r="DH467" i="5"/>
  <c r="DO467" i="5"/>
  <c r="E465" i="3"/>
  <c r="DQ467" i="5"/>
  <c r="BP468" i="5"/>
  <c r="BS468" i="5"/>
  <c r="CQ468" i="5"/>
  <c r="BV468" i="5"/>
  <c r="CR468" i="5"/>
  <c r="BW468" i="5"/>
  <c r="CS468" i="5"/>
  <c r="CA468" i="5"/>
  <c r="CT468" i="5"/>
  <c r="CB468" i="5"/>
  <c r="CU468" i="5"/>
  <c r="CC468" i="5"/>
  <c r="CV468" i="5"/>
  <c r="BX468" i="5"/>
  <c r="CZ468" i="5"/>
  <c r="BT468" i="5"/>
  <c r="DB468" i="5"/>
  <c r="BY468" i="5"/>
  <c r="DC468" i="5"/>
  <c r="CK468" i="5"/>
  <c r="DE468" i="5"/>
  <c r="DH468" i="5"/>
  <c r="DO468" i="5"/>
  <c r="E466" i="3"/>
  <c r="DQ468" i="5"/>
  <c r="BP469" i="5"/>
  <c r="BS469" i="5"/>
  <c r="CQ469" i="5"/>
  <c r="BV469" i="5"/>
  <c r="CR469" i="5"/>
  <c r="BW469" i="5"/>
  <c r="CS469" i="5"/>
  <c r="CA469" i="5"/>
  <c r="CT469" i="5"/>
  <c r="CB469" i="5"/>
  <c r="CU469" i="5"/>
  <c r="CC469" i="5"/>
  <c r="CV469" i="5"/>
  <c r="BX469" i="5"/>
  <c r="CZ469" i="5"/>
  <c r="BT469" i="5"/>
  <c r="DB469" i="5"/>
  <c r="BY469" i="5"/>
  <c r="DC469" i="5"/>
  <c r="CK469" i="5"/>
  <c r="DE469" i="5"/>
  <c r="DH469" i="5"/>
  <c r="DO469" i="5"/>
  <c r="E467" i="3"/>
  <c r="DQ469" i="5"/>
  <c r="BP470" i="5"/>
  <c r="BS470" i="5"/>
  <c r="CQ470" i="5"/>
  <c r="BV470" i="5"/>
  <c r="CR470" i="5"/>
  <c r="BW470" i="5"/>
  <c r="CS470" i="5"/>
  <c r="CA470" i="5"/>
  <c r="CT470" i="5"/>
  <c r="CB470" i="5"/>
  <c r="CU470" i="5"/>
  <c r="CC470" i="5"/>
  <c r="CV470" i="5"/>
  <c r="BX470" i="5"/>
  <c r="CZ470" i="5"/>
  <c r="BT470" i="5"/>
  <c r="DB470" i="5"/>
  <c r="BY470" i="5"/>
  <c r="DC470" i="5"/>
  <c r="CK470" i="5"/>
  <c r="DE470" i="5"/>
  <c r="DH470" i="5"/>
  <c r="DO470" i="5"/>
  <c r="E468" i="3"/>
  <c r="DQ470" i="5"/>
  <c r="BP471" i="5"/>
  <c r="BS471" i="5"/>
  <c r="CQ471" i="5"/>
  <c r="BV471" i="5"/>
  <c r="CR471" i="5"/>
  <c r="BW471" i="5"/>
  <c r="CS471" i="5"/>
  <c r="CA471" i="5"/>
  <c r="CT471" i="5"/>
  <c r="CB471" i="5"/>
  <c r="CU471" i="5"/>
  <c r="CC471" i="5"/>
  <c r="CV471" i="5"/>
  <c r="BX471" i="5"/>
  <c r="CZ471" i="5"/>
  <c r="BT471" i="5"/>
  <c r="DB471" i="5"/>
  <c r="BY471" i="5"/>
  <c r="DC471" i="5"/>
  <c r="CG471" i="5"/>
  <c r="DD471" i="5"/>
  <c r="CK471" i="5"/>
  <c r="DE471" i="5"/>
  <c r="DH471" i="5"/>
  <c r="DO471" i="5"/>
  <c r="E469" i="3"/>
  <c r="DQ471" i="5"/>
  <c r="BP472" i="5"/>
  <c r="BS472" i="5"/>
  <c r="CQ472" i="5"/>
  <c r="BV472" i="5"/>
  <c r="CR472" i="5"/>
  <c r="BW472" i="5"/>
  <c r="CS472" i="5"/>
  <c r="CA472" i="5"/>
  <c r="CT472" i="5"/>
  <c r="CB472" i="5"/>
  <c r="CU472" i="5"/>
  <c r="CC472" i="5"/>
  <c r="CV472" i="5"/>
  <c r="BX472" i="5"/>
  <c r="CZ472" i="5"/>
  <c r="BT472" i="5"/>
  <c r="DB472" i="5"/>
  <c r="BY472" i="5"/>
  <c r="DC472" i="5"/>
  <c r="CG472" i="5"/>
  <c r="DD472" i="5"/>
  <c r="CK472" i="5"/>
  <c r="DE472" i="5"/>
  <c r="DH472" i="5"/>
  <c r="DO472" i="5"/>
  <c r="E470" i="3"/>
  <c r="DQ472" i="5"/>
  <c r="BP473" i="5"/>
  <c r="BS473" i="5"/>
  <c r="CQ473" i="5"/>
  <c r="BV473" i="5"/>
  <c r="CR473" i="5"/>
  <c r="BW473" i="5"/>
  <c r="CS473" i="5"/>
  <c r="CA473" i="5"/>
  <c r="CT473" i="5"/>
  <c r="CB473" i="5"/>
  <c r="CU473" i="5"/>
  <c r="CC473" i="5"/>
  <c r="CV473" i="5"/>
  <c r="BX473" i="5"/>
  <c r="CZ473" i="5"/>
  <c r="BT473" i="5"/>
  <c r="DB473" i="5"/>
  <c r="BY473" i="5"/>
  <c r="DC473" i="5"/>
  <c r="CK473" i="5"/>
  <c r="DE473" i="5"/>
  <c r="DH473" i="5"/>
  <c r="DO473" i="5"/>
  <c r="E471" i="3"/>
  <c r="DQ473" i="5"/>
  <c r="BP474" i="5"/>
  <c r="BS474" i="5"/>
  <c r="CQ474" i="5"/>
  <c r="BV474" i="5"/>
  <c r="CR474" i="5"/>
  <c r="BW474" i="5"/>
  <c r="CS474" i="5"/>
  <c r="CA474" i="5"/>
  <c r="CT474" i="5"/>
  <c r="CB474" i="5"/>
  <c r="CU474" i="5"/>
  <c r="CC474" i="5"/>
  <c r="CV474" i="5"/>
  <c r="BX474" i="5"/>
  <c r="CZ474" i="5"/>
  <c r="BT474" i="5"/>
  <c r="DB474" i="5"/>
  <c r="BY474" i="5"/>
  <c r="DC474" i="5"/>
  <c r="CK474" i="5"/>
  <c r="DE474" i="5"/>
  <c r="DH474" i="5"/>
  <c r="DO474" i="5"/>
  <c r="E472" i="3"/>
  <c r="DQ474" i="5"/>
  <c r="BP475" i="5"/>
  <c r="BS475" i="5"/>
  <c r="CQ475" i="5"/>
  <c r="BV475" i="5"/>
  <c r="CR475" i="5"/>
  <c r="BW475" i="5"/>
  <c r="CS475" i="5"/>
  <c r="CA475" i="5"/>
  <c r="CT475" i="5"/>
  <c r="CB475" i="5"/>
  <c r="CU475" i="5"/>
  <c r="CC475" i="5"/>
  <c r="CV475" i="5"/>
  <c r="BX475" i="5"/>
  <c r="CZ475" i="5"/>
  <c r="BT475" i="5"/>
  <c r="DB475" i="5"/>
  <c r="BY475" i="5"/>
  <c r="DC475" i="5"/>
  <c r="CG475" i="5"/>
  <c r="DD475" i="5"/>
  <c r="CK475" i="5"/>
  <c r="DE475" i="5"/>
  <c r="DH475" i="5"/>
  <c r="DO475" i="5"/>
  <c r="E473" i="3"/>
  <c r="DQ475" i="5"/>
  <c r="BP476" i="5"/>
  <c r="BS476" i="5"/>
  <c r="CQ476" i="5"/>
  <c r="BV476" i="5"/>
  <c r="CR476" i="5"/>
  <c r="BW476" i="5"/>
  <c r="CS476" i="5"/>
  <c r="CA476" i="5"/>
  <c r="CT476" i="5"/>
  <c r="CB476" i="5"/>
  <c r="CU476" i="5"/>
  <c r="CC476" i="5"/>
  <c r="CV476" i="5"/>
  <c r="BX476" i="5"/>
  <c r="CZ476" i="5"/>
  <c r="BT476" i="5"/>
  <c r="DB476" i="5"/>
  <c r="BY476" i="5"/>
  <c r="DC476" i="5"/>
  <c r="CG476" i="5"/>
  <c r="DD476" i="5"/>
  <c r="CK476" i="5"/>
  <c r="DE476" i="5"/>
  <c r="DH476" i="5"/>
  <c r="DO476" i="5"/>
  <c r="E474" i="3"/>
  <c r="DQ476" i="5"/>
  <c r="BP477" i="5"/>
  <c r="BS477" i="5"/>
  <c r="CQ477" i="5"/>
  <c r="BV477" i="5"/>
  <c r="CR477" i="5"/>
  <c r="BW477" i="5"/>
  <c r="CS477" i="5"/>
  <c r="CA477" i="5"/>
  <c r="CT477" i="5"/>
  <c r="CB477" i="5"/>
  <c r="CU477" i="5"/>
  <c r="CC477" i="5"/>
  <c r="CV477" i="5"/>
  <c r="BX477" i="5"/>
  <c r="CZ477" i="5"/>
  <c r="BT477" i="5"/>
  <c r="DB477" i="5"/>
  <c r="BY477" i="5"/>
  <c r="DC477" i="5"/>
  <c r="CG477" i="5"/>
  <c r="DD477" i="5"/>
  <c r="CK477" i="5"/>
  <c r="DE477" i="5"/>
  <c r="DH477" i="5"/>
  <c r="DO477" i="5"/>
  <c r="E475" i="3"/>
  <c r="DQ477" i="5"/>
  <c r="BP478" i="5"/>
  <c r="BS478" i="5"/>
  <c r="CQ478" i="5"/>
  <c r="BV478" i="5"/>
  <c r="CR478" i="5"/>
  <c r="BW478" i="5"/>
  <c r="CS478" i="5"/>
  <c r="CA478" i="5"/>
  <c r="CT478" i="5"/>
  <c r="CB478" i="5"/>
  <c r="CU478" i="5"/>
  <c r="CC478" i="5"/>
  <c r="CV478" i="5"/>
  <c r="BX478" i="5"/>
  <c r="CZ478" i="5"/>
  <c r="BT478" i="5"/>
  <c r="DB478" i="5"/>
  <c r="BY478" i="5"/>
  <c r="DC478" i="5"/>
  <c r="CG478" i="5"/>
  <c r="DD478" i="5"/>
  <c r="CK478" i="5"/>
  <c r="DE478" i="5"/>
  <c r="DH478" i="5"/>
  <c r="DO478" i="5"/>
  <c r="E476" i="3"/>
  <c r="DQ478" i="5"/>
  <c r="BP479" i="5"/>
  <c r="BS479" i="5"/>
  <c r="CQ479" i="5"/>
  <c r="BV479" i="5"/>
  <c r="CR479" i="5"/>
  <c r="BW479" i="5"/>
  <c r="CS479" i="5"/>
  <c r="CA479" i="5"/>
  <c r="CT479" i="5"/>
  <c r="CB479" i="5"/>
  <c r="CU479" i="5"/>
  <c r="CC479" i="5"/>
  <c r="CV479" i="5"/>
  <c r="BX479" i="5"/>
  <c r="CZ479" i="5"/>
  <c r="BT479" i="5"/>
  <c r="DB479" i="5"/>
  <c r="BY479" i="5"/>
  <c r="DC479" i="5"/>
  <c r="CG479" i="5"/>
  <c r="DD479" i="5"/>
  <c r="CK479" i="5"/>
  <c r="DE479" i="5"/>
  <c r="DH479" i="5"/>
  <c r="DO479" i="5"/>
  <c r="E477" i="3"/>
  <c r="DQ479" i="5"/>
  <c r="BP480" i="5"/>
  <c r="BS480" i="5"/>
  <c r="CQ480" i="5"/>
  <c r="BV480" i="5"/>
  <c r="CR480" i="5"/>
  <c r="BW480" i="5"/>
  <c r="CS480" i="5"/>
  <c r="CA480" i="5"/>
  <c r="CT480" i="5"/>
  <c r="CB480" i="5"/>
  <c r="CU480" i="5"/>
  <c r="CC480" i="5"/>
  <c r="CV480" i="5"/>
  <c r="BX480" i="5"/>
  <c r="CZ480" i="5"/>
  <c r="BT480" i="5"/>
  <c r="DB480" i="5"/>
  <c r="BY480" i="5"/>
  <c r="DC480" i="5"/>
  <c r="CG480" i="5"/>
  <c r="DD480" i="5"/>
  <c r="CK480" i="5"/>
  <c r="DE480" i="5"/>
  <c r="DH480" i="5"/>
  <c r="DO480" i="5"/>
  <c r="E478" i="3"/>
  <c r="DQ480" i="5"/>
  <c r="BP481" i="5"/>
  <c r="BS481" i="5"/>
  <c r="CQ481" i="5"/>
  <c r="BV481" i="5"/>
  <c r="CR481" i="5"/>
  <c r="BW481" i="5"/>
  <c r="CS481" i="5"/>
  <c r="CA481" i="5"/>
  <c r="CT481" i="5"/>
  <c r="CB481" i="5"/>
  <c r="CU481" i="5"/>
  <c r="CC481" i="5"/>
  <c r="CV481" i="5"/>
  <c r="BX481" i="5"/>
  <c r="CZ481" i="5"/>
  <c r="BT481" i="5"/>
  <c r="DB481" i="5"/>
  <c r="BY481" i="5"/>
  <c r="DC481" i="5"/>
  <c r="CG481" i="5"/>
  <c r="DD481" i="5"/>
  <c r="CK481" i="5"/>
  <c r="DE481" i="5"/>
  <c r="DH481" i="5"/>
  <c r="DO481" i="5"/>
  <c r="E479" i="3"/>
  <c r="DQ481" i="5"/>
  <c r="BP482" i="5"/>
  <c r="BS482" i="5"/>
  <c r="CQ482" i="5"/>
  <c r="BV482" i="5"/>
  <c r="CR482" i="5"/>
  <c r="BW482" i="5"/>
  <c r="CS482" i="5"/>
  <c r="CA482" i="5"/>
  <c r="CT482" i="5"/>
  <c r="CB482" i="5"/>
  <c r="CU482" i="5"/>
  <c r="CC482" i="5"/>
  <c r="CV482" i="5"/>
  <c r="BX482" i="5"/>
  <c r="CZ482" i="5"/>
  <c r="BT482" i="5"/>
  <c r="DB482" i="5"/>
  <c r="BY482" i="5"/>
  <c r="DC482" i="5"/>
  <c r="CG482" i="5"/>
  <c r="DD482" i="5"/>
  <c r="CK482" i="5"/>
  <c r="DE482" i="5"/>
  <c r="DH482" i="5"/>
  <c r="DO482" i="5"/>
  <c r="E480" i="3"/>
  <c r="DQ482" i="5"/>
  <c r="BP483" i="5"/>
  <c r="BS483" i="5"/>
  <c r="CQ483" i="5"/>
  <c r="BV483" i="5"/>
  <c r="CR483" i="5"/>
  <c r="BW483" i="5"/>
  <c r="CS483" i="5"/>
  <c r="CA483" i="5"/>
  <c r="CT483" i="5"/>
  <c r="CB483" i="5"/>
  <c r="CU483" i="5"/>
  <c r="CC483" i="5"/>
  <c r="CV483" i="5"/>
  <c r="BX483" i="5"/>
  <c r="CZ483" i="5"/>
  <c r="BT483" i="5"/>
  <c r="DB483" i="5"/>
  <c r="BY483" i="5"/>
  <c r="DC483" i="5"/>
  <c r="CG483" i="5"/>
  <c r="DD483" i="5"/>
  <c r="CK483" i="5"/>
  <c r="DE483" i="5"/>
  <c r="DH483" i="5"/>
  <c r="DO483" i="5"/>
  <c r="E481" i="3"/>
  <c r="DQ483" i="5"/>
  <c r="BP484" i="5"/>
  <c r="BS484" i="5"/>
  <c r="CQ484" i="5"/>
  <c r="BV484" i="5"/>
  <c r="CR484" i="5"/>
  <c r="BW484" i="5"/>
  <c r="CS484" i="5"/>
  <c r="CA484" i="5"/>
  <c r="CT484" i="5"/>
  <c r="CB484" i="5"/>
  <c r="CU484" i="5"/>
  <c r="CC484" i="5"/>
  <c r="CV484" i="5"/>
  <c r="BX484" i="5"/>
  <c r="CZ484" i="5"/>
  <c r="CH484" i="5"/>
  <c r="DA484" i="5"/>
  <c r="BT484" i="5"/>
  <c r="DB484" i="5"/>
  <c r="BY484" i="5"/>
  <c r="DC484" i="5"/>
  <c r="CG484" i="5"/>
  <c r="DD484" i="5"/>
  <c r="CK484" i="5"/>
  <c r="DE484" i="5"/>
  <c r="DH484" i="5"/>
  <c r="DO484" i="5"/>
  <c r="E482" i="3"/>
  <c r="DQ484" i="5"/>
  <c r="BP485" i="5"/>
  <c r="BS485" i="5"/>
  <c r="CQ485" i="5"/>
  <c r="BV485" i="5"/>
  <c r="CR485" i="5"/>
  <c r="BW485" i="5"/>
  <c r="CS485" i="5"/>
  <c r="CA485" i="5"/>
  <c r="CT485" i="5"/>
  <c r="CB485" i="5"/>
  <c r="CU485" i="5"/>
  <c r="CC485" i="5"/>
  <c r="CV485" i="5"/>
  <c r="BX485" i="5"/>
  <c r="CZ485" i="5"/>
  <c r="CH485" i="5"/>
  <c r="DA485" i="5"/>
  <c r="BT485" i="5"/>
  <c r="DB485" i="5"/>
  <c r="BY485" i="5"/>
  <c r="DC485" i="5"/>
  <c r="CG485" i="5"/>
  <c r="DD485" i="5"/>
  <c r="CK485" i="5"/>
  <c r="DE485" i="5"/>
  <c r="DH485" i="5"/>
  <c r="DO485" i="5"/>
  <c r="E483" i="3"/>
  <c r="DQ485" i="5"/>
  <c r="BP486" i="5"/>
  <c r="BS486" i="5"/>
  <c r="CQ486" i="5"/>
  <c r="BV486" i="5"/>
  <c r="CR486" i="5"/>
  <c r="BW486" i="5"/>
  <c r="CS486" i="5"/>
  <c r="CA486" i="5"/>
  <c r="CT486" i="5"/>
  <c r="CB486" i="5"/>
  <c r="CU486" i="5"/>
  <c r="CC486" i="5"/>
  <c r="CV486" i="5"/>
  <c r="BX486" i="5"/>
  <c r="CZ486" i="5"/>
  <c r="CH486" i="5"/>
  <c r="DA486" i="5"/>
  <c r="BT486" i="5"/>
  <c r="DB486" i="5"/>
  <c r="BY486" i="5"/>
  <c r="DC486" i="5"/>
  <c r="CG486" i="5"/>
  <c r="DD486" i="5"/>
  <c r="CK486" i="5"/>
  <c r="DE486" i="5"/>
  <c r="DH486" i="5"/>
  <c r="DO486" i="5"/>
  <c r="E484" i="3"/>
  <c r="DQ486" i="5"/>
  <c r="BP487" i="5"/>
  <c r="BS487" i="5"/>
  <c r="CQ487" i="5"/>
  <c r="BV487" i="5"/>
  <c r="CR487" i="5"/>
  <c r="BW487" i="5"/>
  <c r="CS487" i="5"/>
  <c r="CA487" i="5"/>
  <c r="CT487" i="5"/>
  <c r="CB487" i="5"/>
  <c r="CU487" i="5"/>
  <c r="CC487" i="5"/>
  <c r="CV487" i="5"/>
  <c r="BX487" i="5"/>
  <c r="CZ487" i="5"/>
  <c r="CH487" i="5"/>
  <c r="DA487" i="5"/>
  <c r="BT487" i="5"/>
  <c r="DB487" i="5"/>
  <c r="BY487" i="5"/>
  <c r="DC487" i="5"/>
  <c r="CG487" i="5"/>
  <c r="DD487" i="5"/>
  <c r="CK487" i="5"/>
  <c r="DE487" i="5"/>
  <c r="DH487" i="5"/>
  <c r="DO487" i="5"/>
  <c r="E485" i="3"/>
  <c r="DQ487" i="5"/>
  <c r="BP488" i="5"/>
  <c r="BS488" i="5"/>
  <c r="CQ488" i="5"/>
  <c r="BV488" i="5"/>
  <c r="CR488" i="5"/>
  <c r="BW488" i="5"/>
  <c r="CS488" i="5"/>
  <c r="CA488" i="5"/>
  <c r="CT488" i="5"/>
  <c r="CB488" i="5"/>
  <c r="CU488" i="5"/>
  <c r="CC488" i="5"/>
  <c r="CV488" i="5"/>
  <c r="BX488" i="5"/>
  <c r="CZ488" i="5"/>
  <c r="CH488" i="5"/>
  <c r="DA488" i="5"/>
  <c r="BT488" i="5"/>
  <c r="DB488" i="5"/>
  <c r="BY488" i="5"/>
  <c r="DC488" i="5"/>
  <c r="CG488" i="5"/>
  <c r="DD488" i="5"/>
  <c r="CK488" i="5"/>
  <c r="DE488" i="5"/>
  <c r="DH488" i="5"/>
  <c r="DO488" i="5"/>
  <c r="E486" i="3"/>
  <c r="DQ488" i="5"/>
  <c r="BP489" i="5"/>
  <c r="BS489" i="5"/>
  <c r="CQ489" i="5"/>
  <c r="BV489" i="5"/>
  <c r="CR489" i="5"/>
  <c r="BW489" i="5"/>
  <c r="CS489" i="5"/>
  <c r="CA489" i="5"/>
  <c r="CT489" i="5"/>
  <c r="CB489" i="5"/>
  <c r="CU489" i="5"/>
  <c r="CC489" i="5"/>
  <c r="CV489" i="5"/>
  <c r="BX489" i="5"/>
  <c r="CZ489" i="5"/>
  <c r="CH489" i="5"/>
  <c r="DA489" i="5"/>
  <c r="BT489" i="5"/>
  <c r="DB489" i="5"/>
  <c r="BY489" i="5"/>
  <c r="DC489" i="5"/>
  <c r="CG489" i="5"/>
  <c r="DD489" i="5"/>
  <c r="CK489" i="5"/>
  <c r="DE489" i="5"/>
  <c r="DH489" i="5"/>
  <c r="DO489" i="5"/>
  <c r="E487" i="3"/>
  <c r="DQ489" i="5"/>
  <c r="BP490" i="5"/>
  <c r="BS490" i="5"/>
  <c r="CQ490" i="5"/>
  <c r="BV490" i="5"/>
  <c r="CR490" i="5"/>
  <c r="BW490" i="5"/>
  <c r="CS490" i="5"/>
  <c r="CA490" i="5"/>
  <c r="CT490" i="5"/>
  <c r="CB490" i="5"/>
  <c r="CU490" i="5"/>
  <c r="CC490" i="5"/>
  <c r="CV490" i="5"/>
  <c r="BX490" i="5"/>
  <c r="CZ490" i="5"/>
  <c r="CH490" i="5"/>
  <c r="DA490" i="5"/>
  <c r="BT490" i="5"/>
  <c r="DB490" i="5"/>
  <c r="BY490" i="5"/>
  <c r="DC490" i="5"/>
  <c r="CG490" i="5"/>
  <c r="DD490" i="5"/>
  <c r="CK490" i="5"/>
  <c r="DE490" i="5"/>
  <c r="DH490" i="5"/>
  <c r="DO490" i="5"/>
  <c r="E488" i="3"/>
  <c r="DQ490" i="5"/>
  <c r="BP491" i="5"/>
  <c r="BS491" i="5"/>
  <c r="CQ491" i="5"/>
  <c r="BV491" i="5"/>
  <c r="CR491" i="5"/>
  <c r="BW491" i="5"/>
  <c r="CS491" i="5"/>
  <c r="CA491" i="5"/>
  <c r="CT491" i="5"/>
  <c r="CB491" i="5"/>
  <c r="CU491" i="5"/>
  <c r="CC491" i="5"/>
  <c r="CV491" i="5"/>
  <c r="BX491" i="5"/>
  <c r="CZ491" i="5"/>
  <c r="CH491" i="5"/>
  <c r="DA491" i="5"/>
  <c r="BT491" i="5"/>
  <c r="DB491" i="5"/>
  <c r="BY491" i="5"/>
  <c r="DC491" i="5"/>
  <c r="CG491" i="5"/>
  <c r="DD491" i="5"/>
  <c r="CK491" i="5"/>
  <c r="DE491" i="5"/>
  <c r="DH491" i="5"/>
  <c r="DO491" i="5"/>
  <c r="E489" i="3"/>
  <c r="DQ491" i="5"/>
  <c r="BP492" i="5"/>
  <c r="BS492" i="5"/>
  <c r="CQ492" i="5"/>
  <c r="BV492" i="5"/>
  <c r="CR492" i="5"/>
  <c r="BW492" i="5"/>
  <c r="CS492" i="5"/>
  <c r="CA492" i="5"/>
  <c r="CT492" i="5"/>
  <c r="CB492" i="5"/>
  <c r="CU492" i="5"/>
  <c r="CC492" i="5"/>
  <c r="CV492" i="5"/>
  <c r="BX492" i="5"/>
  <c r="CZ492" i="5"/>
  <c r="CH492" i="5"/>
  <c r="DA492" i="5"/>
  <c r="BT492" i="5"/>
  <c r="DB492" i="5"/>
  <c r="BY492" i="5"/>
  <c r="DC492" i="5"/>
  <c r="CG492" i="5"/>
  <c r="DD492" i="5"/>
  <c r="CK492" i="5"/>
  <c r="DE492" i="5"/>
  <c r="DH492" i="5"/>
  <c r="DO492" i="5"/>
  <c r="E490" i="3"/>
  <c r="DQ492" i="5"/>
  <c r="BP493" i="5"/>
  <c r="BS493" i="5"/>
  <c r="CQ493" i="5"/>
  <c r="BV493" i="5"/>
  <c r="CR493" i="5"/>
  <c r="BW493" i="5"/>
  <c r="CS493" i="5"/>
  <c r="CA493" i="5"/>
  <c r="CT493" i="5"/>
  <c r="CB493" i="5"/>
  <c r="CU493" i="5"/>
  <c r="CC493" i="5"/>
  <c r="CV493" i="5"/>
  <c r="BX493" i="5"/>
  <c r="CZ493" i="5"/>
  <c r="CH493" i="5"/>
  <c r="DA493" i="5"/>
  <c r="BT493" i="5"/>
  <c r="DB493" i="5"/>
  <c r="BY493" i="5"/>
  <c r="DC493" i="5"/>
  <c r="CG493" i="5"/>
  <c r="DD493" i="5"/>
  <c r="CK493" i="5"/>
  <c r="DE493" i="5"/>
  <c r="DH493" i="5"/>
  <c r="DO493" i="5"/>
  <c r="E491" i="3"/>
  <c r="DQ493" i="5"/>
  <c r="BP494" i="5"/>
  <c r="BS494" i="5"/>
  <c r="CQ494" i="5"/>
  <c r="BV494" i="5"/>
  <c r="CR494" i="5"/>
  <c r="BW494" i="5"/>
  <c r="CS494" i="5"/>
  <c r="CA494" i="5"/>
  <c r="CT494" i="5"/>
  <c r="CB494" i="5"/>
  <c r="CU494" i="5"/>
  <c r="BX494" i="5"/>
  <c r="CZ494" i="5"/>
  <c r="CH494" i="5"/>
  <c r="DA494" i="5"/>
  <c r="BT494" i="5"/>
  <c r="DB494" i="5"/>
  <c r="BY494" i="5"/>
  <c r="DC494" i="5"/>
  <c r="CG494" i="5"/>
  <c r="DD494" i="5"/>
  <c r="CK494" i="5"/>
  <c r="DE494" i="5"/>
  <c r="DH494" i="5"/>
  <c r="DO494" i="5"/>
  <c r="E492" i="3"/>
  <c r="DQ494" i="5"/>
  <c r="BP495" i="5"/>
  <c r="BS495" i="5"/>
  <c r="CQ495" i="5"/>
  <c r="BV495" i="5"/>
  <c r="CR495" i="5"/>
  <c r="BW495" i="5"/>
  <c r="CS495" i="5"/>
  <c r="CA495" i="5"/>
  <c r="CT495" i="5"/>
  <c r="CB495" i="5"/>
  <c r="CU495" i="5"/>
  <c r="CC495" i="5"/>
  <c r="CV495" i="5"/>
  <c r="BX495" i="5"/>
  <c r="CZ495" i="5"/>
  <c r="CH495" i="5"/>
  <c r="DA495" i="5"/>
  <c r="BT495" i="5"/>
  <c r="DB495" i="5"/>
  <c r="BY495" i="5"/>
  <c r="DC495" i="5"/>
  <c r="CG495" i="5"/>
  <c r="DD495" i="5"/>
  <c r="CK495" i="5"/>
  <c r="DE495" i="5"/>
  <c r="DH495" i="5"/>
  <c r="DO495" i="5"/>
  <c r="E493" i="3"/>
  <c r="DQ495" i="5"/>
  <c r="BP496" i="5"/>
  <c r="BS496" i="5"/>
  <c r="CQ496" i="5"/>
  <c r="BV496" i="5"/>
  <c r="CR496" i="5"/>
  <c r="BW496" i="5"/>
  <c r="CS496" i="5"/>
  <c r="CA496" i="5"/>
  <c r="CT496" i="5"/>
  <c r="CB496" i="5"/>
  <c r="CU496" i="5"/>
  <c r="CC496" i="5"/>
  <c r="CV496" i="5"/>
  <c r="BX496" i="5"/>
  <c r="CZ496" i="5"/>
  <c r="CH496" i="5"/>
  <c r="DA496" i="5"/>
  <c r="BT496" i="5"/>
  <c r="DB496" i="5"/>
  <c r="BY496" i="5"/>
  <c r="DC496" i="5"/>
  <c r="CG496" i="5"/>
  <c r="DD496" i="5"/>
  <c r="CK496" i="5"/>
  <c r="DE496" i="5"/>
  <c r="DH496" i="5"/>
  <c r="DO496" i="5"/>
  <c r="E494" i="3"/>
  <c r="DQ496" i="5"/>
  <c r="BP497" i="5"/>
  <c r="BS497" i="5"/>
  <c r="CQ497" i="5"/>
  <c r="BV497" i="5"/>
  <c r="CR497" i="5"/>
  <c r="BW497" i="5"/>
  <c r="CS497" i="5"/>
  <c r="CA497" i="5"/>
  <c r="CT497" i="5"/>
  <c r="CB497" i="5"/>
  <c r="CU497" i="5"/>
  <c r="CC497" i="5"/>
  <c r="CV497" i="5"/>
  <c r="BX497" i="5"/>
  <c r="CZ497" i="5"/>
  <c r="CH497" i="5"/>
  <c r="DA497" i="5"/>
  <c r="BT497" i="5"/>
  <c r="DB497" i="5"/>
  <c r="BY497" i="5"/>
  <c r="DC497" i="5"/>
  <c r="CG497" i="5"/>
  <c r="DD497" i="5"/>
  <c r="CK497" i="5"/>
  <c r="DE497" i="5"/>
  <c r="DH497" i="5"/>
  <c r="DO497" i="5"/>
  <c r="E495" i="3"/>
  <c r="DQ497" i="5"/>
  <c r="BP498" i="5"/>
  <c r="BS498" i="5"/>
  <c r="CQ498" i="5"/>
  <c r="BV498" i="5"/>
  <c r="CR498" i="5"/>
  <c r="BW498" i="5"/>
  <c r="CS498" i="5"/>
  <c r="CA498" i="5"/>
  <c r="CT498" i="5"/>
  <c r="CB498" i="5"/>
  <c r="CU498" i="5"/>
  <c r="CC498" i="5"/>
  <c r="CV498" i="5"/>
  <c r="BX498" i="5"/>
  <c r="CZ498" i="5"/>
  <c r="CH498" i="5"/>
  <c r="DA498" i="5"/>
  <c r="BT498" i="5"/>
  <c r="DB498" i="5"/>
  <c r="BY498" i="5"/>
  <c r="DC498" i="5"/>
  <c r="CG498" i="5"/>
  <c r="DD498" i="5"/>
  <c r="CK498" i="5"/>
  <c r="DE498" i="5"/>
  <c r="DH498" i="5"/>
  <c r="DO498" i="5"/>
  <c r="E496" i="3"/>
  <c r="DQ498" i="5"/>
  <c r="BP499" i="5"/>
  <c r="BS499" i="5"/>
  <c r="CQ499" i="5"/>
  <c r="BV499" i="5"/>
  <c r="CR499" i="5"/>
  <c r="BW499" i="5"/>
  <c r="CS499" i="5"/>
  <c r="CA499" i="5"/>
  <c r="CT499" i="5"/>
  <c r="CB499" i="5"/>
  <c r="CU499" i="5"/>
  <c r="CC499" i="5"/>
  <c r="CV499" i="5"/>
  <c r="BX499" i="5"/>
  <c r="CZ499" i="5"/>
  <c r="CH499" i="5"/>
  <c r="DA499" i="5"/>
  <c r="BT499" i="5"/>
  <c r="DB499" i="5"/>
  <c r="BY499" i="5"/>
  <c r="DC499" i="5"/>
  <c r="CG499" i="5"/>
  <c r="DD499" i="5"/>
  <c r="CK499" i="5"/>
  <c r="DE499" i="5"/>
  <c r="DH499" i="5"/>
  <c r="DO499" i="5"/>
  <c r="E497" i="3"/>
  <c r="DQ499" i="5"/>
  <c r="BP500" i="5"/>
  <c r="BS500" i="5"/>
  <c r="CQ500" i="5"/>
  <c r="BV500" i="5"/>
  <c r="CR500" i="5"/>
  <c r="BW500" i="5"/>
  <c r="CS500" i="5"/>
  <c r="CA500" i="5"/>
  <c r="CT500" i="5"/>
  <c r="CB500" i="5"/>
  <c r="CU500" i="5"/>
  <c r="CC500" i="5"/>
  <c r="CV500" i="5"/>
  <c r="BX500" i="5"/>
  <c r="CZ500" i="5"/>
  <c r="BT500" i="5"/>
  <c r="DB500" i="5"/>
  <c r="BY500" i="5"/>
  <c r="DC500" i="5"/>
  <c r="CG500" i="5"/>
  <c r="DD500" i="5"/>
  <c r="CK500" i="5"/>
  <c r="DE500" i="5"/>
  <c r="DH500" i="5"/>
  <c r="DO500" i="5"/>
  <c r="E498" i="3"/>
  <c r="DQ500" i="5"/>
  <c r="BP501" i="5"/>
  <c r="BS501" i="5"/>
  <c r="CQ501" i="5"/>
  <c r="BV501" i="5"/>
  <c r="CR501" i="5"/>
  <c r="BW501" i="5"/>
  <c r="CS501" i="5"/>
  <c r="CA501" i="5"/>
  <c r="CT501" i="5"/>
  <c r="CB501" i="5"/>
  <c r="CU501" i="5"/>
  <c r="CC501" i="5"/>
  <c r="CV501" i="5"/>
  <c r="BX501" i="5"/>
  <c r="CZ501" i="5"/>
  <c r="BT501" i="5"/>
  <c r="DB501" i="5"/>
  <c r="BY501" i="5"/>
  <c r="DC501" i="5"/>
  <c r="CG501" i="5"/>
  <c r="DD501" i="5"/>
  <c r="CK501" i="5"/>
  <c r="DE501" i="5"/>
  <c r="DH501" i="5"/>
  <c r="DO501" i="5"/>
  <c r="E499" i="3"/>
  <c r="DQ501" i="5"/>
  <c r="BP502" i="5"/>
  <c r="BS502" i="5"/>
  <c r="CQ502" i="5"/>
  <c r="BV502" i="5"/>
  <c r="CR502" i="5"/>
  <c r="BW502" i="5"/>
  <c r="CS502" i="5"/>
  <c r="CA502" i="5"/>
  <c r="CT502" i="5"/>
  <c r="CB502" i="5"/>
  <c r="CU502" i="5"/>
  <c r="CC502" i="5"/>
  <c r="CV502" i="5"/>
  <c r="BX502" i="5"/>
  <c r="CZ502" i="5"/>
  <c r="CH502" i="5"/>
  <c r="DA502" i="5"/>
  <c r="BT502" i="5"/>
  <c r="DB502" i="5"/>
  <c r="BY502" i="5"/>
  <c r="DC502" i="5"/>
  <c r="CG502" i="5"/>
  <c r="DD502" i="5"/>
  <c r="CK502" i="5"/>
  <c r="DE502" i="5"/>
  <c r="DH502" i="5"/>
  <c r="DO502" i="5"/>
  <c r="E500" i="3"/>
  <c r="DQ502" i="5"/>
  <c r="BP503" i="5"/>
  <c r="BS503" i="5"/>
  <c r="CQ503" i="5"/>
  <c r="BV503" i="5"/>
  <c r="CR503" i="5"/>
  <c r="BW503" i="5"/>
  <c r="CS503" i="5"/>
  <c r="CA503" i="5"/>
  <c r="CT503" i="5"/>
  <c r="CB503" i="5"/>
  <c r="CU503" i="5"/>
  <c r="CC503" i="5"/>
  <c r="CV503" i="5"/>
  <c r="BX503" i="5"/>
  <c r="CZ503" i="5"/>
  <c r="CH503" i="5"/>
  <c r="DA503" i="5"/>
  <c r="BT503" i="5"/>
  <c r="DB503" i="5"/>
  <c r="BY503" i="5"/>
  <c r="DC503" i="5"/>
  <c r="CG503" i="5"/>
  <c r="DD503" i="5"/>
  <c r="CK503" i="5"/>
  <c r="DE503" i="5"/>
  <c r="DH503" i="5"/>
  <c r="DO503" i="5"/>
  <c r="E501" i="3"/>
  <c r="DQ503" i="5"/>
  <c r="BP504" i="5"/>
  <c r="BS504" i="5"/>
  <c r="CQ504" i="5"/>
  <c r="BV504" i="5"/>
  <c r="CR504" i="5"/>
  <c r="BW504" i="5"/>
  <c r="CS504" i="5"/>
  <c r="CA504" i="5"/>
  <c r="CT504" i="5"/>
  <c r="CB504" i="5"/>
  <c r="CU504" i="5"/>
  <c r="CC504" i="5"/>
  <c r="CV504" i="5"/>
  <c r="BX504" i="5"/>
  <c r="CZ504" i="5"/>
  <c r="CH504" i="5"/>
  <c r="DA504" i="5"/>
  <c r="BT504" i="5"/>
  <c r="DB504" i="5"/>
  <c r="BY504" i="5"/>
  <c r="DC504" i="5"/>
  <c r="CG504" i="5"/>
  <c r="DD504" i="5"/>
  <c r="CK504" i="5"/>
  <c r="DE504" i="5"/>
  <c r="DH504" i="5"/>
  <c r="DO504" i="5"/>
  <c r="E502" i="3"/>
  <c r="DQ504" i="5"/>
  <c r="BP505" i="5"/>
  <c r="BS505" i="5"/>
  <c r="CQ505" i="5"/>
  <c r="BV505" i="5"/>
  <c r="CR505" i="5"/>
  <c r="BW505" i="5"/>
  <c r="CS505" i="5"/>
  <c r="CA505" i="5"/>
  <c r="CT505" i="5"/>
  <c r="CB505" i="5"/>
  <c r="CU505" i="5"/>
  <c r="CC505" i="5"/>
  <c r="CV505" i="5"/>
  <c r="BX505" i="5"/>
  <c r="CZ505" i="5"/>
  <c r="CH505" i="5"/>
  <c r="DA505" i="5"/>
  <c r="BT505" i="5"/>
  <c r="DB505" i="5"/>
  <c r="BY505" i="5"/>
  <c r="DC505" i="5"/>
  <c r="CG505" i="5"/>
  <c r="DD505" i="5"/>
  <c r="CK505" i="5"/>
  <c r="DE505" i="5"/>
  <c r="DH505" i="5"/>
  <c r="DO505" i="5"/>
  <c r="E503" i="3"/>
  <c r="DQ505" i="5"/>
  <c r="BP506" i="5"/>
  <c r="BS506" i="5"/>
  <c r="CQ506" i="5"/>
  <c r="BV506" i="5"/>
  <c r="CR506" i="5"/>
  <c r="BW506" i="5"/>
  <c r="CS506" i="5"/>
  <c r="CA506" i="5"/>
  <c r="CT506" i="5"/>
  <c r="CB506" i="5"/>
  <c r="CU506" i="5"/>
  <c r="CC506" i="5"/>
  <c r="CV506" i="5"/>
  <c r="BX506" i="5"/>
  <c r="CZ506" i="5"/>
  <c r="CH506" i="5"/>
  <c r="DA506" i="5"/>
  <c r="BT506" i="5"/>
  <c r="DB506" i="5"/>
  <c r="BY506" i="5"/>
  <c r="DC506" i="5"/>
  <c r="CG506" i="5"/>
  <c r="DD506" i="5"/>
  <c r="CK506" i="5"/>
  <c r="DE506" i="5"/>
  <c r="DH506" i="5"/>
  <c r="DO506" i="5"/>
  <c r="E504" i="3"/>
  <c r="DQ506" i="5"/>
  <c r="BP507" i="5"/>
  <c r="BS507" i="5"/>
  <c r="CQ507" i="5"/>
  <c r="BV507" i="5"/>
  <c r="CR507" i="5"/>
  <c r="BW507" i="5"/>
  <c r="CS507" i="5"/>
  <c r="CA507" i="5"/>
  <c r="CT507" i="5"/>
  <c r="CB507" i="5"/>
  <c r="CU507" i="5"/>
  <c r="CC507" i="5"/>
  <c r="CV507" i="5"/>
  <c r="BX507" i="5"/>
  <c r="CZ507" i="5"/>
  <c r="CH507" i="5"/>
  <c r="DA507" i="5"/>
  <c r="BT507" i="5"/>
  <c r="DB507" i="5"/>
  <c r="BY507" i="5"/>
  <c r="DC507" i="5"/>
  <c r="CG507" i="5"/>
  <c r="DD507" i="5"/>
  <c r="CK507" i="5"/>
  <c r="DE507" i="5"/>
  <c r="DH507" i="5"/>
  <c r="DO507" i="5"/>
  <c r="E505" i="3"/>
  <c r="DQ507" i="5"/>
  <c r="BP508" i="5"/>
  <c r="BS508" i="5"/>
  <c r="CQ508" i="5"/>
  <c r="BV508" i="5"/>
  <c r="CR508" i="5"/>
  <c r="BW508" i="5"/>
  <c r="CS508" i="5"/>
  <c r="CA508" i="5"/>
  <c r="CT508" i="5"/>
  <c r="CB508" i="5"/>
  <c r="CU508" i="5"/>
  <c r="CC508" i="5"/>
  <c r="CV508" i="5"/>
  <c r="BX508" i="5"/>
  <c r="CZ508" i="5"/>
  <c r="CH508" i="5"/>
  <c r="DA508" i="5"/>
  <c r="BT508" i="5"/>
  <c r="DB508" i="5"/>
  <c r="BY508" i="5"/>
  <c r="DC508" i="5"/>
  <c r="CG508" i="5"/>
  <c r="DD508" i="5"/>
  <c r="CK508" i="5"/>
  <c r="DE508" i="5"/>
  <c r="DH508" i="5"/>
  <c r="DO508" i="5"/>
  <c r="E506" i="3"/>
  <c r="DQ508" i="5"/>
  <c r="BP509" i="5"/>
  <c r="BS509" i="5"/>
  <c r="CQ509" i="5"/>
  <c r="BV509" i="5"/>
  <c r="CR509" i="5"/>
  <c r="BW509" i="5"/>
  <c r="CS509" i="5"/>
  <c r="CA509" i="5"/>
  <c r="CT509" i="5"/>
  <c r="CB509" i="5"/>
  <c r="CU509" i="5"/>
  <c r="CC509" i="5"/>
  <c r="CV509" i="5"/>
  <c r="BX509" i="5"/>
  <c r="CZ509" i="5"/>
  <c r="CH509" i="5"/>
  <c r="DA509" i="5"/>
  <c r="BT509" i="5"/>
  <c r="DB509" i="5"/>
  <c r="BY509" i="5"/>
  <c r="DC509" i="5"/>
  <c r="CG509" i="5"/>
  <c r="DD509" i="5"/>
  <c r="CK509" i="5"/>
  <c r="DE509" i="5"/>
  <c r="DH509" i="5"/>
  <c r="DO509" i="5"/>
  <c r="E507" i="3"/>
  <c r="DQ509" i="5"/>
  <c r="BP510" i="5"/>
  <c r="BS510" i="5"/>
  <c r="CQ510" i="5"/>
  <c r="BV510" i="5"/>
  <c r="CR510" i="5"/>
  <c r="BW510" i="5"/>
  <c r="CS510" i="5"/>
  <c r="CA510" i="5"/>
  <c r="CT510" i="5"/>
  <c r="CB510" i="5"/>
  <c r="CU510" i="5"/>
  <c r="CC510" i="5"/>
  <c r="CV510" i="5"/>
  <c r="BX510" i="5"/>
  <c r="CZ510" i="5"/>
  <c r="CH510" i="5"/>
  <c r="DA510" i="5"/>
  <c r="BT510" i="5"/>
  <c r="DB510" i="5"/>
  <c r="BY510" i="5"/>
  <c r="DC510" i="5"/>
  <c r="CG510" i="5"/>
  <c r="DD510" i="5"/>
  <c r="CK510" i="5"/>
  <c r="DE510" i="5"/>
  <c r="DH510" i="5"/>
  <c r="DO510" i="5"/>
  <c r="E508" i="3"/>
  <c r="DQ510" i="5"/>
  <c r="BP511" i="5"/>
  <c r="BS511" i="5"/>
  <c r="CQ511" i="5"/>
  <c r="BV511" i="5"/>
  <c r="CR511" i="5"/>
  <c r="BW511" i="5"/>
  <c r="CS511" i="5"/>
  <c r="CA511" i="5"/>
  <c r="CT511" i="5"/>
  <c r="CB511" i="5"/>
  <c r="CU511" i="5"/>
  <c r="CC511" i="5"/>
  <c r="CV511" i="5"/>
  <c r="BX511" i="5"/>
  <c r="CZ511" i="5"/>
  <c r="CH511" i="5"/>
  <c r="DA511" i="5"/>
  <c r="BT511" i="5"/>
  <c r="DB511" i="5"/>
  <c r="BY511" i="5"/>
  <c r="DC511" i="5"/>
  <c r="CG511" i="5"/>
  <c r="DD511" i="5"/>
  <c r="CK511" i="5"/>
  <c r="DE511" i="5"/>
  <c r="DH511" i="5"/>
  <c r="DO511" i="5"/>
  <c r="E509" i="3"/>
  <c r="DQ511" i="5"/>
  <c r="BP512" i="5"/>
  <c r="BS512" i="5"/>
  <c r="CQ512" i="5"/>
  <c r="BV512" i="5"/>
  <c r="CR512" i="5"/>
  <c r="BW512" i="5"/>
  <c r="CS512" i="5"/>
  <c r="CA512" i="5"/>
  <c r="CT512" i="5"/>
  <c r="CB512" i="5"/>
  <c r="CU512" i="5"/>
  <c r="CC512" i="5"/>
  <c r="CV512" i="5"/>
  <c r="BX512" i="5"/>
  <c r="CZ512" i="5"/>
  <c r="CH512" i="5"/>
  <c r="DA512" i="5"/>
  <c r="BT512" i="5"/>
  <c r="DB512" i="5"/>
  <c r="BY512" i="5"/>
  <c r="DC512" i="5"/>
  <c r="CG512" i="5"/>
  <c r="DD512" i="5"/>
  <c r="CK512" i="5"/>
  <c r="DE512" i="5"/>
  <c r="DH512" i="5"/>
  <c r="DO512" i="5"/>
  <c r="E510" i="3"/>
  <c r="DQ512" i="5"/>
  <c r="BP513" i="5"/>
  <c r="BS513" i="5"/>
  <c r="CQ513" i="5"/>
  <c r="BV513" i="5"/>
  <c r="CR513" i="5"/>
  <c r="BW513" i="5"/>
  <c r="CS513" i="5"/>
  <c r="CA513" i="5"/>
  <c r="CT513" i="5"/>
  <c r="CB513" i="5"/>
  <c r="CU513" i="5"/>
  <c r="CC513" i="5"/>
  <c r="CV513" i="5"/>
  <c r="BX513" i="5"/>
  <c r="CZ513" i="5"/>
  <c r="CH513" i="5"/>
  <c r="DA513" i="5"/>
  <c r="BT513" i="5"/>
  <c r="DB513" i="5"/>
  <c r="BY513" i="5"/>
  <c r="DC513" i="5"/>
  <c r="CG513" i="5"/>
  <c r="DD513" i="5"/>
  <c r="CK513" i="5"/>
  <c r="DE513" i="5"/>
  <c r="DH513" i="5"/>
  <c r="DO513" i="5"/>
  <c r="E511" i="3"/>
  <c r="DQ513" i="5"/>
  <c r="BP514" i="5"/>
  <c r="BS514" i="5"/>
  <c r="CQ514" i="5"/>
  <c r="BV514" i="5"/>
  <c r="CR514" i="5"/>
  <c r="BW514" i="5"/>
  <c r="CS514" i="5"/>
  <c r="CA514" i="5"/>
  <c r="CT514" i="5"/>
  <c r="CB514" i="5"/>
  <c r="CU514" i="5"/>
  <c r="CC514" i="5"/>
  <c r="CV514" i="5"/>
  <c r="BX514" i="5"/>
  <c r="CZ514" i="5"/>
  <c r="BT514" i="5"/>
  <c r="DB514" i="5"/>
  <c r="BY514" i="5"/>
  <c r="DC514" i="5"/>
  <c r="CG514" i="5"/>
  <c r="DD514" i="5"/>
  <c r="CK514" i="5"/>
  <c r="DE514" i="5"/>
  <c r="DH514" i="5"/>
  <c r="DO514" i="5"/>
  <c r="E512" i="3"/>
  <c r="DQ514" i="5"/>
  <c r="BP515" i="5"/>
  <c r="BS515" i="5"/>
  <c r="CQ515" i="5"/>
  <c r="BV515" i="5"/>
  <c r="CR515" i="5"/>
  <c r="BW515" i="5"/>
  <c r="CS515" i="5"/>
  <c r="CA515" i="5"/>
  <c r="CT515" i="5"/>
  <c r="CB515" i="5"/>
  <c r="CU515" i="5"/>
  <c r="CC515" i="5"/>
  <c r="CV515" i="5"/>
  <c r="BX515" i="5"/>
  <c r="CZ515" i="5"/>
  <c r="BT515" i="5"/>
  <c r="DB515" i="5"/>
  <c r="BY515" i="5"/>
  <c r="DC515" i="5"/>
  <c r="CK515" i="5"/>
  <c r="DE515" i="5"/>
  <c r="DH515" i="5"/>
  <c r="DO515" i="5"/>
  <c r="E513" i="3"/>
  <c r="DQ515" i="5"/>
  <c r="BP516" i="5"/>
  <c r="BS516" i="5"/>
  <c r="CQ516" i="5"/>
  <c r="BV516" i="5"/>
  <c r="CR516" i="5"/>
  <c r="BW516" i="5"/>
  <c r="CS516" i="5"/>
  <c r="CA516" i="5"/>
  <c r="CT516" i="5"/>
  <c r="CB516" i="5"/>
  <c r="CU516" i="5"/>
  <c r="CC516" i="5"/>
  <c r="CV516" i="5"/>
  <c r="BX516" i="5"/>
  <c r="CZ516" i="5"/>
  <c r="CH516" i="5"/>
  <c r="DA516" i="5"/>
  <c r="BT516" i="5"/>
  <c r="DB516" i="5"/>
  <c r="BY516" i="5"/>
  <c r="DC516" i="5"/>
  <c r="CG516" i="5"/>
  <c r="DD516" i="5"/>
  <c r="CK516" i="5"/>
  <c r="DE516" i="5"/>
  <c r="DH516" i="5"/>
  <c r="DO516" i="5"/>
  <c r="E514" i="3"/>
  <c r="DQ516" i="5"/>
  <c r="BP517" i="5"/>
  <c r="BS517" i="5"/>
  <c r="CQ517" i="5"/>
  <c r="BV517" i="5"/>
  <c r="CR517" i="5"/>
  <c r="BW517" i="5"/>
  <c r="CS517" i="5"/>
  <c r="CA517" i="5"/>
  <c r="CT517" i="5"/>
  <c r="CB517" i="5"/>
  <c r="CU517" i="5"/>
  <c r="CC517" i="5"/>
  <c r="CV517" i="5"/>
  <c r="BX517" i="5"/>
  <c r="CZ517" i="5"/>
  <c r="BT517" i="5"/>
  <c r="DB517" i="5"/>
  <c r="BY517" i="5"/>
  <c r="DC517" i="5"/>
  <c r="CG517" i="5"/>
  <c r="DD517" i="5"/>
  <c r="CK517" i="5"/>
  <c r="DE517" i="5"/>
  <c r="DH517" i="5"/>
  <c r="DO517" i="5"/>
  <c r="E515" i="3"/>
  <c r="DQ517" i="5"/>
  <c r="BP518" i="5"/>
  <c r="BS518" i="5"/>
  <c r="CQ518" i="5"/>
  <c r="BV518" i="5"/>
  <c r="CR518" i="5"/>
  <c r="BW518" i="5"/>
  <c r="CS518" i="5"/>
  <c r="CA518" i="5"/>
  <c r="CT518" i="5"/>
  <c r="CB518" i="5"/>
  <c r="CU518" i="5"/>
  <c r="CC518" i="5"/>
  <c r="CV518" i="5"/>
  <c r="BX518" i="5"/>
  <c r="CZ518" i="5"/>
  <c r="CH518" i="5"/>
  <c r="DA518" i="5"/>
  <c r="BT518" i="5"/>
  <c r="DB518" i="5"/>
  <c r="BY518" i="5"/>
  <c r="DC518" i="5"/>
  <c r="CG518" i="5"/>
  <c r="DD518" i="5"/>
  <c r="CK518" i="5"/>
  <c r="DE518" i="5"/>
  <c r="DH518" i="5"/>
  <c r="DO518" i="5"/>
  <c r="E516" i="3"/>
  <c r="DQ518" i="5"/>
  <c r="BP519" i="5"/>
  <c r="BS519" i="5"/>
  <c r="CQ519" i="5"/>
  <c r="BV519" i="5"/>
  <c r="CR519" i="5"/>
  <c r="BW519" i="5"/>
  <c r="CS519" i="5"/>
  <c r="CA519" i="5"/>
  <c r="CT519" i="5"/>
  <c r="CB519" i="5"/>
  <c r="CU519" i="5"/>
  <c r="CC519" i="5"/>
  <c r="CV519" i="5"/>
  <c r="BX519" i="5"/>
  <c r="CZ519" i="5"/>
  <c r="CH519" i="5"/>
  <c r="DA519" i="5"/>
  <c r="BT519" i="5"/>
  <c r="DB519" i="5"/>
  <c r="BY519" i="5"/>
  <c r="DC519" i="5"/>
  <c r="CG519" i="5"/>
  <c r="DD519" i="5"/>
  <c r="CK519" i="5"/>
  <c r="DE519" i="5"/>
  <c r="DH519" i="5"/>
  <c r="DO519" i="5"/>
  <c r="E517" i="3"/>
  <c r="DQ519" i="5"/>
  <c r="BP520" i="5"/>
  <c r="BS520" i="5"/>
  <c r="CQ520" i="5"/>
  <c r="BV520" i="5"/>
  <c r="CR520" i="5"/>
  <c r="BW520" i="5"/>
  <c r="CS520" i="5"/>
  <c r="CA520" i="5"/>
  <c r="CT520" i="5"/>
  <c r="CB520" i="5"/>
  <c r="CU520" i="5"/>
  <c r="CC520" i="5"/>
  <c r="CV520" i="5"/>
  <c r="BX520" i="5"/>
  <c r="CZ520" i="5"/>
  <c r="CH520" i="5"/>
  <c r="DA520" i="5"/>
  <c r="BT520" i="5"/>
  <c r="DB520" i="5"/>
  <c r="BY520" i="5"/>
  <c r="DC520" i="5"/>
  <c r="CG520" i="5"/>
  <c r="DD520" i="5"/>
  <c r="CK520" i="5"/>
  <c r="DE520" i="5"/>
  <c r="DH520" i="5"/>
  <c r="DO520" i="5"/>
  <c r="E518" i="3"/>
  <c r="DQ520" i="5"/>
  <c r="BP521" i="5"/>
  <c r="BS521" i="5"/>
  <c r="CQ521" i="5"/>
  <c r="BV521" i="5"/>
  <c r="CR521" i="5"/>
  <c r="BW521" i="5"/>
  <c r="CS521" i="5"/>
  <c r="CA521" i="5"/>
  <c r="CT521" i="5"/>
  <c r="CB521" i="5"/>
  <c r="CU521" i="5"/>
  <c r="CC521" i="5"/>
  <c r="CV521" i="5"/>
  <c r="BX521" i="5"/>
  <c r="CZ521" i="5"/>
  <c r="BY521" i="5"/>
  <c r="DC521" i="5"/>
  <c r="DA521" i="5"/>
  <c r="BT521" i="5"/>
  <c r="DB521" i="5"/>
  <c r="CK521" i="5"/>
  <c r="DE521" i="5"/>
  <c r="DH521" i="5"/>
  <c r="DO521" i="5"/>
  <c r="E519" i="3"/>
  <c r="DQ521" i="5"/>
  <c r="BP522" i="5"/>
  <c r="BS522" i="5"/>
  <c r="CQ522" i="5"/>
  <c r="BV522" i="5"/>
  <c r="CR522" i="5"/>
  <c r="BW522" i="5"/>
  <c r="CS522" i="5"/>
  <c r="CA522" i="5"/>
  <c r="CT522" i="5"/>
  <c r="CB522" i="5"/>
  <c r="CU522" i="5"/>
  <c r="CC522" i="5"/>
  <c r="CV522" i="5"/>
  <c r="BX522" i="5"/>
  <c r="CZ522" i="5"/>
  <c r="BY522" i="5"/>
  <c r="DC522" i="5"/>
  <c r="DA522" i="5"/>
  <c r="BT522" i="5"/>
  <c r="DB522" i="5"/>
  <c r="CK522" i="5"/>
  <c r="DE522" i="5"/>
  <c r="DH522" i="5"/>
  <c r="DO522" i="5"/>
  <c r="E520" i="3"/>
  <c r="DQ522" i="5"/>
  <c r="BP523" i="5"/>
  <c r="BS523" i="5"/>
  <c r="CQ523" i="5"/>
  <c r="BV523" i="5"/>
  <c r="CR523" i="5"/>
  <c r="BW523" i="5"/>
  <c r="CS523" i="5"/>
  <c r="CA523" i="5"/>
  <c r="CT523" i="5"/>
  <c r="CB523" i="5"/>
  <c r="CU523" i="5"/>
  <c r="CC523" i="5"/>
  <c r="CV523" i="5"/>
  <c r="BX523" i="5"/>
  <c r="CZ523" i="5"/>
  <c r="BY523" i="5"/>
  <c r="DC523" i="5"/>
  <c r="DA523" i="5"/>
  <c r="BT523" i="5"/>
  <c r="DB523" i="5"/>
  <c r="CK523" i="5"/>
  <c r="DE523" i="5"/>
  <c r="DH523" i="5"/>
  <c r="DO523" i="5"/>
  <c r="E521" i="3"/>
  <c r="DQ523" i="5"/>
  <c r="BP524" i="5"/>
  <c r="BS524" i="5"/>
  <c r="CQ524" i="5"/>
  <c r="BV524" i="5"/>
  <c r="CR524" i="5"/>
  <c r="BW524" i="5"/>
  <c r="CS524" i="5"/>
  <c r="CA524" i="5"/>
  <c r="CT524" i="5"/>
  <c r="CB524" i="5"/>
  <c r="CU524" i="5"/>
  <c r="CC524" i="5"/>
  <c r="CV524" i="5"/>
  <c r="BX524" i="5"/>
  <c r="CZ524" i="5"/>
  <c r="BY524" i="5"/>
  <c r="DC524" i="5"/>
  <c r="DA524" i="5"/>
  <c r="BT524" i="5"/>
  <c r="DB524" i="5"/>
  <c r="CK524" i="5"/>
  <c r="DE524" i="5"/>
  <c r="DH524" i="5"/>
  <c r="DO524" i="5"/>
  <c r="E522" i="3"/>
  <c r="DQ524" i="5"/>
  <c r="BP525" i="5"/>
  <c r="BS525" i="5"/>
  <c r="CQ525" i="5"/>
  <c r="BV525" i="5"/>
  <c r="CR525" i="5"/>
  <c r="BW525" i="5"/>
  <c r="CS525" i="5"/>
  <c r="CA525" i="5"/>
  <c r="CT525" i="5"/>
  <c r="CB525" i="5"/>
  <c r="CU525" i="5"/>
  <c r="CC525" i="5"/>
  <c r="CV525" i="5"/>
  <c r="BX525" i="5"/>
  <c r="CZ525" i="5"/>
  <c r="BY525" i="5"/>
  <c r="DC525" i="5"/>
  <c r="DA525" i="5"/>
  <c r="BT525" i="5"/>
  <c r="DB525" i="5"/>
  <c r="CK525" i="5"/>
  <c r="DE525" i="5"/>
  <c r="DH525" i="5"/>
  <c r="DO525" i="5"/>
  <c r="E523" i="3"/>
  <c r="DQ525" i="5"/>
  <c r="BP526" i="5"/>
  <c r="BS526" i="5"/>
  <c r="CQ526" i="5"/>
  <c r="BV526" i="5"/>
  <c r="CR526" i="5"/>
  <c r="BW526" i="5"/>
  <c r="CS526" i="5"/>
  <c r="CA526" i="5"/>
  <c r="CT526" i="5"/>
  <c r="CB526" i="5"/>
  <c r="CU526" i="5"/>
  <c r="CC526" i="5"/>
  <c r="CV526" i="5"/>
  <c r="BX526" i="5"/>
  <c r="CZ526" i="5"/>
  <c r="BY526" i="5"/>
  <c r="DC526" i="5"/>
  <c r="DA526" i="5"/>
  <c r="BT526" i="5"/>
  <c r="DB526" i="5"/>
  <c r="CK526" i="5"/>
  <c r="DE526" i="5"/>
  <c r="DH526" i="5"/>
  <c r="DO526" i="5"/>
  <c r="E524" i="3"/>
  <c r="DQ526" i="5"/>
  <c r="BP527" i="5"/>
  <c r="BS527" i="5"/>
  <c r="CQ527" i="5"/>
  <c r="BV527" i="5"/>
  <c r="CR527" i="5"/>
  <c r="BW527" i="5"/>
  <c r="CS527" i="5"/>
  <c r="CA527" i="5"/>
  <c r="CT527" i="5"/>
  <c r="CB527" i="5"/>
  <c r="CU527" i="5"/>
  <c r="CC527" i="5"/>
  <c r="CV527" i="5"/>
  <c r="BX527" i="5"/>
  <c r="CZ527" i="5"/>
  <c r="BY527" i="5"/>
  <c r="DC527" i="5"/>
  <c r="DA527" i="5"/>
  <c r="BT527" i="5"/>
  <c r="DB527" i="5"/>
  <c r="CK527" i="5"/>
  <c r="DE527" i="5"/>
  <c r="DH527" i="5"/>
  <c r="DO527" i="5"/>
  <c r="E525" i="3"/>
  <c r="DQ527" i="5"/>
  <c r="BP528" i="5"/>
  <c r="BS528" i="5"/>
  <c r="CQ528" i="5"/>
  <c r="BV528" i="5"/>
  <c r="CR528" i="5"/>
  <c r="BW528" i="5"/>
  <c r="CS528" i="5"/>
  <c r="CA528" i="5"/>
  <c r="CT528" i="5"/>
  <c r="CB528" i="5"/>
  <c r="CU528" i="5"/>
  <c r="CC528" i="5"/>
  <c r="CV528" i="5"/>
  <c r="BX528" i="5"/>
  <c r="CZ528" i="5"/>
  <c r="BY528" i="5"/>
  <c r="DC528" i="5"/>
  <c r="DA528" i="5"/>
  <c r="BT528" i="5"/>
  <c r="DB528" i="5"/>
  <c r="CK528" i="5"/>
  <c r="DE528" i="5"/>
  <c r="DH528" i="5"/>
  <c r="DO528" i="5"/>
  <c r="E526" i="3"/>
  <c r="DQ528" i="5"/>
  <c r="BP529" i="5"/>
  <c r="BS529" i="5"/>
  <c r="CQ529" i="5"/>
  <c r="BV529" i="5"/>
  <c r="CR529" i="5"/>
  <c r="BW529" i="5"/>
  <c r="CS529" i="5"/>
  <c r="CA529" i="5"/>
  <c r="CT529" i="5"/>
  <c r="CB529" i="5"/>
  <c r="CU529" i="5"/>
  <c r="CC529" i="5"/>
  <c r="CV529" i="5"/>
  <c r="BX529" i="5"/>
  <c r="CZ529" i="5"/>
  <c r="BY529" i="5"/>
  <c r="DC529" i="5"/>
  <c r="DA529" i="5"/>
  <c r="BT529" i="5"/>
  <c r="DB529" i="5"/>
  <c r="CK529" i="5"/>
  <c r="DE529" i="5"/>
  <c r="DH529" i="5"/>
  <c r="DO529" i="5"/>
  <c r="E527" i="3"/>
  <c r="DQ529" i="5"/>
  <c r="BP530" i="5"/>
  <c r="BS530" i="5"/>
  <c r="CQ530" i="5"/>
  <c r="BV530" i="5"/>
  <c r="CR530" i="5"/>
  <c r="BW530" i="5"/>
  <c r="CS530" i="5"/>
  <c r="CA530" i="5"/>
  <c r="CT530" i="5"/>
  <c r="CB530" i="5"/>
  <c r="CU530" i="5"/>
  <c r="CC530" i="5"/>
  <c r="CV530" i="5"/>
  <c r="BX530" i="5"/>
  <c r="CZ530" i="5"/>
  <c r="BY530" i="5"/>
  <c r="DC530" i="5"/>
  <c r="DA530" i="5"/>
  <c r="BT530" i="5"/>
  <c r="DB530" i="5"/>
  <c r="CK530" i="5"/>
  <c r="DE530" i="5"/>
  <c r="DH530" i="5"/>
  <c r="DO530" i="5"/>
  <c r="E528" i="3"/>
  <c r="DQ530" i="5"/>
  <c r="BP531" i="5"/>
  <c r="BS531" i="5"/>
  <c r="CQ531" i="5"/>
  <c r="BV531" i="5"/>
  <c r="CR531" i="5"/>
  <c r="BW531" i="5"/>
  <c r="CS531" i="5"/>
  <c r="CA531" i="5"/>
  <c r="CT531" i="5"/>
  <c r="CB531" i="5"/>
  <c r="CU531" i="5"/>
  <c r="CC531" i="5"/>
  <c r="CV531" i="5"/>
  <c r="BX531" i="5"/>
  <c r="CZ531" i="5"/>
  <c r="BY531" i="5"/>
  <c r="DC531" i="5"/>
  <c r="DA531" i="5"/>
  <c r="BT531" i="5"/>
  <c r="DB531" i="5"/>
  <c r="CK531" i="5"/>
  <c r="DE531" i="5"/>
  <c r="DH531" i="5"/>
  <c r="DO531" i="5"/>
  <c r="E529" i="3"/>
  <c r="DQ531" i="5"/>
  <c r="BP532" i="5"/>
  <c r="BS532" i="5"/>
  <c r="CQ532" i="5"/>
  <c r="BV532" i="5"/>
  <c r="CR532" i="5"/>
  <c r="BW532" i="5"/>
  <c r="CS532" i="5"/>
  <c r="CA532" i="5"/>
  <c r="CT532" i="5"/>
  <c r="CB532" i="5"/>
  <c r="CU532" i="5"/>
  <c r="CC532" i="5"/>
  <c r="CV532" i="5"/>
  <c r="BX532" i="5"/>
  <c r="CZ532" i="5"/>
  <c r="BY532" i="5"/>
  <c r="DC532" i="5"/>
  <c r="DA532" i="5"/>
  <c r="BT532" i="5"/>
  <c r="DB532" i="5"/>
  <c r="CK532" i="5"/>
  <c r="DE532" i="5"/>
  <c r="DH532" i="5"/>
  <c r="DM532" i="5"/>
  <c r="DO532" i="5"/>
  <c r="E530" i="3"/>
  <c r="DQ532" i="5"/>
  <c r="BP533" i="5"/>
  <c r="DO533" i="5"/>
  <c r="E531" i="3"/>
  <c r="DQ533" i="5"/>
  <c r="BP534" i="5"/>
  <c r="DO534" i="5"/>
  <c r="E532" i="3"/>
  <c r="DQ534" i="5"/>
  <c r="BP535" i="5"/>
  <c r="DO535" i="5"/>
  <c r="E533" i="3"/>
  <c r="DQ535" i="5"/>
  <c r="BP536" i="5"/>
  <c r="DO536" i="5"/>
  <c r="E534" i="3"/>
  <c r="DQ536" i="5"/>
  <c r="BP537" i="5"/>
  <c r="DO537" i="5"/>
  <c r="E535" i="3"/>
  <c r="DQ537" i="5"/>
  <c r="BP538" i="5"/>
  <c r="DO538" i="5"/>
  <c r="E536" i="3"/>
  <c r="DQ538" i="5"/>
  <c r="BP539" i="5"/>
  <c r="DO539" i="5"/>
  <c r="E537" i="3"/>
  <c r="DQ539" i="5"/>
  <c r="BP540" i="5"/>
  <c r="DO540" i="5"/>
  <c r="E538" i="3"/>
  <c r="DQ540" i="5"/>
  <c r="BP541" i="5"/>
  <c r="DO541" i="5"/>
  <c r="E539" i="3"/>
  <c r="DQ541" i="5"/>
  <c r="BP542" i="5"/>
  <c r="DO542" i="5"/>
  <c r="E540" i="3"/>
  <c r="DQ542" i="5"/>
  <c r="BP543" i="5"/>
  <c r="DO543" i="5"/>
  <c r="E541" i="3"/>
  <c r="DQ543" i="5"/>
  <c r="BP544" i="5"/>
  <c r="DO544" i="5"/>
  <c r="E542" i="3"/>
  <c r="DQ544" i="5"/>
  <c r="BP545" i="5"/>
  <c r="DO545" i="5"/>
  <c r="E543" i="3"/>
  <c r="DQ545" i="5"/>
  <c r="BP546" i="5"/>
  <c r="DO546" i="5"/>
  <c r="E544" i="3"/>
  <c r="DQ546" i="5"/>
  <c r="BP547" i="5"/>
  <c r="DO547" i="5"/>
  <c r="E545" i="3"/>
  <c r="DQ547" i="5"/>
  <c r="BP548" i="5"/>
  <c r="DO548" i="5"/>
  <c r="E546" i="3"/>
  <c r="DQ548" i="5"/>
  <c r="BP549" i="5"/>
  <c r="DO549" i="5"/>
  <c r="E547" i="3"/>
  <c r="DQ549" i="5"/>
  <c r="BP550" i="5"/>
  <c r="DO550" i="5"/>
  <c r="E548" i="3"/>
  <c r="DQ550" i="5"/>
  <c r="BP551" i="5"/>
  <c r="DO551" i="5"/>
  <c r="E549" i="3"/>
  <c r="DQ551" i="5"/>
  <c r="BP552" i="5"/>
  <c r="DO552" i="5"/>
  <c r="E550" i="3"/>
  <c r="DQ552" i="5"/>
  <c r="BP553" i="5"/>
  <c r="DO553" i="5"/>
  <c r="E551" i="3"/>
  <c r="DQ553" i="5"/>
  <c r="BP554" i="5"/>
  <c r="DO554" i="5"/>
  <c r="E552" i="3"/>
  <c r="DQ554" i="5"/>
  <c r="BP555" i="5"/>
  <c r="DO555" i="5"/>
  <c r="E553" i="3"/>
  <c r="DQ555" i="5"/>
  <c r="BP556" i="5"/>
  <c r="DO556" i="5"/>
  <c r="E554" i="3"/>
  <c r="DQ556" i="5"/>
  <c r="BP557" i="5"/>
  <c r="DO557" i="5"/>
  <c r="E555" i="3"/>
  <c r="DQ557" i="5"/>
  <c r="BP558" i="5"/>
  <c r="DO558" i="5"/>
  <c r="E556" i="3"/>
  <c r="DQ558" i="5"/>
  <c r="BP559" i="5"/>
  <c r="DO559" i="5"/>
  <c r="E557" i="3"/>
  <c r="DQ559" i="5"/>
  <c r="BP560" i="5"/>
  <c r="DO560" i="5"/>
  <c r="E558" i="3"/>
  <c r="DQ560" i="5"/>
  <c r="BP561" i="5"/>
  <c r="DO561" i="5"/>
  <c r="E559" i="3"/>
  <c r="DQ561" i="5"/>
  <c r="BP562" i="5"/>
  <c r="DO562" i="5"/>
  <c r="E560" i="3"/>
  <c r="DQ562" i="5"/>
  <c r="BP563" i="5"/>
  <c r="DO563" i="5"/>
  <c r="E561" i="3"/>
  <c r="DQ563" i="5"/>
  <c r="BP564" i="5"/>
  <c r="DO564" i="5"/>
  <c r="E562" i="3"/>
  <c r="DQ564" i="5"/>
  <c r="BP565" i="5"/>
  <c r="DO565" i="5"/>
  <c r="E563" i="3"/>
  <c r="DQ565" i="5"/>
  <c r="BP566" i="5"/>
  <c r="DO566" i="5"/>
  <c r="E564" i="3"/>
  <c r="DQ566" i="5"/>
  <c r="BP567" i="5"/>
  <c r="DO567" i="5"/>
  <c r="E565" i="3"/>
  <c r="DQ567" i="5"/>
  <c r="BP568" i="5"/>
  <c r="DO568" i="5"/>
  <c r="E566" i="3"/>
  <c r="DQ568" i="5"/>
  <c r="BP569" i="5"/>
  <c r="DO569" i="5"/>
  <c r="E567" i="3"/>
  <c r="DQ569" i="5"/>
  <c r="BP570" i="5"/>
  <c r="DO570" i="5"/>
  <c r="E568" i="3"/>
  <c r="DQ570" i="5"/>
  <c r="BP571" i="5"/>
  <c r="DO571" i="5"/>
  <c r="E569" i="3"/>
  <c r="DQ571" i="5"/>
  <c r="BP572" i="5"/>
  <c r="DO572" i="5"/>
  <c r="E570" i="3"/>
  <c r="DQ572" i="5"/>
  <c r="BP573" i="5"/>
  <c r="DO573" i="5"/>
  <c r="E571" i="3"/>
  <c r="DQ573" i="5"/>
  <c r="BP574" i="5"/>
  <c r="DO574" i="5"/>
  <c r="E572" i="3"/>
  <c r="DQ574" i="5"/>
  <c r="BP575" i="5"/>
  <c r="DO575" i="5"/>
  <c r="E573" i="3"/>
  <c r="DQ575" i="5"/>
  <c r="BP576" i="5"/>
  <c r="DO576" i="5"/>
  <c r="E574" i="3"/>
  <c r="DQ576" i="5"/>
  <c r="BP577" i="5"/>
  <c r="DO577" i="5"/>
  <c r="E575" i="3"/>
  <c r="DQ577" i="5"/>
  <c r="BP578" i="5"/>
  <c r="DO578" i="5"/>
  <c r="E576" i="3"/>
  <c r="DQ578" i="5"/>
  <c r="BP579" i="5"/>
  <c r="DO579" i="5"/>
  <c r="E577" i="3"/>
  <c r="DQ579" i="5"/>
  <c r="BP580" i="5"/>
  <c r="DO580" i="5"/>
  <c r="E578" i="3"/>
  <c r="DQ580" i="5"/>
  <c r="BP581" i="5"/>
  <c r="DO581" i="5"/>
  <c r="E579" i="3"/>
  <c r="DQ581" i="5"/>
  <c r="BP582" i="5"/>
  <c r="DO582" i="5"/>
  <c r="E580" i="3"/>
  <c r="DQ582" i="5"/>
  <c r="BP583" i="5"/>
  <c r="DO583" i="5"/>
  <c r="E581" i="3"/>
  <c r="DQ583" i="5"/>
  <c r="BP584" i="5"/>
  <c r="DO584" i="5"/>
  <c r="E582" i="3"/>
  <c r="DQ584" i="5"/>
  <c r="BN585" i="5"/>
  <c r="BP585" i="5"/>
  <c r="DO585" i="5"/>
  <c r="C583" i="3"/>
  <c r="E583" i="3"/>
  <c r="DQ585" i="5"/>
  <c r="BN586" i="5"/>
  <c r="BP586" i="5"/>
  <c r="DO586" i="5"/>
  <c r="C584" i="3"/>
  <c r="E584" i="3"/>
  <c r="DQ586" i="5"/>
  <c r="BN587" i="5"/>
  <c r="BP587" i="5"/>
  <c r="DO587" i="5"/>
  <c r="C585" i="3"/>
  <c r="E585" i="3"/>
  <c r="DQ587" i="5"/>
  <c r="BP588" i="5"/>
  <c r="DO588" i="5"/>
  <c r="E586" i="3"/>
  <c r="DQ588" i="5"/>
  <c r="BN589" i="5"/>
  <c r="BP589" i="5"/>
  <c r="DO589" i="5"/>
  <c r="C587" i="3"/>
  <c r="E587" i="3"/>
  <c r="DQ589" i="5"/>
  <c r="BP590" i="5"/>
  <c r="DO590" i="5"/>
  <c r="E588" i="3"/>
  <c r="DQ590" i="5"/>
  <c r="BN591" i="5"/>
  <c r="BP591" i="5"/>
  <c r="DO591" i="5"/>
  <c r="C589" i="3"/>
  <c r="E589" i="3"/>
  <c r="DQ591" i="5"/>
  <c r="BN592" i="5"/>
  <c r="BP592" i="5"/>
  <c r="DO592" i="5"/>
  <c r="C590" i="3"/>
  <c r="E590" i="3"/>
  <c r="DQ592" i="5"/>
  <c r="BN593" i="5"/>
  <c r="BP593" i="5"/>
  <c r="DO593" i="5"/>
  <c r="C591" i="3"/>
  <c r="E591" i="3"/>
  <c r="DQ593" i="5"/>
  <c r="BN594" i="5"/>
  <c r="BP594" i="5"/>
  <c r="DO594" i="5"/>
  <c r="C592" i="3"/>
  <c r="E592" i="3"/>
  <c r="DQ594" i="5"/>
  <c r="BN595" i="5"/>
  <c r="BP595" i="5"/>
  <c r="DO595" i="5"/>
  <c r="C593" i="3"/>
  <c r="E593" i="3"/>
  <c r="DQ595" i="5"/>
  <c r="BP596" i="5"/>
  <c r="DO596" i="5"/>
  <c r="E594" i="3"/>
  <c r="DQ596" i="5"/>
  <c r="BP597" i="5"/>
  <c r="DO597" i="5"/>
  <c r="E595" i="3"/>
  <c r="DQ597" i="5"/>
  <c r="BN598" i="5"/>
  <c r="BP598" i="5"/>
  <c r="DO598" i="5"/>
  <c r="C596" i="3"/>
  <c r="E596" i="3"/>
  <c r="DQ598" i="5"/>
  <c r="BN599" i="5"/>
  <c r="BP599" i="5"/>
  <c r="DO599" i="5"/>
  <c r="C597" i="3"/>
  <c r="E597" i="3"/>
  <c r="DQ599" i="5"/>
  <c r="BP600" i="5"/>
  <c r="DO600" i="5"/>
  <c r="E598" i="3"/>
  <c r="DQ600" i="5"/>
  <c r="BP601" i="5"/>
  <c r="DO601" i="5"/>
  <c r="E599" i="3"/>
  <c r="DQ601" i="5"/>
  <c r="BN602" i="5"/>
  <c r="BP602" i="5"/>
  <c r="DO602" i="5"/>
  <c r="C600" i="3"/>
  <c r="E600" i="3"/>
  <c r="DQ602" i="5"/>
  <c r="BP603" i="5"/>
  <c r="DO603" i="5"/>
  <c r="E601" i="3"/>
  <c r="DQ603" i="5"/>
  <c r="BP604" i="5"/>
  <c r="DO604" i="5"/>
  <c r="E602" i="3"/>
  <c r="DQ604" i="5"/>
  <c r="BP605" i="5"/>
  <c r="DO605" i="5"/>
  <c r="E603" i="3"/>
  <c r="DQ605" i="5"/>
  <c r="BP606" i="5"/>
  <c r="DO606" i="5"/>
  <c r="E604" i="3"/>
  <c r="DQ606" i="5"/>
  <c r="BN607" i="5"/>
  <c r="BP607" i="5"/>
  <c r="DO607" i="5"/>
  <c r="C605" i="3"/>
  <c r="E605" i="3"/>
  <c r="DQ607" i="5"/>
  <c r="BN608" i="5"/>
  <c r="BP608" i="5"/>
  <c r="DO608" i="5"/>
  <c r="C606" i="3"/>
  <c r="E606" i="3"/>
  <c r="DQ608" i="5"/>
  <c r="BP609" i="5"/>
  <c r="DO609" i="5"/>
  <c r="E607" i="3"/>
  <c r="DQ609" i="5"/>
  <c r="BN610" i="5"/>
  <c r="BP610" i="5"/>
  <c r="DO610" i="5"/>
  <c r="C608" i="3"/>
  <c r="E608" i="3"/>
  <c r="DQ610" i="5"/>
  <c r="BN611" i="5"/>
  <c r="BP611" i="5"/>
  <c r="DO611" i="5"/>
  <c r="C609" i="3"/>
  <c r="E609" i="3"/>
  <c r="DQ611" i="5"/>
  <c r="BN612" i="5"/>
  <c r="BP612" i="5"/>
  <c r="DO612" i="5"/>
  <c r="C610" i="3"/>
  <c r="E610" i="3"/>
  <c r="DQ612" i="5"/>
  <c r="BN613" i="5"/>
  <c r="BP613" i="5"/>
  <c r="DO613" i="5"/>
  <c r="C611" i="3"/>
  <c r="E611" i="3"/>
  <c r="DQ613" i="5"/>
  <c r="BN614" i="5"/>
  <c r="BP614" i="5"/>
  <c r="DO614" i="5"/>
  <c r="C612" i="3"/>
  <c r="E612" i="3"/>
  <c r="DQ614" i="5"/>
  <c r="BN615" i="5"/>
  <c r="BP615" i="5"/>
  <c r="DO615" i="5"/>
  <c r="C613" i="3"/>
  <c r="E613" i="3"/>
  <c r="DQ615" i="5"/>
  <c r="BN616" i="5"/>
  <c r="BP616" i="5"/>
  <c r="DO616" i="5"/>
  <c r="C614" i="3"/>
  <c r="E614" i="3"/>
  <c r="DQ616" i="5"/>
  <c r="BN617" i="5"/>
  <c r="BP617" i="5"/>
  <c r="DO617" i="5"/>
  <c r="C615" i="3"/>
  <c r="E615" i="3"/>
  <c r="DQ617" i="5"/>
  <c r="BN618" i="5"/>
  <c r="BP618" i="5"/>
  <c r="DO618" i="5"/>
  <c r="C616" i="3"/>
  <c r="E616" i="3"/>
  <c r="DQ618" i="5"/>
  <c r="BN619" i="5"/>
  <c r="BP619" i="5"/>
  <c r="DO619" i="5"/>
  <c r="C617" i="3"/>
  <c r="E617" i="3"/>
  <c r="DQ619" i="5"/>
  <c r="BP620" i="5"/>
  <c r="DO620" i="5"/>
  <c r="E618" i="3"/>
  <c r="DQ620" i="5"/>
  <c r="BN621" i="5"/>
  <c r="BP621" i="5"/>
  <c r="DO621" i="5"/>
  <c r="C619" i="3"/>
  <c r="E619" i="3"/>
  <c r="DQ621" i="5"/>
  <c r="BN622" i="5"/>
  <c r="BP622" i="5"/>
  <c r="DO622" i="5"/>
  <c r="C620" i="3"/>
  <c r="E620" i="3"/>
  <c r="DQ622" i="5"/>
  <c r="BP623" i="5"/>
  <c r="DO623" i="5"/>
  <c r="E621" i="3"/>
  <c r="DQ623" i="5"/>
  <c r="BN624" i="5"/>
  <c r="BP624" i="5"/>
  <c r="DO624" i="5"/>
  <c r="C622" i="3"/>
  <c r="E622" i="3"/>
  <c r="DQ624" i="5"/>
  <c r="BP625" i="5"/>
  <c r="DO625" i="5"/>
  <c r="E623" i="3"/>
  <c r="DQ625" i="5"/>
  <c r="BN626" i="5"/>
  <c r="BP626" i="5"/>
  <c r="DO626" i="5"/>
  <c r="C624" i="3"/>
  <c r="E624" i="3"/>
  <c r="DQ626" i="5"/>
  <c r="BN627" i="5"/>
  <c r="BP627" i="5"/>
  <c r="DO627" i="5"/>
  <c r="C625" i="3"/>
  <c r="E625" i="3"/>
  <c r="DQ627" i="5"/>
  <c r="BP628" i="5"/>
  <c r="DO628" i="5"/>
  <c r="E626" i="3"/>
  <c r="DQ628" i="5"/>
  <c r="BN629" i="5"/>
  <c r="BP629" i="5"/>
  <c r="DO629" i="5"/>
  <c r="C627" i="3"/>
  <c r="E627" i="3"/>
  <c r="DQ629" i="5"/>
  <c r="BN630" i="5"/>
  <c r="BP630" i="5"/>
  <c r="DO630" i="5"/>
  <c r="C628" i="3"/>
  <c r="E628" i="3"/>
  <c r="DQ630" i="5"/>
  <c r="BP631" i="5"/>
  <c r="DO631" i="5"/>
  <c r="E629" i="3"/>
  <c r="DQ631" i="5"/>
  <c r="BP632" i="5"/>
  <c r="DO632" i="5"/>
  <c r="E630" i="3"/>
  <c r="DQ632" i="5"/>
  <c r="BN633" i="5"/>
  <c r="BP633" i="5"/>
  <c r="DO633" i="5"/>
  <c r="C631" i="3"/>
  <c r="E631" i="3"/>
  <c r="DQ633" i="5"/>
  <c r="BN634" i="5"/>
  <c r="BP634" i="5"/>
  <c r="DO634" i="5"/>
  <c r="C632" i="3"/>
  <c r="E632" i="3"/>
  <c r="DQ634" i="5"/>
  <c r="BN635" i="5"/>
  <c r="BP635" i="5"/>
  <c r="DO635" i="5"/>
  <c r="C633" i="3"/>
  <c r="E633" i="3"/>
  <c r="DQ635" i="5"/>
  <c r="BN636" i="5"/>
  <c r="BP636" i="5"/>
  <c r="DO636" i="5"/>
  <c r="C634" i="3"/>
  <c r="E634" i="3"/>
  <c r="DQ636" i="5"/>
  <c r="BN637" i="5"/>
  <c r="BP637" i="5"/>
  <c r="DO637" i="5"/>
  <c r="C635" i="3"/>
  <c r="E635" i="3"/>
  <c r="DQ637" i="5"/>
  <c r="BN638" i="5"/>
  <c r="BP638" i="5"/>
  <c r="DO638" i="5"/>
  <c r="C636" i="3"/>
  <c r="E636" i="3"/>
  <c r="DQ638" i="5"/>
  <c r="BN639" i="5"/>
  <c r="BP639" i="5"/>
  <c r="DO639" i="5"/>
  <c r="C637" i="3"/>
  <c r="E637" i="3"/>
  <c r="DQ639" i="5"/>
  <c r="BN640" i="5"/>
  <c r="BP640" i="5"/>
  <c r="DO640" i="5"/>
  <c r="C638" i="3"/>
  <c r="E638" i="3"/>
  <c r="DQ640" i="5"/>
  <c r="BN641" i="5"/>
  <c r="BP641" i="5"/>
  <c r="DO641" i="5"/>
  <c r="C639" i="3"/>
  <c r="E639" i="3"/>
  <c r="DQ641" i="5"/>
  <c r="BN642" i="5"/>
  <c r="BP642" i="5"/>
  <c r="DO642" i="5"/>
  <c r="C640" i="3"/>
  <c r="E640" i="3"/>
  <c r="DQ642" i="5"/>
  <c r="BN643" i="5"/>
  <c r="BP643" i="5"/>
  <c r="DO643" i="5"/>
  <c r="C641" i="3"/>
  <c r="E641" i="3"/>
  <c r="DQ643" i="5"/>
  <c r="BN644" i="5"/>
  <c r="BP644" i="5"/>
  <c r="DO644" i="5"/>
  <c r="C642" i="3"/>
  <c r="E642" i="3"/>
  <c r="DQ644" i="5"/>
  <c r="BN645" i="5"/>
  <c r="BP645" i="5"/>
  <c r="DO645" i="5"/>
  <c r="C643" i="3"/>
  <c r="E643" i="3"/>
  <c r="DQ645" i="5"/>
  <c r="BN646" i="5"/>
  <c r="BP646" i="5"/>
  <c r="DO646" i="5"/>
  <c r="C644" i="3"/>
  <c r="E644" i="3"/>
  <c r="DQ646" i="5"/>
  <c r="BN647" i="5"/>
  <c r="BP647" i="5"/>
  <c r="DO647" i="5"/>
  <c r="C645" i="3"/>
  <c r="E645" i="3"/>
  <c r="DQ647" i="5"/>
  <c r="BN648" i="5"/>
  <c r="BP648" i="5"/>
  <c r="DO648" i="5"/>
  <c r="C646" i="3"/>
  <c r="E646" i="3"/>
  <c r="DQ648" i="5"/>
  <c r="BN649" i="5"/>
  <c r="BP649" i="5"/>
  <c r="DO649" i="5"/>
  <c r="C647" i="3"/>
  <c r="E647" i="3"/>
  <c r="DQ649" i="5"/>
  <c r="BN650" i="5"/>
  <c r="BP650" i="5"/>
  <c r="DO650" i="5"/>
  <c r="C648" i="3"/>
  <c r="E648" i="3"/>
  <c r="DQ650" i="5"/>
  <c r="BN651" i="5"/>
  <c r="BP651" i="5"/>
  <c r="DO651" i="5"/>
  <c r="C649" i="3"/>
  <c r="E649" i="3"/>
  <c r="DQ651" i="5"/>
  <c r="BN652" i="5"/>
  <c r="BP652" i="5"/>
  <c r="DO652" i="5"/>
  <c r="C650" i="3"/>
  <c r="E650" i="3"/>
  <c r="DQ652" i="5"/>
  <c r="BN653" i="5"/>
  <c r="BP653" i="5"/>
  <c r="DO653" i="5"/>
  <c r="C651" i="3"/>
  <c r="E651" i="3"/>
  <c r="DQ653" i="5"/>
  <c r="BN654" i="5"/>
  <c r="BP654" i="5"/>
  <c r="DO654" i="5"/>
  <c r="C652" i="3"/>
  <c r="E652" i="3"/>
  <c r="DQ654" i="5"/>
  <c r="BP655" i="5"/>
  <c r="DO655" i="5"/>
  <c r="E653" i="3"/>
  <c r="DQ655" i="5"/>
  <c r="BN656" i="5"/>
  <c r="BP656" i="5"/>
  <c r="DO656" i="5"/>
  <c r="C654" i="3"/>
  <c r="E654" i="3"/>
  <c r="DQ656" i="5"/>
  <c r="BN657" i="5"/>
  <c r="BP657" i="5"/>
  <c r="DO657" i="5"/>
  <c r="C655" i="3"/>
  <c r="E655" i="3"/>
  <c r="DQ657" i="5"/>
  <c r="BN658" i="5"/>
  <c r="BP658" i="5"/>
  <c r="DO658" i="5"/>
  <c r="C656" i="3"/>
  <c r="E656" i="3"/>
  <c r="DQ658" i="5"/>
  <c r="BN659" i="5"/>
  <c r="BP659" i="5"/>
  <c r="DO659" i="5"/>
  <c r="C657" i="3"/>
  <c r="E657" i="3"/>
  <c r="DQ659" i="5"/>
  <c r="BN660" i="5"/>
  <c r="BP660" i="5"/>
  <c r="DO660" i="5"/>
  <c r="C658" i="3"/>
  <c r="E658" i="3"/>
  <c r="DQ660" i="5"/>
  <c r="BN661" i="5"/>
  <c r="BP661" i="5"/>
  <c r="DO661" i="5"/>
  <c r="C659" i="3"/>
  <c r="E659" i="3"/>
  <c r="DQ661" i="5"/>
  <c r="BN662" i="5"/>
  <c r="BP662" i="5"/>
  <c r="DO662" i="5"/>
  <c r="C660" i="3"/>
  <c r="E660" i="3"/>
  <c r="DQ662" i="5"/>
  <c r="BN663" i="5"/>
  <c r="BP663" i="5"/>
  <c r="DO663" i="5"/>
  <c r="C661" i="3"/>
  <c r="E661" i="3"/>
  <c r="DQ663" i="5"/>
  <c r="BN664" i="5"/>
  <c r="BP664" i="5"/>
  <c r="DO664" i="5"/>
  <c r="C662" i="3"/>
  <c r="E662" i="3"/>
  <c r="DQ664" i="5"/>
  <c r="BN665" i="5"/>
  <c r="BP665" i="5"/>
  <c r="DO665" i="5"/>
  <c r="C663" i="3"/>
  <c r="E663" i="3"/>
  <c r="DQ665" i="5"/>
  <c r="BP16" i="5"/>
  <c r="H14" i="4"/>
  <c r="F14" i="4"/>
  <c r="P14" i="4"/>
  <c r="BR16" i="5"/>
  <c r="CO16" i="5"/>
  <c r="CQ16" i="5"/>
  <c r="BV16" i="5"/>
  <c r="CR16" i="5"/>
  <c r="CB16" i="5"/>
  <c r="CU16" i="5"/>
  <c r="CS16" i="5"/>
  <c r="CT16" i="5"/>
  <c r="CC16" i="5"/>
  <c r="CV16" i="5"/>
  <c r="BX16" i="5"/>
  <c r="CZ16" i="5"/>
  <c r="DC16" i="5"/>
  <c r="DA16" i="5"/>
  <c r="CK16" i="5"/>
  <c r="DE16" i="5"/>
  <c r="DH16" i="5"/>
  <c r="DO16" i="5"/>
  <c r="E14" i="3"/>
  <c r="DQ16" i="5"/>
  <c r="DM16" i="5"/>
  <c r="DM17" i="5"/>
  <c r="DM18" i="5"/>
  <c r="DM19" i="5"/>
  <c r="DM20" i="5"/>
  <c r="DM21" i="5"/>
  <c r="DM22" i="5"/>
  <c r="DM23" i="5"/>
  <c r="DM24" i="5"/>
  <c r="DM25" i="5"/>
  <c r="DM26" i="5"/>
  <c r="DM27" i="5"/>
  <c r="DM28" i="5"/>
  <c r="DM29" i="5"/>
  <c r="DM30" i="5"/>
  <c r="DM31" i="5"/>
  <c r="DM32" i="5"/>
  <c r="DM33" i="5"/>
  <c r="DM34" i="5"/>
  <c r="DM35" i="5"/>
  <c r="DM36" i="5"/>
  <c r="DM37" i="5"/>
  <c r="DM38" i="5"/>
  <c r="DM39" i="5"/>
  <c r="DM40" i="5"/>
  <c r="DM41" i="5"/>
  <c r="DM42" i="5"/>
  <c r="DM43" i="5"/>
  <c r="DM44" i="5"/>
  <c r="DM45" i="5"/>
  <c r="DM46" i="5"/>
  <c r="DM47" i="5"/>
  <c r="DM48" i="5"/>
  <c r="DM49" i="5"/>
  <c r="DM50" i="5"/>
  <c r="DM51" i="5"/>
  <c r="DM52" i="5"/>
  <c r="DM53" i="5"/>
  <c r="DM54" i="5"/>
  <c r="DM55" i="5"/>
  <c r="DM56" i="5"/>
  <c r="DM57" i="5"/>
  <c r="DM58" i="5"/>
  <c r="DM59" i="5"/>
  <c r="DM60" i="5"/>
  <c r="DM61" i="5"/>
  <c r="DM62" i="5"/>
  <c r="DM63" i="5"/>
  <c r="DM64" i="5"/>
  <c r="DM65" i="5"/>
  <c r="DM66" i="5"/>
  <c r="DM67" i="5"/>
  <c r="DM68" i="5"/>
  <c r="DM69" i="5"/>
  <c r="DM70" i="5"/>
  <c r="DM71" i="5"/>
  <c r="DM72" i="5"/>
  <c r="DM73" i="5"/>
  <c r="DM74" i="5"/>
  <c r="DM75" i="5"/>
  <c r="DM76" i="5"/>
  <c r="DM77" i="5"/>
  <c r="DM78" i="5"/>
  <c r="DM79" i="5"/>
  <c r="DM80" i="5"/>
  <c r="DM81" i="5"/>
  <c r="DM82" i="5"/>
  <c r="DM83" i="5"/>
  <c r="DM84" i="5"/>
  <c r="DM85" i="5"/>
  <c r="DM86" i="5"/>
  <c r="DM87" i="5"/>
  <c r="DM88" i="5"/>
  <c r="DM89" i="5"/>
  <c r="DM90" i="5"/>
  <c r="DM91" i="5"/>
  <c r="DM92" i="5"/>
  <c r="DM93" i="5"/>
  <c r="DM94" i="5"/>
  <c r="DM95" i="5"/>
  <c r="DM96" i="5"/>
  <c r="DM97" i="5"/>
  <c r="DM98" i="5"/>
  <c r="DM99" i="5"/>
  <c r="DM100" i="5"/>
  <c r="DM101" i="5"/>
  <c r="DM102" i="5"/>
  <c r="DM103" i="5"/>
  <c r="DM104" i="5"/>
  <c r="DM105" i="5"/>
  <c r="DM106" i="5"/>
  <c r="DM107" i="5"/>
  <c r="DM108" i="5"/>
  <c r="DM109" i="5"/>
  <c r="DM110" i="5"/>
  <c r="DM111" i="5"/>
  <c r="DM112" i="5"/>
  <c r="DM113" i="5"/>
  <c r="DM114" i="5"/>
  <c r="DM115" i="5"/>
  <c r="DM116" i="5"/>
  <c r="DM117" i="5"/>
  <c r="DM118" i="5"/>
  <c r="DM119" i="5"/>
  <c r="DM120" i="5"/>
  <c r="DM121" i="5"/>
  <c r="DM122" i="5"/>
  <c r="DM123" i="5"/>
  <c r="DM124" i="5"/>
  <c r="DM125" i="5"/>
  <c r="DM126" i="5"/>
  <c r="DM127" i="5"/>
  <c r="DM128" i="5"/>
  <c r="DM129" i="5"/>
  <c r="DM130" i="5"/>
  <c r="DM131" i="5"/>
  <c r="DM132" i="5"/>
  <c r="DM133" i="5"/>
  <c r="DM134" i="5"/>
  <c r="DM135" i="5"/>
  <c r="DM136" i="5"/>
  <c r="DM137" i="5"/>
  <c r="DM138" i="5"/>
  <c r="DM139" i="5"/>
  <c r="DM140" i="5"/>
  <c r="DM141" i="5"/>
  <c r="DM142" i="5"/>
  <c r="DM143" i="5"/>
  <c r="DM144" i="5"/>
  <c r="DM145" i="5"/>
  <c r="DM146" i="5"/>
  <c r="DM147" i="5"/>
  <c r="DM148" i="5"/>
  <c r="DM149" i="5"/>
  <c r="DM150" i="5"/>
  <c r="DM151" i="5"/>
  <c r="DM152" i="5"/>
  <c r="DM153" i="5"/>
  <c r="DM154" i="5"/>
  <c r="DM155" i="5"/>
  <c r="DM156" i="5"/>
  <c r="DM157" i="5"/>
  <c r="DM158" i="5"/>
  <c r="DM159" i="5"/>
  <c r="DM160" i="5"/>
  <c r="DM161" i="5"/>
  <c r="DM162" i="5"/>
  <c r="DM163" i="5"/>
  <c r="DM164" i="5"/>
  <c r="DM165" i="5"/>
  <c r="DM166" i="5"/>
  <c r="DM167" i="5"/>
  <c r="DM168" i="5"/>
  <c r="DM169" i="5"/>
  <c r="DM170" i="5"/>
  <c r="DM171" i="5"/>
  <c r="DM172" i="5"/>
  <c r="DM173" i="5"/>
  <c r="DM174" i="5"/>
  <c r="DM175" i="5"/>
  <c r="DM176" i="5"/>
  <c r="DM177" i="5"/>
  <c r="DM178" i="5"/>
  <c r="DM179" i="5"/>
  <c r="DM180" i="5"/>
  <c r="DM181" i="5"/>
  <c r="DM182" i="5"/>
  <c r="DM183" i="5"/>
  <c r="DM184" i="5"/>
  <c r="DM185" i="5"/>
  <c r="DM186" i="5"/>
  <c r="DM187" i="5"/>
  <c r="DM188" i="5"/>
  <c r="DM189" i="5"/>
  <c r="DM190" i="5"/>
  <c r="DM191" i="5"/>
  <c r="DM192" i="5"/>
  <c r="DM193" i="5"/>
  <c r="DM194" i="5"/>
  <c r="DM195" i="5"/>
  <c r="DM196" i="5"/>
  <c r="DM197" i="5"/>
  <c r="DM198" i="5"/>
  <c r="DM199" i="5"/>
  <c r="DM200" i="5"/>
  <c r="DM201" i="5"/>
  <c r="DM202" i="5"/>
  <c r="DM203" i="5"/>
  <c r="DM204" i="5"/>
  <c r="DM205" i="5"/>
  <c r="DM206" i="5"/>
  <c r="DM207" i="5"/>
  <c r="DM208" i="5"/>
  <c r="DM209" i="5"/>
  <c r="DM210" i="5"/>
  <c r="DM211" i="5"/>
  <c r="DM212" i="5"/>
  <c r="DM213" i="5"/>
  <c r="DM214" i="5"/>
  <c r="DM215" i="5"/>
  <c r="DM216" i="5"/>
  <c r="DM217" i="5"/>
  <c r="DM218" i="5"/>
  <c r="DM219" i="5"/>
  <c r="DM220" i="5"/>
  <c r="DM221" i="5"/>
  <c r="DM222" i="5"/>
  <c r="DM223" i="5"/>
  <c r="DM224" i="5"/>
  <c r="DM225" i="5"/>
  <c r="DM226" i="5"/>
  <c r="DM227" i="5"/>
  <c r="DM228" i="5"/>
  <c r="DM229" i="5"/>
  <c r="DM230" i="5"/>
  <c r="DM231" i="5"/>
  <c r="DM232" i="5"/>
  <c r="DM233" i="5"/>
  <c r="DM234" i="5"/>
  <c r="DM235" i="5"/>
  <c r="DM236" i="5"/>
  <c r="DM237" i="5"/>
  <c r="DM238" i="5"/>
  <c r="DM239" i="5"/>
  <c r="DM240" i="5"/>
  <c r="DM241" i="5"/>
  <c r="DM242" i="5"/>
  <c r="DM243" i="5"/>
  <c r="DM244" i="5"/>
  <c r="DM245" i="5"/>
  <c r="DM246" i="5"/>
  <c r="DM247" i="5"/>
  <c r="DM248" i="5"/>
  <c r="DM249" i="5"/>
  <c r="DM250" i="5"/>
  <c r="DM251" i="5"/>
  <c r="DM252" i="5"/>
  <c r="DM253" i="5"/>
  <c r="DM254" i="5"/>
  <c r="DM255" i="5"/>
  <c r="DM256" i="5"/>
  <c r="DM257" i="5"/>
  <c r="DM258" i="5"/>
  <c r="DM259" i="5"/>
  <c r="DM260" i="5"/>
  <c r="DM261" i="5"/>
  <c r="DM262" i="5"/>
  <c r="DM263" i="5"/>
  <c r="DM264" i="5"/>
  <c r="DM265" i="5"/>
  <c r="DM266" i="5"/>
  <c r="DM267" i="5"/>
  <c r="DM268" i="5"/>
  <c r="DM269" i="5"/>
  <c r="DM270" i="5"/>
  <c r="DM271" i="5"/>
  <c r="DM272" i="5"/>
  <c r="DM273" i="5"/>
  <c r="DM274" i="5"/>
  <c r="DM275" i="5"/>
  <c r="DM276" i="5"/>
  <c r="DM277" i="5"/>
  <c r="DM278" i="5"/>
  <c r="DM279" i="5"/>
  <c r="DM280" i="5"/>
  <c r="DM281" i="5"/>
  <c r="DM282" i="5"/>
  <c r="DM283" i="5"/>
  <c r="DM284" i="5"/>
  <c r="DM285" i="5"/>
  <c r="DM286" i="5"/>
  <c r="DM287" i="5"/>
  <c r="DM288" i="5"/>
  <c r="DM289" i="5"/>
  <c r="DM290" i="5"/>
  <c r="DM291" i="5"/>
  <c r="DM292" i="5"/>
  <c r="DM293" i="5"/>
  <c r="DM294" i="5"/>
  <c r="DM295" i="5"/>
  <c r="DM296" i="5"/>
  <c r="DM297" i="5"/>
  <c r="DM298" i="5"/>
  <c r="DM299" i="5"/>
  <c r="DM300" i="5"/>
  <c r="DM301" i="5"/>
  <c r="DM302" i="5"/>
  <c r="DM303" i="5"/>
  <c r="DM304" i="5"/>
  <c r="DM305" i="5"/>
  <c r="DM306" i="5"/>
  <c r="DM307" i="5"/>
  <c r="DM308" i="5"/>
  <c r="DM309" i="5"/>
  <c r="DM310" i="5"/>
  <c r="DM311" i="5"/>
  <c r="DM312" i="5"/>
  <c r="DM313" i="5"/>
  <c r="DM314" i="5"/>
  <c r="DM315" i="5"/>
  <c r="DM316" i="5"/>
  <c r="DM317" i="5"/>
  <c r="DM318" i="5"/>
  <c r="DM319" i="5"/>
  <c r="DM320" i="5"/>
  <c r="DM321" i="5"/>
  <c r="DM322" i="5"/>
  <c r="DM323" i="5"/>
  <c r="DM324" i="5"/>
  <c r="DM325" i="5"/>
  <c r="DM326" i="5"/>
  <c r="DM327" i="5"/>
  <c r="DM328" i="5"/>
  <c r="DM329" i="5"/>
  <c r="DM330" i="5"/>
  <c r="DM331" i="5"/>
  <c r="DM332" i="5"/>
  <c r="DM333" i="5"/>
  <c r="DM334" i="5"/>
  <c r="DM335" i="5"/>
  <c r="DM336" i="5"/>
  <c r="DM337" i="5"/>
  <c r="DM338" i="5"/>
  <c r="DM339" i="5"/>
  <c r="DM340" i="5"/>
  <c r="DM341" i="5"/>
  <c r="DM342" i="5"/>
  <c r="DM343" i="5"/>
  <c r="DM344" i="5"/>
  <c r="DM345" i="5"/>
  <c r="DM346" i="5"/>
  <c r="DM347" i="5"/>
  <c r="DM348" i="5"/>
  <c r="DM349" i="5"/>
  <c r="DM350" i="5"/>
  <c r="DM351" i="5"/>
  <c r="DM352" i="5"/>
  <c r="DM353" i="5"/>
  <c r="DM354" i="5"/>
  <c r="DM355" i="5"/>
  <c r="DM356" i="5"/>
  <c r="DM357" i="5"/>
  <c r="DM358" i="5"/>
  <c r="DM359" i="5"/>
  <c r="DM360" i="5"/>
  <c r="DM361" i="5"/>
  <c r="DM362" i="5"/>
  <c r="DM363" i="5"/>
  <c r="DM364" i="5"/>
  <c r="DM365" i="5"/>
  <c r="DM366" i="5"/>
  <c r="DM367" i="5"/>
  <c r="DM368" i="5"/>
  <c r="DM369" i="5"/>
  <c r="DM370" i="5"/>
  <c r="DM371" i="5"/>
  <c r="DM372" i="5"/>
  <c r="DM373" i="5"/>
  <c r="DM374" i="5"/>
  <c r="DM375" i="5"/>
  <c r="DM376" i="5"/>
  <c r="DM377" i="5"/>
  <c r="DM378" i="5"/>
  <c r="DM379" i="5"/>
  <c r="DM380" i="5"/>
  <c r="DM381" i="5"/>
  <c r="DM382" i="5"/>
  <c r="DM383" i="5"/>
  <c r="DM384" i="5"/>
  <c r="DM385" i="5"/>
  <c r="DM386" i="5"/>
  <c r="DM387" i="5"/>
  <c r="DM388" i="5"/>
  <c r="DM389" i="5"/>
  <c r="DM390" i="5"/>
  <c r="DM391" i="5"/>
  <c r="DM392" i="5"/>
  <c r="DM393" i="5"/>
  <c r="DM394" i="5"/>
  <c r="DM395" i="5"/>
  <c r="DM396" i="5"/>
  <c r="DM397" i="5"/>
  <c r="DM398" i="5"/>
  <c r="DM399" i="5"/>
  <c r="DM400" i="5"/>
  <c r="DM401" i="5"/>
  <c r="DM402" i="5"/>
  <c r="DM403" i="5"/>
  <c r="DM404" i="5"/>
  <c r="DM405" i="5"/>
  <c r="DM406" i="5"/>
  <c r="DM407" i="5"/>
  <c r="DM408" i="5"/>
  <c r="DM409" i="5"/>
  <c r="DM410" i="5"/>
  <c r="DM411" i="5"/>
  <c r="DM412" i="5"/>
  <c r="DM413" i="5"/>
  <c r="DM414" i="5"/>
  <c r="DM415" i="5"/>
  <c r="DM416" i="5"/>
  <c r="DM417" i="5"/>
  <c r="DM418" i="5"/>
  <c r="DM419" i="5"/>
  <c r="DM420" i="5"/>
  <c r="DM421" i="5"/>
  <c r="DM422" i="5"/>
  <c r="DM423" i="5"/>
  <c r="DM424" i="5"/>
  <c r="DM425" i="5"/>
  <c r="DM426" i="5"/>
  <c r="DM427" i="5"/>
  <c r="DM428" i="5"/>
  <c r="DM429" i="5"/>
  <c r="DM430" i="5"/>
  <c r="DM431" i="5"/>
  <c r="DM432" i="5"/>
  <c r="DM433" i="5"/>
  <c r="DM434" i="5"/>
  <c r="DM435" i="5"/>
  <c r="DM436" i="5"/>
  <c r="DM437" i="5"/>
  <c r="DM438" i="5"/>
  <c r="DM439" i="5"/>
  <c r="DM440" i="5"/>
  <c r="DM441" i="5"/>
  <c r="DM442" i="5"/>
  <c r="DM443" i="5"/>
  <c r="DM444" i="5"/>
  <c r="DM445" i="5"/>
  <c r="DM446" i="5"/>
  <c r="DM447" i="5"/>
  <c r="DM448" i="5"/>
  <c r="DM449" i="5"/>
  <c r="DM450" i="5"/>
  <c r="DM451" i="5"/>
  <c r="DM452" i="5"/>
  <c r="DM453" i="5"/>
  <c r="DM454" i="5"/>
  <c r="DM455" i="5"/>
  <c r="DM456" i="5"/>
  <c r="DM457" i="5"/>
  <c r="DM458" i="5"/>
  <c r="DM459" i="5"/>
  <c r="DM460" i="5"/>
  <c r="DM461" i="5"/>
  <c r="DM462" i="5"/>
  <c r="DM463" i="5"/>
  <c r="DM464" i="5"/>
  <c r="DM465" i="5"/>
  <c r="DM466" i="5"/>
  <c r="DM467" i="5"/>
  <c r="DM468" i="5"/>
  <c r="DM469" i="5"/>
  <c r="DM470" i="5"/>
  <c r="DM471" i="5"/>
  <c r="DM472" i="5"/>
  <c r="DM473" i="5"/>
  <c r="DM474" i="5"/>
  <c r="DM475" i="5"/>
  <c r="DM476" i="5"/>
  <c r="DM477" i="5"/>
  <c r="DM478" i="5"/>
  <c r="DM479" i="5"/>
  <c r="DM480" i="5"/>
  <c r="DM481" i="5"/>
  <c r="DM482" i="5"/>
  <c r="DM483" i="5"/>
  <c r="DM484" i="5"/>
  <c r="DM485" i="5"/>
  <c r="DM486" i="5"/>
  <c r="DM487" i="5"/>
  <c r="DM488" i="5"/>
  <c r="DM489" i="5"/>
  <c r="DM490" i="5"/>
  <c r="DM491" i="5"/>
  <c r="DM492" i="5"/>
  <c r="DM493" i="5"/>
  <c r="DM494" i="5"/>
  <c r="DM495" i="5"/>
  <c r="DM496" i="5"/>
  <c r="DM497" i="5"/>
  <c r="DM498" i="5"/>
  <c r="DM499" i="5"/>
  <c r="DM500" i="5"/>
  <c r="DM501" i="5"/>
  <c r="DM502" i="5"/>
  <c r="DM503" i="5"/>
  <c r="DM504" i="5"/>
  <c r="DM505" i="5"/>
  <c r="DM506" i="5"/>
  <c r="DM507" i="5"/>
  <c r="DM508" i="5"/>
  <c r="DM509" i="5"/>
  <c r="DM510" i="5"/>
  <c r="DM511" i="5"/>
  <c r="DM512" i="5"/>
  <c r="DM513" i="5"/>
  <c r="DM514" i="5"/>
  <c r="DM515" i="5"/>
  <c r="DM516" i="5"/>
  <c r="DM517" i="5"/>
  <c r="DM518" i="5"/>
  <c r="DM519" i="5"/>
  <c r="DM520" i="5"/>
  <c r="DM521" i="5"/>
  <c r="DM522" i="5"/>
  <c r="DM523" i="5"/>
  <c r="DM524" i="5"/>
  <c r="DM525" i="5"/>
  <c r="DM526" i="5"/>
  <c r="DM527" i="5"/>
  <c r="DM528" i="5"/>
  <c r="DM529" i="5"/>
  <c r="DM530" i="5"/>
  <c r="DM531" i="5"/>
  <c r="BS533" i="5"/>
  <c r="CQ533" i="5"/>
  <c r="BV533" i="5"/>
  <c r="CR533" i="5"/>
  <c r="BW533" i="5"/>
  <c r="CS533" i="5"/>
  <c r="CA533" i="5"/>
  <c r="CT533" i="5"/>
  <c r="CB533" i="5"/>
  <c r="CU533" i="5"/>
  <c r="CC533" i="5"/>
  <c r="CV533" i="5"/>
  <c r="BX533" i="5"/>
  <c r="CZ533" i="5"/>
  <c r="BY533" i="5"/>
  <c r="DC533" i="5"/>
  <c r="DA533" i="5"/>
  <c r="CK533" i="5"/>
  <c r="DE533" i="5"/>
  <c r="DH533" i="5"/>
  <c r="DM533" i="5"/>
  <c r="BS534" i="5"/>
  <c r="CQ534" i="5"/>
  <c r="BV534" i="5"/>
  <c r="CR534" i="5"/>
  <c r="BW534" i="5"/>
  <c r="CS534" i="5"/>
  <c r="CA534" i="5"/>
  <c r="CT534" i="5"/>
  <c r="CB534" i="5"/>
  <c r="CU534" i="5"/>
  <c r="CC534" i="5"/>
  <c r="CV534" i="5"/>
  <c r="BX534" i="5"/>
  <c r="CZ534" i="5"/>
  <c r="BY534" i="5"/>
  <c r="DC534" i="5"/>
  <c r="DA534" i="5"/>
  <c r="CK534" i="5"/>
  <c r="DE534" i="5"/>
  <c r="DH534" i="5"/>
  <c r="DM534" i="5"/>
  <c r="BS535" i="5"/>
  <c r="CQ535" i="5"/>
  <c r="BV535" i="5"/>
  <c r="CR535" i="5"/>
  <c r="BW535" i="5"/>
  <c r="CS535" i="5"/>
  <c r="CA535" i="5"/>
  <c r="CT535" i="5"/>
  <c r="CB535" i="5"/>
  <c r="CU535" i="5"/>
  <c r="CC535" i="5"/>
  <c r="CV535" i="5"/>
  <c r="BX535" i="5"/>
  <c r="CZ535" i="5"/>
  <c r="BY535" i="5"/>
  <c r="DC535" i="5"/>
  <c r="DA535" i="5"/>
  <c r="CK535" i="5"/>
  <c r="DE535" i="5"/>
  <c r="DH535" i="5"/>
  <c r="DM535" i="5"/>
  <c r="BS536" i="5"/>
  <c r="CQ536" i="5"/>
  <c r="BV536" i="5"/>
  <c r="CR536" i="5"/>
  <c r="BW536" i="5"/>
  <c r="CS536" i="5"/>
  <c r="CA536" i="5"/>
  <c r="CT536" i="5"/>
  <c r="CB536" i="5"/>
  <c r="CU536" i="5"/>
  <c r="CC536" i="5"/>
  <c r="CV536" i="5"/>
  <c r="BX536" i="5"/>
  <c r="CZ536" i="5"/>
  <c r="BY536" i="5"/>
  <c r="DC536" i="5"/>
  <c r="DA536" i="5"/>
  <c r="CG536" i="5"/>
  <c r="DD536" i="5"/>
  <c r="CK536" i="5"/>
  <c r="DE536" i="5"/>
  <c r="DH536" i="5"/>
  <c r="DM536" i="5"/>
  <c r="BS537" i="5"/>
  <c r="CQ537" i="5"/>
  <c r="BV537" i="5"/>
  <c r="CR537" i="5"/>
  <c r="BW537" i="5"/>
  <c r="CS537" i="5"/>
  <c r="CA537" i="5"/>
  <c r="CT537" i="5"/>
  <c r="CB537" i="5"/>
  <c r="CU537" i="5"/>
  <c r="CC537" i="5"/>
  <c r="CV537" i="5"/>
  <c r="BX537" i="5"/>
  <c r="CZ537" i="5"/>
  <c r="BY537" i="5"/>
  <c r="DC537" i="5"/>
  <c r="DA537" i="5"/>
  <c r="CK537" i="5"/>
  <c r="DE537" i="5"/>
  <c r="DH537" i="5"/>
  <c r="DM537" i="5"/>
  <c r="BS538" i="5"/>
  <c r="CQ538" i="5"/>
  <c r="BV538" i="5"/>
  <c r="CR538" i="5"/>
  <c r="BW538" i="5"/>
  <c r="CS538" i="5"/>
  <c r="CA538" i="5"/>
  <c r="CT538" i="5"/>
  <c r="CB538" i="5"/>
  <c r="CU538" i="5"/>
  <c r="CC538" i="5"/>
  <c r="CV538" i="5"/>
  <c r="BX538" i="5"/>
  <c r="CZ538" i="5"/>
  <c r="BY538" i="5"/>
  <c r="DC538" i="5"/>
  <c r="DA538" i="5"/>
  <c r="CK538" i="5"/>
  <c r="DE538" i="5"/>
  <c r="DH538" i="5"/>
  <c r="DM538" i="5"/>
  <c r="BS539" i="5"/>
  <c r="CQ539" i="5"/>
  <c r="BV539" i="5"/>
  <c r="CR539" i="5"/>
  <c r="BW539" i="5"/>
  <c r="CS539" i="5"/>
  <c r="CA539" i="5"/>
  <c r="CT539" i="5"/>
  <c r="CB539" i="5"/>
  <c r="CU539" i="5"/>
  <c r="CC539" i="5"/>
  <c r="CV539" i="5"/>
  <c r="BX539" i="5"/>
  <c r="CZ539" i="5"/>
  <c r="BY539" i="5"/>
  <c r="DC539" i="5"/>
  <c r="DA539" i="5"/>
  <c r="CK539" i="5"/>
  <c r="DE539" i="5"/>
  <c r="DH539" i="5"/>
  <c r="DM539" i="5"/>
  <c r="BS540" i="5"/>
  <c r="CQ540" i="5"/>
  <c r="BV540" i="5"/>
  <c r="CR540" i="5"/>
  <c r="BW540" i="5"/>
  <c r="CS540" i="5"/>
  <c r="CA540" i="5"/>
  <c r="CT540" i="5"/>
  <c r="CB540" i="5"/>
  <c r="CU540" i="5"/>
  <c r="CC540" i="5"/>
  <c r="CV540" i="5"/>
  <c r="BX540" i="5"/>
  <c r="CZ540" i="5"/>
  <c r="BY540" i="5"/>
  <c r="DC540" i="5"/>
  <c r="DA540" i="5"/>
  <c r="BT540" i="5"/>
  <c r="DB540" i="5"/>
  <c r="CK540" i="5"/>
  <c r="DE540" i="5"/>
  <c r="DH540" i="5"/>
  <c r="DM540" i="5"/>
  <c r="BS541" i="5"/>
  <c r="CQ541" i="5"/>
  <c r="BV541" i="5"/>
  <c r="CR541" i="5"/>
  <c r="BW541" i="5"/>
  <c r="CS541" i="5"/>
  <c r="CA541" i="5"/>
  <c r="CT541" i="5"/>
  <c r="CB541" i="5"/>
  <c r="CU541" i="5"/>
  <c r="CC541" i="5"/>
  <c r="CV541" i="5"/>
  <c r="BX541" i="5"/>
  <c r="CZ541" i="5"/>
  <c r="BY541" i="5"/>
  <c r="DC541" i="5"/>
  <c r="DA541" i="5"/>
  <c r="BT541" i="5"/>
  <c r="DB541" i="5"/>
  <c r="CK541" i="5"/>
  <c r="DE541" i="5"/>
  <c r="DH541" i="5"/>
  <c r="DM541" i="5"/>
  <c r="BS542" i="5"/>
  <c r="CQ542" i="5"/>
  <c r="BV542" i="5"/>
  <c r="CR542" i="5"/>
  <c r="BW542" i="5"/>
  <c r="CS542" i="5"/>
  <c r="CA542" i="5"/>
  <c r="CT542" i="5"/>
  <c r="CB542" i="5"/>
  <c r="CU542" i="5"/>
  <c r="CC542" i="5"/>
  <c r="CV542" i="5"/>
  <c r="BX542" i="5"/>
  <c r="CZ542" i="5"/>
  <c r="BY542" i="5"/>
  <c r="DC542" i="5"/>
  <c r="DA542" i="5"/>
  <c r="BT542" i="5"/>
  <c r="DB542" i="5"/>
  <c r="CK542" i="5"/>
  <c r="DE542" i="5"/>
  <c r="DH542" i="5"/>
  <c r="DM542" i="5"/>
  <c r="BS543" i="5"/>
  <c r="CQ543" i="5"/>
  <c r="BV543" i="5"/>
  <c r="CR543" i="5"/>
  <c r="BW543" i="5"/>
  <c r="CS543" i="5"/>
  <c r="CA543" i="5"/>
  <c r="CT543" i="5"/>
  <c r="CB543" i="5"/>
  <c r="CU543" i="5"/>
  <c r="CC543" i="5"/>
  <c r="CV543" i="5"/>
  <c r="BX543" i="5"/>
  <c r="CZ543" i="5"/>
  <c r="BY543" i="5"/>
  <c r="DC543" i="5"/>
  <c r="DA543" i="5"/>
  <c r="BT543" i="5"/>
  <c r="DB543" i="5"/>
  <c r="CK543" i="5"/>
  <c r="DE543" i="5"/>
  <c r="DH543" i="5"/>
  <c r="DM543" i="5"/>
  <c r="BS544" i="5"/>
  <c r="CQ544" i="5"/>
  <c r="BV544" i="5"/>
  <c r="CR544" i="5"/>
  <c r="BW544" i="5"/>
  <c r="CS544" i="5"/>
  <c r="CA544" i="5"/>
  <c r="CT544" i="5"/>
  <c r="CB544" i="5"/>
  <c r="CU544" i="5"/>
  <c r="CC544" i="5"/>
  <c r="CV544" i="5"/>
  <c r="BX544" i="5"/>
  <c r="CZ544" i="5"/>
  <c r="BY544" i="5"/>
  <c r="DC544" i="5"/>
  <c r="DA544" i="5"/>
  <c r="BT544" i="5"/>
  <c r="DB544" i="5"/>
  <c r="CK544" i="5"/>
  <c r="DE544" i="5"/>
  <c r="DH544" i="5"/>
  <c r="DM544" i="5"/>
  <c r="BS545" i="5"/>
  <c r="CQ545" i="5"/>
  <c r="BV545" i="5"/>
  <c r="CR545" i="5"/>
  <c r="BW545" i="5"/>
  <c r="CS545" i="5"/>
  <c r="CA545" i="5"/>
  <c r="CT545" i="5"/>
  <c r="CB545" i="5"/>
  <c r="CU545" i="5"/>
  <c r="CC545" i="5"/>
  <c r="CV545" i="5"/>
  <c r="BX545" i="5"/>
  <c r="CZ545" i="5"/>
  <c r="BY545" i="5"/>
  <c r="DC545" i="5"/>
  <c r="DA545" i="5"/>
  <c r="BT545" i="5"/>
  <c r="DB545" i="5"/>
  <c r="CK545" i="5"/>
  <c r="DE545" i="5"/>
  <c r="DH545" i="5"/>
  <c r="DM545" i="5"/>
  <c r="BS546" i="5"/>
  <c r="CQ546" i="5"/>
  <c r="BV546" i="5"/>
  <c r="CR546" i="5"/>
  <c r="BW546" i="5"/>
  <c r="CS546" i="5"/>
  <c r="CA546" i="5"/>
  <c r="CT546" i="5"/>
  <c r="CB546" i="5"/>
  <c r="CU546" i="5"/>
  <c r="CC546" i="5"/>
  <c r="CV546" i="5"/>
  <c r="BX546" i="5"/>
  <c r="CZ546" i="5"/>
  <c r="BY546" i="5"/>
  <c r="DC546" i="5"/>
  <c r="DA546" i="5"/>
  <c r="BT546" i="5"/>
  <c r="DB546" i="5"/>
  <c r="CK546" i="5"/>
  <c r="DE546" i="5"/>
  <c r="DH546" i="5"/>
  <c r="DM546" i="5"/>
  <c r="BS547" i="5"/>
  <c r="CQ547" i="5"/>
  <c r="BV547" i="5"/>
  <c r="CR547" i="5"/>
  <c r="BW547" i="5"/>
  <c r="CS547" i="5"/>
  <c r="CA547" i="5"/>
  <c r="CT547" i="5"/>
  <c r="CB547" i="5"/>
  <c r="CU547" i="5"/>
  <c r="CC547" i="5"/>
  <c r="CV547" i="5"/>
  <c r="BX547" i="5"/>
  <c r="CZ547" i="5"/>
  <c r="BY547" i="5"/>
  <c r="DC547" i="5"/>
  <c r="DA547" i="5"/>
  <c r="BT547" i="5"/>
  <c r="DB547" i="5"/>
  <c r="CK547" i="5"/>
  <c r="DE547" i="5"/>
  <c r="DH547" i="5"/>
  <c r="DM547" i="5"/>
  <c r="BS548" i="5"/>
  <c r="CQ548" i="5"/>
  <c r="BV548" i="5"/>
  <c r="CR548" i="5"/>
  <c r="BW548" i="5"/>
  <c r="CS548" i="5"/>
  <c r="CA548" i="5"/>
  <c r="CT548" i="5"/>
  <c r="CB548" i="5"/>
  <c r="CU548" i="5"/>
  <c r="CC548" i="5"/>
  <c r="CV548" i="5"/>
  <c r="BX548" i="5"/>
  <c r="CZ548" i="5"/>
  <c r="BY548" i="5"/>
  <c r="DC548" i="5"/>
  <c r="DA548" i="5"/>
  <c r="BT548" i="5"/>
  <c r="DB548" i="5"/>
  <c r="CK548" i="5"/>
  <c r="DE548" i="5"/>
  <c r="DH548" i="5"/>
  <c r="DM548" i="5"/>
  <c r="BS549" i="5"/>
  <c r="CQ549" i="5"/>
  <c r="BV549" i="5"/>
  <c r="CR549" i="5"/>
  <c r="BW549" i="5"/>
  <c r="CS549" i="5"/>
  <c r="CA549" i="5"/>
  <c r="CT549" i="5"/>
  <c r="CB549" i="5"/>
  <c r="CU549" i="5"/>
  <c r="CC549" i="5"/>
  <c r="CV549" i="5"/>
  <c r="BX549" i="5"/>
  <c r="CZ549" i="5"/>
  <c r="BY549" i="5"/>
  <c r="DC549" i="5"/>
  <c r="DA549" i="5"/>
  <c r="BT549" i="5"/>
  <c r="DB549" i="5"/>
  <c r="CK549" i="5"/>
  <c r="DE549" i="5"/>
  <c r="DH549" i="5"/>
  <c r="DM549" i="5"/>
  <c r="BS550" i="5"/>
  <c r="CQ550" i="5"/>
  <c r="BV550" i="5"/>
  <c r="CR550" i="5"/>
  <c r="BW550" i="5"/>
  <c r="CS550" i="5"/>
  <c r="CA550" i="5"/>
  <c r="CT550" i="5"/>
  <c r="CB550" i="5"/>
  <c r="CU550" i="5"/>
  <c r="CC550" i="5"/>
  <c r="CV550" i="5"/>
  <c r="BX550" i="5"/>
  <c r="CZ550" i="5"/>
  <c r="BY550" i="5"/>
  <c r="DC550" i="5"/>
  <c r="DA550" i="5"/>
  <c r="BT550" i="5"/>
  <c r="DB550" i="5"/>
  <c r="CK550" i="5"/>
  <c r="DE550" i="5"/>
  <c r="DH550" i="5"/>
  <c r="DM550" i="5"/>
  <c r="BS551" i="5"/>
  <c r="CQ551" i="5"/>
  <c r="BV551" i="5"/>
  <c r="CR551" i="5"/>
  <c r="BW551" i="5"/>
  <c r="CS551" i="5"/>
  <c r="CA551" i="5"/>
  <c r="CT551" i="5"/>
  <c r="CB551" i="5"/>
  <c r="CU551" i="5"/>
  <c r="CC551" i="5"/>
  <c r="CV551" i="5"/>
  <c r="BX551" i="5"/>
  <c r="CZ551" i="5"/>
  <c r="BY551" i="5"/>
  <c r="DC551" i="5"/>
  <c r="DA551" i="5"/>
  <c r="BT551" i="5"/>
  <c r="DB551" i="5"/>
  <c r="CK551" i="5"/>
  <c r="DE551" i="5"/>
  <c r="DH551" i="5"/>
  <c r="DM551" i="5"/>
  <c r="BS552" i="5"/>
  <c r="CQ552" i="5"/>
  <c r="BV552" i="5"/>
  <c r="CR552" i="5"/>
  <c r="BW552" i="5"/>
  <c r="CS552" i="5"/>
  <c r="CA552" i="5"/>
  <c r="CT552" i="5"/>
  <c r="CB552" i="5"/>
  <c r="CU552" i="5"/>
  <c r="CC552" i="5"/>
  <c r="CV552" i="5"/>
  <c r="BX552" i="5"/>
  <c r="CZ552" i="5"/>
  <c r="BY552" i="5"/>
  <c r="DC552" i="5"/>
  <c r="DA552" i="5"/>
  <c r="BT552" i="5"/>
  <c r="DB552" i="5"/>
  <c r="CK552" i="5"/>
  <c r="DE552" i="5"/>
  <c r="DH552" i="5"/>
  <c r="DM552" i="5"/>
  <c r="BS553" i="5"/>
  <c r="CQ553" i="5"/>
  <c r="BV553" i="5"/>
  <c r="CR553" i="5"/>
  <c r="BW553" i="5"/>
  <c r="CS553" i="5"/>
  <c r="CA553" i="5"/>
  <c r="CT553" i="5"/>
  <c r="CB553" i="5"/>
  <c r="CU553" i="5"/>
  <c r="CC553" i="5"/>
  <c r="CV553" i="5"/>
  <c r="BX553" i="5"/>
  <c r="CZ553" i="5"/>
  <c r="BY553" i="5"/>
  <c r="DC553" i="5"/>
  <c r="DA553" i="5"/>
  <c r="BT553" i="5"/>
  <c r="DB553" i="5"/>
  <c r="CK553" i="5"/>
  <c r="DE553" i="5"/>
  <c r="DH553" i="5"/>
  <c r="DM553" i="5"/>
  <c r="BS554" i="5"/>
  <c r="CQ554" i="5"/>
  <c r="BV554" i="5"/>
  <c r="CR554" i="5"/>
  <c r="BW554" i="5"/>
  <c r="CS554" i="5"/>
  <c r="CA554" i="5"/>
  <c r="CT554" i="5"/>
  <c r="CB554" i="5"/>
  <c r="CU554" i="5"/>
  <c r="CC554" i="5"/>
  <c r="CV554" i="5"/>
  <c r="BX554" i="5"/>
  <c r="CZ554" i="5"/>
  <c r="BY554" i="5"/>
  <c r="DC554" i="5"/>
  <c r="DA554" i="5"/>
  <c r="BT554" i="5"/>
  <c r="DB554" i="5"/>
  <c r="CK554" i="5"/>
  <c r="DE554" i="5"/>
  <c r="DH554" i="5"/>
  <c r="DM554" i="5"/>
  <c r="BS555" i="5"/>
  <c r="CQ555" i="5"/>
  <c r="BV555" i="5"/>
  <c r="CR555" i="5"/>
  <c r="BW555" i="5"/>
  <c r="CS555" i="5"/>
  <c r="CA555" i="5"/>
  <c r="CT555" i="5"/>
  <c r="CB555" i="5"/>
  <c r="CU555" i="5"/>
  <c r="CC555" i="5"/>
  <c r="CV555" i="5"/>
  <c r="BX555" i="5"/>
  <c r="CZ555" i="5"/>
  <c r="BY555" i="5"/>
  <c r="DC555" i="5"/>
  <c r="DA555" i="5"/>
  <c r="BT555" i="5"/>
  <c r="DB555" i="5"/>
  <c r="CK555" i="5"/>
  <c r="DE555" i="5"/>
  <c r="DH555" i="5"/>
  <c r="DM555" i="5"/>
  <c r="BS556" i="5"/>
  <c r="CQ556" i="5"/>
  <c r="BV556" i="5"/>
  <c r="CR556" i="5"/>
  <c r="BW556" i="5"/>
  <c r="CS556" i="5"/>
  <c r="CA556" i="5"/>
  <c r="CT556" i="5"/>
  <c r="CB556" i="5"/>
  <c r="CU556" i="5"/>
  <c r="CC556" i="5"/>
  <c r="CV556" i="5"/>
  <c r="BX556" i="5"/>
  <c r="CZ556" i="5"/>
  <c r="BY556" i="5"/>
  <c r="DC556" i="5"/>
  <c r="DA556" i="5"/>
  <c r="BT556" i="5"/>
  <c r="DB556" i="5"/>
  <c r="CK556" i="5"/>
  <c r="DE556" i="5"/>
  <c r="DH556" i="5"/>
  <c r="DM556" i="5"/>
  <c r="BS557" i="5"/>
  <c r="CQ557" i="5"/>
  <c r="BV557" i="5"/>
  <c r="CR557" i="5"/>
  <c r="BW557" i="5"/>
  <c r="CS557" i="5"/>
  <c r="CA557" i="5"/>
  <c r="CT557" i="5"/>
  <c r="CB557" i="5"/>
  <c r="CU557" i="5"/>
  <c r="CC557" i="5"/>
  <c r="CV557" i="5"/>
  <c r="BX557" i="5"/>
  <c r="CZ557" i="5"/>
  <c r="BY557" i="5"/>
  <c r="DC557" i="5"/>
  <c r="DA557" i="5"/>
  <c r="BT557" i="5"/>
  <c r="DB557" i="5"/>
  <c r="CK557" i="5"/>
  <c r="DE557" i="5"/>
  <c r="DH557" i="5"/>
  <c r="DM557" i="5"/>
  <c r="BS558" i="5"/>
  <c r="CQ558" i="5"/>
  <c r="BV558" i="5"/>
  <c r="CR558" i="5"/>
  <c r="BW558" i="5"/>
  <c r="CS558" i="5"/>
  <c r="CA558" i="5"/>
  <c r="CT558" i="5"/>
  <c r="CB558" i="5"/>
  <c r="CU558" i="5"/>
  <c r="CC558" i="5"/>
  <c r="CV558" i="5"/>
  <c r="BX558" i="5"/>
  <c r="CZ558" i="5"/>
  <c r="BY558" i="5"/>
  <c r="DC558" i="5"/>
  <c r="DA558" i="5"/>
  <c r="BT558" i="5"/>
  <c r="DB558" i="5"/>
  <c r="CK558" i="5"/>
  <c r="DE558" i="5"/>
  <c r="DH558" i="5"/>
  <c r="DM558" i="5"/>
  <c r="BS559" i="5"/>
  <c r="CQ559" i="5"/>
  <c r="BV559" i="5"/>
  <c r="CR559" i="5"/>
  <c r="BW559" i="5"/>
  <c r="CS559" i="5"/>
  <c r="CA559" i="5"/>
  <c r="CT559" i="5"/>
  <c r="CB559" i="5"/>
  <c r="CU559" i="5"/>
  <c r="CC559" i="5"/>
  <c r="CV559" i="5"/>
  <c r="BX559" i="5"/>
  <c r="CZ559" i="5"/>
  <c r="BY559" i="5"/>
  <c r="DC559" i="5"/>
  <c r="DA559" i="5"/>
  <c r="BT559" i="5"/>
  <c r="DB559" i="5"/>
  <c r="CK559" i="5"/>
  <c r="DE559" i="5"/>
  <c r="DH559" i="5"/>
  <c r="DM559" i="5"/>
  <c r="BS560" i="5"/>
  <c r="CQ560" i="5"/>
  <c r="BV560" i="5"/>
  <c r="CR560" i="5"/>
  <c r="BW560" i="5"/>
  <c r="CS560" i="5"/>
  <c r="CA560" i="5"/>
  <c r="CT560" i="5"/>
  <c r="CB560" i="5"/>
  <c r="CU560" i="5"/>
  <c r="CC560" i="5"/>
  <c r="CV560" i="5"/>
  <c r="BX560" i="5"/>
  <c r="CZ560" i="5"/>
  <c r="BY560" i="5"/>
  <c r="DC560" i="5"/>
  <c r="DA560" i="5"/>
  <c r="BT560" i="5"/>
  <c r="DB560" i="5"/>
  <c r="CK560" i="5"/>
  <c r="DE560" i="5"/>
  <c r="DH560" i="5"/>
  <c r="DM560" i="5"/>
  <c r="BS561" i="5"/>
  <c r="CQ561" i="5"/>
  <c r="BV561" i="5"/>
  <c r="CR561" i="5"/>
  <c r="BW561" i="5"/>
  <c r="CS561" i="5"/>
  <c r="CA561" i="5"/>
  <c r="CT561" i="5"/>
  <c r="CB561" i="5"/>
  <c r="CU561" i="5"/>
  <c r="CC561" i="5"/>
  <c r="CV561" i="5"/>
  <c r="BX561" i="5"/>
  <c r="CZ561" i="5"/>
  <c r="BY561" i="5"/>
  <c r="DC561" i="5"/>
  <c r="DA561" i="5"/>
  <c r="BT561" i="5"/>
  <c r="DB561" i="5"/>
  <c r="CK561" i="5"/>
  <c r="DE561" i="5"/>
  <c r="DH561" i="5"/>
  <c r="DM561" i="5"/>
  <c r="BS562" i="5"/>
  <c r="CQ562" i="5"/>
  <c r="BV562" i="5"/>
  <c r="CR562" i="5"/>
  <c r="BW562" i="5"/>
  <c r="CS562" i="5"/>
  <c r="CA562" i="5"/>
  <c r="CT562" i="5"/>
  <c r="CB562" i="5"/>
  <c r="CU562" i="5"/>
  <c r="CC562" i="5"/>
  <c r="CV562" i="5"/>
  <c r="BX562" i="5"/>
  <c r="CZ562" i="5"/>
  <c r="BY562" i="5"/>
  <c r="DC562" i="5"/>
  <c r="DA562" i="5"/>
  <c r="BT562" i="5"/>
  <c r="DB562" i="5"/>
  <c r="CK562" i="5"/>
  <c r="DE562" i="5"/>
  <c r="DH562" i="5"/>
  <c r="DM562" i="5"/>
  <c r="BS563" i="5"/>
  <c r="CQ563" i="5"/>
  <c r="BV563" i="5"/>
  <c r="CR563" i="5"/>
  <c r="BW563" i="5"/>
  <c r="CS563" i="5"/>
  <c r="CA563" i="5"/>
  <c r="CT563" i="5"/>
  <c r="CB563" i="5"/>
  <c r="CU563" i="5"/>
  <c r="CC563" i="5"/>
  <c r="CV563" i="5"/>
  <c r="BX563" i="5"/>
  <c r="CZ563" i="5"/>
  <c r="BY563" i="5"/>
  <c r="DC563" i="5"/>
  <c r="DA563" i="5"/>
  <c r="BT563" i="5"/>
  <c r="DB563" i="5"/>
  <c r="CK563" i="5"/>
  <c r="DE563" i="5"/>
  <c r="DH563" i="5"/>
  <c r="DM563" i="5"/>
  <c r="BS564" i="5"/>
  <c r="CQ564" i="5"/>
  <c r="BV564" i="5"/>
  <c r="CR564" i="5"/>
  <c r="BW564" i="5"/>
  <c r="CS564" i="5"/>
  <c r="CA564" i="5"/>
  <c r="CT564" i="5"/>
  <c r="CB564" i="5"/>
  <c r="CU564" i="5"/>
  <c r="CC564" i="5"/>
  <c r="CV564" i="5"/>
  <c r="BX564" i="5"/>
  <c r="CZ564" i="5"/>
  <c r="BY564" i="5"/>
  <c r="DC564" i="5"/>
  <c r="DA564" i="5"/>
  <c r="BT564" i="5"/>
  <c r="DB564" i="5"/>
  <c r="CK564" i="5"/>
  <c r="DE564" i="5"/>
  <c r="DH564" i="5"/>
  <c r="DM564" i="5"/>
  <c r="BS565" i="5"/>
  <c r="CQ565" i="5"/>
  <c r="BV565" i="5"/>
  <c r="CR565" i="5"/>
  <c r="BW565" i="5"/>
  <c r="CS565" i="5"/>
  <c r="CA565" i="5"/>
  <c r="CT565" i="5"/>
  <c r="CB565" i="5"/>
  <c r="CU565" i="5"/>
  <c r="CC565" i="5"/>
  <c r="CV565" i="5"/>
  <c r="BX565" i="5"/>
  <c r="CZ565" i="5"/>
  <c r="BY565" i="5"/>
  <c r="DC565" i="5"/>
  <c r="DA565" i="5"/>
  <c r="BT565" i="5"/>
  <c r="DB565" i="5"/>
  <c r="CK565" i="5"/>
  <c r="DE565" i="5"/>
  <c r="DH565" i="5"/>
  <c r="DM565" i="5"/>
  <c r="BS566" i="5"/>
  <c r="CQ566" i="5"/>
  <c r="BV566" i="5"/>
  <c r="CR566" i="5"/>
  <c r="BW566" i="5"/>
  <c r="CS566" i="5"/>
  <c r="CA566" i="5"/>
  <c r="CT566" i="5"/>
  <c r="CB566" i="5"/>
  <c r="CU566" i="5"/>
  <c r="CC566" i="5"/>
  <c r="CV566" i="5"/>
  <c r="BX566" i="5"/>
  <c r="CZ566" i="5"/>
  <c r="BY566" i="5"/>
  <c r="DC566" i="5"/>
  <c r="DA566" i="5"/>
  <c r="BT566" i="5"/>
  <c r="DB566" i="5"/>
  <c r="CK566" i="5"/>
  <c r="DE566" i="5"/>
  <c r="DH566" i="5"/>
  <c r="DM566" i="5"/>
  <c r="BS567" i="5"/>
  <c r="CQ567" i="5"/>
  <c r="BV567" i="5"/>
  <c r="CR567" i="5"/>
  <c r="BW567" i="5"/>
  <c r="CS567" i="5"/>
  <c r="CA567" i="5"/>
  <c r="CT567" i="5"/>
  <c r="CB567" i="5"/>
  <c r="CU567" i="5"/>
  <c r="CC567" i="5"/>
  <c r="CV567" i="5"/>
  <c r="BX567" i="5"/>
  <c r="CZ567" i="5"/>
  <c r="BY567" i="5"/>
  <c r="DC567" i="5"/>
  <c r="DA567" i="5"/>
  <c r="BT567" i="5"/>
  <c r="DB567" i="5"/>
  <c r="CK567" i="5"/>
  <c r="DE567" i="5"/>
  <c r="DH567" i="5"/>
  <c r="DM567" i="5"/>
  <c r="BS568" i="5"/>
  <c r="CQ568" i="5"/>
  <c r="BV568" i="5"/>
  <c r="CR568" i="5"/>
  <c r="BW568" i="5"/>
  <c r="CS568" i="5"/>
  <c r="CA568" i="5"/>
  <c r="CT568" i="5"/>
  <c r="CB568" i="5"/>
  <c r="CU568" i="5"/>
  <c r="CC568" i="5"/>
  <c r="CV568" i="5"/>
  <c r="BX568" i="5"/>
  <c r="CZ568" i="5"/>
  <c r="BY568" i="5"/>
  <c r="DC568" i="5"/>
  <c r="DA568" i="5"/>
  <c r="BT568" i="5"/>
  <c r="DB568" i="5"/>
  <c r="CK568" i="5"/>
  <c r="DE568" i="5"/>
  <c r="DH568" i="5"/>
  <c r="DM568" i="5"/>
  <c r="BS569" i="5"/>
  <c r="CQ569" i="5"/>
  <c r="BV569" i="5"/>
  <c r="CR569" i="5"/>
  <c r="BW569" i="5"/>
  <c r="CS569" i="5"/>
  <c r="CA569" i="5"/>
  <c r="CT569" i="5"/>
  <c r="CB569" i="5"/>
  <c r="CU569" i="5"/>
  <c r="CC569" i="5"/>
  <c r="CV569" i="5"/>
  <c r="BX569" i="5"/>
  <c r="CZ569" i="5"/>
  <c r="BY569" i="5"/>
  <c r="DC569" i="5"/>
  <c r="DA569" i="5"/>
  <c r="BT569" i="5"/>
  <c r="DB569" i="5"/>
  <c r="DI569" i="5"/>
  <c r="DM569" i="5"/>
  <c r="BS570" i="5"/>
  <c r="CQ570" i="5"/>
  <c r="BV570" i="5"/>
  <c r="CR570" i="5"/>
  <c r="BW570" i="5"/>
  <c r="CS570" i="5"/>
  <c r="CA570" i="5"/>
  <c r="CT570" i="5"/>
  <c r="CB570" i="5"/>
  <c r="CU570" i="5"/>
  <c r="CC570" i="5"/>
  <c r="CV570" i="5"/>
  <c r="BX570" i="5"/>
  <c r="CZ570" i="5"/>
  <c r="BY570" i="5"/>
  <c r="DC570" i="5"/>
  <c r="DA570" i="5"/>
  <c r="BT570" i="5"/>
  <c r="DB570" i="5"/>
  <c r="DI570" i="5"/>
  <c r="DM570" i="5"/>
  <c r="BS571" i="5"/>
  <c r="CQ571" i="5"/>
  <c r="BV571" i="5"/>
  <c r="CR571" i="5"/>
  <c r="BW571" i="5"/>
  <c r="CS571" i="5"/>
  <c r="CA571" i="5"/>
  <c r="CT571" i="5"/>
  <c r="CB571" i="5"/>
  <c r="CU571" i="5"/>
  <c r="CC571" i="5"/>
  <c r="CV571" i="5"/>
  <c r="BX571" i="5"/>
  <c r="CZ571" i="5"/>
  <c r="BY571" i="5"/>
  <c r="DC571" i="5"/>
  <c r="DA571" i="5"/>
  <c r="BT571" i="5"/>
  <c r="DB571" i="5"/>
  <c r="DI571" i="5"/>
  <c r="DM571" i="5"/>
  <c r="BS572" i="5"/>
  <c r="CQ572" i="5"/>
  <c r="BV572" i="5"/>
  <c r="CR572" i="5"/>
  <c r="BW572" i="5"/>
  <c r="CS572" i="5"/>
  <c r="CA572" i="5"/>
  <c r="CT572" i="5"/>
  <c r="CB572" i="5"/>
  <c r="CU572" i="5"/>
  <c r="CC572" i="5"/>
  <c r="CV572" i="5"/>
  <c r="BX572" i="5"/>
  <c r="CZ572" i="5"/>
  <c r="BY572" i="5"/>
  <c r="DC572" i="5"/>
  <c r="DA572" i="5"/>
  <c r="BT572" i="5"/>
  <c r="DB572" i="5"/>
  <c r="DI572" i="5"/>
  <c r="DM572" i="5"/>
  <c r="BS573" i="5"/>
  <c r="CQ573" i="5"/>
  <c r="BV573" i="5"/>
  <c r="CR573" i="5"/>
  <c r="BW573" i="5"/>
  <c r="CS573" i="5"/>
  <c r="CA573" i="5"/>
  <c r="CT573" i="5"/>
  <c r="CB573" i="5"/>
  <c r="CU573" i="5"/>
  <c r="CC573" i="5"/>
  <c r="CV573" i="5"/>
  <c r="BX573" i="5"/>
  <c r="CZ573" i="5"/>
  <c r="BY573" i="5"/>
  <c r="DC573" i="5"/>
  <c r="DA573" i="5"/>
  <c r="BT573" i="5"/>
  <c r="DB573" i="5"/>
  <c r="DI573" i="5"/>
  <c r="DM573" i="5"/>
  <c r="BS574" i="5"/>
  <c r="CQ574" i="5"/>
  <c r="BV574" i="5"/>
  <c r="CR574" i="5"/>
  <c r="BW574" i="5"/>
  <c r="CS574" i="5"/>
  <c r="CA574" i="5"/>
  <c r="CT574" i="5"/>
  <c r="CB574" i="5"/>
  <c r="CU574" i="5"/>
  <c r="CC574" i="5"/>
  <c r="CV574" i="5"/>
  <c r="BX574" i="5"/>
  <c r="CZ574" i="5"/>
  <c r="BY574" i="5"/>
  <c r="DC574" i="5"/>
  <c r="DA574" i="5"/>
  <c r="BT574" i="5"/>
  <c r="DB574" i="5"/>
  <c r="DI574" i="5"/>
  <c r="DM574" i="5"/>
  <c r="BS575" i="5"/>
  <c r="CQ575" i="5"/>
  <c r="BV575" i="5"/>
  <c r="CR575" i="5"/>
  <c r="BW575" i="5"/>
  <c r="CS575" i="5"/>
  <c r="CA575" i="5"/>
  <c r="CT575" i="5"/>
  <c r="CB575" i="5"/>
  <c r="CU575" i="5"/>
  <c r="CC575" i="5"/>
  <c r="CV575" i="5"/>
  <c r="BX575" i="5"/>
  <c r="CZ575" i="5"/>
  <c r="BY575" i="5"/>
  <c r="DC575" i="5"/>
  <c r="DA575" i="5"/>
  <c r="BT575" i="5"/>
  <c r="DB575" i="5"/>
  <c r="DI575" i="5"/>
  <c r="DM575" i="5"/>
  <c r="BS576" i="5"/>
  <c r="CQ576" i="5"/>
  <c r="BV576" i="5"/>
  <c r="CR576" i="5"/>
  <c r="BW576" i="5"/>
  <c r="CS576" i="5"/>
  <c r="CA576" i="5"/>
  <c r="CT576" i="5"/>
  <c r="CB576" i="5"/>
  <c r="CU576" i="5"/>
  <c r="CC576" i="5"/>
  <c r="CV576" i="5"/>
  <c r="BX576" i="5"/>
  <c r="CZ576" i="5"/>
  <c r="BY576" i="5"/>
  <c r="DC576" i="5"/>
  <c r="DA576" i="5"/>
  <c r="BT576" i="5"/>
  <c r="DB576" i="5"/>
  <c r="DI576" i="5"/>
  <c r="DM576" i="5"/>
  <c r="BS577" i="5"/>
  <c r="CQ577" i="5"/>
  <c r="BV577" i="5"/>
  <c r="CR577" i="5"/>
  <c r="BW577" i="5"/>
  <c r="CS577" i="5"/>
  <c r="CA577" i="5"/>
  <c r="CT577" i="5"/>
  <c r="CB577" i="5"/>
  <c r="CU577" i="5"/>
  <c r="CC577" i="5"/>
  <c r="CV577" i="5"/>
  <c r="BX577" i="5"/>
  <c r="CZ577" i="5"/>
  <c r="BY577" i="5"/>
  <c r="DC577" i="5"/>
  <c r="DA577" i="5"/>
  <c r="BT577" i="5"/>
  <c r="DB577" i="5"/>
  <c r="DI577" i="5"/>
  <c r="DM577" i="5"/>
  <c r="BS578" i="5"/>
  <c r="CQ578" i="5"/>
  <c r="BV578" i="5"/>
  <c r="CR578" i="5"/>
  <c r="BW578" i="5"/>
  <c r="CS578" i="5"/>
  <c r="CA578" i="5"/>
  <c r="CT578" i="5"/>
  <c r="CB578" i="5"/>
  <c r="CU578" i="5"/>
  <c r="CC578" i="5"/>
  <c r="CV578" i="5"/>
  <c r="BX578" i="5"/>
  <c r="CZ578" i="5"/>
  <c r="BY578" i="5"/>
  <c r="DC578" i="5"/>
  <c r="DA578" i="5"/>
  <c r="BT578" i="5"/>
  <c r="DB578" i="5"/>
  <c r="DI578" i="5"/>
  <c r="DM578" i="5"/>
  <c r="BS579" i="5"/>
  <c r="CQ579" i="5"/>
  <c r="BV579" i="5"/>
  <c r="CR579" i="5"/>
  <c r="BW579" i="5"/>
  <c r="CS579" i="5"/>
  <c r="CA579" i="5"/>
  <c r="CT579" i="5"/>
  <c r="CB579" i="5"/>
  <c r="CU579" i="5"/>
  <c r="CC579" i="5"/>
  <c r="CV579" i="5"/>
  <c r="BX579" i="5"/>
  <c r="CZ579" i="5"/>
  <c r="BY579" i="5"/>
  <c r="DC579" i="5"/>
  <c r="DA579" i="5"/>
  <c r="BT579" i="5"/>
  <c r="DB579" i="5"/>
  <c r="DI579" i="5"/>
  <c r="DM579" i="5"/>
  <c r="BS580" i="5"/>
  <c r="CQ580" i="5"/>
  <c r="BV580" i="5"/>
  <c r="CR580" i="5"/>
  <c r="BW580" i="5"/>
  <c r="CS580" i="5"/>
  <c r="CA580" i="5"/>
  <c r="CT580" i="5"/>
  <c r="CB580" i="5"/>
  <c r="CU580" i="5"/>
  <c r="CC580" i="5"/>
  <c r="CV580" i="5"/>
  <c r="BX580" i="5"/>
  <c r="CZ580" i="5"/>
  <c r="BY580" i="5"/>
  <c r="DC580" i="5"/>
  <c r="DA580" i="5"/>
  <c r="BT580" i="5"/>
  <c r="DB580" i="5"/>
  <c r="DI580" i="5"/>
  <c r="DM580" i="5"/>
  <c r="BS581" i="5"/>
  <c r="CQ581" i="5"/>
  <c r="BV581" i="5"/>
  <c r="CR581" i="5"/>
  <c r="BW581" i="5"/>
  <c r="CS581" i="5"/>
  <c r="CA581" i="5"/>
  <c r="CT581" i="5"/>
  <c r="CB581" i="5"/>
  <c r="CU581" i="5"/>
  <c r="CC581" i="5"/>
  <c r="CV581" i="5"/>
  <c r="BX581" i="5"/>
  <c r="CZ581" i="5"/>
  <c r="BY581" i="5"/>
  <c r="DC581" i="5"/>
  <c r="DA581" i="5"/>
  <c r="BT581" i="5"/>
  <c r="DB581" i="5"/>
  <c r="DI581" i="5"/>
  <c r="DM581" i="5"/>
  <c r="BS582" i="5"/>
  <c r="CQ582" i="5"/>
  <c r="BV582" i="5"/>
  <c r="CR582" i="5"/>
  <c r="BW582" i="5"/>
  <c r="CS582" i="5"/>
  <c r="CA582" i="5"/>
  <c r="CT582" i="5"/>
  <c r="CB582" i="5"/>
  <c r="CU582" i="5"/>
  <c r="CC582" i="5"/>
  <c r="CV582" i="5"/>
  <c r="BX582" i="5"/>
  <c r="CZ582" i="5"/>
  <c r="BY582" i="5"/>
  <c r="DC582" i="5"/>
  <c r="DA582" i="5"/>
  <c r="BT582" i="5"/>
  <c r="DB582" i="5"/>
  <c r="DI582" i="5"/>
  <c r="DM582" i="5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H10" i="4"/>
  <c r="I10" i="4"/>
  <c r="H11" i="4"/>
  <c r="I11" i="4"/>
  <c r="H12" i="4"/>
  <c r="I12" i="4"/>
  <c r="H13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G51" i="4"/>
  <c r="Q51" i="4"/>
  <c r="I52" i="4"/>
  <c r="G52" i="4"/>
  <c r="Q52" i="4"/>
  <c r="I53" i="4"/>
  <c r="G53" i="4"/>
  <c r="Q53" i="4"/>
  <c r="I54" i="4"/>
  <c r="G54" i="4"/>
  <c r="Q54" i="4"/>
  <c r="I55" i="4"/>
  <c r="G55" i="4"/>
  <c r="Q55" i="4"/>
  <c r="I56" i="4"/>
  <c r="G56" i="4"/>
  <c r="Q56" i="4"/>
  <c r="I57" i="4"/>
  <c r="G57" i="4"/>
  <c r="Q57" i="4"/>
  <c r="I58" i="4"/>
  <c r="G58" i="4"/>
  <c r="Q58" i="4"/>
  <c r="I59" i="4"/>
  <c r="G59" i="4"/>
  <c r="Q59" i="4"/>
  <c r="I60" i="4"/>
  <c r="G60" i="4"/>
  <c r="Q60" i="4"/>
  <c r="I61" i="4"/>
  <c r="G61" i="4"/>
  <c r="Q61" i="4"/>
  <c r="I62" i="4"/>
  <c r="G62" i="4"/>
  <c r="Q62" i="4"/>
  <c r="I63" i="4"/>
  <c r="G63" i="4"/>
  <c r="Q63" i="4"/>
  <c r="I64" i="4"/>
  <c r="G64" i="4"/>
  <c r="Q64" i="4"/>
  <c r="I65" i="4"/>
  <c r="G65" i="4"/>
  <c r="Q65" i="4"/>
  <c r="I66" i="4"/>
  <c r="G66" i="4"/>
  <c r="Q66" i="4"/>
  <c r="I67" i="4"/>
  <c r="G67" i="4"/>
  <c r="Q67" i="4"/>
  <c r="I68" i="4"/>
  <c r="G68" i="4"/>
  <c r="Q68" i="4"/>
  <c r="I69" i="4"/>
  <c r="G69" i="4"/>
  <c r="Q69" i="4"/>
  <c r="I70" i="4"/>
  <c r="G70" i="4"/>
  <c r="Q70" i="4"/>
  <c r="I71" i="4"/>
  <c r="G71" i="4"/>
  <c r="Q71" i="4"/>
  <c r="I72" i="4"/>
  <c r="G72" i="4"/>
  <c r="Q72" i="4"/>
  <c r="I73" i="4"/>
  <c r="G73" i="4"/>
  <c r="Q73" i="4"/>
  <c r="I74" i="4"/>
  <c r="G74" i="4"/>
  <c r="Q74" i="4"/>
  <c r="I75" i="4"/>
  <c r="G75" i="4"/>
  <c r="Q75" i="4"/>
  <c r="I76" i="4"/>
  <c r="G76" i="4"/>
  <c r="Q76" i="4"/>
  <c r="I77" i="4"/>
  <c r="G77" i="4"/>
  <c r="Q77" i="4"/>
  <c r="I78" i="4"/>
  <c r="G78" i="4"/>
  <c r="Q78" i="4"/>
  <c r="I79" i="4"/>
  <c r="G79" i="4"/>
  <c r="Q79" i="4"/>
  <c r="I80" i="4"/>
  <c r="G80" i="4"/>
  <c r="Q80" i="4"/>
  <c r="I81" i="4"/>
  <c r="G81" i="4"/>
  <c r="Q81" i="4"/>
  <c r="I82" i="4"/>
  <c r="G82" i="4"/>
  <c r="Q82" i="4"/>
  <c r="I83" i="4"/>
  <c r="G83" i="4"/>
  <c r="Q83" i="4"/>
  <c r="I84" i="4"/>
  <c r="G84" i="4"/>
  <c r="Q84" i="4"/>
  <c r="I85" i="4"/>
  <c r="G85" i="4"/>
  <c r="Q85" i="4"/>
  <c r="I86" i="4"/>
  <c r="G86" i="4"/>
  <c r="Q86" i="4"/>
  <c r="I87" i="4"/>
  <c r="G87" i="4"/>
  <c r="Q87" i="4"/>
  <c r="I88" i="4"/>
  <c r="G88" i="4"/>
  <c r="Q88" i="4"/>
  <c r="I89" i="4"/>
  <c r="G89" i="4"/>
  <c r="Q89" i="4"/>
  <c r="I90" i="4"/>
  <c r="G90" i="4"/>
  <c r="Q90" i="4"/>
  <c r="I91" i="4"/>
  <c r="G91" i="4"/>
  <c r="Q91" i="4"/>
  <c r="I92" i="4"/>
  <c r="G92" i="4"/>
  <c r="Q92" i="4"/>
  <c r="I93" i="4"/>
  <c r="G93" i="4"/>
  <c r="Q93" i="4"/>
  <c r="I94" i="4"/>
  <c r="G94" i="4"/>
  <c r="Q94" i="4"/>
  <c r="I95" i="4"/>
  <c r="G95" i="4"/>
  <c r="Q95" i="4"/>
  <c r="I96" i="4"/>
  <c r="G96" i="4"/>
  <c r="Q96" i="4"/>
  <c r="I97" i="4"/>
  <c r="G97" i="4"/>
  <c r="Q97" i="4"/>
  <c r="I98" i="4"/>
  <c r="G98" i="4"/>
  <c r="Q98" i="4"/>
  <c r="I99" i="4"/>
  <c r="G99" i="4"/>
  <c r="Q99" i="4"/>
  <c r="I100" i="4"/>
  <c r="G100" i="4"/>
  <c r="Q100" i="4"/>
  <c r="I101" i="4"/>
  <c r="G101" i="4"/>
  <c r="Q101" i="4"/>
  <c r="I102" i="4"/>
  <c r="G102" i="4"/>
  <c r="Q102" i="4"/>
  <c r="I103" i="4"/>
  <c r="G103" i="4"/>
  <c r="Q103" i="4"/>
  <c r="I104" i="4"/>
  <c r="G104" i="4"/>
  <c r="Q104" i="4"/>
  <c r="I105" i="4"/>
  <c r="G105" i="4"/>
  <c r="Q105" i="4"/>
  <c r="I106" i="4"/>
  <c r="G106" i="4"/>
  <c r="Q106" i="4"/>
  <c r="I107" i="4"/>
  <c r="G107" i="4"/>
  <c r="Q107" i="4"/>
  <c r="I108" i="4"/>
  <c r="G108" i="4"/>
  <c r="Q108" i="4"/>
  <c r="I109" i="4"/>
  <c r="G109" i="4"/>
  <c r="Q109" i="4"/>
  <c r="I110" i="4"/>
  <c r="G110" i="4"/>
  <c r="Q110" i="4"/>
  <c r="I111" i="4"/>
  <c r="G111" i="4"/>
  <c r="Q111" i="4"/>
  <c r="I112" i="4"/>
  <c r="G112" i="4"/>
  <c r="Q112" i="4"/>
  <c r="I113" i="4"/>
  <c r="G113" i="4"/>
  <c r="Q113" i="4"/>
  <c r="I114" i="4"/>
  <c r="G114" i="4"/>
  <c r="Q114" i="4"/>
  <c r="I115" i="4"/>
  <c r="G115" i="4"/>
  <c r="Q115" i="4"/>
  <c r="I116" i="4"/>
  <c r="G116" i="4"/>
  <c r="Q116" i="4"/>
  <c r="I117" i="4"/>
  <c r="G117" i="4"/>
  <c r="Q117" i="4"/>
  <c r="I118" i="4"/>
  <c r="G118" i="4"/>
  <c r="Q118" i="4"/>
  <c r="I119" i="4"/>
  <c r="G119" i="4"/>
  <c r="Q119" i="4"/>
  <c r="I120" i="4"/>
  <c r="G120" i="4"/>
  <c r="Q120" i="4"/>
  <c r="I121" i="4"/>
  <c r="G121" i="4"/>
  <c r="Q121" i="4"/>
  <c r="I122" i="4"/>
  <c r="G122" i="4"/>
  <c r="Q122" i="4"/>
  <c r="I123" i="4"/>
  <c r="G123" i="4"/>
  <c r="Q123" i="4"/>
  <c r="I124" i="4"/>
  <c r="G124" i="4"/>
  <c r="Q124" i="4"/>
  <c r="I125" i="4"/>
  <c r="G125" i="4"/>
  <c r="Q125" i="4"/>
  <c r="I126" i="4"/>
  <c r="G126" i="4"/>
  <c r="Q126" i="4"/>
  <c r="I127" i="4"/>
  <c r="G127" i="4"/>
  <c r="Q127" i="4"/>
  <c r="I128" i="4"/>
  <c r="G128" i="4"/>
  <c r="Q128" i="4"/>
  <c r="I129" i="4"/>
  <c r="G129" i="4"/>
  <c r="Q129" i="4"/>
  <c r="I130" i="4"/>
  <c r="G130" i="4"/>
  <c r="Q130" i="4"/>
  <c r="I131" i="4"/>
  <c r="G131" i="4"/>
  <c r="Q131" i="4"/>
  <c r="I132" i="4"/>
  <c r="G132" i="4"/>
  <c r="Q132" i="4"/>
  <c r="I133" i="4"/>
  <c r="G133" i="4"/>
  <c r="Q133" i="4"/>
  <c r="I134" i="4"/>
  <c r="G134" i="4"/>
  <c r="Q134" i="4"/>
  <c r="I135" i="4"/>
  <c r="G135" i="4"/>
  <c r="Q135" i="4"/>
  <c r="I136" i="4"/>
  <c r="G136" i="4"/>
  <c r="Q136" i="4"/>
  <c r="I137" i="4"/>
  <c r="G137" i="4"/>
  <c r="Q137" i="4"/>
  <c r="I138" i="4"/>
  <c r="G138" i="4"/>
  <c r="Q138" i="4"/>
  <c r="I139" i="4"/>
  <c r="G139" i="4"/>
  <c r="Q139" i="4"/>
  <c r="I140" i="4"/>
  <c r="G140" i="4"/>
  <c r="Q140" i="4"/>
  <c r="I141" i="4"/>
  <c r="G141" i="4"/>
  <c r="Q141" i="4"/>
  <c r="I142" i="4"/>
  <c r="G142" i="4"/>
  <c r="Q142" i="4"/>
  <c r="I143" i="4"/>
  <c r="G143" i="4"/>
  <c r="Q143" i="4"/>
  <c r="I144" i="4"/>
  <c r="G144" i="4"/>
  <c r="Q144" i="4"/>
  <c r="I145" i="4"/>
  <c r="G145" i="4"/>
  <c r="Q145" i="4"/>
  <c r="I146" i="4"/>
  <c r="G146" i="4"/>
  <c r="Q146" i="4"/>
  <c r="I147" i="4"/>
  <c r="G147" i="4"/>
  <c r="Q147" i="4"/>
  <c r="I148" i="4"/>
  <c r="G148" i="4"/>
  <c r="Q148" i="4"/>
  <c r="I149" i="4"/>
  <c r="G149" i="4"/>
  <c r="Q149" i="4"/>
  <c r="I150" i="4"/>
  <c r="G150" i="4"/>
  <c r="Q150" i="4"/>
  <c r="I151" i="4"/>
  <c r="G151" i="4"/>
  <c r="Q151" i="4"/>
  <c r="I152" i="4"/>
  <c r="G152" i="4"/>
  <c r="Q152" i="4"/>
  <c r="I153" i="4"/>
  <c r="G153" i="4"/>
  <c r="Q153" i="4"/>
  <c r="I154" i="4"/>
  <c r="G154" i="4"/>
  <c r="Q154" i="4"/>
  <c r="I155" i="4"/>
  <c r="G155" i="4"/>
  <c r="Q155" i="4"/>
  <c r="I156" i="4"/>
  <c r="G156" i="4"/>
  <c r="Q156" i="4"/>
  <c r="I157" i="4"/>
  <c r="G157" i="4"/>
  <c r="Q157" i="4"/>
  <c r="I158" i="4"/>
  <c r="G158" i="4"/>
  <c r="Q158" i="4"/>
  <c r="I159" i="4"/>
  <c r="G159" i="4"/>
  <c r="Q159" i="4"/>
  <c r="I160" i="4"/>
  <c r="G160" i="4"/>
  <c r="Q160" i="4"/>
  <c r="I161" i="4"/>
  <c r="G161" i="4"/>
  <c r="Q161" i="4"/>
  <c r="I162" i="4"/>
  <c r="G162" i="4"/>
  <c r="Q162" i="4"/>
  <c r="I163" i="4"/>
  <c r="G163" i="4"/>
  <c r="Q163" i="4"/>
  <c r="I164" i="4"/>
  <c r="G164" i="4"/>
  <c r="Q164" i="4"/>
  <c r="I165" i="4"/>
  <c r="G165" i="4"/>
  <c r="Q165" i="4"/>
  <c r="I166" i="4"/>
  <c r="G166" i="4"/>
  <c r="Q166" i="4"/>
  <c r="I167" i="4"/>
  <c r="G167" i="4"/>
  <c r="Q167" i="4"/>
  <c r="I168" i="4"/>
  <c r="G168" i="4"/>
  <c r="Q168" i="4"/>
  <c r="I169" i="4"/>
  <c r="G169" i="4"/>
  <c r="Q169" i="4"/>
  <c r="I170" i="4"/>
  <c r="G170" i="4"/>
  <c r="Q170" i="4"/>
  <c r="I171" i="4"/>
  <c r="G171" i="4"/>
  <c r="Q171" i="4"/>
  <c r="I172" i="4"/>
  <c r="G172" i="4"/>
  <c r="Q172" i="4"/>
  <c r="I173" i="4"/>
  <c r="G173" i="4"/>
  <c r="Q173" i="4"/>
  <c r="I174" i="4"/>
  <c r="G174" i="4"/>
  <c r="Q174" i="4"/>
  <c r="I175" i="4"/>
  <c r="G175" i="4"/>
  <c r="Q175" i="4"/>
  <c r="I176" i="4"/>
  <c r="G176" i="4"/>
  <c r="Q176" i="4"/>
  <c r="I177" i="4"/>
  <c r="G177" i="4"/>
  <c r="Q177" i="4"/>
  <c r="I178" i="4"/>
  <c r="G178" i="4"/>
  <c r="Q178" i="4"/>
  <c r="I179" i="4"/>
  <c r="G179" i="4"/>
  <c r="Q179" i="4"/>
  <c r="I180" i="4"/>
  <c r="G180" i="4"/>
  <c r="Q180" i="4"/>
  <c r="I181" i="4"/>
  <c r="G181" i="4"/>
  <c r="Q181" i="4"/>
  <c r="I182" i="4"/>
  <c r="G182" i="4"/>
  <c r="Q182" i="4"/>
  <c r="I183" i="4"/>
  <c r="G183" i="4"/>
  <c r="Q183" i="4"/>
  <c r="I184" i="4"/>
  <c r="G184" i="4"/>
  <c r="Q184" i="4"/>
  <c r="I185" i="4"/>
  <c r="G185" i="4"/>
  <c r="Q185" i="4"/>
  <c r="I186" i="4"/>
  <c r="G186" i="4"/>
  <c r="Q186" i="4"/>
  <c r="I187" i="4"/>
  <c r="G187" i="4"/>
  <c r="Q187" i="4"/>
  <c r="I188" i="4"/>
  <c r="G188" i="4"/>
  <c r="Q188" i="4"/>
  <c r="I189" i="4"/>
  <c r="G189" i="4"/>
  <c r="Q189" i="4"/>
  <c r="I190" i="4"/>
  <c r="G190" i="4"/>
  <c r="Q190" i="4"/>
  <c r="I191" i="4"/>
  <c r="G191" i="4"/>
  <c r="Q191" i="4"/>
  <c r="I192" i="4"/>
  <c r="G192" i="4"/>
  <c r="Q192" i="4"/>
  <c r="I193" i="4"/>
  <c r="G193" i="4"/>
  <c r="Q193" i="4"/>
  <c r="I194" i="4"/>
  <c r="G194" i="4"/>
  <c r="Q194" i="4"/>
  <c r="I195" i="4"/>
  <c r="G195" i="4"/>
  <c r="Q195" i="4"/>
  <c r="I196" i="4"/>
  <c r="G196" i="4"/>
  <c r="Q196" i="4"/>
  <c r="I197" i="4"/>
  <c r="G197" i="4"/>
  <c r="Q197" i="4"/>
  <c r="I198" i="4"/>
  <c r="G198" i="4"/>
  <c r="Q198" i="4"/>
  <c r="I199" i="4"/>
  <c r="G199" i="4"/>
  <c r="Q199" i="4"/>
  <c r="I200" i="4"/>
  <c r="G200" i="4"/>
  <c r="Q200" i="4"/>
  <c r="I201" i="4"/>
  <c r="G201" i="4"/>
  <c r="Q201" i="4"/>
  <c r="I202" i="4"/>
  <c r="G202" i="4"/>
  <c r="Q202" i="4"/>
  <c r="I203" i="4"/>
  <c r="G203" i="4"/>
  <c r="Q203" i="4"/>
  <c r="I204" i="4"/>
  <c r="G204" i="4"/>
  <c r="Q204" i="4"/>
  <c r="I205" i="4"/>
  <c r="G205" i="4"/>
  <c r="Q205" i="4"/>
  <c r="I206" i="4"/>
  <c r="G206" i="4"/>
  <c r="Q206" i="4"/>
  <c r="H207" i="4"/>
  <c r="I207" i="4"/>
  <c r="Q207" i="4"/>
  <c r="H208" i="4"/>
  <c r="I208" i="4"/>
  <c r="Q208" i="4"/>
  <c r="H209" i="4"/>
  <c r="I209" i="4"/>
  <c r="Q209" i="4"/>
  <c r="H210" i="4"/>
  <c r="I210" i="4"/>
  <c r="Q210" i="4"/>
  <c r="H211" i="4"/>
  <c r="I211" i="4"/>
  <c r="Q211" i="4"/>
  <c r="H212" i="4"/>
  <c r="I212" i="4"/>
  <c r="Q212" i="4"/>
  <c r="H213" i="4"/>
  <c r="I213" i="4"/>
  <c r="Q213" i="4"/>
  <c r="H214" i="4"/>
  <c r="I214" i="4"/>
  <c r="Q214" i="4"/>
  <c r="H215" i="4"/>
  <c r="I215" i="4"/>
  <c r="Q215" i="4"/>
  <c r="H216" i="4"/>
  <c r="I216" i="4"/>
  <c r="Q216" i="4"/>
  <c r="H217" i="4"/>
  <c r="I217" i="4"/>
  <c r="Q217" i="4"/>
  <c r="H218" i="4"/>
  <c r="I218" i="4"/>
  <c r="Q218" i="4"/>
  <c r="H219" i="4"/>
  <c r="I219" i="4"/>
  <c r="Q219" i="4"/>
  <c r="H220" i="4"/>
  <c r="I220" i="4"/>
  <c r="Q220" i="4"/>
  <c r="H221" i="4"/>
  <c r="I221" i="4"/>
  <c r="Q221" i="4"/>
  <c r="H222" i="4"/>
  <c r="I222" i="4"/>
  <c r="Q222" i="4"/>
  <c r="H223" i="4"/>
  <c r="I223" i="4"/>
  <c r="Q223" i="4"/>
  <c r="H224" i="4"/>
  <c r="I224" i="4"/>
  <c r="Q224" i="4"/>
  <c r="H225" i="4"/>
  <c r="I225" i="4"/>
  <c r="Q225" i="4"/>
  <c r="H226" i="4"/>
  <c r="I226" i="4"/>
  <c r="Q226" i="4"/>
  <c r="H227" i="4"/>
  <c r="I227" i="4"/>
  <c r="Q227" i="4"/>
  <c r="H228" i="4"/>
  <c r="I228" i="4"/>
  <c r="Q228" i="4"/>
  <c r="H229" i="4"/>
  <c r="I229" i="4"/>
  <c r="Q229" i="4"/>
  <c r="H230" i="4"/>
  <c r="I230" i="4"/>
  <c r="Q230" i="4"/>
  <c r="H231" i="4"/>
  <c r="I231" i="4"/>
  <c r="Q231" i="4"/>
  <c r="H232" i="4"/>
  <c r="I232" i="4"/>
  <c r="Q232" i="4"/>
  <c r="H233" i="4"/>
  <c r="I233" i="4"/>
  <c r="Q233" i="4"/>
  <c r="H234" i="4"/>
  <c r="I234" i="4"/>
  <c r="Q234" i="4"/>
  <c r="H235" i="4"/>
  <c r="I235" i="4"/>
  <c r="Q235" i="4"/>
  <c r="H236" i="4"/>
  <c r="I236" i="4"/>
  <c r="Q236" i="4"/>
  <c r="H237" i="4"/>
  <c r="I237" i="4"/>
  <c r="Q237" i="4"/>
  <c r="H238" i="4"/>
  <c r="I238" i="4"/>
  <c r="Q238" i="4"/>
  <c r="H239" i="4"/>
  <c r="I239" i="4"/>
  <c r="Q239" i="4"/>
  <c r="H240" i="4"/>
  <c r="I240" i="4"/>
  <c r="Q240" i="4"/>
  <c r="H241" i="4"/>
  <c r="I241" i="4"/>
  <c r="Q241" i="4"/>
  <c r="H242" i="4"/>
  <c r="I242" i="4"/>
  <c r="Q242" i="4"/>
  <c r="H243" i="4"/>
  <c r="I243" i="4"/>
  <c r="Q243" i="4"/>
  <c r="H244" i="4"/>
  <c r="I244" i="4"/>
  <c r="Q244" i="4"/>
  <c r="H245" i="4"/>
  <c r="I245" i="4"/>
  <c r="Q245" i="4"/>
  <c r="H246" i="4"/>
  <c r="I246" i="4"/>
  <c r="Q246" i="4"/>
  <c r="H247" i="4"/>
  <c r="I247" i="4"/>
  <c r="Q247" i="4"/>
  <c r="H248" i="4"/>
  <c r="I248" i="4"/>
  <c r="Q248" i="4"/>
  <c r="H249" i="4"/>
  <c r="I249" i="4"/>
  <c r="Q249" i="4"/>
  <c r="H250" i="4"/>
  <c r="I250" i="4"/>
  <c r="Q250" i="4"/>
  <c r="H251" i="4"/>
  <c r="I251" i="4"/>
  <c r="Q251" i="4"/>
  <c r="H252" i="4"/>
  <c r="I252" i="4"/>
  <c r="Q252" i="4"/>
  <c r="H253" i="4"/>
  <c r="I253" i="4"/>
  <c r="Q253" i="4"/>
  <c r="H254" i="4"/>
  <c r="I254" i="4"/>
  <c r="Q254" i="4"/>
  <c r="H255" i="4"/>
  <c r="I255" i="4"/>
  <c r="Q255" i="4"/>
  <c r="H256" i="4"/>
  <c r="I256" i="4"/>
  <c r="Q256" i="4"/>
  <c r="H257" i="4"/>
  <c r="I257" i="4"/>
  <c r="Q257" i="4"/>
  <c r="H258" i="4"/>
  <c r="I258" i="4"/>
  <c r="Q258" i="4"/>
  <c r="H259" i="4"/>
  <c r="I259" i="4"/>
  <c r="Q259" i="4"/>
  <c r="H260" i="4"/>
  <c r="I260" i="4"/>
  <c r="Q260" i="4"/>
  <c r="H261" i="4"/>
  <c r="I261" i="4"/>
  <c r="Q261" i="4"/>
  <c r="H262" i="4"/>
  <c r="I262" i="4"/>
  <c r="Q262" i="4"/>
  <c r="H263" i="4"/>
  <c r="I263" i="4"/>
  <c r="Q263" i="4"/>
  <c r="H264" i="4"/>
  <c r="I264" i="4"/>
  <c r="Q264" i="4"/>
  <c r="H265" i="4"/>
  <c r="I265" i="4"/>
  <c r="Q265" i="4"/>
  <c r="H266" i="4"/>
  <c r="I266" i="4"/>
  <c r="Q266" i="4"/>
  <c r="H267" i="4"/>
  <c r="I267" i="4"/>
  <c r="Q267" i="4"/>
  <c r="H268" i="4"/>
  <c r="I268" i="4"/>
  <c r="Q268" i="4"/>
  <c r="H269" i="4"/>
  <c r="I269" i="4"/>
  <c r="Q269" i="4"/>
  <c r="H270" i="4"/>
  <c r="I270" i="4"/>
  <c r="Q270" i="4"/>
  <c r="H271" i="4"/>
  <c r="I271" i="4"/>
  <c r="Q271" i="4"/>
  <c r="H272" i="4"/>
  <c r="I272" i="4"/>
  <c r="Q272" i="4"/>
  <c r="H273" i="4"/>
  <c r="I273" i="4"/>
  <c r="Q273" i="4"/>
  <c r="H274" i="4"/>
  <c r="I274" i="4"/>
  <c r="Q274" i="4"/>
  <c r="H275" i="4"/>
  <c r="I275" i="4"/>
  <c r="Q275" i="4"/>
  <c r="H276" i="4"/>
  <c r="I276" i="4"/>
  <c r="Q276" i="4"/>
  <c r="H277" i="4"/>
  <c r="I277" i="4"/>
  <c r="Q277" i="4"/>
  <c r="H278" i="4"/>
  <c r="I278" i="4"/>
  <c r="Q278" i="4"/>
  <c r="H279" i="4"/>
  <c r="I279" i="4"/>
  <c r="Q279" i="4"/>
  <c r="H280" i="4"/>
  <c r="I280" i="4"/>
  <c r="Q280" i="4"/>
  <c r="H281" i="4"/>
  <c r="I281" i="4"/>
  <c r="Q281" i="4"/>
  <c r="H282" i="4"/>
  <c r="I282" i="4"/>
  <c r="Q282" i="4"/>
  <c r="H283" i="4"/>
  <c r="I283" i="4"/>
  <c r="Q283" i="4"/>
  <c r="H284" i="4"/>
  <c r="I284" i="4"/>
  <c r="Q284" i="4"/>
  <c r="H285" i="4"/>
  <c r="I285" i="4"/>
  <c r="Q285" i="4"/>
  <c r="H286" i="4"/>
  <c r="I286" i="4"/>
  <c r="Q286" i="4"/>
  <c r="H287" i="4"/>
  <c r="I287" i="4"/>
  <c r="Q287" i="4"/>
  <c r="H288" i="4"/>
  <c r="I288" i="4"/>
  <c r="Q288" i="4"/>
  <c r="H289" i="4"/>
  <c r="I289" i="4"/>
  <c r="Q289" i="4"/>
  <c r="H290" i="4"/>
  <c r="I290" i="4"/>
  <c r="Q290" i="4"/>
  <c r="H291" i="4"/>
  <c r="I291" i="4"/>
  <c r="Q291" i="4"/>
  <c r="H292" i="4"/>
  <c r="I292" i="4"/>
  <c r="Q292" i="4"/>
  <c r="H293" i="4"/>
  <c r="I293" i="4"/>
  <c r="Q293" i="4"/>
  <c r="H294" i="4"/>
  <c r="I294" i="4"/>
  <c r="Q294" i="4"/>
  <c r="F295" i="4"/>
  <c r="G295" i="4"/>
  <c r="H295" i="4"/>
  <c r="I295" i="4"/>
  <c r="P295" i="4"/>
  <c r="Q295" i="4"/>
  <c r="F296" i="4"/>
  <c r="G296" i="4"/>
  <c r="H296" i="4"/>
  <c r="I296" i="4"/>
  <c r="P296" i="4"/>
  <c r="Q296" i="4"/>
  <c r="F297" i="4"/>
  <c r="G297" i="4"/>
  <c r="H297" i="4"/>
  <c r="I297" i="4"/>
  <c r="P297" i="4"/>
  <c r="Q297" i="4"/>
  <c r="F298" i="4"/>
  <c r="G298" i="4"/>
  <c r="H298" i="4"/>
  <c r="I298" i="4"/>
  <c r="P298" i="4"/>
  <c r="Q298" i="4"/>
  <c r="F299" i="4"/>
  <c r="G299" i="4"/>
  <c r="H299" i="4"/>
  <c r="I299" i="4"/>
  <c r="P299" i="4"/>
  <c r="Q299" i="4"/>
  <c r="F300" i="4"/>
  <c r="G300" i="4"/>
  <c r="H300" i="4"/>
  <c r="I300" i="4"/>
  <c r="P300" i="4"/>
  <c r="Q300" i="4"/>
  <c r="F301" i="4"/>
  <c r="G301" i="4"/>
  <c r="H301" i="4"/>
  <c r="I301" i="4"/>
  <c r="P301" i="4"/>
  <c r="Q301" i="4"/>
  <c r="F302" i="4"/>
  <c r="G302" i="4"/>
  <c r="H302" i="4"/>
  <c r="I302" i="4"/>
  <c r="P302" i="4"/>
  <c r="Q302" i="4"/>
  <c r="F303" i="4"/>
  <c r="G303" i="4"/>
  <c r="H303" i="4"/>
  <c r="I303" i="4"/>
  <c r="P303" i="4"/>
  <c r="Q303" i="4"/>
  <c r="F304" i="4"/>
  <c r="G304" i="4"/>
  <c r="H304" i="4"/>
  <c r="I304" i="4"/>
  <c r="P304" i="4"/>
  <c r="Q304" i="4"/>
  <c r="F305" i="4"/>
  <c r="G305" i="4"/>
  <c r="H305" i="4"/>
  <c r="I305" i="4"/>
  <c r="P305" i="4"/>
  <c r="Q305" i="4"/>
  <c r="F306" i="4"/>
  <c r="G306" i="4"/>
  <c r="H306" i="4"/>
  <c r="I306" i="4"/>
  <c r="P306" i="4"/>
  <c r="Q306" i="4"/>
  <c r="F307" i="4"/>
  <c r="G307" i="4"/>
  <c r="H307" i="4"/>
  <c r="I307" i="4"/>
  <c r="P307" i="4"/>
  <c r="Q307" i="4"/>
  <c r="F308" i="4"/>
  <c r="G308" i="4"/>
  <c r="H308" i="4"/>
  <c r="I308" i="4"/>
  <c r="P308" i="4"/>
  <c r="Q308" i="4"/>
  <c r="F309" i="4"/>
  <c r="G309" i="4"/>
  <c r="H309" i="4"/>
  <c r="I309" i="4"/>
  <c r="P309" i="4"/>
  <c r="Q309" i="4"/>
  <c r="F310" i="4"/>
  <c r="G310" i="4"/>
  <c r="H310" i="4"/>
  <c r="I310" i="4"/>
  <c r="P310" i="4"/>
  <c r="Q310" i="4"/>
  <c r="F311" i="4"/>
  <c r="G311" i="4"/>
  <c r="H311" i="4"/>
  <c r="I311" i="4"/>
  <c r="P311" i="4"/>
  <c r="Q311" i="4"/>
  <c r="F312" i="4"/>
  <c r="G312" i="4"/>
  <c r="H312" i="4"/>
  <c r="I312" i="4"/>
  <c r="P312" i="4"/>
  <c r="Q312" i="4"/>
  <c r="F313" i="4"/>
  <c r="G313" i="4"/>
  <c r="H313" i="4"/>
  <c r="I313" i="4"/>
  <c r="P313" i="4"/>
  <c r="Q313" i="4"/>
  <c r="F314" i="4"/>
  <c r="G314" i="4"/>
  <c r="H314" i="4"/>
  <c r="I314" i="4"/>
  <c r="P314" i="4"/>
  <c r="Q314" i="4"/>
  <c r="F315" i="4"/>
  <c r="G315" i="4"/>
  <c r="H315" i="4"/>
  <c r="I315" i="4"/>
  <c r="P315" i="4"/>
  <c r="Q315" i="4"/>
  <c r="F316" i="4"/>
  <c r="G316" i="4"/>
  <c r="H316" i="4"/>
  <c r="I316" i="4"/>
  <c r="P316" i="4"/>
  <c r="Q316" i="4"/>
  <c r="F317" i="4"/>
  <c r="G317" i="4"/>
  <c r="H317" i="4"/>
  <c r="I317" i="4"/>
  <c r="P317" i="4"/>
  <c r="Q317" i="4"/>
  <c r="F318" i="4"/>
  <c r="G318" i="4"/>
  <c r="H318" i="4"/>
  <c r="I318" i="4"/>
  <c r="P318" i="4"/>
  <c r="Q318" i="4"/>
  <c r="F319" i="4"/>
  <c r="G319" i="4"/>
  <c r="H319" i="4"/>
  <c r="I319" i="4"/>
  <c r="P319" i="4"/>
  <c r="Q319" i="4"/>
  <c r="F320" i="4"/>
  <c r="G320" i="4"/>
  <c r="H320" i="4"/>
  <c r="I320" i="4"/>
  <c r="P320" i="4"/>
  <c r="Q320" i="4"/>
  <c r="F321" i="4"/>
  <c r="G321" i="4"/>
  <c r="H321" i="4"/>
  <c r="I321" i="4"/>
  <c r="P321" i="4"/>
  <c r="Q321" i="4"/>
  <c r="F322" i="4"/>
  <c r="G322" i="4"/>
  <c r="H322" i="4"/>
  <c r="I322" i="4"/>
  <c r="P322" i="4"/>
  <c r="Q322" i="4"/>
  <c r="F323" i="4"/>
  <c r="G323" i="4"/>
  <c r="H323" i="4"/>
  <c r="I323" i="4"/>
  <c r="P323" i="4"/>
  <c r="Q323" i="4"/>
  <c r="F324" i="4"/>
  <c r="G324" i="4"/>
  <c r="H324" i="4"/>
  <c r="I324" i="4"/>
  <c r="P324" i="4"/>
  <c r="Q324" i="4"/>
  <c r="F325" i="4"/>
  <c r="G325" i="4"/>
  <c r="H325" i="4"/>
  <c r="I325" i="4"/>
  <c r="P325" i="4"/>
  <c r="Q325" i="4"/>
  <c r="F326" i="4"/>
  <c r="G326" i="4"/>
  <c r="H326" i="4"/>
  <c r="I326" i="4"/>
  <c r="P326" i="4"/>
  <c r="Q326" i="4"/>
  <c r="F327" i="4"/>
  <c r="G327" i="4"/>
  <c r="H327" i="4"/>
  <c r="I327" i="4"/>
  <c r="P327" i="4"/>
  <c r="Q327" i="4"/>
  <c r="F328" i="4"/>
  <c r="G328" i="4"/>
  <c r="H328" i="4"/>
  <c r="I328" i="4"/>
  <c r="P328" i="4"/>
  <c r="Q328" i="4"/>
  <c r="F329" i="4"/>
  <c r="G329" i="4"/>
  <c r="H329" i="4"/>
  <c r="I329" i="4"/>
  <c r="P329" i="4"/>
  <c r="Q329" i="4"/>
  <c r="F330" i="4"/>
  <c r="G330" i="4"/>
  <c r="H330" i="4"/>
  <c r="I330" i="4"/>
  <c r="P330" i="4"/>
  <c r="Q330" i="4"/>
  <c r="F331" i="4"/>
  <c r="G331" i="4"/>
  <c r="H331" i="4"/>
  <c r="I331" i="4"/>
  <c r="P331" i="4"/>
  <c r="Q331" i="4"/>
  <c r="F332" i="4"/>
  <c r="G332" i="4"/>
  <c r="H332" i="4"/>
  <c r="I332" i="4"/>
  <c r="P332" i="4"/>
  <c r="Q332" i="4"/>
  <c r="F333" i="4"/>
  <c r="G333" i="4"/>
  <c r="H333" i="4"/>
  <c r="I333" i="4"/>
  <c r="P333" i="4"/>
  <c r="Q333" i="4"/>
  <c r="F334" i="4"/>
  <c r="G334" i="4"/>
  <c r="H334" i="4"/>
  <c r="I334" i="4"/>
  <c r="P334" i="4"/>
  <c r="Q334" i="4"/>
  <c r="F335" i="4"/>
  <c r="G335" i="4"/>
  <c r="H335" i="4"/>
  <c r="I335" i="4"/>
  <c r="P335" i="4"/>
  <c r="Q335" i="4"/>
  <c r="F336" i="4"/>
  <c r="G336" i="4"/>
  <c r="H336" i="4"/>
  <c r="I336" i="4"/>
  <c r="P336" i="4"/>
  <c r="Q336" i="4"/>
  <c r="F337" i="4"/>
  <c r="G337" i="4"/>
  <c r="H337" i="4"/>
  <c r="I337" i="4"/>
  <c r="P337" i="4"/>
  <c r="Q337" i="4"/>
  <c r="F338" i="4"/>
  <c r="G338" i="4"/>
  <c r="H338" i="4"/>
  <c r="I338" i="4"/>
  <c r="P338" i="4"/>
  <c r="Q338" i="4"/>
  <c r="F339" i="4"/>
  <c r="G339" i="4"/>
  <c r="H339" i="4"/>
  <c r="I339" i="4"/>
  <c r="P339" i="4"/>
  <c r="Q339" i="4"/>
  <c r="F340" i="4"/>
  <c r="G340" i="4"/>
  <c r="H340" i="4"/>
  <c r="I340" i="4"/>
  <c r="P340" i="4"/>
  <c r="Q340" i="4"/>
  <c r="F341" i="4"/>
  <c r="G341" i="4"/>
  <c r="H341" i="4"/>
  <c r="I341" i="4"/>
  <c r="P341" i="4"/>
  <c r="Q341" i="4"/>
  <c r="F342" i="4"/>
  <c r="G342" i="4"/>
  <c r="H342" i="4"/>
  <c r="I342" i="4"/>
  <c r="P342" i="4"/>
  <c r="Q342" i="4"/>
  <c r="F343" i="4"/>
  <c r="G343" i="4"/>
  <c r="H343" i="4"/>
  <c r="I343" i="4"/>
  <c r="P343" i="4"/>
  <c r="Q343" i="4"/>
  <c r="F344" i="4"/>
  <c r="G344" i="4"/>
  <c r="H344" i="4"/>
  <c r="I344" i="4"/>
  <c r="P344" i="4"/>
  <c r="Q344" i="4"/>
  <c r="F345" i="4"/>
  <c r="G345" i="4"/>
  <c r="H345" i="4"/>
  <c r="I345" i="4"/>
  <c r="P345" i="4"/>
  <c r="Q345" i="4"/>
  <c r="F346" i="4"/>
  <c r="G346" i="4"/>
  <c r="H346" i="4"/>
  <c r="I346" i="4"/>
  <c r="P346" i="4"/>
  <c r="Q346" i="4"/>
  <c r="F347" i="4"/>
  <c r="G347" i="4"/>
  <c r="H347" i="4"/>
  <c r="I347" i="4"/>
  <c r="P347" i="4"/>
  <c r="Q347" i="4"/>
  <c r="F348" i="4"/>
  <c r="G348" i="4"/>
  <c r="H348" i="4"/>
  <c r="I348" i="4"/>
  <c r="P348" i="4"/>
  <c r="Q348" i="4"/>
  <c r="F349" i="4"/>
  <c r="G349" i="4"/>
  <c r="H349" i="4"/>
  <c r="I349" i="4"/>
  <c r="P349" i="4"/>
  <c r="Q349" i="4"/>
  <c r="F350" i="4"/>
  <c r="G350" i="4"/>
  <c r="H350" i="4"/>
  <c r="I350" i="4"/>
  <c r="P350" i="4"/>
  <c r="Q350" i="4"/>
  <c r="F351" i="4"/>
  <c r="G351" i="4"/>
  <c r="H351" i="4"/>
  <c r="I351" i="4"/>
  <c r="P351" i="4"/>
  <c r="Q351" i="4"/>
  <c r="F352" i="4"/>
  <c r="G352" i="4"/>
  <c r="H352" i="4"/>
  <c r="I352" i="4"/>
  <c r="P352" i="4"/>
  <c r="Q352" i="4"/>
  <c r="F353" i="4"/>
  <c r="G353" i="4"/>
  <c r="H353" i="4"/>
  <c r="I353" i="4"/>
  <c r="P353" i="4"/>
  <c r="Q353" i="4"/>
  <c r="F354" i="4"/>
  <c r="G354" i="4"/>
  <c r="H354" i="4"/>
  <c r="I354" i="4"/>
  <c r="P354" i="4"/>
  <c r="Q354" i="4"/>
  <c r="F355" i="4"/>
  <c r="G355" i="4"/>
  <c r="H355" i="4"/>
  <c r="I355" i="4"/>
  <c r="P355" i="4"/>
  <c r="Q355" i="4"/>
  <c r="F356" i="4"/>
  <c r="G356" i="4"/>
  <c r="H356" i="4"/>
  <c r="I356" i="4"/>
  <c r="P356" i="4"/>
  <c r="Q356" i="4"/>
  <c r="F357" i="4"/>
  <c r="G357" i="4"/>
  <c r="H357" i="4"/>
  <c r="I357" i="4"/>
  <c r="P357" i="4"/>
  <c r="Q357" i="4"/>
  <c r="F358" i="4"/>
  <c r="G358" i="4"/>
  <c r="H358" i="4"/>
  <c r="I358" i="4"/>
  <c r="P358" i="4"/>
  <c r="Q358" i="4"/>
  <c r="F359" i="4"/>
  <c r="G359" i="4"/>
  <c r="H359" i="4"/>
  <c r="I359" i="4"/>
  <c r="P359" i="4"/>
  <c r="Q359" i="4"/>
  <c r="G360" i="4"/>
  <c r="H360" i="4"/>
  <c r="I360" i="4"/>
  <c r="P360" i="4"/>
  <c r="Q360" i="4"/>
  <c r="G361" i="4"/>
  <c r="H361" i="4"/>
  <c r="I361" i="4"/>
  <c r="P361" i="4"/>
  <c r="Q361" i="4"/>
  <c r="G362" i="4"/>
  <c r="H362" i="4"/>
  <c r="I362" i="4"/>
  <c r="P362" i="4"/>
  <c r="Q362" i="4"/>
  <c r="G363" i="4"/>
  <c r="H363" i="4"/>
  <c r="I363" i="4"/>
  <c r="P363" i="4"/>
  <c r="Q363" i="4"/>
  <c r="G364" i="4"/>
  <c r="H364" i="4"/>
  <c r="I364" i="4"/>
  <c r="P364" i="4"/>
  <c r="Q364" i="4"/>
  <c r="G365" i="4"/>
  <c r="H365" i="4"/>
  <c r="I365" i="4"/>
  <c r="P365" i="4"/>
  <c r="Q365" i="4"/>
  <c r="G366" i="4"/>
  <c r="H366" i="4"/>
  <c r="I366" i="4"/>
  <c r="P366" i="4"/>
  <c r="Q366" i="4"/>
  <c r="G367" i="4"/>
  <c r="H367" i="4"/>
  <c r="I367" i="4"/>
  <c r="P367" i="4"/>
  <c r="Q367" i="4"/>
  <c r="G368" i="4"/>
  <c r="H368" i="4"/>
  <c r="I368" i="4"/>
  <c r="P368" i="4"/>
  <c r="Q368" i="4"/>
  <c r="G369" i="4"/>
  <c r="H369" i="4"/>
  <c r="I369" i="4"/>
  <c r="P369" i="4"/>
  <c r="Q369" i="4"/>
  <c r="H370" i="4"/>
  <c r="I370" i="4"/>
  <c r="P370" i="4"/>
  <c r="Q370" i="4"/>
  <c r="H371" i="4"/>
  <c r="I371" i="4"/>
  <c r="P371" i="4"/>
  <c r="Q371" i="4"/>
  <c r="H372" i="4"/>
  <c r="I372" i="4"/>
  <c r="P372" i="4"/>
  <c r="Q372" i="4"/>
  <c r="H373" i="4"/>
  <c r="I373" i="4"/>
  <c r="P373" i="4"/>
  <c r="Q373" i="4"/>
  <c r="H374" i="4"/>
  <c r="I374" i="4"/>
  <c r="P374" i="4"/>
  <c r="Q374" i="4"/>
  <c r="H375" i="4"/>
  <c r="I375" i="4"/>
  <c r="P375" i="4"/>
  <c r="Q375" i="4"/>
  <c r="H376" i="4"/>
  <c r="I376" i="4"/>
  <c r="P376" i="4"/>
  <c r="Q376" i="4"/>
  <c r="H377" i="4"/>
  <c r="I377" i="4"/>
  <c r="P377" i="4"/>
  <c r="Q377" i="4"/>
  <c r="H378" i="4"/>
  <c r="I378" i="4"/>
  <c r="P378" i="4"/>
  <c r="Q378" i="4"/>
  <c r="H379" i="4"/>
  <c r="I379" i="4"/>
  <c r="P379" i="4"/>
  <c r="Q379" i="4"/>
  <c r="H380" i="4"/>
  <c r="I380" i="4"/>
  <c r="P380" i="4"/>
  <c r="Q380" i="4"/>
  <c r="H381" i="4"/>
  <c r="I381" i="4"/>
  <c r="P381" i="4"/>
  <c r="Q381" i="4"/>
  <c r="H382" i="4"/>
  <c r="I382" i="4"/>
  <c r="P382" i="4"/>
  <c r="Q382" i="4"/>
  <c r="H383" i="4"/>
  <c r="I383" i="4"/>
  <c r="P383" i="4"/>
  <c r="Q383" i="4"/>
  <c r="H384" i="4"/>
  <c r="I384" i="4"/>
  <c r="P384" i="4"/>
  <c r="Q384" i="4"/>
  <c r="H385" i="4"/>
  <c r="I385" i="4"/>
  <c r="P385" i="4"/>
  <c r="Q385" i="4"/>
  <c r="H386" i="4"/>
  <c r="I386" i="4"/>
  <c r="P386" i="4"/>
  <c r="Q386" i="4"/>
  <c r="H387" i="4"/>
  <c r="I387" i="4"/>
  <c r="P387" i="4"/>
  <c r="Q387" i="4"/>
  <c r="H388" i="4"/>
  <c r="I388" i="4"/>
  <c r="P388" i="4"/>
  <c r="Q388" i="4"/>
  <c r="H389" i="4"/>
  <c r="I389" i="4"/>
  <c r="P389" i="4"/>
  <c r="Q389" i="4"/>
  <c r="H390" i="4"/>
  <c r="I390" i="4"/>
  <c r="P390" i="4"/>
  <c r="Q390" i="4"/>
  <c r="H391" i="4"/>
  <c r="I391" i="4"/>
  <c r="P391" i="4"/>
  <c r="Q391" i="4"/>
  <c r="H392" i="4"/>
  <c r="I392" i="4"/>
  <c r="P392" i="4"/>
  <c r="Q392" i="4"/>
  <c r="H393" i="4"/>
  <c r="I393" i="4"/>
  <c r="P393" i="4"/>
  <c r="Q393" i="4"/>
  <c r="H394" i="4"/>
  <c r="I394" i="4"/>
  <c r="P394" i="4"/>
  <c r="Q394" i="4"/>
  <c r="H395" i="4"/>
  <c r="I395" i="4"/>
  <c r="P395" i="4"/>
  <c r="Q395" i="4"/>
  <c r="H396" i="4"/>
  <c r="I396" i="4"/>
  <c r="P396" i="4"/>
  <c r="Q396" i="4"/>
  <c r="H397" i="4"/>
  <c r="I397" i="4"/>
  <c r="P397" i="4"/>
  <c r="Q397" i="4"/>
  <c r="H398" i="4"/>
  <c r="I398" i="4"/>
  <c r="P398" i="4"/>
  <c r="Q398" i="4"/>
  <c r="H399" i="4"/>
  <c r="I399" i="4"/>
  <c r="P399" i="4"/>
  <c r="Q399" i="4"/>
  <c r="H400" i="4"/>
  <c r="I400" i="4"/>
  <c r="P400" i="4"/>
  <c r="Q400" i="4"/>
  <c r="H401" i="4"/>
  <c r="I401" i="4"/>
  <c r="P401" i="4"/>
  <c r="Q401" i="4"/>
  <c r="H402" i="4"/>
  <c r="I402" i="4"/>
  <c r="P402" i="4"/>
  <c r="Q402" i="4"/>
  <c r="H403" i="4"/>
  <c r="I403" i="4"/>
  <c r="P403" i="4"/>
  <c r="Q403" i="4"/>
  <c r="H404" i="4"/>
  <c r="I404" i="4"/>
  <c r="P404" i="4"/>
  <c r="Q404" i="4"/>
  <c r="H405" i="4"/>
  <c r="I405" i="4"/>
  <c r="P405" i="4"/>
  <c r="Q405" i="4"/>
  <c r="H406" i="4"/>
  <c r="I406" i="4"/>
  <c r="P406" i="4"/>
  <c r="Q406" i="4"/>
  <c r="H407" i="4"/>
  <c r="I407" i="4"/>
  <c r="P407" i="4"/>
  <c r="Q407" i="4"/>
  <c r="H408" i="4"/>
  <c r="I408" i="4"/>
  <c r="P408" i="4"/>
  <c r="Q408" i="4"/>
  <c r="H409" i="4"/>
  <c r="I409" i="4"/>
  <c r="P409" i="4"/>
  <c r="Q409" i="4"/>
  <c r="H410" i="4"/>
  <c r="I410" i="4"/>
  <c r="P410" i="4"/>
  <c r="Q410" i="4"/>
  <c r="H411" i="4"/>
  <c r="I411" i="4"/>
  <c r="P411" i="4"/>
  <c r="Q411" i="4"/>
  <c r="H412" i="4"/>
  <c r="I412" i="4"/>
  <c r="P412" i="4"/>
  <c r="Q412" i="4"/>
  <c r="H413" i="4"/>
  <c r="I413" i="4"/>
  <c r="P413" i="4"/>
  <c r="Q413" i="4"/>
  <c r="H414" i="4"/>
  <c r="I414" i="4"/>
  <c r="P414" i="4"/>
  <c r="Q414" i="4"/>
  <c r="H415" i="4"/>
  <c r="I415" i="4"/>
  <c r="P415" i="4"/>
  <c r="Q415" i="4"/>
  <c r="H416" i="4"/>
  <c r="I416" i="4"/>
  <c r="P416" i="4"/>
  <c r="Q416" i="4"/>
  <c r="H417" i="4"/>
  <c r="I417" i="4"/>
  <c r="P417" i="4"/>
  <c r="Q417" i="4"/>
  <c r="H418" i="4"/>
  <c r="I418" i="4"/>
  <c r="P418" i="4"/>
  <c r="Q418" i="4"/>
  <c r="H419" i="4"/>
  <c r="I419" i="4"/>
  <c r="P419" i="4"/>
  <c r="Q419" i="4"/>
  <c r="H420" i="4"/>
  <c r="I420" i="4"/>
  <c r="P420" i="4"/>
  <c r="Q420" i="4"/>
  <c r="H421" i="4"/>
  <c r="I421" i="4"/>
  <c r="P421" i="4"/>
  <c r="Q421" i="4"/>
  <c r="H422" i="4"/>
  <c r="I422" i="4"/>
  <c r="P422" i="4"/>
  <c r="Q422" i="4"/>
  <c r="H423" i="4"/>
  <c r="I423" i="4"/>
  <c r="P423" i="4"/>
  <c r="Q423" i="4"/>
  <c r="H424" i="4"/>
  <c r="I424" i="4"/>
  <c r="P424" i="4"/>
  <c r="Q424" i="4"/>
  <c r="H425" i="4"/>
  <c r="I425" i="4"/>
  <c r="P425" i="4"/>
  <c r="Q425" i="4"/>
  <c r="H426" i="4"/>
  <c r="I426" i="4"/>
  <c r="P426" i="4"/>
  <c r="Q426" i="4"/>
  <c r="H427" i="4"/>
  <c r="I427" i="4"/>
  <c r="P427" i="4"/>
  <c r="Q427" i="4"/>
  <c r="H428" i="4"/>
  <c r="I428" i="4"/>
  <c r="P428" i="4"/>
  <c r="Q428" i="4"/>
  <c r="H429" i="4"/>
  <c r="I429" i="4"/>
  <c r="P429" i="4"/>
  <c r="Q429" i="4"/>
  <c r="H430" i="4"/>
  <c r="I430" i="4"/>
  <c r="P430" i="4"/>
  <c r="Q430" i="4"/>
  <c r="H431" i="4"/>
  <c r="I431" i="4"/>
  <c r="P431" i="4"/>
  <c r="Q431" i="4"/>
  <c r="H432" i="4"/>
  <c r="I432" i="4"/>
  <c r="P432" i="4"/>
  <c r="Q432" i="4"/>
  <c r="H433" i="4"/>
  <c r="I433" i="4"/>
  <c r="P433" i="4"/>
  <c r="Q433" i="4"/>
  <c r="H434" i="4"/>
  <c r="I434" i="4"/>
  <c r="P434" i="4"/>
  <c r="Q434" i="4"/>
  <c r="H435" i="4"/>
  <c r="I435" i="4"/>
  <c r="P435" i="4"/>
  <c r="Q435" i="4"/>
  <c r="H436" i="4"/>
  <c r="I436" i="4"/>
  <c r="P436" i="4"/>
  <c r="Q436" i="4"/>
  <c r="H437" i="4"/>
  <c r="I437" i="4"/>
  <c r="P437" i="4"/>
  <c r="Q437" i="4"/>
  <c r="H438" i="4"/>
  <c r="I438" i="4"/>
  <c r="P438" i="4"/>
  <c r="Q438" i="4"/>
  <c r="H439" i="4"/>
  <c r="I439" i="4"/>
  <c r="P439" i="4"/>
  <c r="Q439" i="4"/>
  <c r="H440" i="4"/>
  <c r="I440" i="4"/>
  <c r="P440" i="4"/>
  <c r="Q440" i="4"/>
  <c r="H441" i="4"/>
  <c r="I441" i="4"/>
  <c r="P441" i="4"/>
  <c r="Q441" i="4"/>
  <c r="H442" i="4"/>
  <c r="I442" i="4"/>
  <c r="P442" i="4"/>
  <c r="Q442" i="4"/>
  <c r="H443" i="4"/>
  <c r="I443" i="4"/>
  <c r="P443" i="4"/>
  <c r="Q443" i="4"/>
  <c r="H444" i="4"/>
  <c r="I444" i="4"/>
  <c r="P444" i="4"/>
  <c r="Q444" i="4"/>
  <c r="H445" i="4"/>
  <c r="I445" i="4"/>
  <c r="P445" i="4"/>
  <c r="Q445" i="4"/>
  <c r="H446" i="4"/>
  <c r="I446" i="4"/>
  <c r="P446" i="4"/>
  <c r="Q446" i="4"/>
  <c r="H447" i="4"/>
  <c r="I447" i="4"/>
  <c r="P447" i="4"/>
  <c r="Q447" i="4"/>
  <c r="H448" i="4"/>
  <c r="I448" i="4"/>
  <c r="P448" i="4"/>
  <c r="Q448" i="4"/>
  <c r="H449" i="4"/>
  <c r="I449" i="4"/>
  <c r="P449" i="4"/>
  <c r="Q449" i="4"/>
  <c r="H450" i="4"/>
  <c r="I450" i="4"/>
  <c r="P450" i="4"/>
  <c r="Q450" i="4"/>
  <c r="H451" i="4"/>
  <c r="I451" i="4"/>
  <c r="P451" i="4"/>
  <c r="Q451" i="4"/>
  <c r="H452" i="4"/>
  <c r="I452" i="4"/>
  <c r="P452" i="4"/>
  <c r="Q452" i="4"/>
  <c r="H453" i="4"/>
  <c r="I453" i="4"/>
  <c r="P453" i="4"/>
  <c r="Q453" i="4"/>
  <c r="H454" i="4"/>
  <c r="I454" i="4"/>
  <c r="P454" i="4"/>
  <c r="Q454" i="4"/>
  <c r="H455" i="4"/>
  <c r="I455" i="4"/>
  <c r="P455" i="4"/>
  <c r="Q455" i="4"/>
  <c r="H456" i="4"/>
  <c r="I456" i="4"/>
  <c r="P456" i="4"/>
  <c r="Q456" i="4"/>
  <c r="H457" i="4"/>
  <c r="I457" i="4"/>
  <c r="P457" i="4"/>
  <c r="Q457" i="4"/>
  <c r="H458" i="4"/>
  <c r="I458" i="4"/>
  <c r="P458" i="4"/>
  <c r="Q458" i="4"/>
  <c r="H459" i="4"/>
  <c r="I459" i="4"/>
  <c r="P459" i="4"/>
  <c r="Q459" i="4"/>
  <c r="H460" i="4"/>
  <c r="I460" i="4"/>
  <c r="P460" i="4"/>
  <c r="Q460" i="4"/>
  <c r="H461" i="4"/>
  <c r="I461" i="4"/>
  <c r="P461" i="4"/>
  <c r="Q461" i="4"/>
  <c r="H462" i="4"/>
  <c r="I462" i="4"/>
  <c r="P462" i="4"/>
  <c r="Q462" i="4"/>
  <c r="H463" i="4"/>
  <c r="I463" i="4"/>
  <c r="P463" i="4"/>
  <c r="Q463" i="4"/>
  <c r="H464" i="4"/>
  <c r="I464" i="4"/>
  <c r="P464" i="4"/>
  <c r="Q464" i="4"/>
  <c r="H465" i="4"/>
  <c r="I465" i="4"/>
  <c r="P465" i="4"/>
  <c r="Q465" i="4"/>
  <c r="H466" i="4"/>
  <c r="I466" i="4"/>
  <c r="P466" i="4"/>
  <c r="Q466" i="4"/>
  <c r="H467" i="4"/>
  <c r="I467" i="4"/>
  <c r="P467" i="4"/>
  <c r="Q467" i="4"/>
  <c r="H468" i="4"/>
  <c r="I468" i="4"/>
  <c r="P468" i="4"/>
  <c r="Q468" i="4"/>
  <c r="H469" i="4"/>
  <c r="I469" i="4"/>
  <c r="P469" i="4"/>
  <c r="Q469" i="4"/>
  <c r="H470" i="4"/>
  <c r="I470" i="4"/>
  <c r="P470" i="4"/>
  <c r="Q470" i="4"/>
  <c r="H471" i="4"/>
  <c r="I471" i="4"/>
  <c r="P471" i="4"/>
  <c r="Q471" i="4"/>
  <c r="H472" i="4"/>
  <c r="I472" i="4"/>
  <c r="P472" i="4"/>
  <c r="Q472" i="4"/>
  <c r="H473" i="4"/>
  <c r="I473" i="4"/>
  <c r="P473" i="4"/>
  <c r="Q473" i="4"/>
  <c r="H474" i="4"/>
  <c r="I474" i="4"/>
  <c r="P474" i="4"/>
  <c r="Q474" i="4"/>
  <c r="H475" i="4"/>
  <c r="I475" i="4"/>
  <c r="P475" i="4"/>
  <c r="Q475" i="4"/>
  <c r="H476" i="4"/>
  <c r="I476" i="4"/>
  <c r="P476" i="4"/>
  <c r="Q476" i="4"/>
  <c r="H477" i="4"/>
  <c r="I477" i="4"/>
  <c r="P477" i="4"/>
  <c r="Q477" i="4"/>
  <c r="H478" i="4"/>
  <c r="I478" i="4"/>
  <c r="P478" i="4"/>
  <c r="Q478" i="4"/>
  <c r="H479" i="4"/>
  <c r="I479" i="4"/>
  <c r="P479" i="4"/>
  <c r="Q479" i="4"/>
  <c r="H480" i="4"/>
  <c r="I480" i="4"/>
  <c r="P480" i="4"/>
  <c r="Q480" i="4"/>
  <c r="H481" i="4"/>
  <c r="I481" i="4"/>
  <c r="P481" i="4"/>
  <c r="Q481" i="4"/>
  <c r="H482" i="4"/>
  <c r="I482" i="4"/>
  <c r="P482" i="4"/>
  <c r="Q482" i="4"/>
  <c r="H483" i="4"/>
  <c r="I483" i="4"/>
  <c r="P483" i="4"/>
  <c r="Q483" i="4"/>
  <c r="H484" i="4"/>
  <c r="I484" i="4"/>
  <c r="P484" i="4"/>
  <c r="Q484" i="4"/>
  <c r="H485" i="4"/>
  <c r="I485" i="4"/>
  <c r="P485" i="4"/>
  <c r="Q485" i="4"/>
  <c r="H486" i="4"/>
  <c r="I486" i="4"/>
  <c r="P486" i="4"/>
  <c r="Q486" i="4"/>
  <c r="H487" i="4"/>
  <c r="I487" i="4"/>
  <c r="P487" i="4"/>
  <c r="Q487" i="4"/>
  <c r="H488" i="4"/>
  <c r="I488" i="4"/>
  <c r="P488" i="4"/>
  <c r="Q488" i="4"/>
  <c r="H489" i="4"/>
  <c r="I489" i="4"/>
  <c r="P489" i="4"/>
  <c r="Q489" i="4"/>
  <c r="H490" i="4"/>
  <c r="I490" i="4"/>
  <c r="P490" i="4"/>
  <c r="Q490" i="4"/>
  <c r="H491" i="4"/>
  <c r="I491" i="4"/>
  <c r="P491" i="4"/>
  <c r="Q491" i="4"/>
  <c r="H492" i="4"/>
  <c r="I492" i="4"/>
  <c r="P492" i="4"/>
  <c r="Q492" i="4"/>
  <c r="H493" i="4"/>
  <c r="I493" i="4"/>
  <c r="P493" i="4"/>
  <c r="Q493" i="4"/>
  <c r="H494" i="4"/>
  <c r="I494" i="4"/>
  <c r="P494" i="4"/>
  <c r="Q494" i="4"/>
  <c r="H495" i="4"/>
  <c r="I495" i="4"/>
  <c r="P495" i="4"/>
  <c r="Q495" i="4"/>
  <c r="H496" i="4"/>
  <c r="I496" i="4"/>
  <c r="P496" i="4"/>
  <c r="Q496" i="4"/>
  <c r="H497" i="4"/>
  <c r="I497" i="4"/>
  <c r="P497" i="4"/>
  <c r="Q497" i="4"/>
  <c r="H498" i="4"/>
  <c r="I498" i="4"/>
  <c r="P498" i="4"/>
  <c r="Q498" i="4"/>
  <c r="H499" i="4"/>
  <c r="I499" i="4"/>
  <c r="P499" i="4"/>
  <c r="Q499" i="4"/>
  <c r="H500" i="4"/>
  <c r="I500" i="4"/>
  <c r="P500" i="4"/>
  <c r="Q500" i="4"/>
  <c r="H501" i="4"/>
  <c r="I501" i="4"/>
  <c r="P501" i="4"/>
  <c r="Q501" i="4"/>
  <c r="H502" i="4"/>
  <c r="I502" i="4"/>
  <c r="P502" i="4"/>
  <c r="Q502" i="4"/>
  <c r="H503" i="4"/>
  <c r="I503" i="4"/>
  <c r="P503" i="4"/>
  <c r="Q503" i="4"/>
  <c r="H504" i="4"/>
  <c r="I504" i="4"/>
  <c r="P504" i="4"/>
  <c r="Q504" i="4"/>
  <c r="H505" i="4"/>
  <c r="I505" i="4"/>
  <c r="P505" i="4"/>
  <c r="Q505" i="4"/>
  <c r="H506" i="4"/>
  <c r="I506" i="4"/>
  <c r="P506" i="4"/>
  <c r="Q506" i="4"/>
  <c r="H507" i="4"/>
  <c r="I507" i="4"/>
  <c r="P507" i="4"/>
  <c r="Q507" i="4"/>
  <c r="H508" i="4"/>
  <c r="I508" i="4"/>
  <c r="P508" i="4"/>
  <c r="Q508" i="4"/>
  <c r="H509" i="4"/>
  <c r="I509" i="4"/>
  <c r="P509" i="4"/>
  <c r="Q509" i="4"/>
  <c r="H510" i="4"/>
  <c r="I510" i="4"/>
  <c r="P510" i="4"/>
  <c r="Q510" i="4"/>
  <c r="H511" i="4"/>
  <c r="I511" i="4"/>
  <c r="P511" i="4"/>
  <c r="Q511" i="4"/>
  <c r="H512" i="4"/>
  <c r="I512" i="4"/>
  <c r="P512" i="4"/>
  <c r="Q512" i="4"/>
  <c r="H513" i="4"/>
  <c r="I513" i="4"/>
  <c r="P513" i="4"/>
  <c r="Q513" i="4"/>
  <c r="H514" i="4"/>
  <c r="I514" i="4"/>
  <c r="P514" i="4"/>
  <c r="Q514" i="4"/>
  <c r="H515" i="4"/>
  <c r="I515" i="4"/>
  <c r="P515" i="4"/>
  <c r="Q515" i="4"/>
  <c r="H516" i="4"/>
  <c r="I516" i="4"/>
  <c r="P516" i="4"/>
  <c r="Q516" i="4"/>
  <c r="H517" i="4"/>
  <c r="I517" i="4"/>
  <c r="P517" i="4"/>
  <c r="Q517" i="4"/>
  <c r="H518" i="4"/>
  <c r="I518" i="4"/>
  <c r="P518" i="4"/>
  <c r="Q518" i="4"/>
  <c r="H519" i="4"/>
  <c r="I519" i="4"/>
  <c r="P519" i="4"/>
  <c r="Q519" i="4"/>
  <c r="H520" i="4"/>
  <c r="I520" i="4"/>
  <c r="P520" i="4"/>
  <c r="Q520" i="4"/>
  <c r="H521" i="4"/>
  <c r="I521" i="4"/>
  <c r="P521" i="4"/>
  <c r="Q521" i="4"/>
  <c r="H522" i="4"/>
  <c r="I522" i="4"/>
  <c r="P522" i="4"/>
  <c r="Q522" i="4"/>
  <c r="H523" i="4"/>
  <c r="I523" i="4"/>
  <c r="P523" i="4"/>
  <c r="Q523" i="4"/>
  <c r="H524" i="4"/>
  <c r="I524" i="4"/>
  <c r="P524" i="4"/>
  <c r="Q524" i="4"/>
  <c r="H525" i="4"/>
  <c r="I525" i="4"/>
  <c r="P525" i="4"/>
  <c r="Q525" i="4"/>
  <c r="H526" i="4"/>
  <c r="I526" i="4"/>
  <c r="P526" i="4"/>
  <c r="Q526" i="4"/>
  <c r="H527" i="4"/>
  <c r="I527" i="4"/>
  <c r="P527" i="4"/>
  <c r="Q527" i="4"/>
  <c r="H528" i="4"/>
  <c r="I528" i="4"/>
  <c r="P528" i="4"/>
  <c r="Q528" i="4"/>
  <c r="H529" i="4"/>
  <c r="I529" i="4"/>
  <c r="P529" i="4"/>
  <c r="Q529" i="4"/>
  <c r="H530" i="4"/>
  <c r="I530" i="4"/>
  <c r="P530" i="4"/>
  <c r="Q530" i="4"/>
  <c r="H531" i="4"/>
  <c r="I531" i="4"/>
  <c r="P531" i="4"/>
  <c r="Q531" i="4"/>
  <c r="H532" i="4"/>
  <c r="I532" i="4"/>
  <c r="P532" i="4"/>
  <c r="Q532" i="4"/>
  <c r="H533" i="4"/>
  <c r="I533" i="4"/>
  <c r="P533" i="4"/>
  <c r="Q533" i="4"/>
  <c r="H534" i="4"/>
  <c r="I534" i="4"/>
  <c r="P534" i="4"/>
  <c r="Q534" i="4"/>
  <c r="H535" i="4"/>
  <c r="I535" i="4"/>
  <c r="P535" i="4"/>
  <c r="Q535" i="4"/>
  <c r="H536" i="4"/>
  <c r="I536" i="4"/>
  <c r="P536" i="4"/>
  <c r="Q536" i="4"/>
  <c r="H537" i="4"/>
  <c r="I537" i="4"/>
  <c r="P537" i="4"/>
  <c r="Q537" i="4"/>
  <c r="H538" i="4"/>
  <c r="I538" i="4"/>
  <c r="P538" i="4"/>
  <c r="Q538" i="4"/>
  <c r="H539" i="4"/>
  <c r="I539" i="4"/>
  <c r="P539" i="4"/>
  <c r="Q539" i="4"/>
  <c r="H540" i="4"/>
  <c r="I540" i="4"/>
  <c r="P540" i="4"/>
  <c r="Q540" i="4"/>
  <c r="H541" i="4"/>
  <c r="I541" i="4"/>
  <c r="P541" i="4"/>
  <c r="Q541" i="4"/>
  <c r="H542" i="4"/>
  <c r="I542" i="4"/>
  <c r="P542" i="4"/>
  <c r="Q542" i="4"/>
  <c r="H543" i="4"/>
  <c r="I543" i="4"/>
  <c r="P543" i="4"/>
  <c r="Q543" i="4"/>
  <c r="H544" i="4"/>
  <c r="I544" i="4"/>
  <c r="P544" i="4"/>
  <c r="Q544" i="4"/>
  <c r="H545" i="4"/>
  <c r="I545" i="4"/>
  <c r="P545" i="4"/>
  <c r="Q545" i="4"/>
  <c r="H546" i="4"/>
  <c r="I546" i="4"/>
  <c r="P546" i="4"/>
  <c r="Q546" i="4"/>
  <c r="H547" i="4"/>
  <c r="I547" i="4"/>
  <c r="P547" i="4"/>
  <c r="Q547" i="4"/>
  <c r="H548" i="4"/>
  <c r="I548" i="4"/>
  <c r="P548" i="4"/>
  <c r="Q548" i="4"/>
  <c r="H549" i="4"/>
  <c r="I549" i="4"/>
  <c r="P549" i="4"/>
  <c r="Q549" i="4"/>
  <c r="H550" i="4"/>
  <c r="I550" i="4"/>
  <c r="P550" i="4"/>
  <c r="Q550" i="4"/>
  <c r="H551" i="4"/>
  <c r="I551" i="4"/>
  <c r="P551" i="4"/>
  <c r="Q551" i="4"/>
  <c r="H552" i="4"/>
  <c r="I552" i="4"/>
  <c r="P552" i="4"/>
  <c r="Q552" i="4"/>
  <c r="H553" i="4"/>
  <c r="I553" i="4"/>
  <c r="P553" i="4"/>
  <c r="Q553" i="4"/>
  <c r="H554" i="4"/>
  <c r="I554" i="4"/>
  <c r="P554" i="4"/>
  <c r="Q554" i="4"/>
  <c r="H555" i="4"/>
  <c r="I555" i="4"/>
  <c r="P555" i="4"/>
  <c r="Q555" i="4"/>
  <c r="H556" i="4"/>
  <c r="I556" i="4"/>
  <c r="P556" i="4"/>
  <c r="Q556" i="4"/>
  <c r="H557" i="4"/>
  <c r="I557" i="4"/>
  <c r="P557" i="4"/>
  <c r="Q557" i="4"/>
  <c r="H558" i="4"/>
  <c r="I558" i="4"/>
  <c r="P558" i="4"/>
  <c r="Q558" i="4"/>
  <c r="H559" i="4"/>
  <c r="I559" i="4"/>
  <c r="P559" i="4"/>
  <c r="Q559" i="4"/>
  <c r="H560" i="4"/>
  <c r="I560" i="4"/>
  <c r="P560" i="4"/>
  <c r="Q560" i="4"/>
  <c r="H561" i="4"/>
  <c r="I561" i="4"/>
  <c r="P561" i="4"/>
  <c r="Q561" i="4"/>
  <c r="H562" i="4"/>
  <c r="I562" i="4"/>
  <c r="P562" i="4"/>
  <c r="Q562" i="4"/>
  <c r="H563" i="4"/>
  <c r="I563" i="4"/>
  <c r="P563" i="4"/>
  <c r="Q563" i="4"/>
  <c r="H564" i="4"/>
  <c r="I564" i="4"/>
  <c r="P564" i="4"/>
  <c r="Q564" i="4"/>
  <c r="H565" i="4"/>
  <c r="I565" i="4"/>
  <c r="P565" i="4"/>
  <c r="Q565" i="4"/>
  <c r="H566" i="4"/>
  <c r="I566" i="4"/>
  <c r="P566" i="4"/>
  <c r="Q566" i="4"/>
  <c r="H567" i="4"/>
  <c r="I567" i="4"/>
  <c r="P567" i="4"/>
  <c r="Q567" i="4"/>
  <c r="H568" i="4"/>
  <c r="I568" i="4"/>
  <c r="P568" i="4"/>
  <c r="Q568" i="4"/>
  <c r="H569" i="4"/>
  <c r="I569" i="4"/>
  <c r="P569" i="4"/>
  <c r="Q569" i="4"/>
  <c r="H570" i="4"/>
  <c r="I570" i="4"/>
  <c r="P570" i="4"/>
  <c r="Q570" i="4"/>
  <c r="H571" i="4"/>
  <c r="I571" i="4"/>
  <c r="P571" i="4"/>
  <c r="Q571" i="4"/>
  <c r="H572" i="4"/>
  <c r="I572" i="4"/>
  <c r="P572" i="4"/>
  <c r="Q572" i="4"/>
  <c r="H573" i="4"/>
  <c r="I573" i="4"/>
  <c r="P573" i="4"/>
  <c r="Q573" i="4"/>
  <c r="H574" i="4"/>
  <c r="I574" i="4"/>
  <c r="P574" i="4"/>
  <c r="Q574" i="4"/>
  <c r="H575" i="4"/>
  <c r="I575" i="4"/>
  <c r="P575" i="4"/>
  <c r="Q575" i="4"/>
  <c r="H576" i="4"/>
  <c r="I576" i="4"/>
  <c r="P576" i="4"/>
  <c r="Q576" i="4"/>
  <c r="H577" i="4"/>
  <c r="I577" i="4"/>
  <c r="P577" i="4"/>
  <c r="Q577" i="4"/>
  <c r="H578" i="4"/>
  <c r="I578" i="4"/>
  <c r="P578" i="4"/>
  <c r="Q578" i="4"/>
  <c r="H579" i="4"/>
  <c r="I579" i="4"/>
  <c r="P579" i="4"/>
  <c r="Q579" i="4"/>
  <c r="H580" i="4"/>
  <c r="I580" i="4"/>
  <c r="P580" i="4"/>
  <c r="Q580" i="4"/>
  <c r="H581" i="4"/>
  <c r="I581" i="4"/>
  <c r="P581" i="4"/>
  <c r="Q581" i="4"/>
  <c r="H582" i="4"/>
  <c r="I582" i="4"/>
  <c r="P582" i="4"/>
  <c r="Q582" i="4"/>
  <c r="H583" i="4"/>
  <c r="I583" i="4"/>
  <c r="P583" i="4"/>
  <c r="Q583" i="4"/>
  <c r="H584" i="4"/>
  <c r="I584" i="4"/>
  <c r="P584" i="4"/>
  <c r="Q584" i="4"/>
  <c r="H585" i="4"/>
  <c r="I585" i="4"/>
  <c r="P585" i="4"/>
  <c r="Q585" i="4"/>
  <c r="H586" i="4"/>
  <c r="I586" i="4"/>
  <c r="P586" i="4"/>
  <c r="Q586" i="4"/>
  <c r="H587" i="4"/>
  <c r="I587" i="4"/>
  <c r="P587" i="4"/>
  <c r="Q587" i="4"/>
  <c r="H588" i="4"/>
  <c r="I588" i="4"/>
  <c r="P588" i="4"/>
  <c r="Q588" i="4"/>
  <c r="H589" i="4"/>
  <c r="I589" i="4"/>
  <c r="P589" i="4"/>
  <c r="Q589" i="4"/>
  <c r="H590" i="4"/>
  <c r="I590" i="4"/>
  <c r="P590" i="4"/>
  <c r="Q590" i="4"/>
  <c r="H591" i="4"/>
  <c r="I591" i="4"/>
  <c r="P591" i="4"/>
  <c r="Q591" i="4"/>
  <c r="H592" i="4"/>
  <c r="I592" i="4"/>
  <c r="P592" i="4"/>
  <c r="Q592" i="4"/>
  <c r="H593" i="4"/>
  <c r="I593" i="4"/>
  <c r="P593" i="4"/>
  <c r="Q593" i="4"/>
  <c r="H594" i="4"/>
  <c r="I594" i="4"/>
  <c r="P594" i="4"/>
  <c r="Q594" i="4"/>
  <c r="H595" i="4"/>
  <c r="I595" i="4"/>
  <c r="P595" i="4"/>
  <c r="Q595" i="4"/>
  <c r="H596" i="4"/>
  <c r="I596" i="4"/>
  <c r="P596" i="4"/>
  <c r="Q596" i="4"/>
  <c r="H597" i="4"/>
  <c r="I597" i="4"/>
  <c r="P597" i="4"/>
  <c r="Q597" i="4"/>
  <c r="H598" i="4"/>
  <c r="I598" i="4"/>
  <c r="P598" i="4"/>
  <c r="Q598" i="4"/>
  <c r="H599" i="4"/>
  <c r="I599" i="4"/>
  <c r="P599" i="4"/>
  <c r="Q599" i="4"/>
  <c r="H600" i="4"/>
  <c r="I600" i="4"/>
  <c r="P600" i="4"/>
  <c r="Q600" i="4"/>
  <c r="H601" i="4"/>
  <c r="I601" i="4"/>
  <c r="P601" i="4"/>
  <c r="Q601" i="4"/>
  <c r="H602" i="4"/>
  <c r="I602" i="4"/>
  <c r="P602" i="4"/>
  <c r="Q602" i="4"/>
  <c r="H603" i="4"/>
  <c r="I603" i="4"/>
  <c r="P603" i="4"/>
  <c r="Q603" i="4"/>
  <c r="H604" i="4"/>
  <c r="I604" i="4"/>
  <c r="P604" i="4"/>
  <c r="Q604" i="4"/>
  <c r="H605" i="4"/>
  <c r="I605" i="4"/>
  <c r="P605" i="4"/>
  <c r="Q605" i="4"/>
  <c r="H606" i="4"/>
  <c r="I606" i="4"/>
  <c r="P606" i="4"/>
  <c r="Q606" i="4"/>
  <c r="H607" i="4"/>
  <c r="I607" i="4"/>
  <c r="P607" i="4"/>
  <c r="Q607" i="4"/>
  <c r="H608" i="4"/>
  <c r="I608" i="4"/>
  <c r="P608" i="4"/>
  <c r="Q608" i="4"/>
  <c r="H609" i="4"/>
  <c r="I609" i="4"/>
  <c r="P609" i="4"/>
  <c r="Q609" i="4"/>
  <c r="H610" i="4"/>
  <c r="I610" i="4"/>
  <c r="P610" i="4"/>
  <c r="Q610" i="4"/>
  <c r="F611" i="4"/>
  <c r="G611" i="4"/>
  <c r="H611" i="4"/>
  <c r="I611" i="4"/>
  <c r="P611" i="4"/>
  <c r="Q611" i="4"/>
  <c r="F612" i="4"/>
  <c r="G612" i="4"/>
  <c r="H612" i="4"/>
  <c r="I612" i="4"/>
  <c r="P612" i="4"/>
  <c r="Q612" i="4"/>
  <c r="F613" i="4"/>
  <c r="G613" i="4"/>
  <c r="H613" i="4"/>
  <c r="I613" i="4"/>
  <c r="P613" i="4"/>
  <c r="Q613" i="4"/>
  <c r="F614" i="4"/>
  <c r="G614" i="4"/>
  <c r="H614" i="4"/>
  <c r="I614" i="4"/>
  <c r="P614" i="4"/>
  <c r="Q614" i="4"/>
  <c r="F615" i="4"/>
  <c r="G615" i="4"/>
  <c r="H615" i="4"/>
  <c r="I615" i="4"/>
  <c r="P615" i="4"/>
  <c r="Q615" i="4"/>
  <c r="F616" i="4"/>
  <c r="G616" i="4"/>
  <c r="H616" i="4"/>
  <c r="I616" i="4"/>
  <c r="P616" i="4"/>
  <c r="Q616" i="4"/>
  <c r="F617" i="4"/>
  <c r="G617" i="4"/>
  <c r="H617" i="4"/>
  <c r="I617" i="4"/>
  <c r="P617" i="4"/>
  <c r="Q617" i="4"/>
  <c r="F618" i="4"/>
  <c r="G618" i="4"/>
  <c r="H618" i="4"/>
  <c r="I618" i="4"/>
  <c r="P618" i="4"/>
  <c r="Q618" i="4"/>
  <c r="F619" i="4"/>
  <c r="G619" i="4"/>
  <c r="H619" i="4"/>
  <c r="I619" i="4"/>
  <c r="P619" i="4"/>
  <c r="Q619" i="4"/>
  <c r="F620" i="4"/>
  <c r="G620" i="4"/>
  <c r="H620" i="4"/>
  <c r="I620" i="4"/>
  <c r="P620" i="4"/>
  <c r="Q620" i="4"/>
  <c r="F621" i="4"/>
  <c r="G621" i="4"/>
  <c r="H621" i="4"/>
  <c r="I621" i="4"/>
  <c r="P621" i="4"/>
  <c r="Q621" i="4"/>
  <c r="F622" i="4"/>
  <c r="G622" i="4"/>
  <c r="H622" i="4"/>
  <c r="I622" i="4"/>
  <c r="P622" i="4"/>
  <c r="Q622" i="4"/>
  <c r="F623" i="4"/>
  <c r="G623" i="4"/>
  <c r="H623" i="4"/>
  <c r="I623" i="4"/>
  <c r="P623" i="4"/>
  <c r="Q623" i="4"/>
  <c r="F624" i="4"/>
  <c r="G624" i="4"/>
  <c r="H624" i="4"/>
  <c r="I624" i="4"/>
  <c r="P624" i="4"/>
  <c r="Q624" i="4"/>
  <c r="F625" i="4"/>
  <c r="G625" i="4"/>
  <c r="H625" i="4"/>
  <c r="I625" i="4"/>
  <c r="P625" i="4"/>
  <c r="Q625" i="4"/>
  <c r="F626" i="4"/>
  <c r="G626" i="4"/>
  <c r="H626" i="4"/>
  <c r="I626" i="4"/>
  <c r="P626" i="4"/>
  <c r="Q626" i="4"/>
  <c r="F627" i="4"/>
  <c r="G627" i="4"/>
  <c r="H627" i="4"/>
  <c r="I627" i="4"/>
  <c r="P627" i="4"/>
  <c r="Q627" i="4"/>
  <c r="F628" i="4"/>
  <c r="G628" i="4"/>
  <c r="H628" i="4"/>
  <c r="I628" i="4"/>
  <c r="P628" i="4"/>
  <c r="Q628" i="4"/>
  <c r="F629" i="4"/>
  <c r="G629" i="4"/>
  <c r="H629" i="4"/>
  <c r="I629" i="4"/>
  <c r="P629" i="4"/>
  <c r="Q629" i="4"/>
  <c r="F630" i="4"/>
  <c r="G630" i="4"/>
  <c r="H630" i="4"/>
  <c r="I630" i="4"/>
  <c r="P630" i="4"/>
  <c r="Q630" i="4"/>
  <c r="F631" i="4"/>
  <c r="G631" i="4"/>
  <c r="H631" i="4"/>
  <c r="I631" i="4"/>
  <c r="P631" i="4"/>
  <c r="Q631" i="4"/>
  <c r="F632" i="4"/>
  <c r="G632" i="4"/>
  <c r="H632" i="4"/>
  <c r="I632" i="4"/>
  <c r="P632" i="4"/>
  <c r="Q632" i="4"/>
  <c r="F633" i="4"/>
  <c r="G633" i="4"/>
  <c r="H633" i="4"/>
  <c r="I633" i="4"/>
  <c r="P633" i="4"/>
  <c r="Q633" i="4"/>
  <c r="F634" i="4"/>
  <c r="G634" i="4"/>
  <c r="H634" i="4"/>
  <c r="I634" i="4"/>
  <c r="P634" i="4"/>
  <c r="Q634" i="4"/>
  <c r="F635" i="4"/>
  <c r="G635" i="4"/>
  <c r="H635" i="4"/>
  <c r="I635" i="4"/>
  <c r="P635" i="4"/>
  <c r="Q635" i="4"/>
  <c r="F636" i="4"/>
  <c r="G636" i="4"/>
  <c r="H636" i="4"/>
  <c r="I636" i="4"/>
  <c r="P636" i="4"/>
  <c r="Q636" i="4"/>
  <c r="F637" i="4"/>
  <c r="G637" i="4"/>
  <c r="H637" i="4"/>
  <c r="I637" i="4"/>
  <c r="P637" i="4"/>
  <c r="Q637" i="4"/>
  <c r="F638" i="4"/>
  <c r="G638" i="4"/>
  <c r="H638" i="4"/>
  <c r="I638" i="4"/>
  <c r="P638" i="4"/>
  <c r="Q638" i="4"/>
  <c r="F639" i="4"/>
  <c r="G639" i="4"/>
  <c r="H639" i="4"/>
  <c r="I639" i="4"/>
  <c r="P639" i="4"/>
  <c r="Q639" i="4"/>
  <c r="F640" i="4"/>
  <c r="G640" i="4"/>
  <c r="H640" i="4"/>
  <c r="I640" i="4"/>
  <c r="P640" i="4"/>
  <c r="Q640" i="4"/>
  <c r="F641" i="4"/>
  <c r="G641" i="4"/>
  <c r="H641" i="4"/>
  <c r="I641" i="4"/>
  <c r="P641" i="4"/>
  <c r="Q641" i="4"/>
  <c r="F642" i="4"/>
  <c r="G642" i="4"/>
  <c r="H642" i="4"/>
  <c r="I642" i="4"/>
  <c r="P642" i="4"/>
  <c r="Q642" i="4"/>
  <c r="F643" i="4"/>
  <c r="G643" i="4"/>
  <c r="H643" i="4"/>
  <c r="I643" i="4"/>
  <c r="P643" i="4"/>
  <c r="Q643" i="4"/>
  <c r="F644" i="4"/>
  <c r="G644" i="4"/>
  <c r="H644" i="4"/>
  <c r="I644" i="4"/>
  <c r="P644" i="4"/>
  <c r="Q644" i="4"/>
  <c r="F645" i="4"/>
  <c r="G645" i="4"/>
  <c r="H645" i="4"/>
  <c r="I645" i="4"/>
  <c r="P645" i="4"/>
  <c r="Q645" i="4"/>
  <c r="F646" i="4"/>
  <c r="G646" i="4"/>
  <c r="H646" i="4"/>
  <c r="I646" i="4"/>
  <c r="P646" i="4"/>
  <c r="Q646" i="4"/>
  <c r="F647" i="4"/>
  <c r="G647" i="4"/>
  <c r="H647" i="4"/>
  <c r="I647" i="4"/>
  <c r="P647" i="4"/>
  <c r="Q647" i="4"/>
  <c r="F648" i="4"/>
  <c r="G648" i="4"/>
  <c r="H648" i="4"/>
  <c r="I648" i="4"/>
  <c r="P648" i="4"/>
  <c r="Q648" i="4"/>
  <c r="F649" i="4"/>
  <c r="G649" i="4"/>
  <c r="H649" i="4"/>
  <c r="I649" i="4"/>
  <c r="P649" i="4"/>
  <c r="Q649" i="4"/>
  <c r="F650" i="4"/>
  <c r="G650" i="4"/>
  <c r="H650" i="4"/>
  <c r="I650" i="4"/>
  <c r="P650" i="4"/>
  <c r="Q650" i="4"/>
  <c r="F651" i="4"/>
  <c r="G651" i="4"/>
  <c r="H651" i="4"/>
  <c r="I651" i="4"/>
  <c r="P651" i="4"/>
  <c r="Q651" i="4"/>
  <c r="F652" i="4"/>
  <c r="G652" i="4"/>
  <c r="H652" i="4"/>
  <c r="I652" i="4"/>
  <c r="P652" i="4"/>
  <c r="Q652" i="4"/>
  <c r="F653" i="4"/>
  <c r="G653" i="4"/>
  <c r="H653" i="4"/>
  <c r="I653" i="4"/>
  <c r="P653" i="4"/>
  <c r="Q653" i="4"/>
  <c r="F654" i="4"/>
  <c r="G654" i="4"/>
  <c r="H654" i="4"/>
  <c r="I654" i="4"/>
  <c r="P654" i="4"/>
  <c r="Q654" i="4"/>
  <c r="F655" i="4"/>
  <c r="G655" i="4"/>
  <c r="H655" i="4"/>
  <c r="I655" i="4"/>
  <c r="P655" i="4"/>
  <c r="Q655" i="4"/>
  <c r="F656" i="4"/>
  <c r="G656" i="4"/>
  <c r="H656" i="4"/>
  <c r="I656" i="4"/>
  <c r="P656" i="4"/>
  <c r="Q656" i="4"/>
  <c r="F657" i="4"/>
  <c r="G657" i="4"/>
  <c r="H657" i="4"/>
  <c r="I657" i="4"/>
  <c r="P657" i="4"/>
  <c r="Q657" i="4"/>
  <c r="F658" i="4"/>
  <c r="G658" i="4"/>
  <c r="H658" i="4"/>
  <c r="I658" i="4"/>
  <c r="P658" i="4"/>
  <c r="Q658" i="4"/>
  <c r="F659" i="4"/>
  <c r="G659" i="4"/>
  <c r="H659" i="4"/>
  <c r="I659" i="4"/>
  <c r="P659" i="4"/>
  <c r="Q659" i="4"/>
  <c r="F660" i="4"/>
  <c r="G660" i="4"/>
  <c r="H660" i="4"/>
  <c r="I660" i="4"/>
  <c r="P660" i="4"/>
  <c r="Q660" i="4"/>
  <c r="F661" i="4"/>
  <c r="G661" i="4"/>
  <c r="H661" i="4"/>
  <c r="I661" i="4"/>
  <c r="P661" i="4"/>
  <c r="Q661" i="4"/>
  <c r="F662" i="4"/>
  <c r="G662" i="4"/>
  <c r="H662" i="4"/>
  <c r="I662" i="4"/>
  <c r="P662" i="4"/>
  <c r="Q662" i="4"/>
  <c r="F663" i="4"/>
  <c r="G663" i="4"/>
  <c r="H663" i="4"/>
  <c r="I663" i="4"/>
  <c r="P663" i="4"/>
  <c r="Q663" i="4"/>
  <c r="F664" i="4"/>
  <c r="G664" i="4"/>
  <c r="F665" i="4"/>
  <c r="G665" i="4"/>
  <c r="F666" i="4"/>
  <c r="G666" i="4"/>
  <c r="F667" i="4"/>
  <c r="G667" i="4"/>
  <c r="F668" i="4"/>
  <c r="G668" i="4"/>
  <c r="F669" i="4"/>
  <c r="G669" i="4"/>
  <c r="F670" i="4"/>
  <c r="G670" i="4"/>
  <c r="F671" i="4"/>
  <c r="G671" i="4"/>
  <c r="F672" i="4"/>
  <c r="G672" i="4"/>
  <c r="F673" i="4"/>
  <c r="G673" i="4"/>
  <c r="F674" i="4"/>
  <c r="G674" i="4"/>
  <c r="F675" i="4"/>
  <c r="G675" i="4"/>
  <c r="F676" i="4"/>
  <c r="G676" i="4"/>
  <c r="F677" i="4"/>
  <c r="G677" i="4"/>
  <c r="F678" i="4"/>
  <c r="G678" i="4"/>
  <c r="F679" i="4"/>
  <c r="G679" i="4"/>
  <c r="F680" i="4"/>
  <c r="G680" i="4"/>
  <c r="F681" i="4"/>
  <c r="G681" i="4"/>
  <c r="F682" i="4"/>
  <c r="G682" i="4"/>
  <c r="F683" i="4"/>
  <c r="G683" i="4"/>
  <c r="F684" i="4"/>
  <c r="G684" i="4"/>
  <c r="F685" i="4"/>
  <c r="G685" i="4"/>
  <c r="F686" i="4"/>
  <c r="G686" i="4"/>
  <c r="F687" i="4"/>
  <c r="G687" i="4"/>
  <c r="F688" i="4"/>
  <c r="G688" i="4"/>
  <c r="F689" i="4"/>
  <c r="G689" i="4"/>
  <c r="F690" i="4"/>
  <c r="G690" i="4"/>
  <c r="F691" i="4"/>
  <c r="G691" i="4"/>
  <c r="F692" i="4"/>
  <c r="G692" i="4"/>
  <c r="F693" i="4"/>
  <c r="G693" i="4"/>
  <c r="F694" i="4"/>
  <c r="G694" i="4"/>
  <c r="F695" i="4"/>
  <c r="G695" i="4"/>
  <c r="F696" i="4"/>
  <c r="G696" i="4"/>
  <c r="F697" i="4"/>
  <c r="G697" i="4"/>
  <c r="F698" i="4"/>
  <c r="G698" i="4"/>
  <c r="F699" i="4"/>
  <c r="G699" i="4"/>
  <c r="F700" i="4"/>
  <c r="G700" i="4"/>
  <c r="F701" i="4"/>
  <c r="G701" i="4"/>
  <c r="F702" i="4"/>
  <c r="G702" i="4"/>
  <c r="F703" i="4"/>
  <c r="G703" i="4"/>
  <c r="F704" i="4"/>
  <c r="G704" i="4"/>
  <c r="BP12" i="5"/>
  <c r="O10" i="4"/>
  <c r="BP13" i="5"/>
  <c r="O11" i="4"/>
  <c r="BP14" i="5"/>
  <c r="O12" i="4"/>
  <c r="BP15" i="5"/>
  <c r="O13" i="4"/>
  <c r="M14" i="4"/>
  <c r="O14" i="4"/>
  <c r="M15" i="4"/>
  <c r="O15" i="4"/>
  <c r="M16" i="4"/>
  <c r="O16" i="4"/>
  <c r="M17" i="4"/>
  <c r="O17" i="4"/>
  <c r="M18" i="4"/>
  <c r="O18" i="4"/>
  <c r="M19" i="4"/>
  <c r="O19" i="4"/>
  <c r="M20" i="4"/>
  <c r="O20" i="4"/>
  <c r="M21" i="4"/>
  <c r="O21" i="4"/>
  <c r="M22" i="4"/>
  <c r="O22" i="4"/>
  <c r="M23" i="4"/>
  <c r="O23" i="4"/>
  <c r="M24" i="4"/>
  <c r="O24" i="4"/>
  <c r="M25" i="4"/>
  <c r="O25" i="4"/>
  <c r="M26" i="4"/>
  <c r="O26" i="4"/>
  <c r="M27" i="4"/>
  <c r="O27" i="4"/>
  <c r="M28" i="4"/>
  <c r="O28" i="4"/>
  <c r="M29" i="4"/>
  <c r="O29" i="4"/>
  <c r="M30" i="4"/>
  <c r="O30" i="4"/>
  <c r="M31" i="4"/>
  <c r="O31" i="4"/>
  <c r="M32" i="4"/>
  <c r="O32" i="4"/>
  <c r="M33" i="4"/>
  <c r="O33" i="4"/>
  <c r="M34" i="4"/>
  <c r="O34" i="4"/>
  <c r="M35" i="4"/>
  <c r="O35" i="4"/>
  <c r="M36" i="4"/>
  <c r="O36" i="4"/>
  <c r="M37" i="4"/>
  <c r="O37" i="4"/>
  <c r="M38" i="4"/>
  <c r="O38" i="4"/>
  <c r="M39" i="4"/>
  <c r="O39" i="4"/>
  <c r="M40" i="4"/>
  <c r="O40" i="4"/>
  <c r="M41" i="4"/>
  <c r="O41" i="4"/>
  <c r="M42" i="4"/>
  <c r="O42" i="4"/>
  <c r="M43" i="4"/>
  <c r="O43" i="4"/>
  <c r="M44" i="4"/>
  <c r="O44" i="4"/>
  <c r="M45" i="4"/>
  <c r="O45" i="4"/>
  <c r="M46" i="4"/>
  <c r="O46" i="4"/>
  <c r="M47" i="4"/>
  <c r="O47" i="4"/>
  <c r="M48" i="4"/>
  <c r="O48" i="4"/>
  <c r="M49" i="4"/>
  <c r="O49" i="4"/>
  <c r="M50" i="4"/>
  <c r="O50" i="4"/>
  <c r="M51" i="4"/>
  <c r="N51" i="4"/>
  <c r="O51" i="4"/>
  <c r="M52" i="4"/>
  <c r="N52" i="4"/>
  <c r="O52" i="4"/>
  <c r="M53" i="4"/>
  <c r="N53" i="4"/>
  <c r="O53" i="4"/>
  <c r="M54" i="4"/>
  <c r="N54" i="4"/>
  <c r="O54" i="4"/>
  <c r="M55" i="4"/>
  <c r="N55" i="4"/>
  <c r="O55" i="4"/>
  <c r="M56" i="4"/>
  <c r="N56" i="4"/>
  <c r="O56" i="4"/>
  <c r="M57" i="4"/>
  <c r="N57" i="4"/>
  <c r="O57" i="4"/>
  <c r="M58" i="4"/>
  <c r="N58" i="4"/>
  <c r="O58" i="4"/>
  <c r="M59" i="4"/>
  <c r="N59" i="4"/>
  <c r="O59" i="4"/>
  <c r="M60" i="4"/>
  <c r="N60" i="4"/>
  <c r="O60" i="4"/>
  <c r="M61" i="4"/>
  <c r="N61" i="4"/>
  <c r="O61" i="4"/>
  <c r="M62" i="4"/>
  <c r="N62" i="4"/>
  <c r="O62" i="4"/>
  <c r="M63" i="4"/>
  <c r="N63" i="4"/>
  <c r="O63" i="4"/>
  <c r="M64" i="4"/>
  <c r="N64" i="4"/>
  <c r="O64" i="4"/>
  <c r="M65" i="4"/>
  <c r="N65" i="4"/>
  <c r="O65" i="4"/>
  <c r="M66" i="4"/>
  <c r="N66" i="4"/>
  <c r="O66" i="4"/>
  <c r="M67" i="4"/>
  <c r="N67" i="4"/>
  <c r="O67" i="4"/>
  <c r="M68" i="4"/>
  <c r="N68" i="4"/>
  <c r="O68" i="4"/>
  <c r="M69" i="4"/>
  <c r="N69" i="4"/>
  <c r="O69" i="4"/>
  <c r="M70" i="4"/>
  <c r="N70" i="4"/>
  <c r="O70" i="4"/>
  <c r="M71" i="4"/>
  <c r="N71" i="4"/>
  <c r="O71" i="4"/>
  <c r="M72" i="4"/>
  <c r="N72" i="4"/>
  <c r="O72" i="4"/>
  <c r="M73" i="4"/>
  <c r="N73" i="4"/>
  <c r="O73" i="4"/>
  <c r="M74" i="4"/>
  <c r="N74" i="4"/>
  <c r="O74" i="4"/>
  <c r="M75" i="4"/>
  <c r="N75" i="4"/>
  <c r="O75" i="4"/>
  <c r="M76" i="4"/>
  <c r="N76" i="4"/>
  <c r="O76" i="4"/>
  <c r="M77" i="4"/>
  <c r="N77" i="4"/>
  <c r="O77" i="4"/>
  <c r="M78" i="4"/>
  <c r="N78" i="4"/>
  <c r="O78" i="4"/>
  <c r="M79" i="4"/>
  <c r="N79" i="4"/>
  <c r="O79" i="4"/>
  <c r="M80" i="4"/>
  <c r="N80" i="4"/>
  <c r="O80" i="4"/>
  <c r="M81" i="4"/>
  <c r="N81" i="4"/>
  <c r="O81" i="4"/>
  <c r="M82" i="4"/>
  <c r="N82" i="4"/>
  <c r="O82" i="4"/>
  <c r="M83" i="4"/>
  <c r="N83" i="4"/>
  <c r="O83" i="4"/>
  <c r="M84" i="4"/>
  <c r="N84" i="4"/>
  <c r="O84" i="4"/>
  <c r="M85" i="4"/>
  <c r="N85" i="4"/>
  <c r="O85" i="4"/>
  <c r="M86" i="4"/>
  <c r="N86" i="4"/>
  <c r="O86" i="4"/>
  <c r="M87" i="4"/>
  <c r="N87" i="4"/>
  <c r="O87" i="4"/>
  <c r="M88" i="4"/>
  <c r="N88" i="4"/>
  <c r="O88" i="4"/>
  <c r="M89" i="4"/>
  <c r="N89" i="4"/>
  <c r="O89" i="4"/>
  <c r="M90" i="4"/>
  <c r="N90" i="4"/>
  <c r="O90" i="4"/>
  <c r="M91" i="4"/>
  <c r="N91" i="4"/>
  <c r="O91" i="4"/>
  <c r="M92" i="4"/>
  <c r="N92" i="4"/>
  <c r="O92" i="4"/>
  <c r="M93" i="4"/>
  <c r="N93" i="4"/>
  <c r="O93" i="4"/>
  <c r="M94" i="4"/>
  <c r="N94" i="4"/>
  <c r="O94" i="4"/>
  <c r="M95" i="4"/>
  <c r="N95" i="4"/>
  <c r="O95" i="4"/>
  <c r="M96" i="4"/>
  <c r="N96" i="4"/>
  <c r="O96" i="4"/>
  <c r="M97" i="4"/>
  <c r="N97" i="4"/>
  <c r="O97" i="4"/>
  <c r="M98" i="4"/>
  <c r="N98" i="4"/>
  <c r="O98" i="4"/>
  <c r="M99" i="4"/>
  <c r="N99" i="4"/>
  <c r="O99" i="4"/>
  <c r="M100" i="4"/>
  <c r="N100" i="4"/>
  <c r="O100" i="4"/>
  <c r="M101" i="4"/>
  <c r="N101" i="4"/>
  <c r="O101" i="4"/>
  <c r="M102" i="4"/>
  <c r="N102" i="4"/>
  <c r="O102" i="4"/>
  <c r="M103" i="4"/>
  <c r="N103" i="4"/>
  <c r="O103" i="4"/>
  <c r="M104" i="4"/>
  <c r="N104" i="4"/>
  <c r="O104" i="4"/>
  <c r="M105" i="4"/>
  <c r="N105" i="4"/>
  <c r="O105" i="4"/>
  <c r="M106" i="4"/>
  <c r="N106" i="4"/>
  <c r="O106" i="4"/>
  <c r="M107" i="4"/>
  <c r="N107" i="4"/>
  <c r="O107" i="4"/>
  <c r="M108" i="4"/>
  <c r="N108" i="4"/>
  <c r="O108" i="4"/>
  <c r="M109" i="4"/>
  <c r="N109" i="4"/>
  <c r="O109" i="4"/>
  <c r="M110" i="4"/>
  <c r="N110" i="4"/>
  <c r="O110" i="4"/>
  <c r="M111" i="4"/>
  <c r="N111" i="4"/>
  <c r="O111" i="4"/>
  <c r="M112" i="4"/>
  <c r="N112" i="4"/>
  <c r="O112" i="4"/>
  <c r="M113" i="4"/>
  <c r="N113" i="4"/>
  <c r="O113" i="4"/>
  <c r="M114" i="4"/>
  <c r="N114" i="4"/>
  <c r="O114" i="4"/>
  <c r="M115" i="4"/>
  <c r="N115" i="4"/>
  <c r="O115" i="4"/>
  <c r="M116" i="4"/>
  <c r="N116" i="4"/>
  <c r="O116" i="4"/>
  <c r="M117" i="4"/>
  <c r="N117" i="4"/>
  <c r="O117" i="4"/>
  <c r="M118" i="4"/>
  <c r="N118" i="4"/>
  <c r="O118" i="4"/>
  <c r="M119" i="4"/>
  <c r="N119" i="4"/>
  <c r="O119" i="4"/>
  <c r="M120" i="4"/>
  <c r="N120" i="4"/>
  <c r="O120" i="4"/>
  <c r="M121" i="4"/>
  <c r="N121" i="4"/>
  <c r="O121" i="4"/>
  <c r="M122" i="4"/>
  <c r="N122" i="4"/>
  <c r="O122" i="4"/>
  <c r="M123" i="4"/>
  <c r="N123" i="4"/>
  <c r="O123" i="4"/>
  <c r="M124" i="4"/>
  <c r="N124" i="4"/>
  <c r="O124" i="4"/>
  <c r="M125" i="4"/>
  <c r="N125" i="4"/>
  <c r="O125" i="4"/>
  <c r="M126" i="4"/>
  <c r="N126" i="4"/>
  <c r="O126" i="4"/>
  <c r="M127" i="4"/>
  <c r="N127" i="4"/>
  <c r="O127" i="4"/>
  <c r="M128" i="4"/>
  <c r="N128" i="4"/>
  <c r="O128" i="4"/>
  <c r="M129" i="4"/>
  <c r="N129" i="4"/>
  <c r="O129" i="4"/>
  <c r="M130" i="4"/>
  <c r="N130" i="4"/>
  <c r="O130" i="4"/>
  <c r="M131" i="4"/>
  <c r="N131" i="4"/>
  <c r="O131" i="4"/>
  <c r="M132" i="4"/>
  <c r="N132" i="4"/>
  <c r="O132" i="4"/>
  <c r="M133" i="4"/>
  <c r="N133" i="4"/>
  <c r="O133" i="4"/>
  <c r="M134" i="4"/>
  <c r="N134" i="4"/>
  <c r="O134" i="4"/>
  <c r="M135" i="4"/>
  <c r="N135" i="4"/>
  <c r="O135" i="4"/>
  <c r="M136" i="4"/>
  <c r="N136" i="4"/>
  <c r="O136" i="4"/>
  <c r="M137" i="4"/>
  <c r="N137" i="4"/>
  <c r="O137" i="4"/>
  <c r="M138" i="4"/>
  <c r="N138" i="4"/>
  <c r="O138" i="4"/>
  <c r="M139" i="4"/>
  <c r="N139" i="4"/>
  <c r="O139" i="4"/>
  <c r="M140" i="4"/>
  <c r="N140" i="4"/>
  <c r="O140" i="4"/>
  <c r="M141" i="4"/>
  <c r="N141" i="4"/>
  <c r="O141" i="4"/>
  <c r="M142" i="4"/>
  <c r="N142" i="4"/>
  <c r="O142" i="4"/>
  <c r="M143" i="4"/>
  <c r="N143" i="4"/>
  <c r="O143" i="4"/>
  <c r="M144" i="4"/>
  <c r="N144" i="4"/>
  <c r="O144" i="4"/>
  <c r="M145" i="4"/>
  <c r="N145" i="4"/>
  <c r="O145" i="4"/>
  <c r="M146" i="4"/>
  <c r="N146" i="4"/>
  <c r="O146" i="4"/>
  <c r="M147" i="4"/>
  <c r="N147" i="4"/>
  <c r="O147" i="4"/>
  <c r="M148" i="4"/>
  <c r="N148" i="4"/>
  <c r="O148" i="4"/>
  <c r="M149" i="4"/>
  <c r="N149" i="4"/>
  <c r="O149" i="4"/>
  <c r="M150" i="4"/>
  <c r="N150" i="4"/>
  <c r="O150" i="4"/>
  <c r="M151" i="4"/>
  <c r="N151" i="4"/>
  <c r="O151" i="4"/>
  <c r="M152" i="4"/>
  <c r="N152" i="4"/>
  <c r="O152" i="4"/>
  <c r="M153" i="4"/>
  <c r="N153" i="4"/>
  <c r="O153" i="4"/>
  <c r="M154" i="4"/>
  <c r="N154" i="4"/>
  <c r="O154" i="4"/>
  <c r="M155" i="4"/>
  <c r="N155" i="4"/>
  <c r="O155" i="4"/>
  <c r="M156" i="4"/>
  <c r="N156" i="4"/>
  <c r="O156" i="4"/>
  <c r="M157" i="4"/>
  <c r="N157" i="4"/>
  <c r="O157" i="4"/>
  <c r="M158" i="4"/>
  <c r="N158" i="4"/>
  <c r="O158" i="4"/>
  <c r="M159" i="4"/>
  <c r="N159" i="4"/>
  <c r="O159" i="4"/>
  <c r="M160" i="4"/>
  <c r="N160" i="4"/>
  <c r="O160" i="4"/>
  <c r="M161" i="4"/>
  <c r="N161" i="4"/>
  <c r="O161" i="4"/>
  <c r="M162" i="4"/>
  <c r="N162" i="4"/>
  <c r="O162" i="4"/>
  <c r="M163" i="4"/>
  <c r="N163" i="4"/>
  <c r="O163" i="4"/>
  <c r="M164" i="4"/>
  <c r="N164" i="4"/>
  <c r="O164" i="4"/>
  <c r="M165" i="4"/>
  <c r="N165" i="4"/>
  <c r="O165" i="4"/>
  <c r="M166" i="4"/>
  <c r="N166" i="4"/>
  <c r="O166" i="4"/>
  <c r="M167" i="4"/>
  <c r="N167" i="4"/>
  <c r="O167" i="4"/>
  <c r="M168" i="4"/>
  <c r="N168" i="4"/>
  <c r="O168" i="4"/>
  <c r="M169" i="4"/>
  <c r="N169" i="4"/>
  <c r="O169" i="4"/>
  <c r="M170" i="4"/>
  <c r="N170" i="4"/>
  <c r="O170" i="4"/>
  <c r="M171" i="4"/>
  <c r="N171" i="4"/>
  <c r="O171" i="4"/>
  <c r="M172" i="4"/>
  <c r="N172" i="4"/>
  <c r="O172" i="4"/>
  <c r="M173" i="4"/>
  <c r="N173" i="4"/>
  <c r="O173" i="4"/>
  <c r="M174" i="4"/>
  <c r="N174" i="4"/>
  <c r="O174" i="4"/>
  <c r="M175" i="4"/>
  <c r="N175" i="4"/>
  <c r="O175" i="4"/>
  <c r="M176" i="4"/>
  <c r="N176" i="4"/>
  <c r="O176" i="4"/>
  <c r="M177" i="4"/>
  <c r="N177" i="4"/>
  <c r="O177" i="4"/>
  <c r="M178" i="4"/>
  <c r="N178" i="4"/>
  <c r="O178" i="4"/>
  <c r="M179" i="4"/>
  <c r="N179" i="4"/>
  <c r="O179" i="4"/>
  <c r="M180" i="4"/>
  <c r="N180" i="4"/>
  <c r="O180" i="4"/>
  <c r="M181" i="4"/>
  <c r="N181" i="4"/>
  <c r="O181" i="4"/>
  <c r="M182" i="4"/>
  <c r="N182" i="4"/>
  <c r="O182" i="4"/>
  <c r="M183" i="4"/>
  <c r="N183" i="4"/>
  <c r="O183" i="4"/>
  <c r="M184" i="4"/>
  <c r="N184" i="4"/>
  <c r="O184" i="4"/>
  <c r="M185" i="4"/>
  <c r="N185" i="4"/>
  <c r="O185" i="4"/>
  <c r="M186" i="4"/>
  <c r="N186" i="4"/>
  <c r="O186" i="4"/>
  <c r="M187" i="4"/>
  <c r="N187" i="4"/>
  <c r="O187" i="4"/>
  <c r="M188" i="4"/>
  <c r="N188" i="4"/>
  <c r="O188" i="4"/>
  <c r="M189" i="4"/>
  <c r="N189" i="4"/>
  <c r="O189" i="4"/>
  <c r="M190" i="4"/>
  <c r="N190" i="4"/>
  <c r="O190" i="4"/>
  <c r="M191" i="4"/>
  <c r="N191" i="4"/>
  <c r="O191" i="4"/>
  <c r="M192" i="4"/>
  <c r="N192" i="4"/>
  <c r="O192" i="4"/>
  <c r="M193" i="4"/>
  <c r="N193" i="4"/>
  <c r="O193" i="4"/>
  <c r="M194" i="4"/>
  <c r="N194" i="4"/>
  <c r="O194" i="4"/>
  <c r="M195" i="4"/>
  <c r="N195" i="4"/>
  <c r="O195" i="4"/>
  <c r="M196" i="4"/>
  <c r="N196" i="4"/>
  <c r="O196" i="4"/>
  <c r="M197" i="4"/>
  <c r="N197" i="4"/>
  <c r="O197" i="4"/>
  <c r="M198" i="4"/>
  <c r="N198" i="4"/>
  <c r="O198" i="4"/>
  <c r="M199" i="4"/>
  <c r="N199" i="4"/>
  <c r="O199" i="4"/>
  <c r="M200" i="4"/>
  <c r="N200" i="4"/>
  <c r="O200" i="4"/>
  <c r="M201" i="4"/>
  <c r="N201" i="4"/>
  <c r="O201" i="4"/>
  <c r="M202" i="4"/>
  <c r="N202" i="4"/>
  <c r="O202" i="4"/>
  <c r="M203" i="4"/>
  <c r="N203" i="4"/>
  <c r="O203" i="4"/>
  <c r="M204" i="4"/>
  <c r="N204" i="4"/>
  <c r="O204" i="4"/>
  <c r="M205" i="4"/>
  <c r="N205" i="4"/>
  <c r="O205" i="4"/>
  <c r="M206" i="4"/>
  <c r="N206" i="4"/>
  <c r="O206" i="4"/>
  <c r="M207" i="4"/>
  <c r="N207" i="4"/>
  <c r="O207" i="4"/>
  <c r="M208" i="4"/>
  <c r="N208" i="4"/>
  <c r="O208" i="4"/>
  <c r="M209" i="4"/>
  <c r="N209" i="4"/>
  <c r="O209" i="4"/>
  <c r="M210" i="4"/>
  <c r="N210" i="4"/>
  <c r="O210" i="4"/>
  <c r="M211" i="4"/>
  <c r="N211" i="4"/>
  <c r="O211" i="4"/>
  <c r="M212" i="4"/>
  <c r="N212" i="4"/>
  <c r="O212" i="4"/>
  <c r="M213" i="4"/>
  <c r="N213" i="4"/>
  <c r="O213" i="4"/>
  <c r="M214" i="4"/>
  <c r="N214" i="4"/>
  <c r="O214" i="4"/>
  <c r="M215" i="4"/>
  <c r="N215" i="4"/>
  <c r="O215" i="4"/>
  <c r="M216" i="4"/>
  <c r="N216" i="4"/>
  <c r="O216" i="4"/>
  <c r="M217" i="4"/>
  <c r="N217" i="4"/>
  <c r="O217" i="4"/>
  <c r="M218" i="4"/>
  <c r="N218" i="4"/>
  <c r="O218" i="4"/>
  <c r="M219" i="4"/>
  <c r="N219" i="4"/>
  <c r="O219" i="4"/>
  <c r="M220" i="4"/>
  <c r="N220" i="4"/>
  <c r="O220" i="4"/>
  <c r="M221" i="4"/>
  <c r="N221" i="4"/>
  <c r="O221" i="4"/>
  <c r="M222" i="4"/>
  <c r="N222" i="4"/>
  <c r="O222" i="4"/>
  <c r="M223" i="4"/>
  <c r="N223" i="4"/>
  <c r="O223" i="4"/>
  <c r="M224" i="4"/>
  <c r="N224" i="4"/>
  <c r="O224" i="4"/>
  <c r="M225" i="4"/>
  <c r="N225" i="4"/>
  <c r="O225" i="4"/>
  <c r="M226" i="4"/>
  <c r="N226" i="4"/>
  <c r="O226" i="4"/>
  <c r="M227" i="4"/>
  <c r="N227" i="4"/>
  <c r="O227" i="4"/>
  <c r="M228" i="4"/>
  <c r="N228" i="4"/>
  <c r="O228" i="4"/>
  <c r="M229" i="4"/>
  <c r="N229" i="4"/>
  <c r="O229" i="4"/>
  <c r="M230" i="4"/>
  <c r="N230" i="4"/>
  <c r="O230" i="4"/>
  <c r="M231" i="4"/>
  <c r="N231" i="4"/>
  <c r="O231" i="4"/>
  <c r="M232" i="4"/>
  <c r="N232" i="4"/>
  <c r="O232" i="4"/>
  <c r="M233" i="4"/>
  <c r="N233" i="4"/>
  <c r="O233" i="4"/>
  <c r="M234" i="4"/>
  <c r="N234" i="4"/>
  <c r="O234" i="4"/>
  <c r="M235" i="4"/>
  <c r="N235" i="4"/>
  <c r="O235" i="4"/>
  <c r="M236" i="4"/>
  <c r="N236" i="4"/>
  <c r="O236" i="4"/>
  <c r="M237" i="4"/>
  <c r="N237" i="4"/>
  <c r="O237" i="4"/>
  <c r="M238" i="4"/>
  <c r="N238" i="4"/>
  <c r="O238" i="4"/>
  <c r="M239" i="4"/>
  <c r="N239" i="4"/>
  <c r="O239" i="4"/>
  <c r="M240" i="4"/>
  <c r="N240" i="4"/>
  <c r="O240" i="4"/>
  <c r="M241" i="4"/>
  <c r="N241" i="4"/>
  <c r="O241" i="4"/>
  <c r="M242" i="4"/>
  <c r="N242" i="4"/>
  <c r="O242" i="4"/>
  <c r="M243" i="4"/>
  <c r="N243" i="4"/>
  <c r="O243" i="4"/>
  <c r="M244" i="4"/>
  <c r="N244" i="4"/>
  <c r="O244" i="4"/>
  <c r="M245" i="4"/>
  <c r="N245" i="4"/>
  <c r="O245" i="4"/>
  <c r="M246" i="4"/>
  <c r="N246" i="4"/>
  <c r="O246" i="4"/>
  <c r="M247" i="4"/>
  <c r="N247" i="4"/>
  <c r="O247" i="4"/>
  <c r="M248" i="4"/>
  <c r="N248" i="4"/>
  <c r="O248" i="4"/>
  <c r="M249" i="4"/>
  <c r="N249" i="4"/>
  <c r="O249" i="4"/>
  <c r="M250" i="4"/>
  <c r="N250" i="4"/>
  <c r="O250" i="4"/>
  <c r="M251" i="4"/>
  <c r="N251" i="4"/>
  <c r="O251" i="4"/>
  <c r="M252" i="4"/>
  <c r="N252" i="4"/>
  <c r="O252" i="4"/>
  <c r="M253" i="4"/>
  <c r="N253" i="4"/>
  <c r="O253" i="4"/>
  <c r="M254" i="4"/>
  <c r="N254" i="4"/>
  <c r="O254" i="4"/>
  <c r="M255" i="4"/>
  <c r="N255" i="4"/>
  <c r="O255" i="4"/>
  <c r="M256" i="4"/>
  <c r="N256" i="4"/>
  <c r="O256" i="4"/>
  <c r="M257" i="4"/>
  <c r="N257" i="4"/>
  <c r="O257" i="4"/>
  <c r="M258" i="4"/>
  <c r="N258" i="4"/>
  <c r="O258" i="4"/>
  <c r="M259" i="4"/>
  <c r="N259" i="4"/>
  <c r="O259" i="4"/>
  <c r="M260" i="4"/>
  <c r="N260" i="4"/>
  <c r="O260" i="4"/>
  <c r="M261" i="4"/>
  <c r="N261" i="4"/>
  <c r="O261" i="4"/>
  <c r="M262" i="4"/>
  <c r="N262" i="4"/>
  <c r="O262" i="4"/>
  <c r="M263" i="4"/>
  <c r="N263" i="4"/>
  <c r="O263" i="4"/>
  <c r="M264" i="4"/>
  <c r="N264" i="4"/>
  <c r="O264" i="4"/>
  <c r="M265" i="4"/>
  <c r="N265" i="4"/>
  <c r="O265" i="4"/>
  <c r="M266" i="4"/>
  <c r="N266" i="4"/>
  <c r="O266" i="4"/>
  <c r="M267" i="4"/>
  <c r="N267" i="4"/>
  <c r="O267" i="4"/>
  <c r="M268" i="4"/>
  <c r="N268" i="4"/>
  <c r="O268" i="4"/>
  <c r="M269" i="4"/>
  <c r="N269" i="4"/>
  <c r="O269" i="4"/>
  <c r="M270" i="4"/>
  <c r="N270" i="4"/>
  <c r="O270" i="4"/>
  <c r="M271" i="4"/>
  <c r="N271" i="4"/>
  <c r="O271" i="4"/>
  <c r="M272" i="4"/>
  <c r="N272" i="4"/>
  <c r="O272" i="4"/>
  <c r="M273" i="4"/>
  <c r="N273" i="4"/>
  <c r="O273" i="4"/>
  <c r="M274" i="4"/>
  <c r="N274" i="4"/>
  <c r="O274" i="4"/>
  <c r="M275" i="4"/>
  <c r="N275" i="4"/>
  <c r="O275" i="4"/>
  <c r="M276" i="4"/>
  <c r="N276" i="4"/>
  <c r="O276" i="4"/>
  <c r="M277" i="4"/>
  <c r="N277" i="4"/>
  <c r="O277" i="4"/>
  <c r="M278" i="4"/>
  <c r="N278" i="4"/>
  <c r="O278" i="4"/>
  <c r="M279" i="4"/>
  <c r="N279" i="4"/>
  <c r="O279" i="4"/>
  <c r="M280" i="4"/>
  <c r="N280" i="4"/>
  <c r="O280" i="4"/>
  <c r="M281" i="4"/>
  <c r="N281" i="4"/>
  <c r="O281" i="4"/>
  <c r="M282" i="4"/>
  <c r="N282" i="4"/>
  <c r="O282" i="4"/>
  <c r="M283" i="4"/>
  <c r="N283" i="4"/>
  <c r="O283" i="4"/>
  <c r="M284" i="4"/>
  <c r="N284" i="4"/>
  <c r="O284" i="4"/>
  <c r="M285" i="4"/>
  <c r="N285" i="4"/>
  <c r="O285" i="4"/>
  <c r="M286" i="4"/>
  <c r="N286" i="4"/>
  <c r="O286" i="4"/>
  <c r="M287" i="4"/>
  <c r="N287" i="4"/>
  <c r="O287" i="4"/>
  <c r="M288" i="4"/>
  <c r="N288" i="4"/>
  <c r="O288" i="4"/>
  <c r="M289" i="4"/>
  <c r="N289" i="4"/>
  <c r="O289" i="4"/>
  <c r="M290" i="4"/>
  <c r="N290" i="4"/>
  <c r="O290" i="4"/>
  <c r="M291" i="4"/>
  <c r="N291" i="4"/>
  <c r="O291" i="4"/>
  <c r="M292" i="4"/>
  <c r="N292" i="4"/>
  <c r="O292" i="4"/>
  <c r="M293" i="4"/>
  <c r="N293" i="4"/>
  <c r="O293" i="4"/>
  <c r="M294" i="4"/>
  <c r="N294" i="4"/>
  <c r="O294" i="4"/>
  <c r="M295" i="4"/>
  <c r="N295" i="4"/>
  <c r="O295" i="4"/>
  <c r="M296" i="4"/>
  <c r="N296" i="4"/>
  <c r="O296" i="4"/>
  <c r="M297" i="4"/>
  <c r="N297" i="4"/>
  <c r="O297" i="4"/>
  <c r="M298" i="4"/>
  <c r="N298" i="4"/>
  <c r="O298" i="4"/>
  <c r="M299" i="4"/>
  <c r="N299" i="4"/>
  <c r="O299" i="4"/>
  <c r="M300" i="4"/>
  <c r="N300" i="4"/>
  <c r="O300" i="4"/>
  <c r="M301" i="4"/>
  <c r="N301" i="4"/>
  <c r="O301" i="4"/>
  <c r="M302" i="4"/>
  <c r="N302" i="4"/>
  <c r="O302" i="4"/>
  <c r="M303" i="4"/>
  <c r="N303" i="4"/>
  <c r="O303" i="4"/>
  <c r="M304" i="4"/>
  <c r="N304" i="4"/>
  <c r="O304" i="4"/>
  <c r="M305" i="4"/>
  <c r="N305" i="4"/>
  <c r="O305" i="4"/>
  <c r="M306" i="4"/>
  <c r="N306" i="4"/>
  <c r="O306" i="4"/>
  <c r="M307" i="4"/>
  <c r="N307" i="4"/>
  <c r="O307" i="4"/>
  <c r="M308" i="4"/>
  <c r="N308" i="4"/>
  <c r="O308" i="4"/>
  <c r="M309" i="4"/>
  <c r="N309" i="4"/>
  <c r="O309" i="4"/>
  <c r="M310" i="4"/>
  <c r="N310" i="4"/>
  <c r="O310" i="4"/>
  <c r="M311" i="4"/>
  <c r="N311" i="4"/>
  <c r="O311" i="4"/>
  <c r="M312" i="4"/>
  <c r="N312" i="4"/>
  <c r="O312" i="4"/>
  <c r="M313" i="4"/>
  <c r="N313" i="4"/>
  <c r="O313" i="4"/>
  <c r="M314" i="4"/>
  <c r="N314" i="4"/>
  <c r="O314" i="4"/>
  <c r="M315" i="4"/>
  <c r="N315" i="4"/>
  <c r="O315" i="4"/>
  <c r="M316" i="4"/>
  <c r="N316" i="4"/>
  <c r="O316" i="4"/>
  <c r="M317" i="4"/>
  <c r="N317" i="4"/>
  <c r="O317" i="4"/>
  <c r="M318" i="4"/>
  <c r="N318" i="4"/>
  <c r="O318" i="4"/>
  <c r="M319" i="4"/>
  <c r="N319" i="4"/>
  <c r="O319" i="4"/>
  <c r="M320" i="4"/>
  <c r="N320" i="4"/>
  <c r="O320" i="4"/>
  <c r="M321" i="4"/>
  <c r="N321" i="4"/>
  <c r="O321" i="4"/>
  <c r="M322" i="4"/>
  <c r="N322" i="4"/>
  <c r="O322" i="4"/>
  <c r="M323" i="4"/>
  <c r="N323" i="4"/>
  <c r="O323" i="4"/>
  <c r="M324" i="4"/>
  <c r="N324" i="4"/>
  <c r="O324" i="4"/>
  <c r="M325" i="4"/>
  <c r="N325" i="4"/>
  <c r="O325" i="4"/>
  <c r="M326" i="4"/>
  <c r="N326" i="4"/>
  <c r="O326" i="4"/>
  <c r="M327" i="4"/>
  <c r="N327" i="4"/>
  <c r="O327" i="4"/>
  <c r="M328" i="4"/>
  <c r="N328" i="4"/>
  <c r="O328" i="4"/>
  <c r="M329" i="4"/>
  <c r="N329" i="4"/>
  <c r="O329" i="4"/>
  <c r="M330" i="4"/>
  <c r="N330" i="4"/>
  <c r="O330" i="4"/>
  <c r="M331" i="4"/>
  <c r="N331" i="4"/>
  <c r="O331" i="4"/>
  <c r="M332" i="4"/>
  <c r="N332" i="4"/>
  <c r="O332" i="4"/>
  <c r="M333" i="4"/>
  <c r="N333" i="4"/>
  <c r="O333" i="4"/>
  <c r="M334" i="4"/>
  <c r="N334" i="4"/>
  <c r="O334" i="4"/>
  <c r="M335" i="4"/>
  <c r="N335" i="4"/>
  <c r="O335" i="4"/>
  <c r="M336" i="4"/>
  <c r="N336" i="4"/>
  <c r="O336" i="4"/>
  <c r="M337" i="4"/>
  <c r="N337" i="4"/>
  <c r="O337" i="4"/>
  <c r="M338" i="4"/>
  <c r="N338" i="4"/>
  <c r="O338" i="4"/>
  <c r="M339" i="4"/>
  <c r="N339" i="4"/>
  <c r="O339" i="4"/>
  <c r="M340" i="4"/>
  <c r="N340" i="4"/>
  <c r="O340" i="4"/>
  <c r="M341" i="4"/>
  <c r="N341" i="4"/>
  <c r="O341" i="4"/>
  <c r="M342" i="4"/>
  <c r="N342" i="4"/>
  <c r="O342" i="4"/>
  <c r="M343" i="4"/>
  <c r="N343" i="4"/>
  <c r="O343" i="4"/>
  <c r="M344" i="4"/>
  <c r="N344" i="4"/>
  <c r="O344" i="4"/>
  <c r="M345" i="4"/>
  <c r="N345" i="4"/>
  <c r="O345" i="4"/>
  <c r="M346" i="4"/>
  <c r="N346" i="4"/>
  <c r="O346" i="4"/>
  <c r="M347" i="4"/>
  <c r="N347" i="4"/>
  <c r="O347" i="4"/>
  <c r="M348" i="4"/>
  <c r="N348" i="4"/>
  <c r="O348" i="4"/>
  <c r="M349" i="4"/>
  <c r="N349" i="4"/>
  <c r="O349" i="4"/>
  <c r="M350" i="4"/>
  <c r="N350" i="4"/>
  <c r="O350" i="4"/>
  <c r="M351" i="4"/>
  <c r="N351" i="4"/>
  <c r="O351" i="4"/>
  <c r="M352" i="4"/>
  <c r="N352" i="4"/>
  <c r="O352" i="4"/>
  <c r="M353" i="4"/>
  <c r="N353" i="4"/>
  <c r="O353" i="4"/>
  <c r="M354" i="4"/>
  <c r="N354" i="4"/>
  <c r="O354" i="4"/>
  <c r="M355" i="4"/>
  <c r="N355" i="4"/>
  <c r="O355" i="4"/>
  <c r="M356" i="4"/>
  <c r="N356" i="4"/>
  <c r="O356" i="4"/>
  <c r="M357" i="4"/>
  <c r="N357" i="4"/>
  <c r="O357" i="4"/>
  <c r="M358" i="4"/>
  <c r="N358" i="4"/>
  <c r="O358" i="4"/>
  <c r="M359" i="4"/>
  <c r="N359" i="4"/>
  <c r="O359" i="4"/>
  <c r="M360" i="4"/>
  <c r="N360" i="4"/>
  <c r="O360" i="4"/>
  <c r="M361" i="4"/>
  <c r="N361" i="4"/>
  <c r="O361" i="4"/>
  <c r="M362" i="4"/>
  <c r="N362" i="4"/>
  <c r="O362" i="4"/>
  <c r="M363" i="4"/>
  <c r="N363" i="4"/>
  <c r="O363" i="4"/>
  <c r="M364" i="4"/>
  <c r="N364" i="4"/>
  <c r="O364" i="4"/>
  <c r="M365" i="4"/>
  <c r="N365" i="4"/>
  <c r="O365" i="4"/>
  <c r="M366" i="4"/>
  <c r="N366" i="4"/>
  <c r="O366" i="4"/>
  <c r="M367" i="4"/>
  <c r="N367" i="4"/>
  <c r="O367" i="4"/>
  <c r="M368" i="4"/>
  <c r="N368" i="4"/>
  <c r="O368" i="4"/>
  <c r="M369" i="4"/>
  <c r="N369" i="4"/>
  <c r="O369" i="4"/>
  <c r="M370" i="4"/>
  <c r="N370" i="4"/>
  <c r="O370" i="4"/>
  <c r="M371" i="4"/>
  <c r="N371" i="4"/>
  <c r="O371" i="4"/>
  <c r="M372" i="4"/>
  <c r="N372" i="4"/>
  <c r="O372" i="4"/>
  <c r="M373" i="4"/>
  <c r="N373" i="4"/>
  <c r="O373" i="4"/>
  <c r="M374" i="4"/>
  <c r="N374" i="4"/>
  <c r="O374" i="4"/>
  <c r="M375" i="4"/>
  <c r="N375" i="4"/>
  <c r="O375" i="4"/>
  <c r="M376" i="4"/>
  <c r="N376" i="4"/>
  <c r="O376" i="4"/>
  <c r="M377" i="4"/>
  <c r="N377" i="4"/>
  <c r="O377" i="4"/>
  <c r="M378" i="4"/>
  <c r="N378" i="4"/>
  <c r="O378" i="4"/>
  <c r="M379" i="4"/>
  <c r="N379" i="4"/>
  <c r="O379" i="4"/>
  <c r="M380" i="4"/>
  <c r="N380" i="4"/>
  <c r="O380" i="4"/>
  <c r="M381" i="4"/>
  <c r="N381" i="4"/>
  <c r="O381" i="4"/>
  <c r="M382" i="4"/>
  <c r="N382" i="4"/>
  <c r="O382" i="4"/>
  <c r="M383" i="4"/>
  <c r="N383" i="4"/>
  <c r="O383" i="4"/>
  <c r="M384" i="4"/>
  <c r="N384" i="4"/>
  <c r="O384" i="4"/>
  <c r="M385" i="4"/>
  <c r="N385" i="4"/>
  <c r="O385" i="4"/>
  <c r="M386" i="4"/>
  <c r="N386" i="4"/>
  <c r="O386" i="4"/>
  <c r="M387" i="4"/>
  <c r="N387" i="4"/>
  <c r="O387" i="4"/>
  <c r="M388" i="4"/>
  <c r="N388" i="4"/>
  <c r="O388" i="4"/>
  <c r="M389" i="4"/>
  <c r="N389" i="4"/>
  <c r="O389" i="4"/>
  <c r="M390" i="4"/>
  <c r="N390" i="4"/>
  <c r="O390" i="4"/>
  <c r="M391" i="4"/>
  <c r="N391" i="4"/>
  <c r="O391" i="4"/>
  <c r="M392" i="4"/>
  <c r="N392" i="4"/>
  <c r="O392" i="4"/>
  <c r="M393" i="4"/>
  <c r="N393" i="4"/>
  <c r="O393" i="4"/>
  <c r="M394" i="4"/>
  <c r="N394" i="4"/>
  <c r="O394" i="4"/>
  <c r="M395" i="4"/>
  <c r="N395" i="4"/>
  <c r="O395" i="4"/>
  <c r="M396" i="4"/>
  <c r="N396" i="4"/>
  <c r="O396" i="4"/>
  <c r="M397" i="4"/>
  <c r="N397" i="4"/>
  <c r="O397" i="4"/>
  <c r="M398" i="4"/>
  <c r="N398" i="4"/>
  <c r="O398" i="4"/>
  <c r="M399" i="4"/>
  <c r="N399" i="4"/>
  <c r="O399" i="4"/>
  <c r="M400" i="4"/>
  <c r="N400" i="4"/>
  <c r="O400" i="4"/>
  <c r="M401" i="4"/>
  <c r="N401" i="4"/>
  <c r="O401" i="4"/>
  <c r="M402" i="4"/>
  <c r="N402" i="4"/>
  <c r="O402" i="4"/>
  <c r="M403" i="4"/>
  <c r="N403" i="4"/>
  <c r="O403" i="4"/>
  <c r="M404" i="4"/>
  <c r="N404" i="4"/>
  <c r="O404" i="4"/>
  <c r="M405" i="4"/>
  <c r="N405" i="4"/>
  <c r="O405" i="4"/>
  <c r="M406" i="4"/>
  <c r="N406" i="4"/>
  <c r="O406" i="4"/>
  <c r="M407" i="4"/>
  <c r="N407" i="4"/>
  <c r="O407" i="4"/>
  <c r="M408" i="4"/>
  <c r="N408" i="4"/>
  <c r="O408" i="4"/>
  <c r="M409" i="4"/>
  <c r="N409" i="4"/>
  <c r="O409" i="4"/>
  <c r="M410" i="4"/>
  <c r="N410" i="4"/>
  <c r="O410" i="4"/>
  <c r="M411" i="4"/>
  <c r="N411" i="4"/>
  <c r="O411" i="4"/>
  <c r="M412" i="4"/>
  <c r="N412" i="4"/>
  <c r="O412" i="4"/>
  <c r="M413" i="4"/>
  <c r="N413" i="4"/>
  <c r="O413" i="4"/>
  <c r="M414" i="4"/>
  <c r="N414" i="4"/>
  <c r="O414" i="4"/>
  <c r="M415" i="4"/>
  <c r="N415" i="4"/>
  <c r="O415" i="4"/>
  <c r="M416" i="4"/>
  <c r="N416" i="4"/>
  <c r="O416" i="4"/>
  <c r="M417" i="4"/>
  <c r="N417" i="4"/>
  <c r="O417" i="4"/>
  <c r="M418" i="4"/>
  <c r="N418" i="4"/>
  <c r="O418" i="4"/>
  <c r="M419" i="4"/>
  <c r="N419" i="4"/>
  <c r="O419" i="4"/>
  <c r="M420" i="4"/>
  <c r="N420" i="4"/>
  <c r="O420" i="4"/>
  <c r="M421" i="4"/>
  <c r="N421" i="4"/>
  <c r="O421" i="4"/>
  <c r="M422" i="4"/>
  <c r="N422" i="4"/>
  <c r="O422" i="4"/>
  <c r="M423" i="4"/>
  <c r="N423" i="4"/>
  <c r="O423" i="4"/>
  <c r="M424" i="4"/>
  <c r="N424" i="4"/>
  <c r="O424" i="4"/>
  <c r="M425" i="4"/>
  <c r="N425" i="4"/>
  <c r="O425" i="4"/>
  <c r="M426" i="4"/>
  <c r="N426" i="4"/>
  <c r="O426" i="4"/>
  <c r="M427" i="4"/>
  <c r="N427" i="4"/>
  <c r="O427" i="4"/>
  <c r="M428" i="4"/>
  <c r="N428" i="4"/>
  <c r="O428" i="4"/>
  <c r="M429" i="4"/>
  <c r="N429" i="4"/>
  <c r="O429" i="4"/>
  <c r="M430" i="4"/>
  <c r="N430" i="4"/>
  <c r="O430" i="4"/>
  <c r="M431" i="4"/>
  <c r="N431" i="4"/>
  <c r="O431" i="4"/>
  <c r="M432" i="4"/>
  <c r="N432" i="4"/>
  <c r="O432" i="4"/>
  <c r="M433" i="4"/>
  <c r="N433" i="4"/>
  <c r="O433" i="4"/>
  <c r="M434" i="4"/>
  <c r="N434" i="4"/>
  <c r="O434" i="4"/>
  <c r="M435" i="4"/>
  <c r="N435" i="4"/>
  <c r="O435" i="4"/>
  <c r="M436" i="4"/>
  <c r="N436" i="4"/>
  <c r="O436" i="4"/>
  <c r="M437" i="4"/>
  <c r="N437" i="4"/>
  <c r="O437" i="4"/>
  <c r="M438" i="4"/>
  <c r="N438" i="4"/>
  <c r="O438" i="4"/>
  <c r="M439" i="4"/>
  <c r="N439" i="4"/>
  <c r="O439" i="4"/>
  <c r="M440" i="4"/>
  <c r="N440" i="4"/>
  <c r="O440" i="4"/>
  <c r="M441" i="4"/>
  <c r="N441" i="4"/>
  <c r="O441" i="4"/>
  <c r="M442" i="4"/>
  <c r="N442" i="4"/>
  <c r="O442" i="4"/>
  <c r="M443" i="4"/>
  <c r="N443" i="4"/>
  <c r="O443" i="4"/>
  <c r="M444" i="4"/>
  <c r="N444" i="4"/>
  <c r="O444" i="4"/>
  <c r="M445" i="4"/>
  <c r="N445" i="4"/>
  <c r="O445" i="4"/>
  <c r="M446" i="4"/>
  <c r="N446" i="4"/>
  <c r="O446" i="4"/>
  <c r="M447" i="4"/>
  <c r="N447" i="4"/>
  <c r="O447" i="4"/>
  <c r="M448" i="4"/>
  <c r="N448" i="4"/>
  <c r="O448" i="4"/>
  <c r="M449" i="4"/>
  <c r="N449" i="4"/>
  <c r="O449" i="4"/>
  <c r="M450" i="4"/>
  <c r="N450" i="4"/>
  <c r="O450" i="4"/>
  <c r="M451" i="4"/>
  <c r="N451" i="4"/>
  <c r="O451" i="4"/>
  <c r="M452" i="4"/>
  <c r="N452" i="4"/>
  <c r="O452" i="4"/>
  <c r="M453" i="4"/>
  <c r="N453" i="4"/>
  <c r="O453" i="4"/>
  <c r="M454" i="4"/>
  <c r="N454" i="4"/>
  <c r="O454" i="4"/>
  <c r="M455" i="4"/>
  <c r="N455" i="4"/>
  <c r="O455" i="4"/>
  <c r="M456" i="4"/>
  <c r="N456" i="4"/>
  <c r="O456" i="4"/>
  <c r="M457" i="4"/>
  <c r="N457" i="4"/>
  <c r="O457" i="4"/>
  <c r="M458" i="4"/>
  <c r="N458" i="4"/>
  <c r="O458" i="4"/>
  <c r="M459" i="4"/>
  <c r="N459" i="4"/>
  <c r="O459" i="4"/>
  <c r="M460" i="4"/>
  <c r="N460" i="4"/>
  <c r="O460" i="4"/>
  <c r="M461" i="4"/>
  <c r="N461" i="4"/>
  <c r="O461" i="4"/>
  <c r="M462" i="4"/>
  <c r="N462" i="4"/>
  <c r="O462" i="4"/>
  <c r="M463" i="4"/>
  <c r="N463" i="4"/>
  <c r="O463" i="4"/>
  <c r="M464" i="4"/>
  <c r="N464" i="4"/>
  <c r="O464" i="4"/>
  <c r="M465" i="4"/>
  <c r="N465" i="4"/>
  <c r="O465" i="4"/>
  <c r="M466" i="4"/>
  <c r="N466" i="4"/>
  <c r="O466" i="4"/>
  <c r="M467" i="4"/>
  <c r="N467" i="4"/>
  <c r="O467" i="4"/>
  <c r="M468" i="4"/>
  <c r="N468" i="4"/>
  <c r="O468" i="4"/>
  <c r="M469" i="4"/>
  <c r="N469" i="4"/>
  <c r="O469" i="4"/>
  <c r="M470" i="4"/>
  <c r="N470" i="4"/>
  <c r="O470" i="4"/>
  <c r="M471" i="4"/>
  <c r="N471" i="4"/>
  <c r="O471" i="4"/>
  <c r="M472" i="4"/>
  <c r="N472" i="4"/>
  <c r="O472" i="4"/>
  <c r="M473" i="4"/>
  <c r="N473" i="4"/>
  <c r="O473" i="4"/>
  <c r="M474" i="4"/>
  <c r="N474" i="4"/>
  <c r="O474" i="4"/>
  <c r="M475" i="4"/>
  <c r="N475" i="4"/>
  <c r="O475" i="4"/>
  <c r="M476" i="4"/>
  <c r="N476" i="4"/>
  <c r="O476" i="4"/>
  <c r="M477" i="4"/>
  <c r="N477" i="4"/>
  <c r="O477" i="4"/>
  <c r="M478" i="4"/>
  <c r="N478" i="4"/>
  <c r="O478" i="4"/>
  <c r="M479" i="4"/>
  <c r="N479" i="4"/>
  <c r="O479" i="4"/>
  <c r="M480" i="4"/>
  <c r="N480" i="4"/>
  <c r="O480" i="4"/>
  <c r="M481" i="4"/>
  <c r="N481" i="4"/>
  <c r="O481" i="4"/>
  <c r="M482" i="4"/>
  <c r="N482" i="4"/>
  <c r="O482" i="4"/>
  <c r="M483" i="4"/>
  <c r="N483" i="4"/>
  <c r="O483" i="4"/>
  <c r="M484" i="4"/>
  <c r="N484" i="4"/>
  <c r="O484" i="4"/>
  <c r="M485" i="4"/>
  <c r="N485" i="4"/>
  <c r="O485" i="4"/>
  <c r="M486" i="4"/>
  <c r="N486" i="4"/>
  <c r="O486" i="4"/>
  <c r="M487" i="4"/>
  <c r="N487" i="4"/>
  <c r="O487" i="4"/>
  <c r="M488" i="4"/>
  <c r="N488" i="4"/>
  <c r="O488" i="4"/>
  <c r="M489" i="4"/>
  <c r="N489" i="4"/>
  <c r="O489" i="4"/>
  <c r="M490" i="4"/>
  <c r="N490" i="4"/>
  <c r="O490" i="4"/>
  <c r="M491" i="4"/>
  <c r="N491" i="4"/>
  <c r="O491" i="4"/>
  <c r="M492" i="4"/>
  <c r="N492" i="4"/>
  <c r="O492" i="4"/>
  <c r="M493" i="4"/>
  <c r="N493" i="4"/>
  <c r="O493" i="4"/>
  <c r="M494" i="4"/>
  <c r="N494" i="4"/>
  <c r="O494" i="4"/>
  <c r="M495" i="4"/>
  <c r="N495" i="4"/>
  <c r="O495" i="4"/>
  <c r="M496" i="4"/>
  <c r="N496" i="4"/>
  <c r="O496" i="4"/>
  <c r="M497" i="4"/>
  <c r="N497" i="4"/>
  <c r="O497" i="4"/>
  <c r="M498" i="4"/>
  <c r="N498" i="4"/>
  <c r="O498" i="4"/>
  <c r="M499" i="4"/>
  <c r="N499" i="4"/>
  <c r="O499" i="4"/>
  <c r="M500" i="4"/>
  <c r="N500" i="4"/>
  <c r="O500" i="4"/>
  <c r="M501" i="4"/>
  <c r="N501" i="4"/>
  <c r="O501" i="4"/>
  <c r="M502" i="4"/>
  <c r="N502" i="4"/>
  <c r="O502" i="4"/>
  <c r="M503" i="4"/>
  <c r="N503" i="4"/>
  <c r="O503" i="4"/>
  <c r="M504" i="4"/>
  <c r="N504" i="4"/>
  <c r="O504" i="4"/>
  <c r="M505" i="4"/>
  <c r="N505" i="4"/>
  <c r="O505" i="4"/>
  <c r="M506" i="4"/>
  <c r="N506" i="4"/>
  <c r="O506" i="4"/>
  <c r="M507" i="4"/>
  <c r="N507" i="4"/>
  <c r="O507" i="4"/>
  <c r="M508" i="4"/>
  <c r="N508" i="4"/>
  <c r="O508" i="4"/>
  <c r="M509" i="4"/>
  <c r="N509" i="4"/>
  <c r="O509" i="4"/>
  <c r="M510" i="4"/>
  <c r="N510" i="4"/>
  <c r="O510" i="4"/>
  <c r="M511" i="4"/>
  <c r="N511" i="4"/>
  <c r="O511" i="4"/>
  <c r="M512" i="4"/>
  <c r="N512" i="4"/>
  <c r="O512" i="4"/>
  <c r="M513" i="4"/>
  <c r="N513" i="4"/>
  <c r="O513" i="4"/>
  <c r="M514" i="4"/>
  <c r="N514" i="4"/>
  <c r="O514" i="4"/>
  <c r="M515" i="4"/>
  <c r="N515" i="4"/>
  <c r="O515" i="4"/>
  <c r="M516" i="4"/>
  <c r="N516" i="4"/>
  <c r="O516" i="4"/>
  <c r="M517" i="4"/>
  <c r="N517" i="4"/>
  <c r="O517" i="4"/>
  <c r="M518" i="4"/>
  <c r="N518" i="4"/>
  <c r="O518" i="4"/>
  <c r="M519" i="4"/>
  <c r="N519" i="4"/>
  <c r="O519" i="4"/>
  <c r="M520" i="4"/>
  <c r="N520" i="4"/>
  <c r="O520" i="4"/>
  <c r="M521" i="4"/>
  <c r="N521" i="4"/>
  <c r="O521" i="4"/>
  <c r="M522" i="4"/>
  <c r="N522" i="4"/>
  <c r="O522" i="4"/>
  <c r="M523" i="4"/>
  <c r="N523" i="4"/>
  <c r="O523" i="4"/>
  <c r="M524" i="4"/>
  <c r="N524" i="4"/>
  <c r="O524" i="4"/>
  <c r="M525" i="4"/>
  <c r="N525" i="4"/>
  <c r="O525" i="4"/>
  <c r="M526" i="4"/>
  <c r="N526" i="4"/>
  <c r="O526" i="4"/>
  <c r="M527" i="4"/>
  <c r="N527" i="4"/>
  <c r="O527" i="4"/>
  <c r="M528" i="4"/>
  <c r="N528" i="4"/>
  <c r="O528" i="4"/>
  <c r="M529" i="4"/>
  <c r="N529" i="4"/>
  <c r="O529" i="4"/>
  <c r="M530" i="4"/>
  <c r="N530" i="4"/>
  <c r="O530" i="4"/>
  <c r="M531" i="4"/>
  <c r="N531" i="4"/>
  <c r="O531" i="4"/>
  <c r="M532" i="4"/>
  <c r="N532" i="4"/>
  <c r="O532" i="4"/>
  <c r="M533" i="4"/>
  <c r="N533" i="4"/>
  <c r="O533" i="4"/>
  <c r="M534" i="4"/>
  <c r="N534" i="4"/>
  <c r="O534" i="4"/>
  <c r="M535" i="4"/>
  <c r="N535" i="4"/>
  <c r="O535" i="4"/>
  <c r="M536" i="4"/>
  <c r="N536" i="4"/>
  <c r="O536" i="4"/>
  <c r="M537" i="4"/>
  <c r="N537" i="4"/>
  <c r="O537" i="4"/>
  <c r="M538" i="4"/>
  <c r="N538" i="4"/>
  <c r="O538" i="4"/>
  <c r="M539" i="4"/>
  <c r="N539" i="4"/>
  <c r="O539" i="4"/>
  <c r="M540" i="4"/>
  <c r="N540" i="4"/>
  <c r="O540" i="4"/>
  <c r="M541" i="4"/>
  <c r="N541" i="4"/>
  <c r="O541" i="4"/>
  <c r="M542" i="4"/>
  <c r="N542" i="4"/>
  <c r="O542" i="4"/>
  <c r="M543" i="4"/>
  <c r="N543" i="4"/>
  <c r="O543" i="4"/>
  <c r="M544" i="4"/>
  <c r="N544" i="4"/>
  <c r="O544" i="4"/>
  <c r="M545" i="4"/>
  <c r="N545" i="4"/>
  <c r="O545" i="4"/>
  <c r="M546" i="4"/>
  <c r="N546" i="4"/>
  <c r="O546" i="4"/>
  <c r="M547" i="4"/>
  <c r="N547" i="4"/>
  <c r="O547" i="4"/>
  <c r="M548" i="4"/>
  <c r="N548" i="4"/>
  <c r="O548" i="4"/>
  <c r="M549" i="4"/>
  <c r="N549" i="4"/>
  <c r="O549" i="4"/>
  <c r="M550" i="4"/>
  <c r="N550" i="4"/>
  <c r="O550" i="4"/>
  <c r="M551" i="4"/>
  <c r="N551" i="4"/>
  <c r="O551" i="4"/>
  <c r="M552" i="4"/>
  <c r="N552" i="4"/>
  <c r="O552" i="4"/>
  <c r="M553" i="4"/>
  <c r="N553" i="4"/>
  <c r="O553" i="4"/>
  <c r="M554" i="4"/>
  <c r="N554" i="4"/>
  <c r="O554" i="4"/>
  <c r="M555" i="4"/>
  <c r="N555" i="4"/>
  <c r="O555" i="4"/>
  <c r="M556" i="4"/>
  <c r="N556" i="4"/>
  <c r="O556" i="4"/>
  <c r="M557" i="4"/>
  <c r="N557" i="4"/>
  <c r="O557" i="4"/>
  <c r="M558" i="4"/>
  <c r="N558" i="4"/>
  <c r="O558" i="4"/>
  <c r="M559" i="4"/>
  <c r="N559" i="4"/>
  <c r="O559" i="4"/>
  <c r="M560" i="4"/>
  <c r="N560" i="4"/>
  <c r="O560" i="4"/>
  <c r="M561" i="4"/>
  <c r="N561" i="4"/>
  <c r="O561" i="4"/>
  <c r="M562" i="4"/>
  <c r="N562" i="4"/>
  <c r="O562" i="4"/>
  <c r="M563" i="4"/>
  <c r="N563" i="4"/>
  <c r="O563" i="4"/>
  <c r="M564" i="4"/>
  <c r="N564" i="4"/>
  <c r="O564" i="4"/>
  <c r="M565" i="4"/>
  <c r="N565" i="4"/>
  <c r="O565" i="4"/>
  <c r="M566" i="4"/>
  <c r="N566" i="4"/>
  <c r="O566" i="4"/>
  <c r="M567" i="4"/>
  <c r="N567" i="4"/>
  <c r="M568" i="4"/>
  <c r="N568" i="4"/>
  <c r="M569" i="4"/>
  <c r="N569" i="4"/>
  <c r="M570" i="4"/>
  <c r="N570" i="4"/>
  <c r="M571" i="4"/>
  <c r="N571" i="4"/>
  <c r="M572" i="4"/>
  <c r="N572" i="4"/>
  <c r="M573" i="4"/>
  <c r="N573" i="4"/>
  <c r="M574" i="4"/>
  <c r="N574" i="4"/>
  <c r="M575" i="4"/>
  <c r="N575" i="4"/>
  <c r="M576" i="4"/>
  <c r="N576" i="4"/>
  <c r="M577" i="4"/>
  <c r="N577" i="4"/>
  <c r="M578" i="4"/>
  <c r="N578" i="4"/>
  <c r="M579" i="4"/>
  <c r="N579" i="4"/>
  <c r="M580" i="4"/>
  <c r="N580" i="4"/>
  <c r="M581" i="4"/>
  <c r="N581" i="4"/>
  <c r="M582" i="4"/>
  <c r="N582" i="4"/>
  <c r="M583" i="4"/>
  <c r="N583" i="4"/>
  <c r="O583" i="4"/>
  <c r="M584" i="4"/>
  <c r="N584" i="4"/>
  <c r="O584" i="4"/>
  <c r="M585" i="4"/>
  <c r="N585" i="4"/>
  <c r="O585" i="4"/>
  <c r="M586" i="4"/>
  <c r="N586" i="4"/>
  <c r="O586" i="4"/>
  <c r="M587" i="4"/>
  <c r="N587" i="4"/>
  <c r="O587" i="4"/>
  <c r="M588" i="4"/>
  <c r="N588" i="4"/>
  <c r="O588" i="4"/>
  <c r="M589" i="4"/>
  <c r="N589" i="4"/>
  <c r="O589" i="4"/>
  <c r="M590" i="4"/>
  <c r="N590" i="4"/>
  <c r="O590" i="4"/>
  <c r="M591" i="4"/>
  <c r="N591" i="4"/>
  <c r="O591" i="4"/>
  <c r="M592" i="4"/>
  <c r="N592" i="4"/>
  <c r="O592" i="4"/>
  <c r="M593" i="4"/>
  <c r="N593" i="4"/>
  <c r="O593" i="4"/>
  <c r="M594" i="4"/>
  <c r="N594" i="4"/>
  <c r="O594" i="4"/>
  <c r="M595" i="4"/>
  <c r="N595" i="4"/>
  <c r="O595" i="4"/>
  <c r="M596" i="4"/>
  <c r="N596" i="4"/>
  <c r="O596" i="4"/>
  <c r="M597" i="4"/>
  <c r="N597" i="4"/>
  <c r="O597" i="4"/>
  <c r="M598" i="4"/>
  <c r="N598" i="4"/>
  <c r="O598" i="4"/>
  <c r="M599" i="4"/>
  <c r="N599" i="4"/>
  <c r="O599" i="4"/>
  <c r="M600" i="4"/>
  <c r="N600" i="4"/>
  <c r="M601" i="4"/>
  <c r="N601" i="4"/>
  <c r="M602" i="4"/>
  <c r="N602" i="4"/>
  <c r="M603" i="4"/>
  <c r="N603" i="4"/>
  <c r="M604" i="4"/>
  <c r="N604" i="4"/>
  <c r="M605" i="4"/>
  <c r="N605" i="4"/>
  <c r="M606" i="4"/>
  <c r="N606" i="4"/>
  <c r="M607" i="4"/>
  <c r="N607" i="4"/>
  <c r="M608" i="4"/>
  <c r="N608" i="4"/>
  <c r="M609" i="4"/>
  <c r="N609" i="4"/>
  <c r="M610" i="4"/>
  <c r="N610" i="4"/>
  <c r="M611" i="4"/>
  <c r="N611" i="4"/>
  <c r="M612" i="4"/>
  <c r="N612" i="4"/>
  <c r="M613" i="4"/>
  <c r="N613" i="4"/>
  <c r="M614" i="4"/>
  <c r="N614" i="4"/>
  <c r="M615" i="4"/>
  <c r="N615" i="4"/>
  <c r="M616" i="4"/>
  <c r="N616" i="4"/>
  <c r="M617" i="4"/>
  <c r="N617" i="4"/>
  <c r="M618" i="4"/>
  <c r="N618" i="4"/>
  <c r="M619" i="4"/>
  <c r="N619" i="4"/>
  <c r="M620" i="4"/>
  <c r="N620" i="4"/>
  <c r="M621" i="4"/>
  <c r="N621" i="4"/>
  <c r="M622" i="4"/>
  <c r="N622" i="4"/>
  <c r="M623" i="4"/>
  <c r="N623" i="4"/>
  <c r="M624" i="4"/>
  <c r="N624" i="4"/>
  <c r="M625" i="4"/>
  <c r="N625" i="4"/>
  <c r="M626" i="4"/>
  <c r="N626" i="4"/>
  <c r="M627" i="4"/>
  <c r="N627" i="4"/>
  <c r="M628" i="4"/>
  <c r="N628" i="4"/>
  <c r="M629" i="4"/>
  <c r="N629" i="4"/>
  <c r="M630" i="4"/>
  <c r="N630" i="4"/>
  <c r="M631" i="4"/>
  <c r="N631" i="4"/>
  <c r="M632" i="4"/>
  <c r="N632" i="4"/>
  <c r="M633" i="4"/>
  <c r="N633" i="4"/>
  <c r="M634" i="4"/>
  <c r="N634" i="4"/>
  <c r="M635" i="4"/>
  <c r="N635" i="4"/>
  <c r="M636" i="4"/>
  <c r="N636" i="4"/>
  <c r="M637" i="4"/>
  <c r="N637" i="4"/>
  <c r="M638" i="4"/>
  <c r="N638" i="4"/>
  <c r="M639" i="4"/>
  <c r="N639" i="4"/>
  <c r="M640" i="4"/>
  <c r="N640" i="4"/>
  <c r="M641" i="4"/>
  <c r="N641" i="4"/>
  <c r="M642" i="4"/>
  <c r="N642" i="4"/>
  <c r="M643" i="4"/>
  <c r="N643" i="4"/>
  <c r="M644" i="4"/>
  <c r="N644" i="4"/>
  <c r="M645" i="4"/>
  <c r="N645" i="4"/>
  <c r="M646" i="4"/>
  <c r="N646" i="4"/>
  <c r="M647" i="4"/>
  <c r="N647" i="4"/>
  <c r="M648" i="4"/>
  <c r="N648" i="4"/>
  <c r="M649" i="4"/>
  <c r="N649" i="4"/>
  <c r="M650" i="4"/>
  <c r="N650" i="4"/>
  <c r="M651" i="4"/>
  <c r="N651" i="4"/>
  <c r="M652" i="4"/>
  <c r="N652" i="4"/>
  <c r="M653" i="4"/>
  <c r="N653" i="4"/>
  <c r="M654" i="4"/>
  <c r="N654" i="4"/>
  <c r="M655" i="4"/>
  <c r="N655" i="4"/>
  <c r="M656" i="4"/>
  <c r="N656" i="4"/>
  <c r="M657" i="4"/>
  <c r="N657" i="4"/>
  <c r="M658" i="4"/>
  <c r="N658" i="4"/>
  <c r="M659" i="4"/>
  <c r="N659" i="4"/>
  <c r="M660" i="4"/>
  <c r="N660" i="4"/>
  <c r="M661" i="4"/>
  <c r="N661" i="4"/>
  <c r="M662" i="4"/>
  <c r="N662" i="4"/>
  <c r="M663" i="4"/>
  <c r="N663" i="4"/>
  <c r="E10" i="3"/>
  <c r="E11" i="3"/>
  <c r="E12" i="3"/>
  <c r="E13" i="3"/>
  <c r="E9" i="3"/>
  <c r="C664" i="3"/>
  <c r="CM497" i="5"/>
  <c r="CM498" i="5"/>
  <c r="CM499" i="5"/>
  <c r="CM500" i="5"/>
  <c r="CM501" i="5"/>
  <c r="CM502" i="5"/>
  <c r="CM503" i="5"/>
  <c r="CM504" i="5"/>
  <c r="CM505" i="5"/>
  <c r="CM506" i="5"/>
  <c r="CM507" i="5"/>
  <c r="CJ497" i="5"/>
  <c r="CJ498" i="5"/>
  <c r="CJ499" i="5"/>
  <c r="CJ500" i="5"/>
  <c r="CJ501" i="5"/>
  <c r="CJ502" i="5"/>
  <c r="CJ503" i="5"/>
  <c r="CJ504" i="5"/>
  <c r="CJ505" i="5"/>
  <c r="CJ506" i="5"/>
  <c r="CJ507" i="5"/>
  <c r="CI497" i="5"/>
  <c r="CI498" i="5"/>
  <c r="CI499" i="5"/>
  <c r="CI500" i="5"/>
  <c r="CI501" i="5"/>
  <c r="CI502" i="5"/>
  <c r="CI503" i="5"/>
  <c r="CI504" i="5"/>
  <c r="CI505" i="5"/>
  <c r="CI506" i="5"/>
  <c r="CI507" i="5"/>
  <c r="CF497" i="5"/>
  <c r="CF498" i="5"/>
  <c r="CF499" i="5"/>
  <c r="CF500" i="5"/>
  <c r="CF501" i="5"/>
  <c r="CF502" i="5"/>
  <c r="CF503" i="5"/>
  <c r="CF504" i="5"/>
  <c r="CF505" i="5"/>
  <c r="CF506" i="5"/>
  <c r="BZ497" i="5"/>
  <c r="BZ498" i="5"/>
  <c r="BZ499" i="5"/>
  <c r="BZ500" i="5"/>
  <c r="BZ501" i="5"/>
  <c r="BZ502" i="5"/>
  <c r="BZ503" i="5"/>
  <c r="BZ504" i="5"/>
  <c r="BZ505" i="5"/>
  <c r="BZ506" i="5"/>
  <c r="BZ507" i="5"/>
  <c r="DI502" i="5"/>
  <c r="DI503" i="5"/>
  <c r="DI504" i="5"/>
  <c r="DI505" i="5"/>
  <c r="DI506" i="5"/>
  <c r="DI507" i="5"/>
  <c r="DI508" i="5"/>
  <c r="DI509" i="5"/>
  <c r="DI510" i="5"/>
  <c r="DI511" i="5"/>
  <c r="DG502" i="5"/>
  <c r="DG503" i="5"/>
  <c r="DG504" i="5"/>
  <c r="DG505" i="5"/>
  <c r="DG506" i="5"/>
  <c r="DG507" i="5"/>
  <c r="DG508" i="5"/>
  <c r="DG509" i="5"/>
  <c r="CL510" i="5"/>
  <c r="DG510" i="5"/>
  <c r="DG511" i="5"/>
  <c r="CY502" i="5"/>
  <c r="CY503" i="5"/>
  <c r="CY504" i="5"/>
  <c r="CY505" i="5"/>
  <c r="CY506" i="5"/>
  <c r="CY507" i="5"/>
  <c r="BZ508" i="5"/>
  <c r="CY508" i="5"/>
  <c r="BZ509" i="5"/>
  <c r="CY509" i="5"/>
  <c r="BZ510" i="5"/>
  <c r="CY510" i="5"/>
  <c r="BZ511" i="5"/>
  <c r="CY511" i="5"/>
  <c r="CX502" i="5"/>
  <c r="CX503" i="5"/>
  <c r="CX504" i="5"/>
  <c r="CX505" i="5"/>
  <c r="CX506" i="5"/>
  <c r="CX507" i="5"/>
  <c r="CI508" i="5"/>
  <c r="CX508" i="5"/>
  <c r="CI509" i="5"/>
  <c r="CX509" i="5"/>
  <c r="CI510" i="5"/>
  <c r="CX510" i="5"/>
  <c r="CI511" i="5"/>
  <c r="CX511" i="5"/>
  <c r="CD454" i="5"/>
  <c r="CW454" i="5"/>
  <c r="CF454" i="5"/>
  <c r="CW502" i="5"/>
  <c r="CW503" i="5"/>
  <c r="CW504" i="5"/>
  <c r="CW505" i="5"/>
  <c r="CW506" i="5"/>
  <c r="CF509" i="5"/>
  <c r="CW509" i="5"/>
  <c r="CF510" i="5"/>
  <c r="CW510" i="5"/>
  <c r="CF511" i="5"/>
  <c r="CW511" i="5"/>
  <c r="DI352" i="5"/>
  <c r="DI353" i="5"/>
  <c r="DI354" i="5"/>
  <c r="DI355" i="5"/>
  <c r="DI356" i="5"/>
  <c r="DI357" i="5"/>
  <c r="DI358" i="5"/>
  <c r="DI359" i="5"/>
  <c r="DI360" i="5"/>
  <c r="DI361" i="5"/>
  <c r="DI362" i="5"/>
  <c r="DI363" i="5"/>
  <c r="DI364" i="5"/>
  <c r="DI365" i="5"/>
  <c r="DI366" i="5"/>
  <c r="DI367" i="5"/>
  <c r="DI368" i="5"/>
  <c r="DI369" i="5"/>
  <c r="DI370" i="5"/>
  <c r="DI371" i="5"/>
  <c r="CL352" i="5"/>
  <c r="DG352" i="5"/>
  <c r="CL353" i="5"/>
  <c r="DG353" i="5"/>
  <c r="CL354" i="5"/>
  <c r="DG354" i="5"/>
  <c r="CL355" i="5"/>
  <c r="DG355" i="5"/>
  <c r="CL356" i="5"/>
  <c r="DG356" i="5"/>
  <c r="CL357" i="5"/>
  <c r="DG357" i="5"/>
  <c r="CL358" i="5"/>
  <c r="DG358" i="5"/>
  <c r="CL359" i="5"/>
  <c r="DG359" i="5"/>
  <c r="CL360" i="5"/>
  <c r="DG360" i="5"/>
  <c r="CL361" i="5"/>
  <c r="DG361" i="5"/>
  <c r="CL362" i="5"/>
  <c r="DG362" i="5"/>
  <c r="CL363" i="5"/>
  <c r="DG363" i="5"/>
  <c r="CL364" i="5"/>
  <c r="DG364" i="5"/>
  <c r="CL365" i="5"/>
  <c r="DG365" i="5"/>
  <c r="CL366" i="5"/>
  <c r="DG366" i="5"/>
  <c r="DG367" i="5"/>
  <c r="CL368" i="5"/>
  <c r="DG368" i="5"/>
  <c r="DG369" i="5"/>
  <c r="DG370" i="5"/>
  <c r="DG371" i="5"/>
  <c r="CD352" i="5"/>
  <c r="CW352" i="5"/>
  <c r="CD353" i="5"/>
  <c r="CW353" i="5"/>
  <c r="CD354" i="5"/>
  <c r="CW354" i="5"/>
  <c r="CD355" i="5"/>
  <c r="CW355" i="5"/>
  <c r="CD356" i="5"/>
  <c r="CW356" i="5"/>
  <c r="CD357" i="5"/>
  <c r="CW357" i="5"/>
  <c r="CD358" i="5"/>
  <c r="CW358" i="5"/>
  <c r="CD359" i="5"/>
  <c r="CW359" i="5"/>
  <c r="CD360" i="5"/>
  <c r="CW360" i="5"/>
  <c r="CD361" i="5"/>
  <c r="CW361" i="5"/>
  <c r="CD362" i="5"/>
  <c r="CW362" i="5"/>
  <c r="CD363" i="5"/>
  <c r="CW363" i="5"/>
  <c r="CD364" i="5"/>
  <c r="CW364" i="5"/>
  <c r="CD365" i="5"/>
  <c r="CW365" i="5"/>
  <c r="CD366" i="5"/>
  <c r="CW366" i="5"/>
  <c r="CD367" i="5"/>
  <c r="CW367" i="5"/>
  <c r="CD368" i="5"/>
  <c r="CW368" i="5"/>
  <c r="CD369" i="5"/>
  <c r="CW369" i="5"/>
  <c r="CD370" i="5"/>
  <c r="CW370" i="5"/>
  <c r="CD371" i="5"/>
  <c r="CW371" i="5"/>
  <c r="DG252" i="5"/>
  <c r="CL253" i="5"/>
  <c r="DG253" i="5"/>
  <c r="DG254" i="5"/>
  <c r="CL255" i="5"/>
  <c r="DG255" i="5"/>
  <c r="DG256" i="5"/>
  <c r="CL257" i="5"/>
  <c r="DG257" i="5"/>
  <c r="CL258" i="5"/>
  <c r="DG258" i="5"/>
  <c r="CL259" i="5"/>
  <c r="DG259" i="5"/>
  <c r="CL260" i="5"/>
  <c r="DG260" i="5"/>
  <c r="CL261" i="5"/>
  <c r="DG261" i="5"/>
  <c r="CD252" i="5"/>
  <c r="CW252" i="5"/>
  <c r="CD253" i="5"/>
  <c r="CW253" i="5"/>
  <c r="CD254" i="5"/>
  <c r="CW254" i="5"/>
  <c r="CD255" i="5"/>
  <c r="CW255" i="5"/>
  <c r="CD258" i="5"/>
  <c r="CW258" i="5"/>
  <c r="CD259" i="5"/>
  <c r="CW259" i="5"/>
  <c r="CD260" i="5"/>
  <c r="CW260" i="5"/>
  <c r="CD261" i="5"/>
  <c r="CW261" i="5"/>
  <c r="BN666" i="5"/>
  <c r="BR666" i="5"/>
  <c r="BS665" i="5"/>
  <c r="BR665" i="5"/>
  <c r="BS664" i="5"/>
  <c r="BR664" i="5"/>
  <c r="BS663" i="5"/>
  <c r="BR663" i="5"/>
  <c r="BS662" i="5"/>
  <c r="BR662" i="5"/>
  <c r="BS661" i="5"/>
  <c r="BR661" i="5"/>
  <c r="BS660" i="5"/>
  <c r="BR660" i="5"/>
  <c r="BS659" i="5"/>
  <c r="BR659" i="5"/>
  <c r="BS658" i="5"/>
  <c r="BR658" i="5"/>
  <c r="BS657" i="5"/>
  <c r="BR657" i="5"/>
  <c r="BS656" i="5"/>
  <c r="BR656" i="5"/>
  <c r="BS655" i="5"/>
  <c r="BR655" i="5"/>
  <c r="BS654" i="5"/>
  <c r="BR654" i="5"/>
  <c r="BS653" i="5"/>
  <c r="BR653" i="5"/>
  <c r="BS652" i="5"/>
  <c r="BR652" i="5"/>
  <c r="BS651" i="5"/>
  <c r="BR651" i="5"/>
  <c r="BS650" i="5"/>
  <c r="BR650" i="5"/>
  <c r="BS649" i="5"/>
  <c r="BR649" i="5"/>
  <c r="BS648" i="5"/>
  <c r="BR648" i="5"/>
  <c r="BS647" i="5"/>
  <c r="BR647" i="5"/>
  <c r="BS646" i="5"/>
  <c r="BR646" i="5"/>
  <c r="BS645" i="5"/>
  <c r="BR645" i="5"/>
  <c r="BS644" i="5"/>
  <c r="BR644" i="5"/>
  <c r="BS643" i="5"/>
  <c r="BR643" i="5"/>
  <c r="BS642" i="5"/>
  <c r="BR642" i="5"/>
  <c r="BS641" i="5"/>
  <c r="BR641" i="5"/>
  <c r="BS640" i="5"/>
  <c r="BR640" i="5"/>
  <c r="BS639" i="5"/>
  <c r="BR639" i="5"/>
  <c r="BS638" i="5"/>
  <c r="BR638" i="5"/>
  <c r="BS637" i="5"/>
  <c r="BR637" i="5"/>
  <c r="BS636" i="5"/>
  <c r="BR636" i="5"/>
  <c r="BS635" i="5"/>
  <c r="BR635" i="5"/>
  <c r="BS634" i="5"/>
  <c r="BR634" i="5"/>
  <c r="BS633" i="5"/>
  <c r="BR633" i="5"/>
  <c r="BS632" i="5"/>
  <c r="BR632" i="5"/>
  <c r="BS631" i="5"/>
  <c r="BR631" i="5"/>
  <c r="BS630" i="5"/>
  <c r="BR630" i="5"/>
  <c r="BS629" i="5"/>
  <c r="BR629" i="5"/>
  <c r="BS628" i="5"/>
  <c r="BR628" i="5"/>
  <c r="BS627" i="5"/>
  <c r="BR627" i="5"/>
  <c r="BS626" i="5"/>
  <c r="BR626" i="5"/>
  <c r="BS625" i="5"/>
  <c r="BR625" i="5"/>
  <c r="BS624" i="5"/>
  <c r="BR624" i="5"/>
  <c r="BS623" i="5"/>
  <c r="BR623" i="5"/>
  <c r="BS622" i="5"/>
  <c r="BR622" i="5"/>
  <c r="BS621" i="5"/>
  <c r="BR621" i="5"/>
  <c r="BS620" i="5"/>
  <c r="BR620" i="5"/>
  <c r="BS619" i="5"/>
  <c r="BR619" i="5"/>
  <c r="BS618" i="5"/>
  <c r="BR618" i="5"/>
  <c r="BS617" i="5"/>
  <c r="BR617" i="5"/>
  <c r="BS616" i="5"/>
  <c r="BR616" i="5"/>
  <c r="BS615" i="5"/>
  <c r="BR615" i="5"/>
  <c r="BS614" i="5"/>
  <c r="BR614" i="5"/>
  <c r="BS613" i="5"/>
  <c r="BR613" i="5"/>
  <c r="BS612" i="5"/>
  <c r="BR612" i="5"/>
  <c r="BS611" i="5"/>
  <c r="BR611" i="5"/>
  <c r="BS610" i="5"/>
  <c r="BR610" i="5"/>
  <c r="BS609" i="5"/>
  <c r="BR609" i="5"/>
  <c r="BS608" i="5"/>
  <c r="BR608" i="5"/>
  <c r="BS607" i="5"/>
  <c r="BR607" i="5"/>
  <c r="BS606" i="5"/>
  <c r="BR606" i="5"/>
  <c r="BS605" i="5"/>
  <c r="BR605" i="5"/>
  <c r="BS604" i="5"/>
  <c r="BR604" i="5"/>
  <c r="BS603" i="5"/>
  <c r="BR603" i="5"/>
  <c r="CB602" i="5"/>
  <c r="CA602" i="5"/>
  <c r="BZ602" i="5"/>
  <c r="BY602" i="5"/>
  <c r="BX602" i="5"/>
  <c r="BW602" i="5"/>
  <c r="BV602" i="5"/>
  <c r="BS602" i="5"/>
  <c r="BR602" i="5"/>
  <c r="CB601" i="5"/>
  <c r="CA601" i="5"/>
  <c r="BZ601" i="5"/>
  <c r="BY601" i="5"/>
  <c r="BX601" i="5"/>
  <c r="BW601" i="5"/>
  <c r="BV601" i="5"/>
  <c r="BS601" i="5"/>
  <c r="BR601" i="5"/>
  <c r="CB600" i="5"/>
  <c r="CA600" i="5"/>
  <c r="BZ600" i="5"/>
  <c r="BY600" i="5"/>
  <c r="BX600" i="5"/>
  <c r="BW600" i="5"/>
  <c r="BV600" i="5"/>
  <c r="BS600" i="5"/>
  <c r="BR600" i="5"/>
  <c r="CB599" i="5"/>
  <c r="CA599" i="5"/>
  <c r="BZ599" i="5"/>
  <c r="BY599" i="5"/>
  <c r="BX599" i="5"/>
  <c r="BW599" i="5"/>
  <c r="BV599" i="5"/>
  <c r="BS599" i="5"/>
  <c r="BR599" i="5"/>
  <c r="CB598" i="5"/>
  <c r="CA598" i="5"/>
  <c r="BZ598" i="5"/>
  <c r="BY598" i="5"/>
  <c r="BX598" i="5"/>
  <c r="BW598" i="5"/>
  <c r="BV598" i="5"/>
  <c r="BS598" i="5"/>
  <c r="BR598" i="5"/>
  <c r="CB597" i="5"/>
  <c r="CA597" i="5"/>
  <c r="BZ597" i="5"/>
  <c r="BY597" i="5"/>
  <c r="BX597" i="5"/>
  <c r="BW597" i="5"/>
  <c r="BV597" i="5"/>
  <c r="BS597" i="5"/>
  <c r="BR597" i="5"/>
  <c r="CB596" i="5"/>
  <c r="CA596" i="5"/>
  <c r="BZ596" i="5"/>
  <c r="BY596" i="5"/>
  <c r="BX596" i="5"/>
  <c r="BW596" i="5"/>
  <c r="BV596" i="5"/>
  <c r="BS596" i="5"/>
  <c r="BR596" i="5"/>
  <c r="CB595" i="5"/>
  <c r="CA595" i="5"/>
  <c r="BZ595" i="5"/>
  <c r="BY595" i="5"/>
  <c r="BX595" i="5"/>
  <c r="BW595" i="5"/>
  <c r="BV595" i="5"/>
  <c r="BS595" i="5"/>
  <c r="BR595" i="5"/>
  <c r="CB594" i="5"/>
  <c r="CA594" i="5"/>
  <c r="BZ594" i="5"/>
  <c r="BY594" i="5"/>
  <c r="BX594" i="5"/>
  <c r="BW594" i="5"/>
  <c r="BV594" i="5"/>
  <c r="BS594" i="5"/>
  <c r="BR594" i="5"/>
  <c r="CB593" i="5"/>
  <c r="CA593" i="5"/>
  <c r="BZ593" i="5"/>
  <c r="BY593" i="5"/>
  <c r="BX593" i="5"/>
  <c r="BW593" i="5"/>
  <c r="BV593" i="5"/>
  <c r="BS593" i="5"/>
  <c r="BR593" i="5"/>
  <c r="CB592" i="5"/>
  <c r="CA592" i="5"/>
  <c r="BZ592" i="5"/>
  <c r="BY592" i="5"/>
  <c r="BX592" i="5"/>
  <c r="BW592" i="5"/>
  <c r="BV592" i="5"/>
  <c r="BS592" i="5"/>
  <c r="BR592" i="5"/>
  <c r="CB591" i="5"/>
  <c r="CA591" i="5"/>
  <c r="BZ591" i="5"/>
  <c r="BY591" i="5"/>
  <c r="BX591" i="5"/>
  <c r="BW591" i="5"/>
  <c r="BV591" i="5"/>
  <c r="BS591" i="5"/>
  <c r="BR591" i="5"/>
  <c r="CB590" i="5"/>
  <c r="CA590" i="5"/>
  <c r="BZ590" i="5"/>
  <c r="BY590" i="5"/>
  <c r="BX590" i="5"/>
  <c r="BW590" i="5"/>
  <c r="BV590" i="5"/>
  <c r="BS590" i="5"/>
  <c r="BR590" i="5"/>
  <c r="CB589" i="5"/>
  <c r="CA589" i="5"/>
  <c r="BZ589" i="5"/>
  <c r="BY589" i="5"/>
  <c r="BX589" i="5"/>
  <c r="BW589" i="5"/>
  <c r="BV589" i="5"/>
  <c r="BS589" i="5"/>
  <c r="BR589" i="5"/>
  <c r="CB588" i="5"/>
  <c r="CA588" i="5"/>
  <c r="BZ588" i="5"/>
  <c r="BY588" i="5"/>
  <c r="BX588" i="5"/>
  <c r="BW588" i="5"/>
  <c r="BV588" i="5"/>
  <c r="BS588" i="5"/>
  <c r="BR588" i="5"/>
  <c r="CB587" i="5"/>
  <c r="CA587" i="5"/>
  <c r="BZ587" i="5"/>
  <c r="BY587" i="5"/>
  <c r="BX587" i="5"/>
  <c r="BW587" i="5"/>
  <c r="BV587" i="5"/>
  <c r="BS587" i="5"/>
  <c r="BR587" i="5"/>
  <c r="CB586" i="5"/>
  <c r="CA586" i="5"/>
  <c r="BZ586" i="5"/>
  <c r="BY586" i="5"/>
  <c r="BX586" i="5"/>
  <c r="BW586" i="5"/>
  <c r="BV586" i="5"/>
  <c r="BS586" i="5"/>
  <c r="BR586" i="5"/>
  <c r="CB585" i="5"/>
  <c r="CA585" i="5"/>
  <c r="BZ585" i="5"/>
  <c r="BY585" i="5"/>
  <c r="BX585" i="5"/>
  <c r="BW585" i="5"/>
  <c r="BV585" i="5"/>
  <c r="BS585" i="5"/>
  <c r="BR585" i="5"/>
  <c r="CB584" i="5"/>
  <c r="CA584" i="5"/>
  <c r="BZ584" i="5"/>
  <c r="BY584" i="5"/>
  <c r="BX584" i="5"/>
  <c r="BW584" i="5"/>
  <c r="BV584" i="5"/>
  <c r="BS584" i="5"/>
  <c r="BR584" i="5"/>
  <c r="CB583" i="5"/>
  <c r="CA583" i="5"/>
  <c r="BZ583" i="5"/>
  <c r="BY583" i="5"/>
  <c r="BX583" i="5"/>
  <c r="BW583" i="5"/>
  <c r="BV583" i="5"/>
  <c r="BS583" i="5"/>
  <c r="BR583" i="5"/>
  <c r="DE582" i="5"/>
  <c r="DH582" i="5"/>
  <c r="DJ582" i="5"/>
  <c r="CL582" i="5"/>
  <c r="DG582" i="5"/>
  <c r="BZ582" i="5"/>
  <c r="CY582" i="5"/>
  <c r="CI582" i="5"/>
  <c r="CX582" i="5"/>
  <c r="CW582" i="5"/>
  <c r="BR582" i="5"/>
  <c r="CO582" i="5"/>
  <c r="CJ582" i="5"/>
  <c r="DE581" i="5"/>
  <c r="DH581" i="5"/>
  <c r="CL581" i="5"/>
  <c r="DG581" i="5"/>
  <c r="BZ581" i="5"/>
  <c r="CY581" i="5"/>
  <c r="CI581" i="5"/>
  <c r="CX581" i="5"/>
  <c r="CW581" i="5"/>
  <c r="BR581" i="5"/>
  <c r="CO581" i="5"/>
  <c r="CJ581" i="5"/>
  <c r="DE580" i="5"/>
  <c r="DH580" i="5"/>
  <c r="CL580" i="5"/>
  <c r="DG580" i="5"/>
  <c r="BZ580" i="5"/>
  <c r="CY580" i="5"/>
  <c r="CI580" i="5"/>
  <c r="CX580" i="5"/>
  <c r="CW580" i="5"/>
  <c r="BR580" i="5"/>
  <c r="CO580" i="5"/>
  <c r="CJ580" i="5"/>
  <c r="DE579" i="5"/>
  <c r="DH579" i="5"/>
  <c r="CL579" i="5"/>
  <c r="DG579" i="5"/>
  <c r="BZ579" i="5"/>
  <c r="CY579" i="5"/>
  <c r="CI579" i="5"/>
  <c r="CX579" i="5"/>
  <c r="CW579" i="5"/>
  <c r="BR579" i="5"/>
  <c r="CO579" i="5"/>
  <c r="CJ579" i="5"/>
  <c r="DE578" i="5"/>
  <c r="DH578" i="5"/>
  <c r="CL578" i="5"/>
  <c r="DG578" i="5"/>
  <c r="BZ578" i="5"/>
  <c r="CY578" i="5"/>
  <c r="CI578" i="5"/>
  <c r="CX578" i="5"/>
  <c r="CW578" i="5"/>
  <c r="BR578" i="5"/>
  <c r="CO578" i="5"/>
  <c r="CJ578" i="5"/>
  <c r="DE577" i="5"/>
  <c r="DH577" i="5"/>
  <c r="CL577" i="5"/>
  <c r="DG577" i="5"/>
  <c r="BZ577" i="5"/>
  <c r="CY577" i="5"/>
  <c r="CI577" i="5"/>
  <c r="CX577" i="5"/>
  <c r="CW577" i="5"/>
  <c r="BR577" i="5"/>
  <c r="CO577" i="5"/>
  <c r="CJ577" i="5"/>
  <c r="DE576" i="5"/>
  <c r="DH576" i="5"/>
  <c r="DG576" i="5"/>
  <c r="BZ576" i="5"/>
  <c r="CY576" i="5"/>
  <c r="CI576" i="5"/>
  <c r="CX576" i="5"/>
  <c r="CW576" i="5"/>
  <c r="BR576" i="5"/>
  <c r="CO576" i="5"/>
  <c r="CJ576" i="5"/>
  <c r="DE575" i="5"/>
  <c r="DH575" i="5"/>
  <c r="DG575" i="5"/>
  <c r="BZ575" i="5"/>
  <c r="CY575" i="5"/>
  <c r="CI575" i="5"/>
  <c r="CX575" i="5"/>
  <c r="CW575" i="5"/>
  <c r="BR575" i="5"/>
  <c r="CO575" i="5"/>
  <c r="CJ575" i="5"/>
  <c r="DE574" i="5"/>
  <c r="DH574" i="5"/>
  <c r="DG574" i="5"/>
  <c r="BZ574" i="5"/>
  <c r="CY574" i="5"/>
  <c r="CI574" i="5"/>
  <c r="CX574" i="5"/>
  <c r="CW574" i="5"/>
  <c r="BR574" i="5"/>
  <c r="CO574" i="5"/>
  <c r="CJ574" i="5"/>
  <c r="DE573" i="5"/>
  <c r="DH573" i="5"/>
  <c r="CL573" i="5"/>
  <c r="DG573" i="5"/>
  <c r="BZ573" i="5"/>
  <c r="CY573" i="5"/>
  <c r="CI573" i="5"/>
  <c r="CX573" i="5"/>
  <c r="CW573" i="5"/>
  <c r="BR573" i="5"/>
  <c r="CO573" i="5"/>
  <c r="CJ573" i="5"/>
  <c r="DE572" i="5"/>
  <c r="DH572" i="5"/>
  <c r="CL572" i="5"/>
  <c r="DG572" i="5"/>
  <c r="BZ572" i="5"/>
  <c r="CY572" i="5"/>
  <c r="CI572" i="5"/>
  <c r="CX572" i="5"/>
  <c r="CW572" i="5"/>
  <c r="BR572" i="5"/>
  <c r="CO572" i="5"/>
  <c r="CJ572" i="5"/>
  <c r="DE571" i="5"/>
  <c r="DH571" i="5"/>
  <c r="DG571" i="5"/>
  <c r="BZ571" i="5"/>
  <c r="CY571" i="5"/>
  <c r="CI571" i="5"/>
  <c r="CX571" i="5"/>
  <c r="CW571" i="5"/>
  <c r="BR571" i="5"/>
  <c r="CO571" i="5"/>
  <c r="CJ571" i="5"/>
  <c r="DE570" i="5"/>
  <c r="DH570" i="5"/>
  <c r="DG570" i="5"/>
  <c r="BZ570" i="5"/>
  <c r="CY570" i="5"/>
  <c r="CI570" i="5"/>
  <c r="CX570" i="5"/>
  <c r="CW570" i="5"/>
  <c r="BR570" i="5"/>
  <c r="CO570" i="5"/>
  <c r="CJ570" i="5"/>
  <c r="DE569" i="5"/>
  <c r="DH569" i="5"/>
  <c r="DG569" i="5"/>
  <c r="BZ569" i="5"/>
  <c r="CY569" i="5"/>
  <c r="CI569" i="5"/>
  <c r="CX569" i="5"/>
  <c r="CW569" i="5"/>
  <c r="BR569" i="5"/>
  <c r="CO569" i="5"/>
  <c r="CJ569" i="5"/>
  <c r="DI568" i="5"/>
  <c r="CL568" i="5"/>
  <c r="DG568" i="5"/>
  <c r="BZ568" i="5"/>
  <c r="CY568" i="5"/>
  <c r="CI568" i="5"/>
  <c r="CX568" i="5"/>
  <c r="CW568" i="5"/>
  <c r="BR568" i="5"/>
  <c r="CO568" i="5"/>
  <c r="CM568" i="5"/>
  <c r="CJ568" i="5"/>
  <c r="DI567" i="5"/>
  <c r="CL567" i="5"/>
  <c r="DG567" i="5"/>
  <c r="BZ567" i="5"/>
  <c r="CY567" i="5"/>
  <c r="CI567" i="5"/>
  <c r="CX567" i="5"/>
  <c r="CW567" i="5"/>
  <c r="BR567" i="5"/>
  <c r="CO567" i="5"/>
  <c r="CM567" i="5"/>
  <c r="CJ567" i="5"/>
  <c r="DI566" i="5"/>
  <c r="DG566" i="5"/>
  <c r="BZ566" i="5"/>
  <c r="CY566" i="5"/>
  <c r="CI566" i="5"/>
  <c r="CX566" i="5"/>
  <c r="CW566" i="5"/>
  <c r="BR566" i="5"/>
  <c r="CO566" i="5"/>
  <c r="CM566" i="5"/>
  <c r="CJ566" i="5"/>
  <c r="DI565" i="5"/>
  <c r="DG565" i="5"/>
  <c r="BZ565" i="5"/>
  <c r="CY565" i="5"/>
  <c r="CI565" i="5"/>
  <c r="CX565" i="5"/>
  <c r="CW565" i="5"/>
  <c r="BR565" i="5"/>
  <c r="CO565" i="5"/>
  <c r="CM565" i="5"/>
  <c r="CJ565" i="5"/>
  <c r="DI564" i="5"/>
  <c r="DG564" i="5"/>
  <c r="BZ564" i="5"/>
  <c r="CY564" i="5"/>
  <c r="CI564" i="5"/>
  <c r="CX564" i="5"/>
  <c r="CW564" i="5"/>
  <c r="BR564" i="5"/>
  <c r="CO564" i="5"/>
  <c r="CM564" i="5"/>
  <c r="CJ564" i="5"/>
  <c r="DI563" i="5"/>
  <c r="CL563" i="5"/>
  <c r="DG563" i="5"/>
  <c r="BZ563" i="5"/>
  <c r="CY563" i="5"/>
  <c r="CI563" i="5"/>
  <c r="CX563" i="5"/>
  <c r="CW563" i="5"/>
  <c r="BR563" i="5"/>
  <c r="CO563" i="5"/>
  <c r="CM563" i="5"/>
  <c r="CJ563" i="5"/>
  <c r="DI562" i="5"/>
  <c r="DG562" i="5"/>
  <c r="BZ562" i="5"/>
  <c r="CY562" i="5"/>
  <c r="CI562" i="5"/>
  <c r="CX562" i="5"/>
  <c r="CW562" i="5"/>
  <c r="BR562" i="5"/>
  <c r="CO562" i="5"/>
  <c r="CM562" i="5"/>
  <c r="CJ562" i="5"/>
  <c r="DI561" i="5"/>
  <c r="DG561" i="5"/>
  <c r="BZ561" i="5"/>
  <c r="CY561" i="5"/>
  <c r="CI561" i="5"/>
  <c r="CX561" i="5"/>
  <c r="CW561" i="5"/>
  <c r="BR561" i="5"/>
  <c r="CO561" i="5"/>
  <c r="CM561" i="5"/>
  <c r="CJ561" i="5"/>
  <c r="DI560" i="5"/>
  <c r="CL560" i="5"/>
  <c r="DG560" i="5"/>
  <c r="BZ560" i="5"/>
  <c r="CY560" i="5"/>
  <c r="CI560" i="5"/>
  <c r="CX560" i="5"/>
  <c r="CW560" i="5"/>
  <c r="BR560" i="5"/>
  <c r="CO560" i="5"/>
  <c r="CM560" i="5"/>
  <c r="CJ560" i="5"/>
  <c r="DI559" i="5"/>
  <c r="CL559" i="5"/>
  <c r="DG559" i="5"/>
  <c r="BZ559" i="5"/>
  <c r="CY559" i="5"/>
  <c r="CI559" i="5"/>
  <c r="CX559" i="5"/>
  <c r="CW559" i="5"/>
  <c r="BR559" i="5"/>
  <c r="CO559" i="5"/>
  <c r="CM559" i="5"/>
  <c r="CJ559" i="5"/>
  <c r="DI558" i="5"/>
  <c r="CL558" i="5"/>
  <c r="DG558" i="5"/>
  <c r="BZ558" i="5"/>
  <c r="CY558" i="5"/>
  <c r="CI558" i="5"/>
  <c r="CX558" i="5"/>
  <c r="CW558" i="5"/>
  <c r="BR558" i="5"/>
  <c r="CO558" i="5"/>
  <c r="CM558" i="5"/>
  <c r="CJ558" i="5"/>
  <c r="DI557" i="5"/>
  <c r="DG557" i="5"/>
  <c r="BZ557" i="5"/>
  <c r="CY557" i="5"/>
  <c r="CI557" i="5"/>
  <c r="CX557" i="5"/>
  <c r="CW557" i="5"/>
  <c r="BR557" i="5"/>
  <c r="CO557" i="5"/>
  <c r="CM557" i="5"/>
  <c r="CJ557" i="5"/>
  <c r="DI556" i="5"/>
  <c r="DG556" i="5"/>
  <c r="BZ556" i="5"/>
  <c r="CY556" i="5"/>
  <c r="CI556" i="5"/>
  <c r="CX556" i="5"/>
  <c r="CW556" i="5"/>
  <c r="BR556" i="5"/>
  <c r="CO556" i="5"/>
  <c r="CM556" i="5"/>
  <c r="CJ556" i="5"/>
  <c r="DI555" i="5"/>
  <c r="DG555" i="5"/>
  <c r="BZ555" i="5"/>
  <c r="CY555" i="5"/>
  <c r="CI555" i="5"/>
  <c r="CX555" i="5"/>
  <c r="CW555" i="5"/>
  <c r="BR555" i="5"/>
  <c r="CO555" i="5"/>
  <c r="CM555" i="5"/>
  <c r="CJ555" i="5"/>
  <c r="DI554" i="5"/>
  <c r="DG554" i="5"/>
  <c r="BZ554" i="5"/>
  <c r="CY554" i="5"/>
  <c r="CI554" i="5"/>
  <c r="CX554" i="5"/>
  <c r="CW554" i="5"/>
  <c r="BR554" i="5"/>
  <c r="CO554" i="5"/>
  <c r="CM554" i="5"/>
  <c r="CJ554" i="5"/>
  <c r="DI553" i="5"/>
  <c r="DG553" i="5"/>
  <c r="BZ553" i="5"/>
  <c r="CY553" i="5"/>
  <c r="CI553" i="5"/>
  <c r="CX553" i="5"/>
  <c r="CW553" i="5"/>
  <c r="BR553" i="5"/>
  <c r="CO553" i="5"/>
  <c r="CM553" i="5"/>
  <c r="CJ553" i="5"/>
  <c r="DI552" i="5"/>
  <c r="DG552" i="5"/>
  <c r="BZ552" i="5"/>
  <c r="CY552" i="5"/>
  <c r="CI552" i="5"/>
  <c r="CX552" i="5"/>
  <c r="CW552" i="5"/>
  <c r="BR552" i="5"/>
  <c r="CO552" i="5"/>
  <c r="CM552" i="5"/>
  <c r="CJ552" i="5"/>
  <c r="DI551" i="5"/>
  <c r="DG551" i="5"/>
  <c r="BZ551" i="5"/>
  <c r="CY551" i="5"/>
  <c r="CI551" i="5"/>
  <c r="CX551" i="5"/>
  <c r="CW551" i="5"/>
  <c r="BR551" i="5"/>
  <c r="CO551" i="5"/>
  <c r="CM551" i="5"/>
  <c r="CJ551" i="5"/>
  <c r="DI550" i="5"/>
  <c r="DG550" i="5"/>
  <c r="BZ550" i="5"/>
  <c r="CY550" i="5"/>
  <c r="CI550" i="5"/>
  <c r="CX550" i="5"/>
  <c r="CW550" i="5"/>
  <c r="BR550" i="5"/>
  <c r="CO550" i="5"/>
  <c r="CM550" i="5"/>
  <c r="CJ550" i="5"/>
  <c r="DI549" i="5"/>
  <c r="DG549" i="5"/>
  <c r="BZ549" i="5"/>
  <c r="CY549" i="5"/>
  <c r="CI549" i="5"/>
  <c r="CX549" i="5"/>
  <c r="CW549" i="5"/>
  <c r="BR549" i="5"/>
  <c r="CO549" i="5"/>
  <c r="CM549" i="5"/>
  <c r="CJ549" i="5"/>
  <c r="DI548" i="5"/>
  <c r="DG548" i="5"/>
  <c r="BZ548" i="5"/>
  <c r="CY548" i="5"/>
  <c r="CI548" i="5"/>
  <c r="CX548" i="5"/>
  <c r="CW548" i="5"/>
  <c r="BR548" i="5"/>
  <c r="CO548" i="5"/>
  <c r="CM548" i="5"/>
  <c r="CJ548" i="5"/>
  <c r="DI547" i="5"/>
  <c r="DG547" i="5"/>
  <c r="BZ547" i="5"/>
  <c r="CY547" i="5"/>
  <c r="CI547" i="5"/>
  <c r="CX547" i="5"/>
  <c r="CW547" i="5"/>
  <c r="BR547" i="5"/>
  <c r="CO547" i="5"/>
  <c r="CM547" i="5"/>
  <c r="CJ547" i="5"/>
  <c r="DI546" i="5"/>
  <c r="DG546" i="5"/>
  <c r="BZ546" i="5"/>
  <c r="CY546" i="5"/>
  <c r="CI546" i="5"/>
  <c r="CX546" i="5"/>
  <c r="CW546" i="5"/>
  <c r="BR546" i="5"/>
  <c r="CO546" i="5"/>
  <c r="CM546" i="5"/>
  <c r="CJ546" i="5"/>
  <c r="DI545" i="5"/>
  <c r="DG545" i="5"/>
  <c r="BZ545" i="5"/>
  <c r="CY545" i="5"/>
  <c r="CI545" i="5"/>
  <c r="CX545" i="5"/>
  <c r="CW545" i="5"/>
  <c r="BR545" i="5"/>
  <c r="CO545" i="5"/>
  <c r="CM545" i="5"/>
  <c r="CJ545" i="5"/>
  <c r="DI544" i="5"/>
  <c r="DG544" i="5"/>
  <c r="BZ544" i="5"/>
  <c r="CY544" i="5"/>
  <c r="CI544" i="5"/>
  <c r="CX544" i="5"/>
  <c r="CW544" i="5"/>
  <c r="BR544" i="5"/>
  <c r="CO544" i="5"/>
  <c r="CM544" i="5"/>
  <c r="CJ544" i="5"/>
  <c r="DI543" i="5"/>
  <c r="DG543" i="5"/>
  <c r="BZ543" i="5"/>
  <c r="CY543" i="5"/>
  <c r="CI543" i="5"/>
  <c r="CX543" i="5"/>
  <c r="CW543" i="5"/>
  <c r="BR543" i="5"/>
  <c r="CO543" i="5"/>
  <c r="CM543" i="5"/>
  <c r="CJ543" i="5"/>
  <c r="DI542" i="5"/>
  <c r="DG542" i="5"/>
  <c r="BZ542" i="5"/>
  <c r="CY542" i="5"/>
  <c r="CI542" i="5"/>
  <c r="CX542" i="5"/>
  <c r="CW542" i="5"/>
  <c r="BR542" i="5"/>
  <c r="CO542" i="5"/>
  <c r="CM542" i="5"/>
  <c r="CJ542" i="5"/>
  <c r="DI541" i="5"/>
  <c r="DG541" i="5"/>
  <c r="BZ541" i="5"/>
  <c r="CY541" i="5"/>
  <c r="CI541" i="5"/>
  <c r="CX541" i="5"/>
  <c r="CW541" i="5"/>
  <c r="BR541" i="5"/>
  <c r="CO541" i="5"/>
  <c r="CM541" i="5"/>
  <c r="CJ541" i="5"/>
  <c r="DI540" i="5"/>
  <c r="DG540" i="5"/>
  <c r="BZ540" i="5"/>
  <c r="CY540" i="5"/>
  <c r="CI540" i="5"/>
  <c r="CX540" i="5"/>
  <c r="CW540" i="5"/>
  <c r="BR540" i="5"/>
  <c r="CO540" i="5"/>
  <c r="CM540" i="5"/>
  <c r="CJ540" i="5"/>
  <c r="DI539" i="5"/>
  <c r="DG539" i="5"/>
  <c r="BZ539" i="5"/>
  <c r="CY539" i="5"/>
  <c r="CI539" i="5"/>
  <c r="CX539" i="5"/>
  <c r="CW539" i="5"/>
  <c r="BR539" i="5"/>
  <c r="CO539" i="5"/>
  <c r="CM539" i="5"/>
  <c r="CJ539" i="5"/>
  <c r="DI538" i="5"/>
  <c r="DG538" i="5"/>
  <c r="BZ538" i="5"/>
  <c r="CY538" i="5"/>
  <c r="CI538" i="5"/>
  <c r="CX538" i="5"/>
  <c r="CW538" i="5"/>
  <c r="BR538" i="5"/>
  <c r="CO538" i="5"/>
  <c r="CM538" i="5"/>
  <c r="CJ538" i="5"/>
  <c r="DI537" i="5"/>
  <c r="DG537" i="5"/>
  <c r="BZ537" i="5"/>
  <c r="CY537" i="5"/>
  <c r="CI537" i="5"/>
  <c r="CX537" i="5"/>
  <c r="CW537" i="5"/>
  <c r="BR537" i="5"/>
  <c r="CO537" i="5"/>
  <c r="CM537" i="5"/>
  <c r="CJ537" i="5"/>
  <c r="DI536" i="5"/>
  <c r="DG536" i="5"/>
  <c r="BZ536" i="5"/>
  <c r="CY536" i="5"/>
  <c r="CI536" i="5"/>
  <c r="CX536" i="5"/>
  <c r="CW536" i="5"/>
  <c r="BR536" i="5"/>
  <c r="CO536" i="5"/>
  <c r="CM536" i="5"/>
  <c r="CJ536" i="5"/>
  <c r="DI535" i="5"/>
  <c r="DG535" i="5"/>
  <c r="BZ535" i="5"/>
  <c r="CY535" i="5"/>
  <c r="CI535" i="5"/>
  <c r="CX535" i="5"/>
  <c r="CW535" i="5"/>
  <c r="BR535" i="5"/>
  <c r="CO535" i="5"/>
  <c r="CM535" i="5"/>
  <c r="CJ535" i="5"/>
  <c r="BT535" i="5"/>
  <c r="DI534" i="5"/>
  <c r="DG534" i="5"/>
  <c r="BZ534" i="5"/>
  <c r="CY534" i="5"/>
  <c r="CI534" i="5"/>
  <c r="CX534" i="5"/>
  <c r="CW534" i="5"/>
  <c r="BR534" i="5"/>
  <c r="CO534" i="5"/>
  <c r="CM534" i="5"/>
  <c r="CJ534" i="5"/>
  <c r="BT534" i="5"/>
  <c r="DI533" i="5"/>
  <c r="DG533" i="5"/>
  <c r="BZ533" i="5"/>
  <c r="CY533" i="5"/>
  <c r="CI533" i="5"/>
  <c r="CX533" i="5"/>
  <c r="CW533" i="5"/>
  <c r="BR533" i="5"/>
  <c r="CO533" i="5"/>
  <c r="CM533" i="5"/>
  <c r="CJ533" i="5"/>
  <c r="DI532" i="5"/>
  <c r="DG532" i="5"/>
  <c r="BZ532" i="5"/>
  <c r="CY532" i="5"/>
  <c r="CI532" i="5"/>
  <c r="CX532" i="5"/>
  <c r="CW532" i="5"/>
  <c r="BR532" i="5"/>
  <c r="CO532" i="5"/>
  <c r="CM532" i="5"/>
  <c r="CJ532" i="5"/>
  <c r="DI531" i="5"/>
  <c r="DG531" i="5"/>
  <c r="BZ531" i="5"/>
  <c r="CY531" i="5"/>
  <c r="CI531" i="5"/>
  <c r="CX531" i="5"/>
  <c r="CW531" i="5"/>
  <c r="BR531" i="5"/>
  <c r="CO531" i="5"/>
  <c r="CM531" i="5"/>
  <c r="CJ531" i="5"/>
  <c r="DI530" i="5"/>
  <c r="DG530" i="5"/>
  <c r="BZ530" i="5"/>
  <c r="CY530" i="5"/>
  <c r="CI530" i="5"/>
  <c r="CX530" i="5"/>
  <c r="CW530" i="5"/>
  <c r="BR530" i="5"/>
  <c r="CO530" i="5"/>
  <c r="CM530" i="5"/>
  <c r="CJ530" i="5"/>
  <c r="DI529" i="5"/>
  <c r="DG529" i="5"/>
  <c r="BZ529" i="5"/>
  <c r="CY529" i="5"/>
  <c r="CI529" i="5"/>
  <c r="CX529" i="5"/>
  <c r="CW529" i="5"/>
  <c r="BR529" i="5"/>
  <c r="CO529" i="5"/>
  <c r="CM529" i="5"/>
  <c r="CJ529" i="5"/>
  <c r="DI528" i="5"/>
  <c r="DG528" i="5"/>
  <c r="BZ528" i="5"/>
  <c r="CY528" i="5"/>
  <c r="CI528" i="5"/>
  <c r="CX528" i="5"/>
  <c r="CW528" i="5"/>
  <c r="BR528" i="5"/>
  <c r="CO528" i="5"/>
  <c r="CM528" i="5"/>
  <c r="CJ528" i="5"/>
  <c r="DI527" i="5"/>
  <c r="DG527" i="5"/>
  <c r="BZ527" i="5"/>
  <c r="CY527" i="5"/>
  <c r="CI527" i="5"/>
  <c r="CX527" i="5"/>
  <c r="CW527" i="5"/>
  <c r="BR527" i="5"/>
  <c r="CO527" i="5"/>
  <c r="CM527" i="5"/>
  <c r="CJ527" i="5"/>
  <c r="DI526" i="5"/>
  <c r="DG526" i="5"/>
  <c r="BZ526" i="5"/>
  <c r="CY526" i="5"/>
  <c r="CI526" i="5"/>
  <c r="CX526" i="5"/>
  <c r="CW526" i="5"/>
  <c r="BR526" i="5"/>
  <c r="CO526" i="5"/>
  <c r="CM526" i="5"/>
  <c r="CJ526" i="5"/>
  <c r="DI525" i="5"/>
  <c r="DG525" i="5"/>
  <c r="BZ525" i="5"/>
  <c r="CY525" i="5"/>
  <c r="CI525" i="5"/>
  <c r="CX525" i="5"/>
  <c r="CW525" i="5"/>
  <c r="BR525" i="5"/>
  <c r="CO525" i="5"/>
  <c r="CM525" i="5"/>
  <c r="CJ525" i="5"/>
  <c r="DI524" i="5"/>
  <c r="CL524" i="5"/>
  <c r="DG524" i="5"/>
  <c r="BZ524" i="5"/>
  <c r="CY524" i="5"/>
  <c r="CI524" i="5"/>
  <c r="CX524" i="5"/>
  <c r="CW524" i="5"/>
  <c r="BR524" i="5"/>
  <c r="CO524" i="5"/>
  <c r="CM524" i="5"/>
  <c r="CJ524" i="5"/>
  <c r="DI523" i="5"/>
  <c r="DG523" i="5"/>
  <c r="BZ523" i="5"/>
  <c r="CY523" i="5"/>
  <c r="CI523" i="5"/>
  <c r="CX523" i="5"/>
  <c r="CW523" i="5"/>
  <c r="BR523" i="5"/>
  <c r="CO523" i="5"/>
  <c r="CM523" i="5"/>
  <c r="CJ523" i="5"/>
  <c r="DI522" i="5"/>
  <c r="DG522" i="5"/>
  <c r="BZ522" i="5"/>
  <c r="CY522" i="5"/>
  <c r="CI522" i="5"/>
  <c r="CX522" i="5"/>
  <c r="CW522" i="5"/>
  <c r="BR522" i="5"/>
  <c r="CO522" i="5"/>
  <c r="CM522" i="5"/>
  <c r="CJ522" i="5"/>
  <c r="DI521" i="5"/>
  <c r="DG521" i="5"/>
  <c r="BZ521" i="5"/>
  <c r="CY521" i="5"/>
  <c r="CI521" i="5"/>
  <c r="CX521" i="5"/>
  <c r="CW521" i="5"/>
  <c r="BR521" i="5"/>
  <c r="CO521" i="5"/>
  <c r="CM521" i="5"/>
  <c r="CJ521" i="5"/>
  <c r="DI520" i="5"/>
  <c r="DG520" i="5"/>
  <c r="BZ520" i="5"/>
  <c r="CY520" i="5"/>
  <c r="CI520" i="5"/>
  <c r="CX520" i="5"/>
  <c r="CW520" i="5"/>
  <c r="BR520" i="5"/>
  <c r="CO520" i="5"/>
  <c r="CM520" i="5"/>
  <c r="CJ520" i="5"/>
  <c r="DI519" i="5"/>
  <c r="DG519" i="5"/>
  <c r="BZ519" i="5"/>
  <c r="CY519" i="5"/>
  <c r="CI519" i="5"/>
  <c r="CX519" i="5"/>
  <c r="CW519" i="5"/>
  <c r="BR519" i="5"/>
  <c r="CO519" i="5"/>
  <c r="CM519" i="5"/>
  <c r="CJ519" i="5"/>
  <c r="DI518" i="5"/>
  <c r="DG518" i="5"/>
  <c r="BZ518" i="5"/>
  <c r="CY518" i="5"/>
  <c r="CI518" i="5"/>
  <c r="CX518" i="5"/>
  <c r="CW518" i="5"/>
  <c r="BR518" i="5"/>
  <c r="CO518" i="5"/>
  <c r="CM518" i="5"/>
  <c r="CJ518" i="5"/>
  <c r="DI517" i="5"/>
  <c r="DG517" i="5"/>
  <c r="BZ517" i="5"/>
  <c r="CY517" i="5"/>
  <c r="CI517" i="5"/>
  <c r="CX517" i="5"/>
  <c r="CW517" i="5"/>
  <c r="BR517" i="5"/>
  <c r="CO517" i="5"/>
  <c r="CM517" i="5"/>
  <c r="CJ517" i="5"/>
  <c r="DI516" i="5"/>
  <c r="DG516" i="5"/>
  <c r="BZ516" i="5"/>
  <c r="CY516" i="5"/>
  <c r="CI516" i="5"/>
  <c r="CX516" i="5"/>
  <c r="CW516" i="5"/>
  <c r="BR516" i="5"/>
  <c r="CO516" i="5"/>
  <c r="CM516" i="5"/>
  <c r="CJ516" i="5"/>
  <c r="DI515" i="5"/>
  <c r="DG515" i="5"/>
  <c r="BZ515" i="5"/>
  <c r="CY515" i="5"/>
  <c r="CI515" i="5"/>
  <c r="CX515" i="5"/>
  <c r="CW515" i="5"/>
  <c r="BR515" i="5"/>
  <c r="CO515" i="5"/>
  <c r="CM515" i="5"/>
  <c r="CJ515" i="5"/>
  <c r="DI514" i="5"/>
  <c r="DG514" i="5"/>
  <c r="BZ514" i="5"/>
  <c r="CY514" i="5"/>
  <c r="CI514" i="5"/>
  <c r="CX514" i="5"/>
  <c r="CW514" i="5"/>
  <c r="BR514" i="5"/>
  <c r="CO514" i="5"/>
  <c r="CM514" i="5"/>
  <c r="CJ514" i="5"/>
  <c r="DI513" i="5"/>
  <c r="DG513" i="5"/>
  <c r="BZ513" i="5"/>
  <c r="CY513" i="5"/>
  <c r="CI513" i="5"/>
  <c r="CX513" i="5"/>
  <c r="CW513" i="5"/>
  <c r="BR513" i="5"/>
  <c r="CO513" i="5"/>
  <c r="CM513" i="5"/>
  <c r="CJ513" i="5"/>
  <c r="DI512" i="5"/>
  <c r="DG512" i="5"/>
  <c r="BZ512" i="5"/>
  <c r="CY512" i="5"/>
  <c r="CI512" i="5"/>
  <c r="CX512" i="5"/>
  <c r="CF512" i="5"/>
  <c r="CW512" i="5"/>
  <c r="BR512" i="5"/>
  <c r="CO512" i="5"/>
  <c r="CM512" i="5"/>
  <c r="CJ512" i="5"/>
  <c r="BR511" i="5"/>
  <c r="CO511" i="5"/>
  <c r="CM511" i="5"/>
  <c r="CJ511" i="5"/>
  <c r="BR510" i="5"/>
  <c r="CO510" i="5"/>
  <c r="CM510" i="5"/>
  <c r="CJ510" i="5"/>
  <c r="BR509" i="5"/>
  <c r="CO509" i="5"/>
  <c r="CM509" i="5"/>
  <c r="CJ509" i="5"/>
  <c r="BR508" i="5"/>
  <c r="CO508" i="5"/>
  <c r="CM508" i="5"/>
  <c r="CJ508" i="5"/>
  <c r="BR507" i="5"/>
  <c r="CO507" i="5"/>
  <c r="BR506" i="5"/>
  <c r="CO506" i="5"/>
  <c r="BR505" i="5"/>
  <c r="CO505" i="5"/>
  <c r="BR504" i="5"/>
  <c r="CO504" i="5"/>
  <c r="BR503" i="5"/>
  <c r="CO503" i="5"/>
  <c r="BR502" i="5"/>
  <c r="CO502" i="5"/>
  <c r="DI501" i="5"/>
  <c r="DG501" i="5"/>
  <c r="CY501" i="5"/>
  <c r="CX501" i="5"/>
  <c r="CW501" i="5"/>
  <c r="BR501" i="5"/>
  <c r="CO501" i="5"/>
  <c r="DI500" i="5"/>
  <c r="DG500" i="5"/>
  <c r="CY500" i="5"/>
  <c r="CX500" i="5"/>
  <c r="CW500" i="5"/>
  <c r="BR500" i="5"/>
  <c r="CO500" i="5"/>
  <c r="DI499" i="5"/>
  <c r="DG499" i="5"/>
  <c r="CY499" i="5"/>
  <c r="CX499" i="5"/>
  <c r="CW499" i="5"/>
  <c r="BR499" i="5"/>
  <c r="CO499" i="5"/>
  <c r="DI498" i="5"/>
  <c r="DG498" i="5"/>
  <c r="CY498" i="5"/>
  <c r="CX498" i="5"/>
  <c r="CW498" i="5"/>
  <c r="BR498" i="5"/>
  <c r="CO498" i="5"/>
  <c r="DI497" i="5"/>
  <c r="DG497" i="5"/>
  <c r="CY497" i="5"/>
  <c r="CX497" i="5"/>
  <c r="CW497" i="5"/>
  <c r="BR497" i="5"/>
  <c r="CO497" i="5"/>
  <c r="DI496" i="5"/>
  <c r="DG496" i="5"/>
  <c r="BZ496" i="5"/>
  <c r="CY496" i="5"/>
  <c r="CI496" i="5"/>
  <c r="CX496" i="5"/>
  <c r="CF496" i="5"/>
  <c r="CW496" i="5"/>
  <c r="BR496" i="5"/>
  <c r="CO496" i="5"/>
  <c r="CM496" i="5"/>
  <c r="CJ496" i="5"/>
  <c r="DI495" i="5"/>
  <c r="DG495" i="5"/>
  <c r="BZ495" i="5"/>
  <c r="CY495" i="5"/>
  <c r="CI495" i="5"/>
  <c r="CX495" i="5"/>
  <c r="CF495" i="5"/>
  <c r="CW495" i="5"/>
  <c r="BR495" i="5"/>
  <c r="CO495" i="5"/>
  <c r="CM495" i="5"/>
  <c r="CJ495" i="5"/>
  <c r="DI494" i="5"/>
  <c r="DG494" i="5"/>
  <c r="BZ494" i="5"/>
  <c r="CY494" i="5"/>
  <c r="CI494" i="5"/>
  <c r="CX494" i="5"/>
  <c r="CF494" i="5"/>
  <c r="CW494" i="5"/>
  <c r="BR494" i="5"/>
  <c r="CO494" i="5"/>
  <c r="CM494" i="5"/>
  <c r="CJ494" i="5"/>
  <c r="DI493" i="5"/>
  <c r="DG493" i="5"/>
  <c r="BZ493" i="5"/>
  <c r="CY493" i="5"/>
  <c r="CI493" i="5"/>
  <c r="CX493" i="5"/>
  <c r="CF493" i="5"/>
  <c r="CW493" i="5"/>
  <c r="BR493" i="5"/>
  <c r="CO493" i="5"/>
  <c r="CM493" i="5"/>
  <c r="CJ493" i="5"/>
  <c r="DI492" i="5"/>
  <c r="DG492" i="5"/>
  <c r="BZ492" i="5"/>
  <c r="CY492" i="5"/>
  <c r="CI492" i="5"/>
  <c r="CX492" i="5"/>
  <c r="CF492" i="5"/>
  <c r="CW492" i="5"/>
  <c r="BR492" i="5"/>
  <c r="CO492" i="5"/>
  <c r="CM492" i="5"/>
  <c r="CJ492" i="5"/>
  <c r="DI491" i="5"/>
  <c r="DG491" i="5"/>
  <c r="BZ491" i="5"/>
  <c r="CY491" i="5"/>
  <c r="CI491" i="5"/>
  <c r="CX491" i="5"/>
  <c r="CF491" i="5"/>
  <c r="CW491" i="5"/>
  <c r="BR491" i="5"/>
  <c r="CO491" i="5"/>
  <c r="CM491" i="5"/>
  <c r="CJ491" i="5"/>
  <c r="DI490" i="5"/>
  <c r="DG490" i="5"/>
  <c r="BZ490" i="5"/>
  <c r="CY490" i="5"/>
  <c r="CI490" i="5"/>
  <c r="CX490" i="5"/>
  <c r="CF490" i="5"/>
  <c r="CW490" i="5"/>
  <c r="BR490" i="5"/>
  <c r="CO490" i="5"/>
  <c r="CM490" i="5"/>
  <c r="CJ490" i="5"/>
  <c r="DI489" i="5"/>
  <c r="DG489" i="5"/>
  <c r="BZ489" i="5"/>
  <c r="CY489" i="5"/>
  <c r="CI489" i="5"/>
  <c r="CX489" i="5"/>
  <c r="CF489" i="5"/>
  <c r="CW489" i="5"/>
  <c r="BR489" i="5"/>
  <c r="CO489" i="5"/>
  <c r="CM489" i="5"/>
  <c r="CJ489" i="5"/>
  <c r="DI488" i="5"/>
  <c r="DG488" i="5"/>
  <c r="BZ488" i="5"/>
  <c r="CY488" i="5"/>
  <c r="CI488" i="5"/>
  <c r="CX488" i="5"/>
  <c r="CF488" i="5"/>
  <c r="CW488" i="5"/>
  <c r="BR488" i="5"/>
  <c r="CO488" i="5"/>
  <c r="CM488" i="5"/>
  <c r="CJ488" i="5"/>
  <c r="DI487" i="5"/>
  <c r="DG487" i="5"/>
  <c r="BZ487" i="5"/>
  <c r="CY487" i="5"/>
  <c r="CI487" i="5"/>
  <c r="CX487" i="5"/>
  <c r="CF487" i="5"/>
  <c r="CW487" i="5"/>
  <c r="BR487" i="5"/>
  <c r="CO487" i="5"/>
  <c r="CM487" i="5"/>
  <c r="CJ487" i="5"/>
  <c r="DI486" i="5"/>
  <c r="DG486" i="5"/>
  <c r="BZ486" i="5"/>
  <c r="CY486" i="5"/>
  <c r="CI486" i="5"/>
  <c r="CX486" i="5"/>
  <c r="CF486" i="5"/>
  <c r="CW486" i="5"/>
  <c r="BR486" i="5"/>
  <c r="CO486" i="5"/>
  <c r="CM486" i="5"/>
  <c r="CJ486" i="5"/>
  <c r="DI485" i="5"/>
  <c r="DG485" i="5"/>
  <c r="BZ485" i="5"/>
  <c r="CY485" i="5"/>
  <c r="CI485" i="5"/>
  <c r="CX485" i="5"/>
  <c r="CF485" i="5"/>
  <c r="CW485" i="5"/>
  <c r="BR485" i="5"/>
  <c r="CO485" i="5"/>
  <c r="CM485" i="5"/>
  <c r="CJ485" i="5"/>
  <c r="DI484" i="5"/>
  <c r="DG484" i="5"/>
  <c r="BZ484" i="5"/>
  <c r="CY484" i="5"/>
  <c r="CI484" i="5"/>
  <c r="CX484" i="5"/>
  <c r="CF484" i="5"/>
  <c r="CW484" i="5"/>
  <c r="BR484" i="5"/>
  <c r="CO484" i="5"/>
  <c r="CM484" i="5"/>
  <c r="CJ484" i="5"/>
  <c r="DI483" i="5"/>
  <c r="DG483" i="5"/>
  <c r="BZ483" i="5"/>
  <c r="CY483" i="5"/>
  <c r="CI483" i="5"/>
  <c r="CX483" i="5"/>
  <c r="CF483" i="5"/>
  <c r="CW483" i="5"/>
  <c r="BR483" i="5"/>
  <c r="CO483" i="5"/>
  <c r="CM483" i="5"/>
  <c r="CJ483" i="5"/>
  <c r="DI482" i="5"/>
  <c r="DG482" i="5"/>
  <c r="BZ482" i="5"/>
  <c r="CY482" i="5"/>
  <c r="CI482" i="5"/>
  <c r="CX482" i="5"/>
  <c r="CF482" i="5"/>
  <c r="CW482" i="5"/>
  <c r="BR482" i="5"/>
  <c r="CO482" i="5"/>
  <c r="CM482" i="5"/>
  <c r="CJ482" i="5"/>
  <c r="DI481" i="5"/>
  <c r="DG481" i="5"/>
  <c r="BZ481" i="5"/>
  <c r="CY481" i="5"/>
  <c r="CI481" i="5"/>
  <c r="CX481" i="5"/>
  <c r="CF481" i="5"/>
  <c r="CW481" i="5"/>
  <c r="BR481" i="5"/>
  <c r="CO481" i="5"/>
  <c r="CM481" i="5"/>
  <c r="CJ481" i="5"/>
  <c r="DI480" i="5"/>
  <c r="DG480" i="5"/>
  <c r="BZ480" i="5"/>
  <c r="CY480" i="5"/>
  <c r="CI480" i="5"/>
  <c r="CX480" i="5"/>
  <c r="CF480" i="5"/>
  <c r="CW480" i="5"/>
  <c r="BR480" i="5"/>
  <c r="CO480" i="5"/>
  <c r="CM480" i="5"/>
  <c r="CJ480" i="5"/>
  <c r="DI479" i="5"/>
  <c r="CL479" i="5"/>
  <c r="DG479" i="5"/>
  <c r="BZ479" i="5"/>
  <c r="CY479" i="5"/>
  <c r="CI479" i="5"/>
  <c r="CX479" i="5"/>
  <c r="CF479" i="5"/>
  <c r="CW479" i="5"/>
  <c r="BR479" i="5"/>
  <c r="CO479" i="5"/>
  <c r="CM479" i="5"/>
  <c r="CJ479" i="5"/>
  <c r="DI478" i="5"/>
  <c r="DG478" i="5"/>
  <c r="BZ478" i="5"/>
  <c r="CY478" i="5"/>
  <c r="CI478" i="5"/>
  <c r="CX478" i="5"/>
  <c r="CF478" i="5"/>
  <c r="CW478" i="5"/>
  <c r="BR478" i="5"/>
  <c r="CO478" i="5"/>
  <c r="CM478" i="5"/>
  <c r="CJ478" i="5"/>
  <c r="DI477" i="5"/>
  <c r="DG477" i="5"/>
  <c r="BZ477" i="5"/>
  <c r="CY477" i="5"/>
  <c r="CI477" i="5"/>
  <c r="CX477" i="5"/>
  <c r="CF477" i="5"/>
  <c r="CW477" i="5"/>
  <c r="BR477" i="5"/>
  <c r="CO477" i="5"/>
  <c r="CM477" i="5"/>
  <c r="CJ477" i="5"/>
  <c r="DI476" i="5"/>
  <c r="DG476" i="5"/>
  <c r="BZ476" i="5"/>
  <c r="CY476" i="5"/>
  <c r="CI476" i="5"/>
  <c r="CX476" i="5"/>
  <c r="CF476" i="5"/>
  <c r="CW476" i="5"/>
  <c r="BR476" i="5"/>
  <c r="CO476" i="5"/>
  <c r="CM476" i="5"/>
  <c r="CJ476" i="5"/>
  <c r="DI475" i="5"/>
  <c r="DG475" i="5"/>
  <c r="BZ475" i="5"/>
  <c r="CY475" i="5"/>
  <c r="CI475" i="5"/>
  <c r="CX475" i="5"/>
  <c r="CF475" i="5"/>
  <c r="CW475" i="5"/>
  <c r="BR475" i="5"/>
  <c r="CO475" i="5"/>
  <c r="CM475" i="5"/>
  <c r="CJ475" i="5"/>
  <c r="DI474" i="5"/>
  <c r="DG474" i="5"/>
  <c r="BZ474" i="5"/>
  <c r="CY474" i="5"/>
  <c r="CI474" i="5"/>
  <c r="CX474" i="5"/>
  <c r="CF474" i="5"/>
  <c r="CW474" i="5"/>
  <c r="BR474" i="5"/>
  <c r="CO474" i="5"/>
  <c r="CM474" i="5"/>
  <c r="CJ474" i="5"/>
  <c r="DI473" i="5"/>
  <c r="DG473" i="5"/>
  <c r="BZ473" i="5"/>
  <c r="CY473" i="5"/>
  <c r="CI473" i="5"/>
  <c r="CX473" i="5"/>
  <c r="CF473" i="5"/>
  <c r="CW473" i="5"/>
  <c r="BR473" i="5"/>
  <c r="CO473" i="5"/>
  <c r="CM473" i="5"/>
  <c r="CJ473" i="5"/>
  <c r="DI472" i="5"/>
  <c r="DG472" i="5"/>
  <c r="BZ472" i="5"/>
  <c r="CY472" i="5"/>
  <c r="CI472" i="5"/>
  <c r="CX472" i="5"/>
  <c r="CF472" i="5"/>
  <c r="CW472" i="5"/>
  <c r="BR472" i="5"/>
  <c r="CO472" i="5"/>
  <c r="CM472" i="5"/>
  <c r="CJ472" i="5"/>
  <c r="DI471" i="5"/>
  <c r="DG471" i="5"/>
  <c r="BZ471" i="5"/>
  <c r="CY471" i="5"/>
  <c r="CI471" i="5"/>
  <c r="CX471" i="5"/>
  <c r="CF471" i="5"/>
  <c r="CW471" i="5"/>
  <c r="BR471" i="5"/>
  <c r="CO471" i="5"/>
  <c r="CM471" i="5"/>
  <c r="CJ471" i="5"/>
  <c r="DI470" i="5"/>
  <c r="DG470" i="5"/>
  <c r="BZ470" i="5"/>
  <c r="CY470" i="5"/>
  <c r="CI470" i="5"/>
  <c r="CX470" i="5"/>
  <c r="CF470" i="5"/>
  <c r="CW470" i="5"/>
  <c r="BR470" i="5"/>
  <c r="CO470" i="5"/>
  <c r="CM470" i="5"/>
  <c r="CJ470" i="5"/>
  <c r="DI469" i="5"/>
  <c r="DG469" i="5"/>
  <c r="BZ469" i="5"/>
  <c r="CY469" i="5"/>
  <c r="CI469" i="5"/>
  <c r="CX469" i="5"/>
  <c r="CF469" i="5"/>
  <c r="CW469" i="5"/>
  <c r="BR469" i="5"/>
  <c r="CO469" i="5"/>
  <c r="CM469" i="5"/>
  <c r="CJ469" i="5"/>
  <c r="DI468" i="5"/>
  <c r="DG468" i="5"/>
  <c r="BZ468" i="5"/>
  <c r="CY468" i="5"/>
  <c r="CI468" i="5"/>
  <c r="CX468" i="5"/>
  <c r="CF468" i="5"/>
  <c r="CW468" i="5"/>
  <c r="BR468" i="5"/>
  <c r="CO468" i="5"/>
  <c r="CM468" i="5"/>
  <c r="CJ468" i="5"/>
  <c r="DI467" i="5"/>
  <c r="DG467" i="5"/>
  <c r="BZ467" i="5"/>
  <c r="CY467" i="5"/>
  <c r="CI467" i="5"/>
  <c r="CX467" i="5"/>
  <c r="CF467" i="5"/>
  <c r="CW467" i="5"/>
  <c r="BR467" i="5"/>
  <c r="CO467" i="5"/>
  <c r="CM467" i="5"/>
  <c r="CJ467" i="5"/>
  <c r="DI466" i="5"/>
  <c r="DG466" i="5"/>
  <c r="BZ466" i="5"/>
  <c r="CY466" i="5"/>
  <c r="CI466" i="5"/>
  <c r="CX466" i="5"/>
  <c r="CF466" i="5"/>
  <c r="CW466" i="5"/>
  <c r="BR466" i="5"/>
  <c r="CO466" i="5"/>
  <c r="CM466" i="5"/>
  <c r="CJ466" i="5"/>
  <c r="DI465" i="5"/>
  <c r="DG465" i="5"/>
  <c r="BZ465" i="5"/>
  <c r="CY465" i="5"/>
  <c r="CI465" i="5"/>
  <c r="CX465" i="5"/>
  <c r="CF465" i="5"/>
  <c r="CW465" i="5"/>
  <c r="BR465" i="5"/>
  <c r="CO465" i="5"/>
  <c r="CM465" i="5"/>
  <c r="CJ465" i="5"/>
  <c r="DI464" i="5"/>
  <c r="DG464" i="5"/>
  <c r="BZ464" i="5"/>
  <c r="CY464" i="5"/>
  <c r="CI464" i="5"/>
  <c r="CX464" i="5"/>
  <c r="CF464" i="5"/>
  <c r="CW464" i="5"/>
  <c r="BR464" i="5"/>
  <c r="CO464" i="5"/>
  <c r="CM464" i="5"/>
  <c r="CJ464" i="5"/>
  <c r="DI463" i="5"/>
  <c r="DG463" i="5"/>
  <c r="BZ463" i="5"/>
  <c r="CY463" i="5"/>
  <c r="CI463" i="5"/>
  <c r="CX463" i="5"/>
  <c r="CF463" i="5"/>
  <c r="CW463" i="5"/>
  <c r="BR463" i="5"/>
  <c r="CO463" i="5"/>
  <c r="CM463" i="5"/>
  <c r="CJ463" i="5"/>
  <c r="DI462" i="5"/>
  <c r="DG462" i="5"/>
  <c r="BZ462" i="5"/>
  <c r="CY462" i="5"/>
  <c r="CI462" i="5"/>
  <c r="CX462" i="5"/>
  <c r="CF462" i="5"/>
  <c r="CW462" i="5"/>
  <c r="BR462" i="5"/>
  <c r="CO462" i="5"/>
  <c r="CM462" i="5"/>
  <c r="CJ462" i="5"/>
  <c r="DI461" i="5"/>
  <c r="DG461" i="5"/>
  <c r="BZ461" i="5"/>
  <c r="CY461" i="5"/>
  <c r="CI461" i="5"/>
  <c r="CX461" i="5"/>
  <c r="CF461" i="5"/>
  <c r="CW461" i="5"/>
  <c r="BR461" i="5"/>
  <c r="CO461" i="5"/>
  <c r="CM461" i="5"/>
  <c r="CJ461" i="5"/>
  <c r="DI460" i="5"/>
  <c r="DG460" i="5"/>
  <c r="BZ460" i="5"/>
  <c r="CY460" i="5"/>
  <c r="CI460" i="5"/>
  <c r="CX460" i="5"/>
  <c r="CF460" i="5"/>
  <c r="CW460" i="5"/>
  <c r="BR460" i="5"/>
  <c r="CO460" i="5"/>
  <c r="CM460" i="5"/>
  <c r="CJ460" i="5"/>
  <c r="DI459" i="5"/>
  <c r="DG459" i="5"/>
  <c r="BZ459" i="5"/>
  <c r="CY459" i="5"/>
  <c r="CI459" i="5"/>
  <c r="CX459" i="5"/>
  <c r="CF459" i="5"/>
  <c r="CW459" i="5"/>
  <c r="BR459" i="5"/>
  <c r="CO459" i="5"/>
  <c r="CM459" i="5"/>
  <c r="CJ459" i="5"/>
  <c r="DI458" i="5"/>
  <c r="DG458" i="5"/>
  <c r="BZ458" i="5"/>
  <c r="CY458" i="5"/>
  <c r="CI458" i="5"/>
  <c r="CX458" i="5"/>
  <c r="CF458" i="5"/>
  <c r="CW458" i="5"/>
  <c r="BR458" i="5"/>
  <c r="CO458" i="5"/>
  <c r="CM458" i="5"/>
  <c r="CJ458" i="5"/>
  <c r="DI457" i="5"/>
  <c r="DG457" i="5"/>
  <c r="BZ457" i="5"/>
  <c r="CY457" i="5"/>
  <c r="CI457" i="5"/>
  <c r="CX457" i="5"/>
  <c r="CF457" i="5"/>
  <c r="CW457" i="5"/>
  <c r="BR457" i="5"/>
  <c r="CO457" i="5"/>
  <c r="CM457" i="5"/>
  <c r="CJ457" i="5"/>
  <c r="DI456" i="5"/>
  <c r="DG456" i="5"/>
  <c r="BZ456" i="5"/>
  <c r="CY456" i="5"/>
  <c r="CI456" i="5"/>
  <c r="CX456" i="5"/>
  <c r="CF456" i="5"/>
  <c r="CW456" i="5"/>
  <c r="BR456" i="5"/>
  <c r="CO456" i="5"/>
  <c r="CM456" i="5"/>
  <c r="CJ456" i="5"/>
  <c r="DI455" i="5"/>
  <c r="DG455" i="5"/>
  <c r="BZ455" i="5"/>
  <c r="CY455" i="5"/>
  <c r="CI455" i="5"/>
  <c r="CX455" i="5"/>
  <c r="CF455" i="5"/>
  <c r="CW455" i="5"/>
  <c r="BR455" i="5"/>
  <c r="CO455" i="5"/>
  <c r="CM455" i="5"/>
  <c r="CJ455" i="5"/>
  <c r="DI454" i="5"/>
  <c r="DG454" i="5"/>
  <c r="BZ454" i="5"/>
  <c r="CY454" i="5"/>
  <c r="CI454" i="5"/>
  <c r="CX454" i="5"/>
  <c r="BR454" i="5"/>
  <c r="CO454" i="5"/>
  <c r="CM454" i="5"/>
  <c r="CJ454" i="5"/>
  <c r="DI453" i="5"/>
  <c r="DG453" i="5"/>
  <c r="BZ453" i="5"/>
  <c r="CY453" i="5"/>
  <c r="CI453" i="5"/>
  <c r="CX453" i="5"/>
  <c r="CD453" i="5"/>
  <c r="CW453" i="5"/>
  <c r="BR453" i="5"/>
  <c r="CO453" i="5"/>
  <c r="CM453" i="5"/>
  <c r="CJ453" i="5"/>
  <c r="CF453" i="5"/>
  <c r="DI452" i="5"/>
  <c r="DG452" i="5"/>
  <c r="BZ452" i="5"/>
  <c r="CY452" i="5"/>
  <c r="CI452" i="5"/>
  <c r="CX452" i="5"/>
  <c r="CD452" i="5"/>
  <c r="CW452" i="5"/>
  <c r="BR452" i="5"/>
  <c r="CO452" i="5"/>
  <c r="CM452" i="5"/>
  <c r="CJ452" i="5"/>
  <c r="CF452" i="5"/>
  <c r="DI451" i="5"/>
  <c r="DG451" i="5"/>
  <c r="BZ451" i="5"/>
  <c r="CY451" i="5"/>
  <c r="CI451" i="5"/>
  <c r="CX451" i="5"/>
  <c r="CD451" i="5"/>
  <c r="CW451" i="5"/>
  <c r="BR451" i="5"/>
  <c r="CO451" i="5"/>
  <c r="CM451" i="5"/>
  <c r="CJ451" i="5"/>
  <c r="CF451" i="5"/>
  <c r="DI450" i="5"/>
  <c r="DG450" i="5"/>
  <c r="BZ450" i="5"/>
  <c r="CY450" i="5"/>
  <c r="CI450" i="5"/>
  <c r="CX450" i="5"/>
  <c r="CD450" i="5"/>
  <c r="CW450" i="5"/>
  <c r="BR450" i="5"/>
  <c r="CO450" i="5"/>
  <c r="CJ450" i="5"/>
  <c r="CF450" i="5"/>
  <c r="DI449" i="5"/>
  <c r="CL449" i="5"/>
  <c r="DG449" i="5"/>
  <c r="BZ449" i="5"/>
  <c r="CY449" i="5"/>
  <c r="CI449" i="5"/>
  <c r="CX449" i="5"/>
  <c r="CD449" i="5"/>
  <c r="CW449" i="5"/>
  <c r="BR449" i="5"/>
  <c r="CO449" i="5"/>
  <c r="CJ449" i="5"/>
  <c r="DI448" i="5"/>
  <c r="DG448" i="5"/>
  <c r="BZ448" i="5"/>
  <c r="CY448" i="5"/>
  <c r="CI448" i="5"/>
  <c r="CX448" i="5"/>
  <c r="CD448" i="5"/>
  <c r="CW448" i="5"/>
  <c r="BR448" i="5"/>
  <c r="CO448" i="5"/>
  <c r="CJ448" i="5"/>
  <c r="DI447" i="5"/>
  <c r="DG447" i="5"/>
  <c r="BZ447" i="5"/>
  <c r="CY447" i="5"/>
  <c r="CI447" i="5"/>
  <c r="CX447" i="5"/>
  <c r="CD447" i="5"/>
  <c r="CW447" i="5"/>
  <c r="BR447" i="5"/>
  <c r="CO447" i="5"/>
  <c r="CJ447" i="5"/>
  <c r="CF447" i="5"/>
  <c r="DI446" i="5"/>
  <c r="DG446" i="5"/>
  <c r="BZ446" i="5"/>
  <c r="CY446" i="5"/>
  <c r="CI446" i="5"/>
  <c r="CX446" i="5"/>
  <c r="CD446" i="5"/>
  <c r="CW446" i="5"/>
  <c r="BR446" i="5"/>
  <c r="CO446" i="5"/>
  <c r="CJ446" i="5"/>
  <c r="CF446" i="5"/>
  <c r="DI445" i="5"/>
  <c r="DG445" i="5"/>
  <c r="BZ445" i="5"/>
  <c r="CY445" i="5"/>
  <c r="CI445" i="5"/>
  <c r="CX445" i="5"/>
  <c r="CD445" i="5"/>
  <c r="CW445" i="5"/>
  <c r="BR445" i="5"/>
  <c r="CO445" i="5"/>
  <c r="CJ445" i="5"/>
  <c r="CF445" i="5"/>
  <c r="DI444" i="5"/>
  <c r="CL444" i="5"/>
  <c r="DG444" i="5"/>
  <c r="BZ444" i="5"/>
  <c r="CY444" i="5"/>
  <c r="CI444" i="5"/>
  <c r="CX444" i="5"/>
  <c r="CD444" i="5"/>
  <c r="CW444" i="5"/>
  <c r="BR444" i="5"/>
  <c r="CO444" i="5"/>
  <c r="CM444" i="5"/>
  <c r="CJ444" i="5"/>
  <c r="CF444" i="5"/>
  <c r="DI443" i="5"/>
  <c r="CL443" i="5"/>
  <c r="DG443" i="5"/>
  <c r="BZ443" i="5"/>
  <c r="CY443" i="5"/>
  <c r="CI443" i="5"/>
  <c r="CX443" i="5"/>
  <c r="CD443" i="5"/>
  <c r="CW443" i="5"/>
  <c r="BR443" i="5"/>
  <c r="CO443" i="5"/>
  <c r="CM443" i="5"/>
  <c r="CJ443" i="5"/>
  <c r="CF443" i="5"/>
  <c r="DI442" i="5"/>
  <c r="CL442" i="5"/>
  <c r="DG442" i="5"/>
  <c r="BZ442" i="5"/>
  <c r="CY442" i="5"/>
  <c r="CI442" i="5"/>
  <c r="CX442" i="5"/>
  <c r="CD442" i="5"/>
  <c r="CW442" i="5"/>
  <c r="BR442" i="5"/>
  <c r="CO442" i="5"/>
  <c r="CM442" i="5"/>
  <c r="CJ442" i="5"/>
  <c r="CF442" i="5"/>
  <c r="DI441" i="5"/>
  <c r="CL441" i="5"/>
  <c r="DG441" i="5"/>
  <c r="BZ441" i="5"/>
  <c r="CY441" i="5"/>
  <c r="CI441" i="5"/>
  <c r="CX441" i="5"/>
  <c r="CD441" i="5"/>
  <c r="CW441" i="5"/>
  <c r="BR441" i="5"/>
  <c r="CO441" i="5"/>
  <c r="CM441" i="5"/>
  <c r="CJ441" i="5"/>
  <c r="CF441" i="5"/>
  <c r="DI440" i="5"/>
  <c r="CL440" i="5"/>
  <c r="DG440" i="5"/>
  <c r="BZ440" i="5"/>
  <c r="CY440" i="5"/>
  <c r="CI440" i="5"/>
  <c r="CX440" i="5"/>
  <c r="CD440" i="5"/>
  <c r="CW440" i="5"/>
  <c r="BR440" i="5"/>
  <c r="CO440" i="5"/>
  <c r="CM440" i="5"/>
  <c r="CJ440" i="5"/>
  <c r="CF440" i="5"/>
  <c r="DI439" i="5"/>
  <c r="CL439" i="5"/>
  <c r="DG439" i="5"/>
  <c r="BZ439" i="5"/>
  <c r="CY439" i="5"/>
  <c r="CI439" i="5"/>
  <c r="CX439" i="5"/>
  <c r="CD439" i="5"/>
  <c r="CW439" i="5"/>
  <c r="BR439" i="5"/>
  <c r="CO439" i="5"/>
  <c r="CM439" i="5"/>
  <c r="CJ439" i="5"/>
  <c r="CF439" i="5"/>
  <c r="DI438" i="5"/>
  <c r="CL438" i="5"/>
  <c r="DG438" i="5"/>
  <c r="BZ438" i="5"/>
  <c r="CY438" i="5"/>
  <c r="CI438" i="5"/>
  <c r="CX438" i="5"/>
  <c r="CD438" i="5"/>
  <c r="CW438" i="5"/>
  <c r="BR438" i="5"/>
  <c r="CO438" i="5"/>
  <c r="CM438" i="5"/>
  <c r="CJ438" i="5"/>
  <c r="CF438" i="5"/>
  <c r="DI437" i="5"/>
  <c r="DG437" i="5"/>
  <c r="BZ437" i="5"/>
  <c r="CY437" i="5"/>
  <c r="CI437" i="5"/>
  <c r="CX437" i="5"/>
  <c r="CD437" i="5"/>
  <c r="CW437" i="5"/>
  <c r="BR437" i="5"/>
  <c r="CO437" i="5"/>
  <c r="CM437" i="5"/>
  <c r="CJ437" i="5"/>
  <c r="CF437" i="5"/>
  <c r="DI436" i="5"/>
  <c r="DG436" i="5"/>
  <c r="BZ436" i="5"/>
  <c r="CY436" i="5"/>
  <c r="CI436" i="5"/>
  <c r="CX436" i="5"/>
  <c r="CD436" i="5"/>
  <c r="CW436" i="5"/>
  <c r="BR436" i="5"/>
  <c r="CO436" i="5"/>
  <c r="CM436" i="5"/>
  <c r="CJ436" i="5"/>
  <c r="CF436" i="5"/>
  <c r="DI435" i="5"/>
  <c r="CL435" i="5"/>
  <c r="DG435" i="5"/>
  <c r="BZ435" i="5"/>
  <c r="CY435" i="5"/>
  <c r="CI435" i="5"/>
  <c r="CX435" i="5"/>
  <c r="CD435" i="5"/>
  <c r="CW435" i="5"/>
  <c r="BR435" i="5"/>
  <c r="CO435" i="5"/>
  <c r="CM435" i="5"/>
  <c r="CJ435" i="5"/>
  <c r="CF435" i="5"/>
  <c r="DI434" i="5"/>
  <c r="CL434" i="5"/>
  <c r="DG434" i="5"/>
  <c r="BZ434" i="5"/>
  <c r="CY434" i="5"/>
  <c r="CI434" i="5"/>
  <c r="CX434" i="5"/>
  <c r="BR434" i="5"/>
  <c r="CO434" i="5"/>
  <c r="CM434" i="5"/>
  <c r="CJ434" i="5"/>
  <c r="CF434" i="5"/>
  <c r="DI433" i="5"/>
  <c r="CL433" i="5"/>
  <c r="DG433" i="5"/>
  <c r="BZ433" i="5"/>
  <c r="CY433" i="5"/>
  <c r="CI433" i="5"/>
  <c r="CX433" i="5"/>
  <c r="BR433" i="5"/>
  <c r="CO433" i="5"/>
  <c r="CM433" i="5"/>
  <c r="CJ433" i="5"/>
  <c r="CF433" i="5"/>
  <c r="DI432" i="5"/>
  <c r="CL432" i="5"/>
  <c r="DG432" i="5"/>
  <c r="BZ432" i="5"/>
  <c r="CY432" i="5"/>
  <c r="CI432" i="5"/>
  <c r="CX432" i="5"/>
  <c r="BR432" i="5"/>
  <c r="CO432" i="5"/>
  <c r="CM432" i="5"/>
  <c r="CJ432" i="5"/>
  <c r="DI431" i="5"/>
  <c r="CL431" i="5"/>
  <c r="DG431" i="5"/>
  <c r="BZ431" i="5"/>
  <c r="CY431" i="5"/>
  <c r="CI431" i="5"/>
  <c r="CX431" i="5"/>
  <c r="BR431" i="5"/>
  <c r="CO431" i="5"/>
  <c r="CM431" i="5"/>
  <c r="CJ431" i="5"/>
  <c r="DI430" i="5"/>
  <c r="CL430" i="5"/>
  <c r="DG430" i="5"/>
  <c r="BZ430" i="5"/>
  <c r="CY430" i="5"/>
  <c r="CI430" i="5"/>
  <c r="CX430" i="5"/>
  <c r="BR430" i="5"/>
  <c r="CO430" i="5"/>
  <c r="CM430" i="5"/>
  <c r="CJ430" i="5"/>
  <c r="DI429" i="5"/>
  <c r="CL429" i="5"/>
  <c r="DG429" i="5"/>
  <c r="BZ429" i="5"/>
  <c r="CY429" i="5"/>
  <c r="CI429" i="5"/>
  <c r="CX429" i="5"/>
  <c r="BR429" i="5"/>
  <c r="CO429" i="5"/>
  <c r="CJ429" i="5"/>
  <c r="DI428" i="5"/>
  <c r="DG428" i="5"/>
  <c r="BZ428" i="5"/>
  <c r="CY428" i="5"/>
  <c r="CI428" i="5"/>
  <c r="CX428" i="5"/>
  <c r="BR428" i="5"/>
  <c r="CO428" i="5"/>
  <c r="CJ428" i="5"/>
  <c r="DI427" i="5"/>
  <c r="CL427" i="5"/>
  <c r="DG427" i="5"/>
  <c r="BZ427" i="5"/>
  <c r="CY427" i="5"/>
  <c r="CI427" i="5"/>
  <c r="CX427" i="5"/>
  <c r="BR427" i="5"/>
  <c r="CO427" i="5"/>
  <c r="CM427" i="5"/>
  <c r="CJ427" i="5"/>
  <c r="DI426" i="5"/>
  <c r="CL426" i="5"/>
  <c r="DG426" i="5"/>
  <c r="BZ426" i="5"/>
  <c r="CY426" i="5"/>
  <c r="CI426" i="5"/>
  <c r="CX426" i="5"/>
  <c r="BR426" i="5"/>
  <c r="CO426" i="5"/>
  <c r="CM426" i="5"/>
  <c r="CJ426" i="5"/>
  <c r="CF426" i="5"/>
  <c r="DI425" i="5"/>
  <c r="CL425" i="5"/>
  <c r="DG425" i="5"/>
  <c r="BZ425" i="5"/>
  <c r="CY425" i="5"/>
  <c r="CI425" i="5"/>
  <c r="CX425" i="5"/>
  <c r="BR425" i="5"/>
  <c r="CO425" i="5"/>
  <c r="CM425" i="5"/>
  <c r="CJ425" i="5"/>
  <c r="DI424" i="5"/>
  <c r="CL424" i="5"/>
  <c r="DG424" i="5"/>
  <c r="BZ424" i="5"/>
  <c r="CY424" i="5"/>
  <c r="CI424" i="5"/>
  <c r="CX424" i="5"/>
  <c r="BR424" i="5"/>
  <c r="CO424" i="5"/>
  <c r="CM424" i="5"/>
  <c r="CJ424" i="5"/>
  <c r="DI423" i="5"/>
  <c r="CL423" i="5"/>
  <c r="DG423" i="5"/>
  <c r="BZ423" i="5"/>
  <c r="CY423" i="5"/>
  <c r="CI423" i="5"/>
  <c r="CX423" i="5"/>
  <c r="BR423" i="5"/>
  <c r="CO423" i="5"/>
  <c r="CM423" i="5"/>
  <c r="CJ423" i="5"/>
  <c r="BT423" i="5"/>
  <c r="DI422" i="5"/>
  <c r="CL422" i="5"/>
  <c r="DG422" i="5"/>
  <c r="BZ422" i="5"/>
  <c r="CY422" i="5"/>
  <c r="CI422" i="5"/>
  <c r="CX422" i="5"/>
  <c r="BR422" i="5"/>
  <c r="CO422" i="5"/>
  <c r="CM422" i="5"/>
  <c r="CJ422" i="5"/>
  <c r="CF422" i="5"/>
  <c r="BT422" i="5"/>
  <c r="DI421" i="5"/>
  <c r="CL421" i="5"/>
  <c r="DG421" i="5"/>
  <c r="BZ421" i="5"/>
  <c r="CY421" i="5"/>
  <c r="CI421" i="5"/>
  <c r="CX421" i="5"/>
  <c r="BR421" i="5"/>
  <c r="CO421" i="5"/>
  <c r="CM421" i="5"/>
  <c r="CJ421" i="5"/>
  <c r="CF421" i="5"/>
  <c r="DI420" i="5"/>
  <c r="CL420" i="5"/>
  <c r="DG420" i="5"/>
  <c r="BZ420" i="5"/>
  <c r="CY420" i="5"/>
  <c r="BR420" i="5"/>
  <c r="CO420" i="5"/>
  <c r="CM420" i="5"/>
  <c r="CJ420" i="5"/>
  <c r="BT420" i="5"/>
  <c r="DI419" i="5"/>
  <c r="CL419" i="5"/>
  <c r="DG419" i="5"/>
  <c r="BZ419" i="5"/>
  <c r="CY419" i="5"/>
  <c r="BR419" i="5"/>
  <c r="CO419" i="5"/>
  <c r="CM419" i="5"/>
  <c r="CJ419" i="5"/>
  <c r="CF419" i="5"/>
  <c r="BT419" i="5"/>
  <c r="DI418" i="5"/>
  <c r="CL418" i="5"/>
  <c r="DG418" i="5"/>
  <c r="BZ418" i="5"/>
  <c r="CY418" i="5"/>
  <c r="CI418" i="5"/>
  <c r="CX418" i="5"/>
  <c r="BR418" i="5"/>
  <c r="CO418" i="5"/>
  <c r="CM418" i="5"/>
  <c r="CJ418" i="5"/>
  <c r="BT418" i="5"/>
  <c r="DI417" i="5"/>
  <c r="CL417" i="5"/>
  <c r="DG417" i="5"/>
  <c r="BZ417" i="5"/>
  <c r="CY417" i="5"/>
  <c r="CI417" i="5"/>
  <c r="CX417" i="5"/>
  <c r="BR417" i="5"/>
  <c r="CO417" i="5"/>
  <c r="CM417" i="5"/>
  <c r="CJ417" i="5"/>
  <c r="DI416" i="5"/>
  <c r="CL416" i="5"/>
  <c r="DG416" i="5"/>
  <c r="BZ416" i="5"/>
  <c r="CY416" i="5"/>
  <c r="CI416" i="5"/>
  <c r="CX416" i="5"/>
  <c r="BR416" i="5"/>
  <c r="CO416" i="5"/>
  <c r="CM416" i="5"/>
  <c r="CJ416" i="5"/>
  <c r="CF416" i="5"/>
  <c r="BT416" i="5"/>
  <c r="DF415" i="5"/>
  <c r="DI415" i="5"/>
  <c r="CL415" i="5"/>
  <c r="DG415" i="5"/>
  <c r="BZ415" i="5"/>
  <c r="CY415" i="5"/>
  <c r="CI415" i="5"/>
  <c r="CX415" i="5"/>
  <c r="BR415" i="5"/>
  <c r="CO415" i="5"/>
  <c r="CM415" i="5"/>
  <c r="CJ415" i="5"/>
  <c r="CF415" i="5"/>
  <c r="BT415" i="5"/>
  <c r="DF414" i="5"/>
  <c r="DI414" i="5"/>
  <c r="CL414" i="5"/>
  <c r="DG414" i="5"/>
  <c r="BZ414" i="5"/>
  <c r="CY414" i="5"/>
  <c r="CI414" i="5"/>
  <c r="CX414" i="5"/>
  <c r="CD414" i="5"/>
  <c r="CW414" i="5"/>
  <c r="BR414" i="5"/>
  <c r="CO414" i="5"/>
  <c r="CM414" i="5"/>
  <c r="CJ414" i="5"/>
  <c r="CF414" i="5"/>
  <c r="BT414" i="5"/>
  <c r="DF413" i="5"/>
  <c r="DI413" i="5"/>
  <c r="CL413" i="5"/>
  <c r="DG413" i="5"/>
  <c r="BZ413" i="5"/>
  <c r="CY413" i="5"/>
  <c r="CI413" i="5"/>
  <c r="CX413" i="5"/>
  <c r="CD413" i="5"/>
  <c r="CW413" i="5"/>
  <c r="BR413" i="5"/>
  <c r="CO413" i="5"/>
  <c r="CM413" i="5"/>
  <c r="CJ413" i="5"/>
  <c r="CF413" i="5"/>
  <c r="BT413" i="5"/>
  <c r="DF412" i="5"/>
  <c r="DI412" i="5"/>
  <c r="CL412" i="5"/>
  <c r="DG412" i="5"/>
  <c r="BZ412" i="5"/>
  <c r="CY412" i="5"/>
  <c r="CI412" i="5"/>
  <c r="CX412" i="5"/>
  <c r="CD412" i="5"/>
  <c r="CW412" i="5"/>
  <c r="BR412" i="5"/>
  <c r="CO412" i="5"/>
  <c r="CJ412" i="5"/>
  <c r="CF412" i="5"/>
  <c r="BT412" i="5"/>
  <c r="DF411" i="5"/>
  <c r="DI411" i="5"/>
  <c r="CL411" i="5"/>
  <c r="DG411" i="5"/>
  <c r="BZ411" i="5"/>
  <c r="CY411" i="5"/>
  <c r="CI411" i="5"/>
  <c r="CX411" i="5"/>
  <c r="CD411" i="5"/>
  <c r="CW411" i="5"/>
  <c r="BR411" i="5"/>
  <c r="CO411" i="5"/>
  <c r="CJ411" i="5"/>
  <c r="CF411" i="5"/>
  <c r="BT411" i="5"/>
  <c r="DF410" i="5"/>
  <c r="DI410" i="5"/>
  <c r="CL410" i="5"/>
  <c r="DG410" i="5"/>
  <c r="CD410" i="5"/>
  <c r="CW410" i="5"/>
  <c r="BR410" i="5"/>
  <c r="CO410" i="5"/>
  <c r="CM410" i="5"/>
  <c r="CJ410" i="5"/>
  <c r="BT410" i="5"/>
  <c r="DF409" i="5"/>
  <c r="DI409" i="5"/>
  <c r="CL409" i="5"/>
  <c r="DG409" i="5"/>
  <c r="CD409" i="5"/>
  <c r="CW409" i="5"/>
  <c r="BR409" i="5"/>
  <c r="CO409" i="5"/>
  <c r="CM409" i="5"/>
  <c r="CJ409" i="5"/>
  <c r="BT409" i="5"/>
  <c r="DF408" i="5"/>
  <c r="DI408" i="5"/>
  <c r="CL408" i="5"/>
  <c r="DG408" i="5"/>
  <c r="CD408" i="5"/>
  <c r="CW408" i="5"/>
  <c r="BR408" i="5"/>
  <c r="CO408" i="5"/>
  <c r="CM408" i="5"/>
  <c r="CJ408" i="5"/>
  <c r="BT408" i="5"/>
  <c r="DF407" i="5"/>
  <c r="DI407" i="5"/>
  <c r="CL407" i="5"/>
  <c r="DG407" i="5"/>
  <c r="CD407" i="5"/>
  <c r="CW407" i="5"/>
  <c r="BR407" i="5"/>
  <c r="CO407" i="5"/>
  <c r="CM407" i="5"/>
  <c r="CJ407" i="5"/>
  <c r="BT407" i="5"/>
  <c r="DF406" i="5"/>
  <c r="DI406" i="5"/>
  <c r="CL406" i="5"/>
  <c r="DG406" i="5"/>
  <c r="CD406" i="5"/>
  <c r="CW406" i="5"/>
  <c r="BR406" i="5"/>
  <c r="CO406" i="5"/>
  <c r="CM406" i="5"/>
  <c r="CJ406" i="5"/>
  <c r="BT406" i="5"/>
  <c r="DF405" i="5"/>
  <c r="DI405" i="5"/>
  <c r="CL405" i="5"/>
  <c r="DG405" i="5"/>
  <c r="CD405" i="5"/>
  <c r="CW405" i="5"/>
  <c r="BR405" i="5"/>
  <c r="CO405" i="5"/>
  <c r="CM405" i="5"/>
  <c r="CJ405" i="5"/>
  <c r="BT405" i="5"/>
  <c r="DF404" i="5"/>
  <c r="DI404" i="5"/>
  <c r="CL404" i="5"/>
  <c r="DG404" i="5"/>
  <c r="BR404" i="5"/>
  <c r="CO404" i="5"/>
  <c r="CM404" i="5"/>
  <c r="CJ404" i="5"/>
  <c r="BT404" i="5"/>
  <c r="DF403" i="5"/>
  <c r="DI403" i="5"/>
  <c r="CL403" i="5"/>
  <c r="DG403" i="5"/>
  <c r="BR403" i="5"/>
  <c r="CO403" i="5"/>
  <c r="CM403" i="5"/>
  <c r="CJ403" i="5"/>
  <c r="BT403" i="5"/>
  <c r="DF402" i="5"/>
  <c r="DI402" i="5"/>
  <c r="CL402" i="5"/>
  <c r="DG402" i="5"/>
  <c r="BR402" i="5"/>
  <c r="CO402" i="5"/>
  <c r="CM402" i="5"/>
  <c r="CJ402" i="5"/>
  <c r="BT402" i="5"/>
  <c r="DF401" i="5"/>
  <c r="DI401" i="5"/>
  <c r="CL401" i="5"/>
  <c r="DG401" i="5"/>
  <c r="BR401" i="5"/>
  <c r="CO401" i="5"/>
  <c r="CM401" i="5"/>
  <c r="CJ401" i="5"/>
  <c r="BT401" i="5"/>
  <c r="DF400" i="5"/>
  <c r="DI400" i="5"/>
  <c r="CL400" i="5"/>
  <c r="DG400" i="5"/>
  <c r="BR400" i="5"/>
  <c r="CO400" i="5"/>
  <c r="CM400" i="5"/>
  <c r="CJ400" i="5"/>
  <c r="BT400" i="5"/>
  <c r="DF399" i="5"/>
  <c r="DI399" i="5"/>
  <c r="CL399" i="5"/>
  <c r="DG399" i="5"/>
  <c r="BR399" i="5"/>
  <c r="CO399" i="5"/>
  <c r="CM399" i="5"/>
  <c r="CJ399" i="5"/>
  <c r="BT399" i="5"/>
  <c r="DF398" i="5"/>
  <c r="DI398" i="5"/>
  <c r="CL398" i="5"/>
  <c r="DG398" i="5"/>
  <c r="BR398" i="5"/>
  <c r="CO398" i="5"/>
  <c r="CM398" i="5"/>
  <c r="CJ398" i="5"/>
  <c r="BT398" i="5"/>
  <c r="DF397" i="5"/>
  <c r="DI397" i="5"/>
  <c r="CL397" i="5"/>
  <c r="DG397" i="5"/>
  <c r="BR397" i="5"/>
  <c r="CO397" i="5"/>
  <c r="CM397" i="5"/>
  <c r="CJ397" i="5"/>
  <c r="BT397" i="5"/>
  <c r="DF396" i="5"/>
  <c r="DI396" i="5"/>
  <c r="CL396" i="5"/>
  <c r="DG396" i="5"/>
  <c r="BR396" i="5"/>
  <c r="CO396" i="5"/>
  <c r="CM396" i="5"/>
  <c r="CJ396" i="5"/>
  <c r="BT396" i="5"/>
  <c r="DF395" i="5"/>
  <c r="DI395" i="5"/>
  <c r="CL395" i="5"/>
  <c r="DG395" i="5"/>
  <c r="BR395" i="5"/>
  <c r="CO395" i="5"/>
  <c r="CJ395" i="5"/>
  <c r="BT395" i="5"/>
  <c r="DF394" i="5"/>
  <c r="DI394" i="5"/>
  <c r="CL394" i="5"/>
  <c r="DG394" i="5"/>
  <c r="CD394" i="5"/>
  <c r="CW394" i="5"/>
  <c r="BR394" i="5"/>
  <c r="CO394" i="5"/>
  <c r="CJ394" i="5"/>
  <c r="BT394" i="5"/>
  <c r="DF393" i="5"/>
  <c r="DI393" i="5"/>
  <c r="CL393" i="5"/>
  <c r="DG393" i="5"/>
  <c r="CD393" i="5"/>
  <c r="CW393" i="5"/>
  <c r="BR393" i="5"/>
  <c r="CO393" i="5"/>
  <c r="CJ393" i="5"/>
  <c r="BT393" i="5"/>
  <c r="DF392" i="5"/>
  <c r="DI392" i="5"/>
  <c r="DG392" i="5"/>
  <c r="CD392" i="5"/>
  <c r="CW392" i="5"/>
  <c r="BR392" i="5"/>
  <c r="CO392" i="5"/>
  <c r="CJ392" i="5"/>
  <c r="BT392" i="5"/>
  <c r="DI391" i="5"/>
  <c r="CL391" i="5"/>
  <c r="DG391" i="5"/>
  <c r="CD391" i="5"/>
  <c r="CW391" i="5"/>
  <c r="BR391" i="5"/>
  <c r="CO391" i="5"/>
  <c r="CJ391" i="5"/>
  <c r="BT391" i="5"/>
  <c r="DI390" i="5"/>
  <c r="DG390" i="5"/>
  <c r="CD390" i="5"/>
  <c r="CW390" i="5"/>
  <c r="BR390" i="5"/>
  <c r="CO390" i="5"/>
  <c r="CJ390" i="5"/>
  <c r="DI389" i="5"/>
  <c r="CL389" i="5"/>
  <c r="DG389" i="5"/>
  <c r="CD389" i="5"/>
  <c r="CW389" i="5"/>
  <c r="BR389" i="5"/>
  <c r="CO389" i="5"/>
  <c r="CJ389" i="5"/>
  <c r="DI388" i="5"/>
  <c r="DG388" i="5"/>
  <c r="CD388" i="5"/>
  <c r="CW388" i="5"/>
  <c r="BR388" i="5"/>
  <c r="CO388" i="5"/>
  <c r="CJ388" i="5"/>
  <c r="DI387" i="5"/>
  <c r="CL387" i="5"/>
  <c r="DG387" i="5"/>
  <c r="CD387" i="5"/>
  <c r="CW387" i="5"/>
  <c r="BR387" i="5"/>
  <c r="CO387" i="5"/>
  <c r="CJ387" i="5"/>
  <c r="DI386" i="5"/>
  <c r="CL386" i="5"/>
  <c r="DG386" i="5"/>
  <c r="CD386" i="5"/>
  <c r="CW386" i="5"/>
  <c r="BR386" i="5"/>
  <c r="CO386" i="5"/>
  <c r="CJ386" i="5"/>
  <c r="DI385" i="5"/>
  <c r="DG385" i="5"/>
  <c r="CD385" i="5"/>
  <c r="CW385" i="5"/>
  <c r="BR385" i="5"/>
  <c r="CO385" i="5"/>
  <c r="CJ385" i="5"/>
  <c r="DI384" i="5"/>
  <c r="DG384" i="5"/>
  <c r="CD384" i="5"/>
  <c r="CW384" i="5"/>
  <c r="BR384" i="5"/>
  <c r="CO384" i="5"/>
  <c r="CJ384" i="5"/>
  <c r="BT384" i="5"/>
  <c r="DI383" i="5"/>
  <c r="DG383" i="5"/>
  <c r="CD383" i="5"/>
  <c r="CW383" i="5"/>
  <c r="BR383" i="5"/>
  <c r="CO383" i="5"/>
  <c r="CJ383" i="5"/>
  <c r="BT383" i="5"/>
  <c r="DI382" i="5"/>
  <c r="CL382" i="5"/>
  <c r="DG382" i="5"/>
  <c r="CD382" i="5"/>
  <c r="CW382" i="5"/>
  <c r="BR382" i="5"/>
  <c r="CO382" i="5"/>
  <c r="CJ382" i="5"/>
  <c r="DI381" i="5"/>
  <c r="DG381" i="5"/>
  <c r="CD381" i="5"/>
  <c r="CW381" i="5"/>
  <c r="BR381" i="5"/>
  <c r="CO381" i="5"/>
  <c r="CJ381" i="5"/>
  <c r="DI380" i="5"/>
  <c r="DG380" i="5"/>
  <c r="CD380" i="5"/>
  <c r="CW380" i="5"/>
  <c r="BR380" i="5"/>
  <c r="CO380" i="5"/>
  <c r="CJ380" i="5"/>
  <c r="DI379" i="5"/>
  <c r="CL379" i="5"/>
  <c r="DG379" i="5"/>
  <c r="CD379" i="5"/>
  <c r="CW379" i="5"/>
  <c r="BR379" i="5"/>
  <c r="CO379" i="5"/>
  <c r="CJ379" i="5"/>
  <c r="DI378" i="5"/>
  <c r="DG378" i="5"/>
  <c r="CD378" i="5"/>
  <c r="CW378" i="5"/>
  <c r="BR378" i="5"/>
  <c r="CO378" i="5"/>
  <c r="CJ378" i="5"/>
  <c r="DI377" i="5"/>
  <c r="DG377" i="5"/>
  <c r="CD377" i="5"/>
  <c r="CW377" i="5"/>
  <c r="BR377" i="5"/>
  <c r="CO377" i="5"/>
  <c r="CJ377" i="5"/>
  <c r="DI376" i="5"/>
  <c r="DG376" i="5"/>
  <c r="CD376" i="5"/>
  <c r="CW376" i="5"/>
  <c r="BR376" i="5"/>
  <c r="CO376" i="5"/>
  <c r="CJ376" i="5"/>
  <c r="DI375" i="5"/>
  <c r="DG375" i="5"/>
  <c r="CD375" i="5"/>
  <c r="CW375" i="5"/>
  <c r="BR375" i="5"/>
  <c r="CO375" i="5"/>
  <c r="CM375" i="5"/>
  <c r="CJ375" i="5"/>
  <c r="BT375" i="5"/>
  <c r="DI374" i="5"/>
  <c r="DG374" i="5"/>
  <c r="CD374" i="5"/>
  <c r="CW374" i="5"/>
  <c r="BR374" i="5"/>
  <c r="CO374" i="5"/>
  <c r="CM374" i="5"/>
  <c r="CJ374" i="5"/>
  <c r="DI373" i="5"/>
  <c r="DG373" i="5"/>
  <c r="CD373" i="5"/>
  <c r="CW373" i="5"/>
  <c r="BR373" i="5"/>
  <c r="CO373" i="5"/>
  <c r="CM373" i="5"/>
  <c r="CJ373" i="5"/>
  <c r="BT373" i="5"/>
  <c r="DI372" i="5"/>
  <c r="CL372" i="5"/>
  <c r="DG372" i="5"/>
  <c r="CD372" i="5"/>
  <c r="CW372" i="5"/>
  <c r="BR372" i="5"/>
  <c r="CO372" i="5"/>
  <c r="CJ372" i="5"/>
  <c r="BR371" i="5"/>
  <c r="CO371" i="5"/>
  <c r="CM371" i="5"/>
  <c r="CJ371" i="5"/>
  <c r="BT371" i="5"/>
  <c r="BR370" i="5"/>
  <c r="CO370" i="5"/>
  <c r="CJ370" i="5"/>
  <c r="BR369" i="5"/>
  <c r="CO369" i="5"/>
  <c r="CM369" i="5"/>
  <c r="CJ369" i="5"/>
  <c r="BT369" i="5"/>
  <c r="BR368" i="5"/>
  <c r="CO368" i="5"/>
  <c r="CJ368" i="5"/>
  <c r="BT368" i="5"/>
  <c r="BR367" i="5"/>
  <c r="CO367" i="5"/>
  <c r="CJ367" i="5"/>
  <c r="BU367" i="5"/>
  <c r="BT367" i="5"/>
  <c r="BR366" i="5"/>
  <c r="CO366" i="5"/>
  <c r="CM366" i="5"/>
  <c r="CJ366" i="5"/>
  <c r="BU366" i="5"/>
  <c r="BR365" i="5"/>
  <c r="CO365" i="5"/>
  <c r="CM365" i="5"/>
  <c r="CJ365" i="5"/>
  <c r="BU365" i="5"/>
  <c r="BT365" i="5"/>
  <c r="BR364" i="5"/>
  <c r="CO364" i="5"/>
  <c r="CM364" i="5"/>
  <c r="CJ364" i="5"/>
  <c r="BT364" i="5"/>
  <c r="BR363" i="5"/>
  <c r="CO363" i="5"/>
  <c r="CM363" i="5"/>
  <c r="CJ363" i="5"/>
  <c r="BU363" i="5"/>
  <c r="BR362" i="5"/>
  <c r="CO362" i="5"/>
  <c r="CM362" i="5"/>
  <c r="CJ362" i="5"/>
  <c r="BR361" i="5"/>
  <c r="CO361" i="5"/>
  <c r="CM361" i="5"/>
  <c r="CJ361" i="5"/>
  <c r="BT361" i="5"/>
  <c r="BR360" i="5"/>
  <c r="CO360" i="5"/>
  <c r="CM360" i="5"/>
  <c r="CJ360" i="5"/>
  <c r="BT360" i="5"/>
  <c r="BR359" i="5"/>
  <c r="CO359" i="5"/>
  <c r="CM359" i="5"/>
  <c r="CJ359" i="5"/>
  <c r="BT359" i="5"/>
  <c r="BR358" i="5"/>
  <c r="CO358" i="5"/>
  <c r="CM358" i="5"/>
  <c r="CJ358" i="5"/>
  <c r="BT358" i="5"/>
  <c r="BR357" i="5"/>
  <c r="CO357" i="5"/>
  <c r="CM357" i="5"/>
  <c r="CJ357" i="5"/>
  <c r="BT357" i="5"/>
  <c r="BR356" i="5"/>
  <c r="CO356" i="5"/>
  <c r="CM356" i="5"/>
  <c r="CJ356" i="5"/>
  <c r="BT356" i="5"/>
  <c r="BR355" i="5"/>
  <c r="CO355" i="5"/>
  <c r="CM355" i="5"/>
  <c r="CJ355" i="5"/>
  <c r="BT355" i="5"/>
  <c r="BR354" i="5"/>
  <c r="CO354" i="5"/>
  <c r="CM354" i="5"/>
  <c r="CJ354" i="5"/>
  <c r="BT354" i="5"/>
  <c r="BR353" i="5"/>
  <c r="CO353" i="5"/>
  <c r="CM353" i="5"/>
  <c r="CJ353" i="5"/>
  <c r="BT353" i="5"/>
  <c r="BR352" i="5"/>
  <c r="CO352" i="5"/>
  <c r="CM352" i="5"/>
  <c r="CJ352" i="5"/>
  <c r="BT352" i="5"/>
  <c r="DI351" i="5"/>
  <c r="CL351" i="5"/>
  <c r="DG351" i="5"/>
  <c r="CD351" i="5"/>
  <c r="CW351" i="5"/>
  <c r="BR351" i="5"/>
  <c r="CO351" i="5"/>
  <c r="CM351" i="5"/>
  <c r="CJ351" i="5"/>
  <c r="BT351" i="5"/>
  <c r="DI350" i="5"/>
  <c r="CL350" i="5"/>
  <c r="DG350" i="5"/>
  <c r="CD350" i="5"/>
  <c r="CW350" i="5"/>
  <c r="BR350" i="5"/>
  <c r="CO350" i="5"/>
  <c r="CM350" i="5"/>
  <c r="CJ350" i="5"/>
  <c r="BT350" i="5"/>
  <c r="DI349" i="5"/>
  <c r="CL349" i="5"/>
  <c r="DG349" i="5"/>
  <c r="CD349" i="5"/>
  <c r="CW349" i="5"/>
  <c r="BR349" i="5"/>
  <c r="CO349" i="5"/>
  <c r="CM349" i="5"/>
  <c r="CJ349" i="5"/>
  <c r="BT349" i="5"/>
  <c r="DI348" i="5"/>
  <c r="DG348" i="5"/>
  <c r="CD348" i="5"/>
  <c r="CW348" i="5"/>
  <c r="BR348" i="5"/>
  <c r="CO348" i="5"/>
  <c r="CM348" i="5"/>
  <c r="CJ348" i="5"/>
  <c r="BT348" i="5"/>
  <c r="DI347" i="5"/>
  <c r="DG347" i="5"/>
  <c r="CD347" i="5"/>
  <c r="CW347" i="5"/>
  <c r="BR347" i="5"/>
  <c r="CO347" i="5"/>
  <c r="CM347" i="5"/>
  <c r="CJ347" i="5"/>
  <c r="BT347" i="5"/>
  <c r="DI346" i="5"/>
  <c r="CL346" i="5"/>
  <c r="DG346" i="5"/>
  <c r="CD346" i="5"/>
  <c r="CW346" i="5"/>
  <c r="BR346" i="5"/>
  <c r="CO346" i="5"/>
  <c r="CM346" i="5"/>
  <c r="CJ346" i="5"/>
  <c r="BT346" i="5"/>
  <c r="DI345" i="5"/>
  <c r="CL345" i="5"/>
  <c r="DG345" i="5"/>
  <c r="CD345" i="5"/>
  <c r="CW345" i="5"/>
  <c r="BR345" i="5"/>
  <c r="CO345" i="5"/>
  <c r="CM345" i="5"/>
  <c r="CJ345" i="5"/>
  <c r="BT345" i="5"/>
  <c r="DI344" i="5"/>
  <c r="DG344" i="5"/>
  <c r="CD344" i="5"/>
  <c r="CW344" i="5"/>
  <c r="BR344" i="5"/>
  <c r="CO344" i="5"/>
  <c r="CM344" i="5"/>
  <c r="CJ344" i="5"/>
  <c r="BT344" i="5"/>
  <c r="DI343" i="5"/>
  <c r="DG343" i="5"/>
  <c r="CD343" i="5"/>
  <c r="CW343" i="5"/>
  <c r="BR343" i="5"/>
  <c r="CO343" i="5"/>
  <c r="CM343" i="5"/>
  <c r="CJ343" i="5"/>
  <c r="BT343" i="5"/>
  <c r="DI342" i="5"/>
  <c r="CL342" i="5"/>
  <c r="DG342" i="5"/>
  <c r="CD342" i="5"/>
  <c r="CW342" i="5"/>
  <c r="BR342" i="5"/>
  <c r="CO342" i="5"/>
  <c r="CM342" i="5"/>
  <c r="CJ342" i="5"/>
  <c r="BT342" i="5"/>
  <c r="DI341" i="5"/>
  <c r="DG341" i="5"/>
  <c r="CD341" i="5"/>
  <c r="CW341" i="5"/>
  <c r="BR341" i="5"/>
  <c r="CO341" i="5"/>
  <c r="CM341" i="5"/>
  <c r="CJ341" i="5"/>
  <c r="BT341" i="5"/>
  <c r="DI340" i="5"/>
  <c r="CL340" i="5"/>
  <c r="DG340" i="5"/>
  <c r="CD340" i="5"/>
  <c r="CW340" i="5"/>
  <c r="BR340" i="5"/>
  <c r="CO340" i="5"/>
  <c r="CM340" i="5"/>
  <c r="CJ340" i="5"/>
  <c r="BT340" i="5"/>
  <c r="DI339" i="5"/>
  <c r="CL339" i="5"/>
  <c r="DG339" i="5"/>
  <c r="CD339" i="5"/>
  <c r="CW339" i="5"/>
  <c r="BR339" i="5"/>
  <c r="CO339" i="5"/>
  <c r="CM339" i="5"/>
  <c r="CJ339" i="5"/>
  <c r="BT339" i="5"/>
  <c r="DI338" i="5"/>
  <c r="CL338" i="5"/>
  <c r="DG338" i="5"/>
  <c r="CD338" i="5"/>
  <c r="CW338" i="5"/>
  <c r="BR338" i="5"/>
  <c r="CO338" i="5"/>
  <c r="CM338" i="5"/>
  <c r="CJ338" i="5"/>
  <c r="BT338" i="5"/>
  <c r="DI337" i="5"/>
  <c r="CL337" i="5"/>
  <c r="DG337" i="5"/>
  <c r="CD337" i="5"/>
  <c r="CW337" i="5"/>
  <c r="BR337" i="5"/>
  <c r="CO337" i="5"/>
  <c r="CM337" i="5"/>
  <c r="CJ337" i="5"/>
  <c r="BT337" i="5"/>
  <c r="CL336" i="5"/>
  <c r="DG336" i="5"/>
  <c r="CD336" i="5"/>
  <c r="CW336" i="5"/>
  <c r="BR336" i="5"/>
  <c r="CO336" i="5"/>
  <c r="CM336" i="5"/>
  <c r="BT336" i="5"/>
  <c r="CL335" i="5"/>
  <c r="DG335" i="5"/>
  <c r="CD335" i="5"/>
  <c r="CW335" i="5"/>
  <c r="BR335" i="5"/>
  <c r="CO335" i="5"/>
  <c r="CM335" i="5"/>
  <c r="BT335" i="5"/>
  <c r="DG334" i="5"/>
  <c r="CD334" i="5"/>
  <c r="CW334" i="5"/>
  <c r="BR334" i="5"/>
  <c r="CO334" i="5"/>
  <c r="CM334" i="5"/>
  <c r="BT334" i="5"/>
  <c r="CL333" i="5"/>
  <c r="DG333" i="5"/>
  <c r="CD333" i="5"/>
  <c r="CW333" i="5"/>
  <c r="BR333" i="5"/>
  <c r="CO333" i="5"/>
  <c r="BT333" i="5"/>
  <c r="DG332" i="5"/>
  <c r="CD332" i="5"/>
  <c r="CW332" i="5"/>
  <c r="BR332" i="5"/>
  <c r="CO332" i="5"/>
  <c r="CM332" i="5"/>
  <c r="BT332" i="5"/>
  <c r="DG331" i="5"/>
  <c r="CD331" i="5"/>
  <c r="CW331" i="5"/>
  <c r="BR331" i="5"/>
  <c r="CO331" i="5"/>
  <c r="BT331" i="5"/>
  <c r="DG330" i="5"/>
  <c r="BR330" i="5"/>
  <c r="CO330" i="5"/>
  <c r="CM330" i="5"/>
  <c r="BT330" i="5"/>
  <c r="CL329" i="5"/>
  <c r="DG329" i="5"/>
  <c r="CD329" i="5"/>
  <c r="CW329" i="5"/>
  <c r="BR329" i="5"/>
  <c r="CO329" i="5"/>
  <c r="CM329" i="5"/>
  <c r="BT329" i="5"/>
  <c r="CL328" i="5"/>
  <c r="DG328" i="5"/>
  <c r="CD328" i="5"/>
  <c r="CW328" i="5"/>
  <c r="BR328" i="5"/>
  <c r="CO328" i="5"/>
  <c r="BT328" i="5"/>
  <c r="DG327" i="5"/>
  <c r="CD327" i="5"/>
  <c r="CW327" i="5"/>
  <c r="BR327" i="5"/>
  <c r="CO327" i="5"/>
  <c r="CM327" i="5"/>
  <c r="BT327" i="5"/>
  <c r="DG326" i="5"/>
  <c r="CD326" i="5"/>
  <c r="CW326" i="5"/>
  <c r="BR326" i="5"/>
  <c r="CO326" i="5"/>
  <c r="CM326" i="5"/>
  <c r="BT326" i="5"/>
  <c r="DG325" i="5"/>
  <c r="CD325" i="5"/>
  <c r="CW325" i="5"/>
  <c r="BR325" i="5"/>
  <c r="CO325" i="5"/>
  <c r="CM325" i="5"/>
  <c r="BU325" i="5"/>
  <c r="BT325" i="5"/>
  <c r="DG324" i="5"/>
  <c r="CD324" i="5"/>
  <c r="CW324" i="5"/>
  <c r="BR324" i="5"/>
  <c r="CO324" i="5"/>
  <c r="CM324" i="5"/>
  <c r="CE324" i="5"/>
  <c r="BT324" i="5"/>
  <c r="CL323" i="5"/>
  <c r="DG323" i="5"/>
  <c r="CD323" i="5"/>
  <c r="CW323" i="5"/>
  <c r="BR323" i="5"/>
  <c r="CO323" i="5"/>
  <c r="CM323" i="5"/>
  <c r="CE323" i="5"/>
  <c r="BT323" i="5"/>
  <c r="CL322" i="5"/>
  <c r="DG322" i="5"/>
  <c r="CD322" i="5"/>
  <c r="CW322" i="5"/>
  <c r="BR322" i="5"/>
  <c r="CO322" i="5"/>
  <c r="CM322" i="5"/>
  <c r="CE322" i="5"/>
  <c r="BT322" i="5"/>
  <c r="DG321" i="5"/>
  <c r="BR321" i="5"/>
  <c r="CO321" i="5"/>
  <c r="CM321" i="5"/>
  <c r="CE321" i="5"/>
  <c r="BT321" i="5"/>
  <c r="DG320" i="5"/>
  <c r="CD320" i="5"/>
  <c r="CW320" i="5"/>
  <c r="BR320" i="5"/>
  <c r="CO320" i="5"/>
  <c r="CM320" i="5"/>
  <c r="CE320" i="5"/>
  <c r="BT320" i="5"/>
  <c r="DG319" i="5"/>
  <c r="CD319" i="5"/>
  <c r="CW319" i="5"/>
  <c r="BR319" i="5"/>
  <c r="CO319" i="5"/>
  <c r="CM319" i="5"/>
  <c r="CE319" i="5"/>
  <c r="BT319" i="5"/>
  <c r="DG318" i="5"/>
  <c r="CD318" i="5"/>
  <c r="CW318" i="5"/>
  <c r="BR318" i="5"/>
  <c r="CO318" i="5"/>
  <c r="CM318" i="5"/>
  <c r="CE318" i="5"/>
  <c r="BT318" i="5"/>
  <c r="CL317" i="5"/>
  <c r="DG317" i="5"/>
  <c r="CD317" i="5"/>
  <c r="CW317" i="5"/>
  <c r="BR317" i="5"/>
  <c r="CO317" i="5"/>
  <c r="CM317" i="5"/>
  <c r="BT317" i="5"/>
  <c r="DG316" i="5"/>
  <c r="CD316" i="5"/>
  <c r="CW316" i="5"/>
  <c r="BR316" i="5"/>
  <c r="CO316" i="5"/>
  <c r="CM316" i="5"/>
  <c r="CE316" i="5"/>
  <c r="BT316" i="5"/>
  <c r="CL315" i="5"/>
  <c r="DG315" i="5"/>
  <c r="CD315" i="5"/>
  <c r="CW315" i="5"/>
  <c r="BR315" i="5"/>
  <c r="CO315" i="5"/>
  <c r="CM315" i="5"/>
  <c r="CE315" i="5"/>
  <c r="BT315" i="5"/>
  <c r="DG314" i="5"/>
  <c r="BR314" i="5"/>
  <c r="CO314" i="5"/>
  <c r="CM314" i="5"/>
  <c r="CE314" i="5"/>
  <c r="BT314" i="5"/>
  <c r="CL313" i="5"/>
  <c r="DG313" i="5"/>
  <c r="CD313" i="5"/>
  <c r="CW313" i="5"/>
  <c r="BR313" i="5"/>
  <c r="CO313" i="5"/>
  <c r="CM313" i="5"/>
  <c r="CE313" i="5"/>
  <c r="BT313" i="5"/>
  <c r="DG312" i="5"/>
  <c r="CD312" i="5"/>
  <c r="CW312" i="5"/>
  <c r="BR312" i="5"/>
  <c r="CO312" i="5"/>
  <c r="CM312" i="5"/>
  <c r="CE312" i="5"/>
  <c r="BT312" i="5"/>
  <c r="DG311" i="5"/>
  <c r="CD311" i="5"/>
  <c r="CW311" i="5"/>
  <c r="BR311" i="5"/>
  <c r="CO311" i="5"/>
  <c r="CM311" i="5"/>
  <c r="CE311" i="5"/>
  <c r="BT311" i="5"/>
  <c r="DG310" i="5"/>
  <c r="CD310" i="5"/>
  <c r="CW310" i="5"/>
  <c r="BR310" i="5"/>
  <c r="CO310" i="5"/>
  <c r="CM310" i="5"/>
  <c r="CE310" i="5"/>
  <c r="CL309" i="5"/>
  <c r="DG309" i="5"/>
  <c r="CD309" i="5"/>
  <c r="CW309" i="5"/>
  <c r="BR309" i="5"/>
  <c r="CO309" i="5"/>
  <c r="CM309" i="5"/>
  <c r="CE309" i="5"/>
  <c r="CL308" i="5"/>
  <c r="DG308" i="5"/>
  <c r="CD308" i="5"/>
  <c r="CW308" i="5"/>
  <c r="BR308" i="5"/>
  <c r="CO308" i="5"/>
  <c r="CM308" i="5"/>
  <c r="BT308" i="5"/>
  <c r="CL307" i="5"/>
  <c r="DG307" i="5"/>
  <c r="CD307" i="5"/>
  <c r="CW307" i="5"/>
  <c r="BR307" i="5"/>
  <c r="CO307" i="5"/>
  <c r="CM307" i="5"/>
  <c r="CE307" i="5"/>
  <c r="BT307" i="5"/>
  <c r="CL306" i="5"/>
  <c r="DG306" i="5"/>
  <c r="CD306" i="5"/>
  <c r="CW306" i="5"/>
  <c r="BR306" i="5"/>
  <c r="CO306" i="5"/>
  <c r="CM306" i="5"/>
  <c r="CE306" i="5"/>
  <c r="BT306" i="5"/>
  <c r="CL305" i="5"/>
  <c r="DG305" i="5"/>
  <c r="BR305" i="5"/>
  <c r="CO305" i="5"/>
  <c r="CM305" i="5"/>
  <c r="CE305" i="5"/>
  <c r="BT305" i="5"/>
  <c r="CL304" i="5"/>
  <c r="DG304" i="5"/>
  <c r="BR304" i="5"/>
  <c r="CO304" i="5"/>
  <c r="CM304" i="5"/>
  <c r="CE304" i="5"/>
  <c r="BT304" i="5"/>
  <c r="CL303" i="5"/>
  <c r="DG303" i="5"/>
  <c r="BR303" i="5"/>
  <c r="CO303" i="5"/>
  <c r="CE303" i="5"/>
  <c r="CL302" i="5"/>
  <c r="DG302" i="5"/>
  <c r="BR302" i="5"/>
  <c r="CO302" i="5"/>
  <c r="CM302" i="5"/>
  <c r="BT302" i="5"/>
  <c r="CL301" i="5"/>
  <c r="DG301" i="5"/>
  <c r="CD301" i="5"/>
  <c r="CW301" i="5"/>
  <c r="BR301" i="5"/>
  <c r="CO301" i="5"/>
  <c r="CM301" i="5"/>
  <c r="CE301" i="5"/>
  <c r="BT301" i="5"/>
  <c r="CL300" i="5"/>
  <c r="DG300" i="5"/>
  <c r="BR300" i="5"/>
  <c r="CO300" i="5"/>
  <c r="CM300" i="5"/>
  <c r="CE300" i="5"/>
  <c r="BT300" i="5"/>
  <c r="CL299" i="5"/>
  <c r="DG299" i="5"/>
  <c r="CD299" i="5"/>
  <c r="CW299" i="5"/>
  <c r="BR299" i="5"/>
  <c r="CO299" i="5"/>
  <c r="CM299" i="5"/>
  <c r="CE299" i="5"/>
  <c r="BT299" i="5"/>
  <c r="DG298" i="5"/>
  <c r="CD298" i="5"/>
  <c r="CW298" i="5"/>
  <c r="BR298" i="5"/>
  <c r="CO298" i="5"/>
  <c r="CM298" i="5"/>
  <c r="CE298" i="5"/>
  <c r="BT298" i="5"/>
  <c r="DG297" i="5"/>
  <c r="BR297" i="5"/>
  <c r="CO297" i="5"/>
  <c r="CM297" i="5"/>
  <c r="CE297" i="5"/>
  <c r="BT297" i="5"/>
  <c r="CL296" i="5"/>
  <c r="DG296" i="5"/>
  <c r="DG295" i="5"/>
  <c r="CM295" i="5"/>
  <c r="CE295" i="5"/>
  <c r="CL294" i="5"/>
  <c r="DG294" i="5"/>
  <c r="CM294" i="5"/>
  <c r="BT294" i="5"/>
  <c r="CL293" i="5"/>
  <c r="DG293" i="5"/>
  <c r="CM293" i="5"/>
  <c r="CE293" i="5"/>
  <c r="BT293" i="5"/>
  <c r="DG292" i="5"/>
  <c r="CM292" i="5"/>
  <c r="CE292" i="5"/>
  <c r="BT292" i="5"/>
  <c r="CL291" i="5"/>
  <c r="DG291" i="5"/>
  <c r="CM291" i="5"/>
  <c r="CE291" i="5"/>
  <c r="BT291" i="5"/>
  <c r="CL290" i="5"/>
  <c r="DG290" i="5"/>
  <c r="CD290" i="5"/>
  <c r="CW290" i="5"/>
  <c r="CM290" i="5"/>
  <c r="CE290" i="5"/>
  <c r="BT290" i="5"/>
  <c r="CL289" i="5"/>
  <c r="DG289" i="5"/>
  <c r="CD289" i="5"/>
  <c r="CW289" i="5"/>
  <c r="CM289" i="5"/>
  <c r="CE289" i="5"/>
  <c r="CL288" i="5"/>
  <c r="DG288" i="5"/>
  <c r="CD288" i="5"/>
  <c r="CW288" i="5"/>
  <c r="CM288" i="5"/>
  <c r="CE288" i="5"/>
  <c r="BT288" i="5"/>
  <c r="CL287" i="5"/>
  <c r="DG287" i="5"/>
  <c r="CD287" i="5"/>
  <c r="CW287" i="5"/>
  <c r="CM287" i="5"/>
  <c r="CE287" i="5"/>
  <c r="BT287" i="5"/>
  <c r="CL286" i="5"/>
  <c r="DG286" i="5"/>
  <c r="CE286" i="5"/>
  <c r="BT286" i="5"/>
  <c r="CL285" i="5"/>
  <c r="DG285" i="5"/>
  <c r="CD285" i="5"/>
  <c r="CW285" i="5"/>
  <c r="CM285" i="5"/>
  <c r="CE285" i="5"/>
  <c r="CL284" i="5"/>
  <c r="DG284" i="5"/>
  <c r="CD284" i="5"/>
  <c r="CW284" i="5"/>
  <c r="CM284" i="5"/>
  <c r="CE284" i="5"/>
  <c r="CL283" i="5"/>
  <c r="DG283" i="5"/>
  <c r="CD283" i="5"/>
  <c r="CW283" i="5"/>
  <c r="CM283" i="5"/>
  <c r="CE283" i="5"/>
  <c r="BT283" i="5"/>
  <c r="DG282" i="5"/>
  <c r="CD282" i="5"/>
  <c r="CW282" i="5"/>
  <c r="CM282" i="5"/>
  <c r="CE282" i="5"/>
  <c r="BT282" i="5"/>
  <c r="CL281" i="5"/>
  <c r="DG281" i="5"/>
  <c r="CD281" i="5"/>
  <c r="CW281" i="5"/>
  <c r="CM281" i="5"/>
  <c r="CE281" i="5"/>
  <c r="BT281" i="5"/>
  <c r="CL280" i="5"/>
  <c r="DG280" i="5"/>
  <c r="CD280" i="5"/>
  <c r="CW280" i="5"/>
  <c r="CM280" i="5"/>
  <c r="CE280" i="5"/>
  <c r="DG279" i="5"/>
  <c r="CD279" i="5"/>
  <c r="CW279" i="5"/>
  <c r="CM279" i="5"/>
  <c r="CE279" i="5"/>
  <c r="BT279" i="5"/>
  <c r="DG278" i="5"/>
  <c r="CM278" i="5"/>
  <c r="CE278" i="5"/>
  <c r="BT278" i="5"/>
  <c r="CL277" i="5"/>
  <c r="DG277" i="5"/>
  <c r="CD277" i="5"/>
  <c r="CW277" i="5"/>
  <c r="CM277" i="5"/>
  <c r="CE277" i="5"/>
  <c r="BT277" i="5"/>
  <c r="CL276" i="5"/>
  <c r="DG276" i="5"/>
  <c r="CD276" i="5"/>
  <c r="CW276" i="5"/>
  <c r="CE276" i="5"/>
  <c r="BT276" i="5"/>
  <c r="CL275" i="5"/>
  <c r="DG275" i="5"/>
  <c r="CM275" i="5"/>
  <c r="CE275" i="5"/>
  <c r="BT275" i="5"/>
  <c r="CL274" i="5"/>
  <c r="DG274" i="5"/>
  <c r="CD274" i="5"/>
  <c r="CW274" i="5"/>
  <c r="CM274" i="5"/>
  <c r="CE274" i="5"/>
  <c r="CL273" i="5"/>
  <c r="DG273" i="5"/>
  <c r="CM273" i="5"/>
  <c r="CE273" i="5"/>
  <c r="CL272" i="5"/>
  <c r="DG272" i="5"/>
  <c r="CD272" i="5"/>
  <c r="CW272" i="5"/>
  <c r="CM272" i="5"/>
  <c r="CE272" i="5"/>
  <c r="BT272" i="5"/>
  <c r="CL271" i="5"/>
  <c r="DG271" i="5"/>
  <c r="CD271" i="5"/>
  <c r="CW271" i="5"/>
  <c r="CM271" i="5"/>
  <c r="CE271" i="5"/>
  <c r="CL270" i="5"/>
  <c r="DG270" i="5"/>
  <c r="CD270" i="5"/>
  <c r="CW270" i="5"/>
  <c r="CM270" i="5"/>
  <c r="CE270" i="5"/>
  <c r="BT270" i="5"/>
  <c r="DG269" i="5"/>
  <c r="CD269" i="5"/>
  <c r="CW269" i="5"/>
  <c r="CM269" i="5"/>
  <c r="BT269" i="5"/>
  <c r="DG268" i="5"/>
  <c r="CD268" i="5"/>
  <c r="CW268" i="5"/>
  <c r="BT268" i="5"/>
  <c r="CL267" i="5"/>
  <c r="DG267" i="5"/>
  <c r="CD267" i="5"/>
  <c r="CW267" i="5"/>
  <c r="CE267" i="5"/>
  <c r="BT267" i="5"/>
  <c r="DG266" i="5"/>
  <c r="CD266" i="5"/>
  <c r="CW266" i="5"/>
  <c r="CM266" i="5"/>
  <c r="CE266" i="5"/>
  <c r="BT266" i="5"/>
  <c r="DG265" i="5"/>
  <c r="CD265" i="5"/>
  <c r="CW265" i="5"/>
  <c r="CM265" i="5"/>
  <c r="CE265" i="5"/>
  <c r="DG264" i="5"/>
  <c r="CD264" i="5"/>
  <c r="CW264" i="5"/>
  <c r="CM264" i="5"/>
  <c r="CE264" i="5"/>
  <c r="BT264" i="5"/>
  <c r="CL263" i="5"/>
  <c r="DG263" i="5"/>
  <c r="CD263" i="5"/>
  <c r="CW263" i="5"/>
  <c r="CM263" i="5"/>
  <c r="CE263" i="5"/>
  <c r="BT263" i="5"/>
  <c r="CL262" i="5"/>
  <c r="DG262" i="5"/>
  <c r="CD262" i="5"/>
  <c r="CW262" i="5"/>
  <c r="CM262" i="5"/>
  <c r="CE262" i="5"/>
  <c r="BT262" i="5"/>
  <c r="CM261" i="5"/>
  <c r="CE261" i="5"/>
  <c r="BT261" i="5"/>
  <c r="CM260" i="5"/>
  <c r="CE260" i="5"/>
  <c r="BT260" i="5"/>
  <c r="CM259" i="5"/>
  <c r="CE259" i="5"/>
  <c r="BT259" i="5"/>
  <c r="CM258" i="5"/>
  <c r="CM256" i="5"/>
  <c r="BT256" i="5"/>
  <c r="BT255" i="5"/>
  <c r="CM254" i="5"/>
  <c r="CE254" i="5"/>
  <c r="CM253" i="5"/>
  <c r="CE253" i="5"/>
  <c r="CM252" i="5"/>
  <c r="CE252" i="5"/>
  <c r="DG251" i="5"/>
  <c r="CD251" i="5"/>
  <c r="CW251" i="5"/>
  <c r="CE251" i="5"/>
  <c r="CL250" i="5"/>
  <c r="DG250" i="5"/>
  <c r="CM250" i="5"/>
  <c r="CE250" i="5"/>
  <c r="CL249" i="5"/>
  <c r="DG249" i="5"/>
  <c r="CD249" i="5"/>
  <c r="CW249" i="5"/>
  <c r="CM249" i="5"/>
  <c r="CE249" i="5"/>
  <c r="CL248" i="5"/>
  <c r="DG248" i="5"/>
  <c r="CD248" i="5"/>
  <c r="CW248" i="5"/>
  <c r="CM248" i="5"/>
  <c r="CE248" i="5"/>
  <c r="CL247" i="5"/>
  <c r="DG247" i="5"/>
  <c r="CD247" i="5"/>
  <c r="CW247" i="5"/>
  <c r="CM247" i="5"/>
  <c r="CE247" i="5"/>
  <c r="DG246" i="5"/>
  <c r="CD246" i="5"/>
  <c r="CW246" i="5"/>
  <c r="CM246" i="5"/>
  <c r="CE246" i="5"/>
  <c r="DG245" i="5"/>
  <c r="CD245" i="5"/>
  <c r="CW245" i="5"/>
  <c r="CL244" i="5"/>
  <c r="DG244" i="5"/>
  <c r="CD244" i="5"/>
  <c r="CW244" i="5"/>
  <c r="CE244" i="5"/>
  <c r="CL243" i="5"/>
  <c r="DG243" i="5"/>
  <c r="CD243" i="5"/>
  <c r="CW243" i="5"/>
  <c r="CM243" i="5"/>
  <c r="DG242" i="5"/>
  <c r="CM242" i="5"/>
  <c r="CL241" i="5"/>
  <c r="DG241" i="5"/>
  <c r="CD241" i="5"/>
  <c r="CW241" i="5"/>
  <c r="CM241" i="5"/>
  <c r="CL240" i="5"/>
  <c r="DG240" i="5"/>
  <c r="CD240" i="5"/>
  <c r="CW240" i="5"/>
  <c r="CM240" i="5"/>
  <c r="DG239" i="5"/>
  <c r="DG238" i="5"/>
  <c r="DG237" i="5"/>
  <c r="DG236" i="5"/>
  <c r="BT236" i="5"/>
  <c r="DG235" i="5"/>
  <c r="CM235" i="5"/>
  <c r="DG234" i="5"/>
  <c r="CM234" i="5"/>
  <c r="BT234" i="5"/>
  <c r="DG233" i="5"/>
  <c r="CD233" i="5"/>
  <c r="CW233" i="5"/>
  <c r="CM233" i="5"/>
  <c r="CE233" i="5"/>
  <c r="BT233" i="5"/>
  <c r="DG232" i="5"/>
  <c r="CD232" i="5"/>
  <c r="CW232" i="5"/>
  <c r="CM232" i="5"/>
  <c r="DG231" i="5"/>
  <c r="CM231" i="5"/>
  <c r="BT231" i="5"/>
  <c r="DG230" i="5"/>
  <c r="CM230" i="5"/>
  <c r="CE230" i="5"/>
  <c r="DG229" i="5"/>
  <c r="CM229" i="5"/>
  <c r="CL228" i="5"/>
  <c r="DG228" i="5"/>
  <c r="CM228" i="5"/>
  <c r="DG227" i="5"/>
  <c r="DG226" i="5"/>
  <c r="CM226" i="5"/>
  <c r="CL225" i="5"/>
  <c r="DG225" i="5"/>
  <c r="CD225" i="5"/>
  <c r="CW225" i="5"/>
  <c r="CL224" i="5"/>
  <c r="DG224" i="5"/>
  <c r="CM224" i="5"/>
  <c r="DG223" i="5"/>
  <c r="DG222" i="5"/>
  <c r="CD222" i="5"/>
  <c r="CW222" i="5"/>
  <c r="CM222" i="5"/>
  <c r="CL221" i="5"/>
  <c r="DG221" i="5"/>
  <c r="DG220" i="5"/>
  <c r="CD220" i="5"/>
  <c r="CW220" i="5"/>
  <c r="CM220" i="5"/>
  <c r="CL219" i="5"/>
  <c r="DG219" i="5"/>
  <c r="CD219" i="5"/>
  <c r="CW219" i="5"/>
  <c r="CE219" i="5"/>
  <c r="CL218" i="5"/>
  <c r="DG218" i="5"/>
  <c r="CM218" i="5"/>
  <c r="CL217" i="5"/>
  <c r="DG217" i="5"/>
  <c r="CD217" i="5"/>
  <c r="CW217" i="5"/>
  <c r="CL216" i="5"/>
  <c r="DG216" i="5"/>
  <c r="CD216" i="5"/>
  <c r="CW216" i="5"/>
  <c r="CM216" i="5"/>
  <c r="CE216" i="5"/>
  <c r="DG215" i="5"/>
  <c r="CD215" i="5"/>
  <c r="CW215" i="5"/>
  <c r="CM215" i="5"/>
  <c r="CE215" i="5"/>
  <c r="DG214" i="5"/>
  <c r="CD214" i="5"/>
  <c r="CW214" i="5"/>
  <c r="CM214" i="5"/>
  <c r="CE214" i="5"/>
  <c r="CL213" i="5"/>
  <c r="DG213" i="5"/>
  <c r="CM213" i="5"/>
  <c r="DG212" i="5"/>
  <c r="CD212" i="5"/>
  <c r="CW212" i="5"/>
  <c r="CM212" i="5"/>
  <c r="CE212" i="5"/>
  <c r="DG211" i="5"/>
  <c r="CM211" i="5"/>
  <c r="CE211" i="5"/>
  <c r="BT211" i="5"/>
  <c r="CL210" i="5"/>
  <c r="DG210" i="5"/>
  <c r="CD210" i="5"/>
  <c r="CW210" i="5"/>
  <c r="CM210" i="5"/>
  <c r="CE210" i="5"/>
  <c r="DG209" i="5"/>
  <c r="CD209" i="5"/>
  <c r="CW209" i="5"/>
  <c r="CM209" i="5"/>
  <c r="CL208" i="5"/>
  <c r="DG208" i="5"/>
  <c r="CD208" i="5"/>
  <c r="CW208" i="5"/>
  <c r="CM208" i="5"/>
  <c r="CE208" i="5"/>
  <c r="DG207" i="5"/>
  <c r="CD207" i="5"/>
  <c r="CW207" i="5"/>
  <c r="CM207" i="5"/>
  <c r="CE207" i="5"/>
  <c r="CL206" i="5"/>
  <c r="DG206" i="5"/>
  <c r="CD206" i="5"/>
  <c r="CW206" i="5"/>
  <c r="CM206" i="5"/>
  <c r="DG205" i="5"/>
  <c r="CD205" i="5"/>
  <c r="CW205" i="5"/>
  <c r="CM205" i="5"/>
  <c r="CE205" i="5"/>
  <c r="CL204" i="5"/>
  <c r="DG204" i="5"/>
  <c r="CM204" i="5"/>
  <c r="CL203" i="5"/>
  <c r="DG203" i="5"/>
  <c r="CD203" i="5"/>
  <c r="CW203" i="5"/>
  <c r="CE203" i="5"/>
  <c r="DG202" i="5"/>
  <c r="CD202" i="5"/>
  <c r="CW202" i="5"/>
  <c r="CM202" i="5"/>
  <c r="CL201" i="5"/>
  <c r="DG201" i="5"/>
  <c r="CD201" i="5"/>
  <c r="CW201" i="5"/>
  <c r="CM201" i="5"/>
  <c r="CL200" i="5"/>
  <c r="DG200" i="5"/>
  <c r="CD200" i="5"/>
  <c r="CW200" i="5"/>
  <c r="CM200" i="5"/>
  <c r="CL199" i="5"/>
  <c r="DG199" i="5"/>
  <c r="CM199" i="5"/>
  <c r="CL198" i="5"/>
  <c r="DG198" i="5"/>
  <c r="CD198" i="5"/>
  <c r="CW198" i="5"/>
  <c r="CM198" i="5"/>
  <c r="CL197" i="5"/>
  <c r="DG197" i="5"/>
  <c r="CM197" i="5"/>
  <c r="CE197" i="5"/>
  <c r="CL196" i="5"/>
  <c r="DG196" i="5"/>
  <c r="CD196" i="5"/>
  <c r="CW196" i="5"/>
  <c r="CM196" i="5"/>
  <c r="CL195" i="5"/>
  <c r="DG195" i="5"/>
  <c r="CL194" i="5"/>
  <c r="DG194" i="5"/>
  <c r="CL193" i="5"/>
  <c r="DG193" i="5"/>
  <c r="CD193" i="5"/>
  <c r="CW193" i="5"/>
  <c r="CM193" i="5"/>
  <c r="CL192" i="5"/>
  <c r="DG192" i="5"/>
  <c r="CM192" i="5"/>
  <c r="CL191" i="5"/>
  <c r="DG191" i="5"/>
  <c r="CD191" i="5"/>
  <c r="CW191" i="5"/>
  <c r="CL190" i="5"/>
  <c r="DG190" i="5"/>
  <c r="CD190" i="5"/>
  <c r="CW190" i="5"/>
  <c r="CM190" i="5"/>
  <c r="CL189" i="5"/>
  <c r="DG189" i="5"/>
  <c r="CM189" i="5"/>
  <c r="CL188" i="5"/>
  <c r="DG188" i="5"/>
  <c r="CL187" i="5"/>
  <c r="DG187" i="5"/>
  <c r="CM187" i="5"/>
  <c r="CL186" i="5"/>
  <c r="DG186" i="5"/>
  <c r="CL185" i="5"/>
  <c r="DG185" i="5"/>
  <c r="CD185" i="5"/>
  <c r="CW185" i="5"/>
  <c r="CL184" i="5"/>
  <c r="DG184" i="5"/>
  <c r="CD184" i="5"/>
  <c r="CW184" i="5"/>
  <c r="CM184" i="5"/>
  <c r="CL183" i="5"/>
  <c r="DG183" i="5"/>
  <c r="CD183" i="5"/>
  <c r="CW183" i="5"/>
  <c r="CL182" i="5"/>
  <c r="DG182" i="5"/>
  <c r="CD182" i="5"/>
  <c r="CW182" i="5"/>
  <c r="CM182" i="5"/>
  <c r="CL181" i="5"/>
  <c r="DG181" i="5"/>
  <c r="CM181" i="5"/>
  <c r="CL180" i="5"/>
  <c r="DG180" i="5"/>
  <c r="CL179" i="5"/>
  <c r="DG179" i="5"/>
  <c r="CD179" i="5"/>
  <c r="CW179" i="5"/>
  <c r="CM179" i="5"/>
  <c r="CL178" i="5"/>
  <c r="DG178" i="5"/>
  <c r="CL177" i="5"/>
  <c r="DG177" i="5"/>
  <c r="CD177" i="5"/>
  <c r="CW177" i="5"/>
  <c r="CM177" i="5"/>
  <c r="CE177" i="5"/>
  <c r="CL176" i="5"/>
  <c r="DG176" i="5"/>
  <c r="CD176" i="5"/>
  <c r="CW176" i="5"/>
  <c r="CM176" i="5"/>
  <c r="CL175" i="5"/>
  <c r="DG175" i="5"/>
  <c r="CL174" i="5"/>
  <c r="DG174" i="5"/>
  <c r="CL173" i="5"/>
  <c r="DG173" i="5"/>
  <c r="CL172" i="5"/>
  <c r="DG172" i="5"/>
  <c r="CL171" i="5"/>
  <c r="DG171" i="5"/>
  <c r="CL170" i="5"/>
  <c r="DG170" i="5"/>
  <c r="CL169" i="5"/>
  <c r="DG169" i="5"/>
  <c r="CD169" i="5"/>
  <c r="CW169" i="5"/>
  <c r="CL168" i="5"/>
  <c r="DG168" i="5"/>
  <c r="CL167" i="5"/>
  <c r="DG167" i="5"/>
  <c r="CL166" i="5"/>
  <c r="DG166" i="5"/>
  <c r="CL165" i="5"/>
  <c r="DG165" i="5"/>
  <c r="CL164" i="5"/>
  <c r="DG164" i="5"/>
  <c r="CL163" i="5"/>
  <c r="DG163" i="5"/>
  <c r="CL162" i="5"/>
  <c r="DG162" i="5"/>
  <c r="CL161" i="5"/>
  <c r="DG161" i="5"/>
  <c r="CL160" i="5"/>
  <c r="DG160" i="5"/>
  <c r="DG159" i="5"/>
  <c r="CL158" i="5"/>
  <c r="DG158" i="5"/>
  <c r="CD158" i="5"/>
  <c r="CW158" i="5"/>
  <c r="CL157" i="5"/>
  <c r="DG157" i="5"/>
  <c r="CD157" i="5"/>
  <c r="CW157" i="5"/>
  <c r="CM157" i="5"/>
  <c r="CE157" i="5"/>
  <c r="CL156" i="5"/>
  <c r="DG156" i="5"/>
  <c r="CD156" i="5"/>
  <c r="CW156" i="5"/>
  <c r="CL155" i="5"/>
  <c r="DG155" i="5"/>
  <c r="CD155" i="5"/>
  <c r="CW155" i="5"/>
  <c r="CL154" i="5"/>
  <c r="DG154" i="5"/>
  <c r="DG153" i="5"/>
  <c r="DG152" i="5"/>
  <c r="DG151" i="5"/>
  <c r="CD151" i="5"/>
  <c r="CW151" i="5"/>
  <c r="DG150" i="5"/>
  <c r="DG149" i="5"/>
  <c r="CD149" i="5"/>
  <c r="CW149" i="5"/>
  <c r="DG148" i="5"/>
  <c r="CD148" i="5"/>
  <c r="CW148" i="5"/>
  <c r="DG147" i="5"/>
  <c r="CD147" i="5"/>
  <c r="CW147" i="5"/>
  <c r="DG146" i="5"/>
  <c r="CD146" i="5"/>
  <c r="CW146" i="5"/>
  <c r="CM146" i="5"/>
  <c r="DG145" i="5"/>
  <c r="CD145" i="5"/>
  <c r="CW145" i="5"/>
  <c r="DG144" i="5"/>
  <c r="CD144" i="5"/>
  <c r="CW144" i="5"/>
  <c r="DG143" i="5"/>
  <c r="CD143" i="5"/>
  <c r="CW143" i="5"/>
  <c r="DG142" i="5"/>
  <c r="DG141" i="5"/>
  <c r="CD141" i="5"/>
  <c r="CW141" i="5"/>
  <c r="CL140" i="5"/>
  <c r="DG140" i="5"/>
  <c r="DG139" i="5"/>
  <c r="CD139" i="5"/>
  <c r="CW139" i="5"/>
  <c r="DG138" i="5"/>
  <c r="CD138" i="5"/>
  <c r="CW138" i="5"/>
  <c r="DG137" i="5"/>
  <c r="CD137" i="5"/>
  <c r="CW137" i="5"/>
  <c r="DG136" i="5"/>
  <c r="DG135" i="5"/>
  <c r="CD135" i="5"/>
  <c r="CW135" i="5"/>
  <c r="DG134" i="5"/>
  <c r="DG133" i="5"/>
  <c r="CD133" i="5"/>
  <c r="CW133" i="5"/>
  <c r="DG132" i="5"/>
  <c r="DG131" i="5"/>
  <c r="CD131" i="5"/>
  <c r="CW131" i="5"/>
  <c r="DG130" i="5"/>
  <c r="CD130" i="5"/>
  <c r="CW130" i="5"/>
  <c r="DG129" i="5"/>
  <c r="CD129" i="5"/>
  <c r="CW129" i="5"/>
  <c r="CM129" i="5"/>
  <c r="DG128" i="5"/>
  <c r="CD128" i="5"/>
  <c r="CW128" i="5"/>
  <c r="CL127" i="5"/>
  <c r="DG127" i="5"/>
  <c r="CD127" i="5"/>
  <c r="CW127" i="5"/>
  <c r="CL126" i="5"/>
  <c r="DG126" i="5"/>
  <c r="CD126" i="5"/>
  <c r="CW126" i="5"/>
  <c r="DG125" i="5"/>
  <c r="CL124" i="5"/>
  <c r="DG124" i="5"/>
  <c r="CD124" i="5"/>
  <c r="CW124" i="5"/>
  <c r="CL123" i="5"/>
  <c r="DG123" i="5"/>
  <c r="CD123" i="5"/>
  <c r="CW123" i="5"/>
  <c r="CM123" i="5"/>
  <c r="CL122" i="5"/>
  <c r="DG122" i="5"/>
  <c r="CL121" i="5"/>
  <c r="DG121" i="5"/>
  <c r="CD121" i="5"/>
  <c r="CW121" i="5"/>
  <c r="CM121" i="5"/>
  <c r="DG120" i="5"/>
  <c r="DG119" i="5"/>
  <c r="CD119" i="5"/>
  <c r="CW119" i="5"/>
  <c r="CM119" i="5"/>
  <c r="CL118" i="5"/>
  <c r="DG118" i="5"/>
  <c r="CL117" i="5"/>
  <c r="DG117" i="5"/>
  <c r="CD117" i="5"/>
  <c r="CW117" i="5"/>
  <c r="DG116" i="5"/>
  <c r="CD116" i="5"/>
  <c r="CW116" i="5"/>
  <c r="DG115" i="5"/>
  <c r="CL114" i="5"/>
  <c r="DG114" i="5"/>
  <c r="DG113" i="5"/>
  <c r="CD113" i="5"/>
  <c r="CW113" i="5"/>
  <c r="CL112" i="5"/>
  <c r="DG112" i="5"/>
  <c r="DG111" i="5"/>
  <c r="CD111" i="5"/>
  <c r="CW111" i="5"/>
  <c r="DG110" i="5"/>
  <c r="CD110" i="5"/>
  <c r="CW110" i="5"/>
  <c r="DG109" i="5"/>
  <c r="DG108" i="5"/>
  <c r="CD108" i="5"/>
  <c r="CW108" i="5"/>
  <c r="DG107" i="5"/>
  <c r="CD107" i="5"/>
  <c r="CW107" i="5"/>
  <c r="DG106" i="5"/>
  <c r="CD106" i="5"/>
  <c r="CW106" i="5"/>
  <c r="DG105" i="5"/>
  <c r="CM105" i="5"/>
  <c r="DG104" i="5"/>
  <c r="CD104" i="5"/>
  <c r="CW104" i="5"/>
  <c r="DG103" i="5"/>
  <c r="DG102" i="5"/>
  <c r="CM102" i="5"/>
  <c r="DG101" i="5"/>
  <c r="CL100" i="5"/>
  <c r="DG100" i="5"/>
  <c r="CD100" i="5"/>
  <c r="CW100" i="5"/>
  <c r="CL99" i="5"/>
  <c r="DG99" i="5"/>
  <c r="CD99" i="5"/>
  <c r="CW99" i="5"/>
  <c r="CL98" i="5"/>
  <c r="DG98" i="5"/>
  <c r="CL97" i="5"/>
  <c r="DG97" i="5"/>
  <c r="CD97" i="5"/>
  <c r="CW97" i="5"/>
  <c r="CL96" i="5"/>
  <c r="DG96" i="5"/>
  <c r="DG95" i="5"/>
  <c r="CL94" i="5"/>
  <c r="DG94" i="5"/>
  <c r="CD94" i="5"/>
  <c r="CW94" i="5"/>
  <c r="CL93" i="5"/>
  <c r="DG93" i="5"/>
  <c r="CM93" i="5"/>
  <c r="DG92" i="5"/>
  <c r="CD92" i="5"/>
  <c r="CW92" i="5"/>
  <c r="CL91" i="5"/>
  <c r="DG91" i="5"/>
  <c r="CL90" i="5"/>
  <c r="DG90" i="5"/>
  <c r="CD90" i="5"/>
  <c r="CW90" i="5"/>
  <c r="CM90" i="5"/>
  <c r="CL89" i="5"/>
  <c r="DG89" i="5"/>
  <c r="CD89" i="5"/>
  <c r="CW89" i="5"/>
  <c r="CM89" i="5"/>
  <c r="CL88" i="5"/>
  <c r="DG88" i="5"/>
  <c r="CD88" i="5"/>
  <c r="CW88" i="5"/>
  <c r="CL87" i="5"/>
  <c r="DG87" i="5"/>
  <c r="CD87" i="5"/>
  <c r="CW87" i="5"/>
  <c r="CL86" i="5"/>
  <c r="DG86" i="5"/>
  <c r="CD86" i="5"/>
  <c r="CW86" i="5"/>
  <c r="CL85" i="5"/>
  <c r="DG85" i="5"/>
  <c r="CD85" i="5"/>
  <c r="CW85" i="5"/>
  <c r="CL84" i="5"/>
  <c r="DG84" i="5"/>
  <c r="CL83" i="5"/>
  <c r="DG83" i="5"/>
  <c r="CD83" i="5"/>
  <c r="CW83" i="5"/>
  <c r="DG82" i="5"/>
  <c r="CL81" i="5"/>
  <c r="DG81" i="5"/>
  <c r="CD81" i="5"/>
  <c r="CW81" i="5"/>
  <c r="DG80" i="5"/>
  <c r="CL79" i="5"/>
  <c r="DG79" i="5"/>
  <c r="CM79" i="5"/>
  <c r="DG78" i="5"/>
  <c r="CD78" i="5"/>
  <c r="CW78" i="5"/>
  <c r="CL77" i="5"/>
  <c r="DG77" i="5"/>
  <c r="CD77" i="5"/>
  <c r="CW77" i="5"/>
  <c r="CL76" i="5"/>
  <c r="DG76" i="5"/>
  <c r="CD76" i="5"/>
  <c r="CW76" i="5"/>
  <c r="DG75" i="5"/>
  <c r="CL74" i="5"/>
  <c r="DG74" i="5"/>
  <c r="CD74" i="5"/>
  <c r="CW74" i="5"/>
  <c r="CL73" i="5"/>
  <c r="DG73" i="5"/>
  <c r="CL72" i="5"/>
  <c r="DG72" i="5"/>
  <c r="CD72" i="5"/>
  <c r="CW72" i="5"/>
  <c r="CL71" i="5"/>
  <c r="DG71" i="5"/>
  <c r="CD71" i="5"/>
  <c r="CW71" i="5"/>
  <c r="CL70" i="5"/>
  <c r="DG70" i="5"/>
  <c r="CL69" i="5"/>
  <c r="DG69" i="5"/>
  <c r="CD69" i="5"/>
  <c r="CW69" i="5"/>
  <c r="CL68" i="5"/>
  <c r="DG68" i="5"/>
  <c r="CD68" i="5"/>
  <c r="CW68" i="5"/>
  <c r="CL67" i="5"/>
  <c r="DG67" i="5"/>
  <c r="DG66" i="5"/>
  <c r="CL65" i="5"/>
  <c r="DG65" i="5"/>
  <c r="DG64" i="5"/>
  <c r="DG63" i="5"/>
  <c r="CD63" i="5"/>
  <c r="CW63" i="5"/>
  <c r="CL62" i="5"/>
  <c r="DG62" i="5"/>
  <c r="CD62" i="5"/>
  <c r="CW62" i="5"/>
  <c r="CL61" i="5"/>
  <c r="DG61" i="5"/>
  <c r="DG60" i="5"/>
  <c r="CD60" i="5"/>
  <c r="CW60" i="5"/>
  <c r="CL59" i="5"/>
  <c r="DG59" i="5"/>
  <c r="CL58" i="5"/>
  <c r="DG58" i="5"/>
  <c r="CL57" i="5"/>
  <c r="DG57" i="5"/>
  <c r="CD57" i="5"/>
  <c r="CW57" i="5"/>
  <c r="CL56" i="5"/>
  <c r="DG56" i="5"/>
  <c r="CD56" i="5"/>
  <c r="CW56" i="5"/>
  <c r="DG55" i="5"/>
  <c r="CM55" i="5"/>
  <c r="CL54" i="5"/>
  <c r="DG54" i="5"/>
  <c r="CM54" i="5"/>
  <c r="CL53" i="5"/>
  <c r="DG53" i="5"/>
  <c r="CL52" i="5"/>
  <c r="DG52" i="5"/>
  <c r="CD52" i="5"/>
  <c r="CW52" i="5"/>
  <c r="CM52" i="5"/>
  <c r="CL51" i="5"/>
  <c r="DG51" i="5"/>
  <c r="CD51" i="5"/>
  <c r="CW51" i="5"/>
  <c r="CL50" i="5"/>
  <c r="DG50" i="5"/>
  <c r="CD50" i="5"/>
  <c r="CW50" i="5"/>
  <c r="CM50" i="5"/>
  <c r="CL49" i="5"/>
  <c r="DG49" i="5"/>
  <c r="CD49" i="5"/>
  <c r="CW49" i="5"/>
  <c r="CM49" i="5"/>
  <c r="CL48" i="5"/>
  <c r="DG48" i="5"/>
  <c r="CD48" i="5"/>
  <c r="CW48" i="5"/>
  <c r="CM48" i="5"/>
  <c r="CL47" i="5"/>
  <c r="DG47" i="5"/>
  <c r="CD47" i="5"/>
  <c r="CW47" i="5"/>
  <c r="CM47" i="5"/>
  <c r="CL46" i="5"/>
  <c r="DG46" i="5"/>
  <c r="CD46" i="5"/>
  <c r="CW46" i="5"/>
  <c r="CM46" i="5"/>
  <c r="CL45" i="5"/>
  <c r="DG45" i="5"/>
  <c r="CD45" i="5"/>
  <c r="CW45" i="5"/>
  <c r="CL44" i="5"/>
  <c r="DG44" i="5"/>
  <c r="CD44" i="5"/>
  <c r="CW44" i="5"/>
  <c r="CM44" i="5"/>
  <c r="CL43" i="5"/>
  <c r="DG43" i="5"/>
  <c r="CD43" i="5"/>
  <c r="CW43" i="5"/>
  <c r="CM43" i="5"/>
  <c r="CL42" i="5"/>
  <c r="DG42" i="5"/>
  <c r="CD42" i="5"/>
  <c r="CW42" i="5"/>
  <c r="CM42" i="5"/>
  <c r="CL41" i="5"/>
  <c r="DG41" i="5"/>
  <c r="CD41" i="5"/>
  <c r="CW41" i="5"/>
  <c r="CL40" i="5"/>
  <c r="DG40" i="5"/>
  <c r="CD40" i="5"/>
  <c r="CW40" i="5"/>
  <c r="CL39" i="5"/>
  <c r="DG39" i="5"/>
  <c r="CD39" i="5"/>
  <c r="CW39" i="5"/>
  <c r="CM39" i="5"/>
  <c r="CL38" i="5"/>
  <c r="DG38" i="5"/>
  <c r="CD38" i="5"/>
  <c r="CW38" i="5"/>
  <c r="CL37" i="5"/>
  <c r="DG37" i="5"/>
  <c r="CD37" i="5"/>
  <c r="CW37" i="5"/>
  <c r="CM37" i="5"/>
  <c r="DG36" i="5"/>
  <c r="CD36" i="5"/>
  <c r="CW36" i="5"/>
  <c r="CM36" i="5"/>
  <c r="CL35" i="5"/>
  <c r="DG35" i="5"/>
  <c r="CD35" i="5"/>
  <c r="CW35" i="5"/>
  <c r="DG34" i="5"/>
  <c r="CD34" i="5"/>
  <c r="CW34" i="5"/>
  <c r="CL33" i="5"/>
  <c r="DG33" i="5"/>
  <c r="CD33" i="5"/>
  <c r="CW33" i="5"/>
  <c r="CM33" i="5"/>
  <c r="CL32" i="5"/>
  <c r="DG32" i="5"/>
  <c r="CD32" i="5"/>
  <c r="CW32" i="5"/>
  <c r="CL31" i="5"/>
  <c r="DG31" i="5"/>
  <c r="CD31" i="5"/>
  <c r="CW31" i="5"/>
  <c r="CM31" i="5"/>
  <c r="CL30" i="5"/>
  <c r="DG30" i="5"/>
  <c r="CD30" i="5"/>
  <c r="CW30" i="5"/>
  <c r="CL29" i="5"/>
  <c r="DG29" i="5"/>
  <c r="CD29" i="5"/>
  <c r="CW29" i="5"/>
  <c r="CL28" i="5"/>
  <c r="DG28" i="5"/>
  <c r="CD28" i="5"/>
  <c r="CW28" i="5"/>
  <c r="DG27" i="5"/>
  <c r="CD27" i="5"/>
  <c r="CW27" i="5"/>
  <c r="DG26" i="5"/>
  <c r="CD26" i="5"/>
  <c r="CW26" i="5"/>
  <c r="DG25" i="5"/>
  <c r="CD25" i="5"/>
  <c r="CW25" i="5"/>
  <c r="DG24" i="5"/>
  <c r="CD24" i="5"/>
  <c r="CW24" i="5"/>
  <c r="DG23" i="5"/>
  <c r="CD23" i="5"/>
  <c r="CW23" i="5"/>
  <c r="DG22" i="5"/>
  <c r="DG21" i="5"/>
  <c r="CD21" i="5"/>
  <c r="CW21" i="5"/>
  <c r="CL20" i="5"/>
  <c r="DG20" i="5"/>
  <c r="CD20" i="5"/>
  <c r="CW20" i="5"/>
  <c r="DG19" i="5"/>
  <c r="CD19" i="5"/>
  <c r="CW19" i="5"/>
  <c r="DG18" i="5"/>
  <c r="CD18" i="5"/>
  <c r="CW18" i="5"/>
  <c r="DG17" i="5"/>
  <c r="CM17" i="5"/>
  <c r="DG16" i="5"/>
  <c r="CD16" i="5"/>
  <c r="CW16" i="5"/>
  <c r="CM16" i="5"/>
  <c r="BR15" i="5"/>
  <c r="BR14" i="5"/>
  <c r="BR13" i="5"/>
  <c r="BR12" i="5"/>
  <c r="BP11" i="5"/>
  <c r="CD11" i="5"/>
  <c r="CW11" i="5"/>
  <c r="BR11" i="5"/>
</calcChain>
</file>

<file path=xl/sharedStrings.xml><?xml version="1.0" encoding="utf-8"?>
<sst xmlns="http://schemas.openxmlformats.org/spreadsheetml/2006/main" count="576" uniqueCount="258">
  <si>
    <t>London</t>
  </si>
  <si>
    <t>Soap</t>
  </si>
  <si>
    <t>Shirting</t>
  </si>
  <si>
    <t>Cloth</t>
  </si>
  <si>
    <t>d.</t>
  </si>
  <si>
    <t>Herring</t>
  </si>
  <si>
    <t>Suffolk</t>
  </si>
  <si>
    <t>s.</t>
  </si>
  <si>
    <t xml:space="preserve"> </t>
  </si>
  <si>
    <t>Source</t>
  </si>
  <si>
    <t>Conversion</t>
  </si>
  <si>
    <t>Comment</t>
  </si>
  <si>
    <t>Year</t>
  </si>
  <si>
    <t>Price of Sterling Silver; Pence per Ounce of Troy std Ag</t>
  </si>
  <si>
    <t>Price Silver Pence/Ounce</t>
  </si>
  <si>
    <t>Grams of pure Ag/English Pence</t>
  </si>
  <si>
    <t>Sources</t>
  </si>
  <si>
    <t>[1]:</t>
  </si>
  <si>
    <t>[2]:</t>
  </si>
  <si>
    <t>[3]:</t>
  </si>
  <si>
    <t>The silver prices of the Pound Sterling, used for comparisons, are from the following sources:</t>
  </si>
  <si>
    <t>1259-1816:</t>
  </si>
  <si>
    <t xml:space="preserve">A.E. Feavearyear, The Pound Sterling: A History of English Money (Oxford, 1931), </t>
  </si>
  <si>
    <t>pp. 346, 348-9; few interpolations.</t>
  </si>
  <si>
    <t>1817-1829:</t>
  </si>
  <si>
    <t xml:space="preserve">International Monetary Conference, Paris 1878. United States Senate Executive </t>
  </si>
  <si>
    <t>Document No. 58, 45th Congress, 3rd Senate (Washington, 1879), pp. 611-613.</t>
  </si>
  <si>
    <t>1830-1832:</t>
  </si>
  <si>
    <t>Interpolated</t>
  </si>
  <si>
    <t>1833-1902:</t>
  </si>
  <si>
    <t>United States, Statistical Abstract of the United States (1902), p. 65.</t>
  </si>
  <si>
    <t>1903-1914:</t>
  </si>
  <si>
    <t>United States, Statistical Abstract of the United States (1914), p. 491.</t>
  </si>
  <si>
    <t>[4]:</t>
  </si>
  <si>
    <t>[5]:</t>
  </si>
  <si>
    <t>[6]:</t>
  </si>
  <si>
    <t>[7]:</t>
  </si>
  <si>
    <t>Comments</t>
  </si>
  <si>
    <t>(a):</t>
  </si>
  <si>
    <t>(b):</t>
  </si>
  <si>
    <t>(d):</t>
  </si>
  <si>
    <t>(e):</t>
  </si>
  <si>
    <t>(f):</t>
  </si>
  <si>
    <t>(g):</t>
  </si>
  <si>
    <t xml:space="preserve">For more information on computation, sources, extrapolations and conversions please consult: </t>
  </si>
  <si>
    <t xml:space="preserve">Allen, Robert C., "The Great Divergence in European Prices and Wages from the Middle </t>
  </si>
  <si>
    <r>
      <t>Ages to the First World War"</t>
    </r>
    <r>
      <rPr>
        <i/>
        <sz val="8"/>
        <rFont val="Arial"/>
        <family val="2"/>
      </rPr>
      <t>, Explorations in Economic History</t>
    </r>
    <r>
      <rPr>
        <sz val="8"/>
        <rFont val="Arial"/>
        <family val="2"/>
      </rPr>
      <t>, 38 (2001), Appendix and Text.</t>
    </r>
  </si>
  <si>
    <t>[1]</t>
  </si>
  <si>
    <t>Price of Sterling Silver;</t>
  </si>
  <si>
    <t xml:space="preserve"> Pence per Ounce of Troy std Ag</t>
  </si>
  <si>
    <t xml:space="preserve">Price Silver </t>
  </si>
  <si>
    <t>Pence/Ounce</t>
  </si>
  <si>
    <t>Grams of pure Ag</t>
  </si>
  <si>
    <t>/English Pence</t>
  </si>
  <si>
    <t>Currency Conversions</t>
  </si>
  <si>
    <t>Curreny/units</t>
  </si>
  <si>
    <t>Metric equivalent</t>
  </si>
  <si>
    <t>Good</t>
  </si>
  <si>
    <t>Profession</t>
  </si>
  <si>
    <t>B1) Original Wages</t>
  </si>
  <si>
    <t>(1955), pp. 195-206.</t>
  </si>
  <si>
    <r>
      <t>Phelps Brown, E.H. and S.V. Hopkins, "Seven Centuries of Building Wages",</t>
    </r>
    <r>
      <rPr>
        <i/>
        <sz val="8"/>
        <rFont val="Arial"/>
        <family val="2"/>
      </rPr>
      <t xml:space="preserve"> Economica</t>
    </r>
    <r>
      <rPr>
        <sz val="8"/>
        <rFont val="Arial"/>
        <family val="2"/>
      </rPr>
      <t xml:space="preserve">, 22 </t>
    </r>
  </si>
  <si>
    <t>(1996), pp. 268-290.</t>
  </si>
  <si>
    <r>
      <t xml:space="preserve">Boulton, J., "Wage Labour in Seventeenth-Century London", </t>
    </r>
    <r>
      <rPr>
        <i/>
        <sz val="8"/>
        <rFont val="Arial"/>
        <family val="2"/>
      </rPr>
      <t>Economic History Review</t>
    </r>
    <r>
      <rPr>
        <sz val="8"/>
        <rFont val="Arial"/>
        <family val="2"/>
      </rPr>
      <t xml:space="preserve">, 49 </t>
    </r>
  </si>
  <si>
    <t xml:space="preserve"> 38 (1985), pp. 24-41.</t>
  </si>
  <si>
    <r>
      <t xml:space="preserve">Schartz, L.D., The Standard of Living in the Long-Run: London 1700-1860, </t>
    </r>
    <r>
      <rPr>
        <i/>
        <sz val="8"/>
        <rFont val="Arial"/>
        <family val="2"/>
      </rPr>
      <t>Economic History Review</t>
    </r>
    <r>
      <rPr>
        <sz val="8"/>
        <rFont val="Arial"/>
        <family val="2"/>
      </rPr>
      <t>,</t>
    </r>
  </si>
  <si>
    <r>
      <t xml:space="preserve">Rogers, J.E.T., </t>
    </r>
    <r>
      <rPr>
        <i/>
        <sz val="8"/>
        <rFont val="Arial"/>
        <family val="2"/>
      </rPr>
      <t>A History of Agriculture and Prices in England</t>
    </r>
    <r>
      <rPr>
        <sz val="8"/>
        <rFont val="Arial"/>
        <family val="2"/>
      </rPr>
      <t>, 7 vols. (Oxford, 1866-1892).</t>
    </r>
  </si>
  <si>
    <t>[8]:</t>
  </si>
  <si>
    <r>
      <t xml:space="preserve">Allen, Robert C., </t>
    </r>
    <r>
      <rPr>
        <i/>
        <sz val="8"/>
        <rFont val="Arial"/>
        <family val="2"/>
      </rPr>
      <t>Enclosure and the Yeoman</t>
    </r>
    <r>
      <rPr>
        <sz val="8"/>
        <rFont val="Arial"/>
        <family val="2"/>
      </rPr>
      <t xml:space="preserve"> (Oxford, 1992).</t>
    </r>
  </si>
  <si>
    <t>[9]:</t>
  </si>
  <si>
    <r>
      <t xml:space="preserve">Bowden, P., "Agricultural Farm Prices, Farm Profits and Rents", in J. Thirsk (ed.), </t>
    </r>
    <r>
      <rPr>
        <i/>
        <sz val="8"/>
        <rFont val="Arial"/>
        <family val="2"/>
      </rPr>
      <t xml:space="preserve">The Agrarian History </t>
    </r>
  </si>
  <si>
    <r>
      <t>of England and Wales</t>
    </r>
    <r>
      <rPr>
        <sz val="8"/>
        <rFont val="Arial"/>
        <family val="2"/>
      </rPr>
      <t xml:space="preserve">, vol. IV: 1500-1640 (Cambridge, 1967), pp. 593-695. </t>
    </r>
  </si>
  <si>
    <t>[10]:</t>
  </si>
  <si>
    <r>
      <t xml:space="preserve">Bowden, P., "Agricultural Farm Prices, Wages, Farm Profits and Rents", in J. Thirsk (ed.), </t>
    </r>
    <r>
      <rPr>
        <i/>
        <sz val="8"/>
        <rFont val="Arial"/>
        <family val="2"/>
      </rPr>
      <t>The Agrarian</t>
    </r>
  </si>
  <si>
    <r>
      <t xml:space="preserve"> History of England and Wales</t>
    </r>
    <r>
      <rPr>
        <sz val="8"/>
        <rFont val="Arial"/>
        <family val="2"/>
      </rPr>
      <t xml:space="preserve">, vol. V, part II: 1640-1750 (Cambridge, 1985), pp.1-118, 827-902. </t>
    </r>
  </si>
  <si>
    <t>[11]:</t>
  </si>
  <si>
    <r>
      <t xml:space="preserve">Beveridge, V., </t>
    </r>
    <r>
      <rPr>
        <i/>
        <sz val="8"/>
        <rFont val="Arial"/>
        <family val="2"/>
      </rPr>
      <t xml:space="preserve">Prices and Wages in England from the Twelth to the Nineteenth </t>
    </r>
  </si>
  <si>
    <t>Century (London, 1939).</t>
  </si>
  <si>
    <t>[12]:</t>
  </si>
  <si>
    <t xml:space="preserve">Feinstein, C., "Changes in Nominal Wages, the Cost of Living and Real Wages in the United Kingdom </t>
  </si>
  <si>
    <t>(Aldershot, 1995), pp. 3-36, 258-266.</t>
  </si>
  <si>
    <r>
      <t xml:space="preserve">over two Centuries, 1780-1990", in in P. Scholliers and V. Zamagni (Eds.), </t>
    </r>
    <r>
      <rPr>
        <i/>
        <sz val="8"/>
        <rFont val="Arial"/>
        <family val="2"/>
      </rPr>
      <t xml:space="preserve">Labour's Reward </t>
    </r>
  </si>
  <si>
    <t>[2], [3], [4], [5]</t>
  </si>
  <si>
    <t>Building Craftsman</t>
  </si>
  <si>
    <t>Building Labourer</t>
  </si>
  <si>
    <t>Pence/Day</t>
  </si>
  <si>
    <t>Agricultural Labourer</t>
  </si>
  <si>
    <t>B2) Silver Wages</t>
  </si>
  <si>
    <t>Grams Ag/Day</t>
  </si>
  <si>
    <t>Southern England</t>
  </si>
  <si>
    <t>London/Oxford</t>
  </si>
  <si>
    <t>Craftsman</t>
  </si>
  <si>
    <t>Labourer</t>
  </si>
  <si>
    <t>Wheat</t>
  </si>
  <si>
    <t>Barley</t>
  </si>
  <si>
    <t>Oats</t>
  </si>
  <si>
    <t>Rye</t>
  </si>
  <si>
    <t>Beef</t>
  </si>
  <si>
    <t>Peas</t>
  </si>
  <si>
    <t>Shillings &amp; Pence/Bushel</t>
  </si>
  <si>
    <t>(a)</t>
  </si>
  <si>
    <t xml:space="preserve">Here the price of one good is spread over two columns: the number in the first column refers to the </t>
  </si>
  <si>
    <t xml:space="preserve">amount of shillings and the second column gives the amount of pence. To total price therefore is the </t>
  </si>
  <si>
    <t>total of both columns and is in shilling and pence</t>
  </si>
  <si>
    <t>(a); (b)</t>
  </si>
  <si>
    <t>(a); (b); (c )</t>
  </si>
  <si>
    <t>Prices up to 1702 are from Rogers (1866-1892); from 1703-1817 prices are from Mitchell &amp; Deane</t>
  </si>
  <si>
    <t xml:space="preserve"> (1971), pp. 485ff; prices after 1818 are from Mitchell &amp; Deane (1971), pp. 488-89.</t>
  </si>
  <si>
    <t>(c ):</t>
  </si>
  <si>
    <t>35.238 l</t>
  </si>
  <si>
    <t>Prices after 1818 are in imperial quarters (= 36.3687 l).</t>
  </si>
  <si>
    <t>[7]</t>
  </si>
  <si>
    <t>[6], [7]</t>
  </si>
  <si>
    <t>Cheese</t>
  </si>
  <si>
    <t>Eggs</t>
  </si>
  <si>
    <t>Shillings &amp; Pence/224 lb</t>
  </si>
  <si>
    <t>Shillings &amp; Pence/100 pieces</t>
  </si>
  <si>
    <t>1lb = 0.4535 kg</t>
  </si>
  <si>
    <t>Pence/120 pieces</t>
  </si>
  <si>
    <t>(a); (d)</t>
  </si>
  <si>
    <t>(d)</t>
  </si>
  <si>
    <t>Shilling/120 pieces</t>
  </si>
  <si>
    <t>[11], pp. 428-9</t>
  </si>
  <si>
    <t>[11]</t>
  </si>
  <si>
    <t>Wax</t>
  </si>
  <si>
    <t xml:space="preserve">Wax </t>
  </si>
  <si>
    <t>Shillings &amp; Pence/12 lbs</t>
  </si>
  <si>
    <t>Shillings &amp; Pence/14 lbs</t>
  </si>
  <si>
    <t>Pence/lb</t>
  </si>
  <si>
    <t>Candles</t>
  </si>
  <si>
    <t>[7], I. pp. 436-44; IV, pp. 376-80; V, pp. 398-404</t>
  </si>
  <si>
    <t>[11], pp. 167-7; [13], pp. 1138-40</t>
  </si>
  <si>
    <t>[13]:</t>
  </si>
  <si>
    <t>[7], [11]</t>
  </si>
  <si>
    <t>282.24 l</t>
  </si>
  <si>
    <t>Charcoal</t>
  </si>
  <si>
    <t>Decennial averages; (a)</t>
  </si>
  <si>
    <t>Shillings &amp; Pence/Quarter</t>
  </si>
  <si>
    <t>Shillings &amp; Pence/100 Fagots</t>
  </si>
  <si>
    <t xml:space="preserve"> (a)</t>
  </si>
  <si>
    <t>Fagots</t>
  </si>
  <si>
    <t>Firewood</t>
  </si>
  <si>
    <t>Shillings &amp; Pence/Load</t>
  </si>
  <si>
    <t>Shillings &amp; Pence/1200 pieces</t>
  </si>
  <si>
    <t>Shillings &amp; Pence/Barrel</t>
  </si>
  <si>
    <t>1125 pieces</t>
  </si>
  <si>
    <t>White Herring</t>
  </si>
  <si>
    <t>4.55 l</t>
  </si>
  <si>
    <t>Oil</t>
  </si>
  <si>
    <t>Honey</t>
  </si>
  <si>
    <t>Coal</t>
  </si>
  <si>
    <t>Rice</t>
  </si>
  <si>
    <t>Salted Cod</t>
  </si>
  <si>
    <t>Stockfish</t>
  </si>
  <si>
    <t>[11], pp. 432-3</t>
  </si>
  <si>
    <t>Shillings/12 lbs</t>
  </si>
  <si>
    <t>Shillings/each</t>
  </si>
  <si>
    <t>[11], pp. 420</t>
  </si>
  <si>
    <t>Shillings/120 pieces</t>
  </si>
  <si>
    <t>Shillings/12 ells</t>
  </si>
  <si>
    <t>0.9144 m</t>
  </si>
  <si>
    <t>Shillings and Pence/12 ells</t>
  </si>
  <si>
    <t>Linen &amp; Canvas</t>
  </si>
  <si>
    <t>[11], pp. 143-5</t>
  </si>
  <si>
    <t>Scholars' Servants</t>
  </si>
  <si>
    <t>[11], pp. 85-90</t>
  </si>
  <si>
    <t>Shillings/Piece</t>
  </si>
  <si>
    <t>Steward's Cloth</t>
  </si>
  <si>
    <t>[11], pp. 85-7</t>
  </si>
  <si>
    <t>[7], IV, pp. 583-8</t>
  </si>
  <si>
    <t>1st quality</t>
  </si>
  <si>
    <t>Shillings and Pence/24 yards</t>
  </si>
  <si>
    <t>Broad Cloth</t>
  </si>
  <si>
    <t>Scholar's</t>
  </si>
  <si>
    <t>1 yard = 0.9144 m</t>
  </si>
  <si>
    <t>[11], pp. 193-6</t>
  </si>
  <si>
    <t>Shillings/yard</t>
  </si>
  <si>
    <t>Blue Cloth</t>
  </si>
  <si>
    <t>[11], pp. 144-7</t>
  </si>
  <si>
    <t>[11], pp. 293-5</t>
  </si>
  <si>
    <t>Bread</t>
  </si>
  <si>
    <t>Pence/4 lbs</t>
  </si>
  <si>
    <t>[6]</t>
  </si>
  <si>
    <t>[8]</t>
  </si>
  <si>
    <t>Shillings/Quarter</t>
  </si>
  <si>
    <t>Beans</t>
  </si>
  <si>
    <t>Beer</t>
  </si>
  <si>
    <t>Sugar</t>
  </si>
  <si>
    <t>Butter</t>
  </si>
  <si>
    <t>Shillings/Stone (=24 lbs)</t>
  </si>
  <si>
    <t>Pound/Barrel</t>
  </si>
  <si>
    <t>163.65 l</t>
  </si>
  <si>
    <t>Shillings/12 lbs.</t>
  </si>
  <si>
    <t>A2) Silver Prices per Metric Units</t>
  </si>
  <si>
    <t>Grams Ag/Litre</t>
  </si>
  <si>
    <t>Grams Ag/m</t>
  </si>
  <si>
    <t>Grams Ag/kg</t>
  </si>
  <si>
    <t>Grams Ag/each</t>
  </si>
  <si>
    <t>(d); (e)</t>
  </si>
  <si>
    <t>Faggots</t>
  </si>
  <si>
    <t>Computation of Bread Prices</t>
  </si>
  <si>
    <t>Bread (predicted)</t>
  </si>
  <si>
    <t>A3) Prices for Consumer Price Index (weighted according to consumer basket and using extrapolated and interpolated prices)</t>
  </si>
  <si>
    <t>Meat</t>
  </si>
  <si>
    <t>Soap prices before 1400 and after 1768 have been extrapolated using candle prices</t>
  </si>
  <si>
    <t>(d); (f)</t>
  </si>
  <si>
    <t>Linen</t>
  </si>
  <si>
    <t>Oil/light</t>
  </si>
  <si>
    <t>(d); (g)</t>
  </si>
  <si>
    <t>Pre-1400 candle prices have been set equal to oil prices</t>
  </si>
  <si>
    <t>Faggot</t>
  </si>
  <si>
    <t>In Million BTUs</t>
  </si>
  <si>
    <t>CPI</t>
  </si>
  <si>
    <t>[12]</t>
  </si>
  <si>
    <t>From Feinstein</t>
  </si>
  <si>
    <t>In Silver Prices</t>
  </si>
  <si>
    <t>In Local Currency</t>
  </si>
  <si>
    <t>NEW CPI</t>
  </si>
  <si>
    <t>Extended with Feinstein; (d)</t>
  </si>
  <si>
    <t xml:space="preserve"> (d)</t>
  </si>
  <si>
    <t>A4) Consumer Price Index for London, 1264-1913</t>
  </si>
  <si>
    <t>(Pence)</t>
  </si>
  <si>
    <t>Prices and Wages in London &amp; Southern England, 1259-1914</t>
  </si>
  <si>
    <t>Rogers' prices have been doubled to obtain London prices</t>
  </si>
  <si>
    <t>Shillings &amp; Pence/Gallon</t>
  </si>
  <si>
    <t>Shillings/2968 Pounds</t>
  </si>
  <si>
    <t>[7], IV</t>
  </si>
  <si>
    <r>
      <t xml:space="preserve">Mitchell, B.R. and P.Deane (1971), </t>
    </r>
    <r>
      <rPr>
        <i/>
        <sz val="8"/>
        <rFont val="Arial"/>
        <family val="2"/>
      </rPr>
      <t>Abstract of British Historical Statistics</t>
    </r>
    <r>
      <rPr>
        <sz val="8"/>
        <rFont val="Arial"/>
        <family val="2"/>
      </rPr>
      <t xml:space="preserve"> (Cambridge, 1971).</t>
    </r>
  </si>
  <si>
    <t>For a description of the sources used for Enclosure and the Yeoman, please consult the file</t>
  </si>
  <si>
    <t>http://www.nuff.ox.ac.uk/users/Allen/studer/datasources.doc</t>
  </si>
  <si>
    <t>The sources used for Enclosure and the Yeoman include the scouces [9] and [10] mentioned here.</t>
  </si>
  <si>
    <t>(h)</t>
  </si>
  <si>
    <t>Suffolk; (h)</t>
  </si>
  <si>
    <t>[2]</t>
  </si>
  <si>
    <t>[8], [13]</t>
  </si>
  <si>
    <r>
      <t xml:space="preserve">Beveridge, V., "Wages on the Winchester Manor, </t>
    </r>
    <r>
      <rPr>
        <i/>
        <sz val="8"/>
        <rFont val="Arial"/>
        <family val="2"/>
      </rPr>
      <t>Economic History Review</t>
    </r>
    <r>
      <rPr>
        <sz val="8"/>
        <rFont val="Arial"/>
        <family val="2"/>
      </rPr>
      <t>, 7 (1936), p. 42.</t>
    </r>
  </si>
  <si>
    <t>Ratio</t>
  </si>
  <si>
    <t>Northern England</t>
  </si>
  <si>
    <t>[14], [15], [16]</t>
  </si>
  <si>
    <t>[14]:</t>
  </si>
  <si>
    <r>
      <t xml:space="preserve">Gilboy, Elizabeth W., </t>
    </r>
    <r>
      <rPr>
        <i/>
        <sz val="8"/>
        <rFont val="Arial"/>
        <family val="2"/>
      </rPr>
      <t>Wages in Eighteenth-Century England</t>
    </r>
    <r>
      <rPr>
        <sz val="8"/>
        <rFont val="Arial"/>
        <family val="2"/>
      </rPr>
      <t xml:space="preserve"> (Cambridge, 1934).</t>
    </r>
  </si>
  <si>
    <t>[15]:</t>
  </si>
  <si>
    <r>
      <t xml:space="preserve">Woodward, Donald, </t>
    </r>
    <r>
      <rPr>
        <i/>
        <sz val="8"/>
        <rFont val="Arial"/>
        <family val="2"/>
      </rPr>
      <t xml:space="preserve">Man at Work: Labourers and Building Craftsmen in the Town of Northern </t>
    </r>
  </si>
  <si>
    <r>
      <t>England, 1450-1750</t>
    </r>
    <r>
      <rPr>
        <sz val="8"/>
        <rFont val="Arial"/>
        <family val="2"/>
      </rPr>
      <t xml:space="preserve"> (Cambridge, 1995).</t>
    </r>
  </si>
  <si>
    <t>[16];</t>
  </si>
  <si>
    <t xml:space="preserve">Bowley, A.L., "The Statistics of Wages in the United Kingdom during the Last Hundred Years. </t>
  </si>
  <si>
    <r>
      <t xml:space="preserve">Part VI: Wages in the Building Trades", </t>
    </r>
    <r>
      <rPr>
        <i/>
        <sz val="8"/>
        <rFont val="Arial"/>
        <family val="2"/>
      </rPr>
      <t>Journal of the Royal Statistical Society</t>
    </r>
    <r>
      <rPr>
        <sz val="8"/>
        <rFont val="Arial"/>
        <family val="2"/>
      </rPr>
      <t>, 63, 2 (1900), p. 304-5.</t>
    </r>
  </si>
  <si>
    <r>
      <t>Rappaport, S. L.,</t>
    </r>
    <r>
      <rPr>
        <i/>
        <sz val="8"/>
        <rFont val="Arial"/>
        <family val="2"/>
      </rPr>
      <t>Worlds within worlds: structures of life in sixteenth-century London</t>
    </r>
    <r>
      <rPr>
        <sz val="8"/>
        <rFont val="Arial"/>
        <family val="2"/>
      </rPr>
      <t xml:space="preserve"> (London, 1989).</t>
    </r>
  </si>
  <si>
    <t>(h):</t>
  </si>
  <si>
    <t>Downloaded from http://163.1.40.43/People/sites/Allen/SitePages/Biography.aspx, on 29 October 2013.</t>
  </si>
  <si>
    <t>Robert C. Allen</t>
  </si>
  <si>
    <t>Prices in London &amp; Southern England, 1259-1914</t>
  </si>
  <si>
    <t>A1) Original Prices = this panel.</t>
  </si>
  <si>
    <t>Further right =</t>
  </si>
  <si>
    <t>A2) Silver Prices per Metric Units --&gt;</t>
  </si>
  <si>
    <t>A3) Prices for Consumer Price Index (weighted according to consumer basket and using extrapolated and interpolated prices) --&gt;</t>
  </si>
  <si>
    <t>A4) Consumer Price Index for London, 1264-1913 --&gt;</t>
  </si>
  <si>
    <t>Wages in London &amp; Southern England, 1259-1914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</si>
</sst>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0.0000"/>
  </numFmts>
  <fonts count="19" x14ac:knownFonts="1">
    <font>
      <sz val="10"/>
      <name val="Courier"/>
    </font>
    <font>
      <sz val="10"/>
      <name val="Arial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10"/>
      <color indexed="12"/>
      <name val="Courier"/>
    </font>
    <font>
      <u/>
      <sz val="8"/>
      <color indexed="12"/>
      <name val="Arial"/>
      <family val="2"/>
    </font>
    <font>
      <b/>
      <u/>
      <sz val="14"/>
      <name val="Arial"/>
      <family val="2"/>
    </font>
    <font>
      <sz val="14"/>
      <name val="Courier"/>
    </font>
    <font>
      <sz val="14"/>
      <name val="Arial"/>
      <family val="2"/>
    </font>
    <font>
      <u/>
      <sz val="10"/>
      <color theme="11"/>
      <name val="Courier"/>
    </font>
    <font>
      <sz val="14"/>
      <color rgb="FFFF0000"/>
      <name val="Cambria"/>
      <scheme val="major"/>
    </font>
    <font>
      <b/>
      <u/>
      <sz val="16"/>
      <name val="Arial"/>
    </font>
    <font>
      <b/>
      <u/>
      <sz val="16"/>
      <color theme="1"/>
      <name val="Arial"/>
    </font>
    <font>
      <b/>
      <u/>
      <sz val="12"/>
      <name val="Arial"/>
    </font>
    <font>
      <sz val="12"/>
      <name val="Arial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97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 applyProtection="1">
      <alignment horizontal="left"/>
    </xf>
    <xf numFmtId="0" fontId="2" fillId="2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 applyProtection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0" fontId="5" fillId="0" borderId="5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horizontal="left"/>
    </xf>
    <xf numFmtId="0" fontId="5" fillId="0" borderId="0" xfId="0" applyFont="1" applyBorder="1"/>
    <xf numFmtId="0" fontId="5" fillId="0" borderId="4" xfId="0" applyFont="1" applyBorder="1"/>
    <xf numFmtId="0" fontId="6" fillId="0" borderId="1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Fill="1" applyBorder="1"/>
    <xf numFmtId="0" fontId="5" fillId="0" borderId="5" xfId="0" applyFont="1" applyFill="1" applyBorder="1" applyAlignment="1">
      <alignment horizontal="right"/>
    </xf>
    <xf numFmtId="0" fontId="4" fillId="0" borderId="0" xfId="0" applyFont="1" applyBorder="1"/>
    <xf numFmtId="0" fontId="5" fillId="0" borderId="0" xfId="0" applyFont="1" applyBorder="1" applyAlignment="1" applyProtection="1">
      <alignment horizontal="right"/>
    </xf>
    <xf numFmtId="165" fontId="0" fillId="0" borderId="0" xfId="0" applyNumberFormat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2" borderId="0" xfId="0" applyFont="1" applyFill="1" applyAlignment="1" applyProtection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 applyProtection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2" borderId="7" xfId="0" applyFont="1" applyFill="1" applyBorder="1" applyAlignment="1"/>
    <xf numFmtId="0" fontId="3" fillId="0" borderId="0" xfId="0" applyFont="1" applyFill="1" applyAlignment="1">
      <alignment horizontal="center"/>
    </xf>
    <xf numFmtId="164" fontId="5" fillId="0" borderId="0" xfId="0" applyNumberFormat="1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4" xfId="0" applyFont="1" applyFill="1" applyBorder="1"/>
    <xf numFmtId="0" fontId="8" fillId="0" borderId="0" xfId="1" applyFont="1" applyBorder="1" applyAlignment="1" applyProtection="1"/>
    <xf numFmtId="0" fontId="2" fillId="0" borderId="0" xfId="0" applyFont="1" applyFill="1" applyBorder="1"/>
    <xf numFmtId="0" fontId="5" fillId="0" borderId="4" xfId="0" applyFont="1" applyBorder="1" applyAlignment="1" applyProtection="1">
      <alignment horizontal="right"/>
    </xf>
    <xf numFmtId="0" fontId="5" fillId="0" borderId="4" xfId="0" applyFont="1" applyBorder="1" applyAlignment="1">
      <alignment horizontal="right"/>
    </xf>
    <xf numFmtId="0" fontId="0" fillId="0" borderId="8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7" xfId="0" applyBorder="1"/>
    <xf numFmtId="0" fontId="0" fillId="0" borderId="8" xfId="0" applyBorder="1"/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/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 applyProtection="1">
      <alignment horizontal="center"/>
    </xf>
    <xf numFmtId="0" fontId="3" fillId="4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65" fontId="5" fillId="0" borderId="0" xfId="0" applyNumberFormat="1" applyFont="1" applyFill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/>
    <xf numFmtId="0" fontId="1" fillId="2" borderId="0" xfId="0" applyFont="1" applyFill="1" applyAlignment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16" fillId="3" borderId="0" xfId="0" applyFont="1" applyFill="1" applyBorder="1" applyAlignment="1">
      <alignment horizontal="left" vertical="center"/>
    </xf>
    <xf numFmtId="0" fontId="18" fillId="3" borderId="0" xfId="0" applyFont="1" applyFill="1" applyAlignment="1"/>
    <xf numFmtId="0" fontId="1" fillId="0" borderId="0" xfId="0" applyFont="1" applyAlignment="1">
      <alignment horizontal="right"/>
    </xf>
    <xf numFmtId="0" fontId="5" fillId="5" borderId="0" xfId="0" applyFont="1" applyFill="1" applyAlignment="1" applyProtection="1">
      <alignment horizontal="right"/>
    </xf>
    <xf numFmtId="0" fontId="1" fillId="5" borderId="0" xfId="0" applyFont="1" applyFill="1" applyAlignment="1"/>
    <xf numFmtId="0" fontId="16" fillId="5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" fillId="4" borderId="0" xfId="0" applyFont="1" applyFill="1" applyAlignment="1"/>
    <xf numFmtId="0" fontId="2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5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3" borderId="0" xfId="0" applyFont="1" applyFill="1" applyBorder="1" applyAlignment="1">
      <alignment horizontal="right" wrapText="1"/>
    </xf>
    <xf numFmtId="0" fontId="17" fillId="0" borderId="0" xfId="0" applyFont="1"/>
    <xf numFmtId="0" fontId="16" fillId="0" borderId="0" xfId="0" applyFont="1" applyFill="1" applyBorder="1" applyAlignment="1">
      <alignment horizontal="left" vertical="center"/>
    </xf>
  </cellXfs>
  <cellStyles count="1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uff.ox.ac.uk/users/Allen/studer/datasource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671"/>
  <sheetViews>
    <sheetView workbookViewId="0">
      <selection activeCell="C6" sqref="C6"/>
    </sheetView>
  </sheetViews>
  <sheetFormatPr baseColWidth="10" defaultColWidth="9.6640625" defaultRowHeight="12" x14ac:dyDescent="0"/>
  <cols>
    <col min="1" max="1" width="6.5" style="92" customWidth="1"/>
    <col min="2" max="2" width="11.5" style="92" customWidth="1"/>
    <col min="3" max="3" width="13.1640625" style="92" customWidth="1"/>
    <col min="4" max="20" width="9.6640625" style="92"/>
    <col min="21" max="21" width="12" style="92" customWidth="1"/>
    <col min="22" max="22" width="12.6640625" style="92" customWidth="1"/>
    <col min="23" max="23" width="11.1640625" style="92" customWidth="1"/>
    <col min="24" max="25" width="9.6640625" style="92"/>
    <col min="26" max="26" width="15.33203125" style="92" customWidth="1"/>
    <col min="27" max="27" width="15.1640625" style="92" customWidth="1"/>
    <col min="28" max="28" width="21.5" style="92" customWidth="1"/>
    <col min="29" max="44" width="9.6640625" style="92"/>
    <col min="45" max="46" width="13.5" style="92" customWidth="1"/>
    <col min="47" max="47" width="9.6640625" style="92"/>
    <col min="48" max="48" width="13.83203125" style="92" customWidth="1"/>
    <col min="49" max="49" width="10.6640625" style="92" customWidth="1"/>
    <col min="50" max="50" width="17.33203125" style="92" customWidth="1"/>
    <col min="51" max="52" width="12.6640625" style="92" customWidth="1"/>
    <col min="53" max="53" width="11.1640625" style="92" customWidth="1"/>
    <col min="54" max="54" width="18.33203125" style="92" customWidth="1"/>
    <col min="55" max="55" width="12.83203125" style="92" customWidth="1"/>
    <col min="56" max="57" width="13.1640625" style="92" customWidth="1"/>
    <col min="58" max="58" width="10.83203125" style="92" customWidth="1"/>
    <col min="59" max="59" width="11.1640625" style="92" customWidth="1"/>
    <col min="60" max="60" width="15.1640625" style="92" customWidth="1"/>
    <col min="61" max="61" width="9.6640625" style="92"/>
    <col min="62" max="62" width="11" style="92" customWidth="1"/>
    <col min="63" max="63" width="10.6640625" style="92" customWidth="1"/>
    <col min="64" max="64" width="11.5" style="92" customWidth="1"/>
    <col min="65" max="65" width="4" style="92" customWidth="1"/>
    <col min="66" max="66" width="21.33203125" style="92" customWidth="1"/>
    <col min="67" max="67" width="12.1640625" style="92" customWidth="1"/>
    <col min="68" max="68" width="14.5" style="92" customWidth="1"/>
    <col min="69" max="69" width="4.1640625" style="92" customWidth="1"/>
    <col min="70" max="70" width="11.1640625" style="92" customWidth="1"/>
    <col min="71" max="71" width="10.5" style="92" customWidth="1"/>
    <col min="72" max="72" width="12" style="92" customWidth="1"/>
    <col min="73" max="73" width="12.1640625" style="92" customWidth="1"/>
    <col min="74" max="74" width="9.6640625" style="92"/>
    <col min="75" max="75" width="10.33203125" style="92" customWidth="1"/>
    <col min="76" max="76" width="11.1640625" style="92" customWidth="1"/>
    <col min="77" max="80" width="9.6640625" style="92"/>
    <col min="81" max="81" width="10.6640625" style="92" customWidth="1"/>
    <col min="82" max="82" width="10.5" style="92" customWidth="1"/>
    <col min="83" max="88" width="9.6640625" style="92"/>
    <col min="89" max="89" width="10.1640625" style="92" customWidth="1"/>
    <col min="90" max="91" width="9.6640625" style="92"/>
    <col min="92" max="92" width="2.83203125" style="92" customWidth="1"/>
    <col min="93" max="93" width="18.1640625" style="92" customWidth="1"/>
    <col min="94" max="94" width="7.1640625" style="92" customWidth="1"/>
    <col min="95" max="111" width="9.6640625" style="92"/>
    <col min="112" max="112" width="10.1640625" style="92" customWidth="1"/>
    <col min="113" max="113" width="10.5" style="92" customWidth="1"/>
    <col min="114" max="114" width="3.33203125" style="92" customWidth="1"/>
    <col min="115" max="115" width="10.6640625" style="92" customWidth="1"/>
    <col min="116" max="116" width="7.1640625" style="92" customWidth="1"/>
    <col min="117" max="117" width="11.33203125" style="92" customWidth="1"/>
    <col min="118" max="118" width="3.33203125" style="92" customWidth="1"/>
    <col min="119" max="119" width="19.1640625" style="92" customWidth="1"/>
    <col min="120" max="120" width="4.5" style="92" customWidth="1"/>
    <col min="121" max="121" width="13.6640625" style="92" customWidth="1"/>
    <col min="122" max="16384" width="9.6640625" style="92"/>
  </cols>
  <sheetData>
    <row r="1" spans="1:133" s="89" customFormat="1" ht="20" customHeight="1">
      <c r="A1" s="77" t="s">
        <v>250</v>
      </c>
      <c r="D1" s="79" t="s">
        <v>251</v>
      </c>
    </row>
    <row r="2" spans="1:133" s="89" customFormat="1" ht="15" customHeight="1">
      <c r="F2" s="98" t="s">
        <v>253</v>
      </c>
      <c r="G2" s="101" t="s">
        <v>254</v>
      </c>
      <c r="H2" s="100"/>
      <c r="I2" s="100"/>
      <c r="J2" s="100"/>
      <c r="BN2" s="70" t="s">
        <v>54</v>
      </c>
      <c r="BO2" s="70"/>
      <c r="BP2" s="70"/>
      <c r="BR2" s="56" t="s">
        <v>193</v>
      </c>
      <c r="CQ2" s="56" t="s">
        <v>202</v>
      </c>
      <c r="DM2" s="56" t="s">
        <v>220</v>
      </c>
    </row>
    <row r="3" spans="1:133" s="89" customFormat="1" ht="15" customHeight="1">
      <c r="C3" s="55"/>
      <c r="G3" s="102" t="s">
        <v>255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BN3" s="11"/>
      <c r="BO3" s="11"/>
      <c r="BP3" s="11"/>
      <c r="BR3" s="56"/>
      <c r="CQ3" s="56"/>
      <c r="DJ3" s="90"/>
      <c r="DK3" s="90"/>
      <c r="DM3" s="56"/>
    </row>
    <row r="4" spans="1:133" s="89" customFormat="1" ht="15" customHeight="1">
      <c r="C4" s="96" t="s">
        <v>252</v>
      </c>
      <c r="D4" s="97"/>
      <c r="E4" s="97"/>
      <c r="G4" s="101" t="s">
        <v>256</v>
      </c>
      <c r="H4" s="100"/>
      <c r="I4" s="100"/>
      <c r="J4" s="100"/>
      <c r="K4" s="100"/>
      <c r="L4" s="100"/>
      <c r="BN4" s="11"/>
      <c r="BO4" s="11"/>
      <c r="BP4" s="11"/>
      <c r="BR4" s="56"/>
      <c r="CQ4" s="56"/>
      <c r="DJ4" s="90"/>
      <c r="DK4" s="90"/>
      <c r="DM4" s="56"/>
    </row>
    <row r="5" spans="1:133" s="89" customFormat="1" ht="15" customHeight="1">
      <c r="A5" s="43"/>
      <c r="B5" s="104" t="s">
        <v>9</v>
      </c>
      <c r="C5" s="80" t="s">
        <v>112</v>
      </c>
      <c r="D5" s="80"/>
      <c r="E5" s="80" t="s">
        <v>112</v>
      </c>
      <c r="F5" s="80"/>
      <c r="G5" s="80" t="s">
        <v>112</v>
      </c>
      <c r="H5" s="80"/>
      <c r="I5" s="80" t="s">
        <v>111</v>
      </c>
      <c r="J5" s="80"/>
      <c r="K5" s="80" t="s">
        <v>111</v>
      </c>
      <c r="L5" s="80"/>
      <c r="M5" s="80" t="s">
        <v>111</v>
      </c>
      <c r="N5" s="80"/>
      <c r="O5" s="80" t="s">
        <v>111</v>
      </c>
      <c r="P5" s="80"/>
      <c r="Q5" s="80" t="s">
        <v>111</v>
      </c>
      <c r="R5" s="80"/>
      <c r="S5" s="80" t="s">
        <v>111</v>
      </c>
      <c r="T5" s="80"/>
      <c r="U5" s="80" t="s">
        <v>111</v>
      </c>
      <c r="V5" s="80" t="s">
        <v>122</v>
      </c>
      <c r="W5" s="80" t="s">
        <v>111</v>
      </c>
      <c r="X5" s="80" t="s">
        <v>111</v>
      </c>
      <c r="Y5" s="80"/>
      <c r="Z5" s="80" t="s">
        <v>130</v>
      </c>
      <c r="AA5" s="80"/>
      <c r="AB5" s="80" t="s">
        <v>131</v>
      </c>
      <c r="AC5" s="80" t="s">
        <v>133</v>
      </c>
      <c r="AD5" s="80"/>
      <c r="AE5" s="80" t="s">
        <v>133</v>
      </c>
      <c r="AF5" s="80"/>
      <c r="AG5" s="80" t="s">
        <v>133</v>
      </c>
      <c r="AH5" s="80"/>
      <c r="AI5" s="80" t="s">
        <v>133</v>
      </c>
      <c r="AJ5" s="80"/>
      <c r="AK5" s="80" t="s">
        <v>133</v>
      </c>
      <c r="AL5" s="80"/>
      <c r="AM5" s="80" t="s">
        <v>111</v>
      </c>
      <c r="AN5" s="80"/>
      <c r="AO5" s="80" t="s">
        <v>133</v>
      </c>
      <c r="AP5" s="80"/>
      <c r="AQ5" s="80" t="s">
        <v>133</v>
      </c>
      <c r="AR5" s="80"/>
      <c r="AS5" s="80" t="s">
        <v>133</v>
      </c>
      <c r="AT5" s="80" t="s">
        <v>154</v>
      </c>
      <c r="AU5" s="80" t="s">
        <v>157</v>
      </c>
      <c r="AV5" s="80" t="s">
        <v>226</v>
      </c>
      <c r="AW5" s="80" t="s">
        <v>133</v>
      </c>
      <c r="AX5" s="80" t="s">
        <v>111</v>
      </c>
      <c r="AY5" s="80" t="s">
        <v>163</v>
      </c>
      <c r="AZ5" s="80" t="s">
        <v>165</v>
      </c>
      <c r="BA5" s="80" t="s">
        <v>168</v>
      </c>
      <c r="BB5" s="80" t="s">
        <v>169</v>
      </c>
      <c r="BC5" s="80" t="s">
        <v>175</v>
      </c>
      <c r="BD5" s="80" t="s">
        <v>178</v>
      </c>
      <c r="BE5" s="80" t="s">
        <v>179</v>
      </c>
      <c r="BF5" s="80" t="s">
        <v>182</v>
      </c>
      <c r="BG5" s="80" t="s">
        <v>183</v>
      </c>
      <c r="BH5" s="80" t="s">
        <v>183</v>
      </c>
      <c r="BI5" s="80" t="s">
        <v>183</v>
      </c>
      <c r="BJ5" s="80" t="s">
        <v>183</v>
      </c>
      <c r="BK5" s="80" t="s">
        <v>183</v>
      </c>
      <c r="BL5" s="80" t="s">
        <v>183</v>
      </c>
      <c r="BM5" s="80"/>
      <c r="BN5" s="80" t="s">
        <v>47</v>
      </c>
      <c r="BO5" s="80" t="s">
        <v>47</v>
      </c>
      <c r="BP5" s="80" t="s">
        <v>47</v>
      </c>
      <c r="BQ5" s="36"/>
      <c r="BR5" s="52" t="s">
        <v>112</v>
      </c>
      <c r="BS5" s="52" t="s">
        <v>182</v>
      </c>
      <c r="BT5" s="52" t="s">
        <v>165</v>
      </c>
      <c r="BU5" s="52" t="s">
        <v>163</v>
      </c>
      <c r="BV5" s="52" t="s">
        <v>183</v>
      </c>
      <c r="BW5" s="52" t="s">
        <v>183</v>
      </c>
      <c r="BX5" s="52" t="s">
        <v>183</v>
      </c>
      <c r="BY5" s="52" t="s">
        <v>133</v>
      </c>
      <c r="BZ5" s="52" t="s">
        <v>183</v>
      </c>
      <c r="CA5" s="52" t="s">
        <v>183</v>
      </c>
      <c r="CB5" s="52" t="s">
        <v>183</v>
      </c>
      <c r="CC5" s="52" t="s">
        <v>133</v>
      </c>
      <c r="CD5" s="52" t="s">
        <v>133</v>
      </c>
      <c r="CE5" s="52" t="s">
        <v>226</v>
      </c>
      <c r="CF5" s="52" t="s">
        <v>123</v>
      </c>
      <c r="CG5" s="52" t="s">
        <v>133</v>
      </c>
      <c r="CH5" s="52" t="s">
        <v>133</v>
      </c>
      <c r="CI5" s="52" t="s">
        <v>123</v>
      </c>
      <c r="CJ5" s="52" t="s">
        <v>123</v>
      </c>
      <c r="CK5" s="52" t="s">
        <v>112</v>
      </c>
      <c r="CL5" s="52" t="s">
        <v>133</v>
      </c>
      <c r="CM5" s="52" t="s">
        <v>133</v>
      </c>
      <c r="CN5" s="36"/>
      <c r="CO5" s="57" t="s">
        <v>200</v>
      </c>
      <c r="CP5" s="20"/>
      <c r="CQ5" s="82"/>
      <c r="CR5" s="82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51"/>
      <c r="DK5" s="86" t="s">
        <v>213</v>
      </c>
      <c r="DL5" s="36"/>
      <c r="DM5" s="100"/>
      <c r="DN5" s="90"/>
      <c r="DO5" s="91"/>
      <c r="DQ5" s="10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</row>
    <row r="6" spans="1:133" s="89" customFormat="1" ht="15" customHeight="1">
      <c r="A6" s="43"/>
      <c r="B6" s="104" t="s">
        <v>55</v>
      </c>
      <c r="C6" s="80" t="s">
        <v>99</v>
      </c>
      <c r="D6" s="80"/>
      <c r="E6" s="80" t="s">
        <v>99</v>
      </c>
      <c r="F6" s="80"/>
      <c r="G6" s="80" t="s">
        <v>99</v>
      </c>
      <c r="H6" s="80"/>
      <c r="I6" s="80" t="s">
        <v>99</v>
      </c>
      <c r="J6" s="80"/>
      <c r="K6" s="80" t="s">
        <v>127</v>
      </c>
      <c r="L6" s="80"/>
      <c r="M6" s="80" t="s">
        <v>99</v>
      </c>
      <c r="N6" s="80"/>
      <c r="O6" s="80" t="s">
        <v>115</v>
      </c>
      <c r="P6" s="80"/>
      <c r="Q6" s="80" t="s">
        <v>126</v>
      </c>
      <c r="R6" s="80"/>
      <c r="S6" s="80" t="s">
        <v>116</v>
      </c>
      <c r="T6" s="80"/>
      <c r="U6" s="80" t="s">
        <v>118</v>
      </c>
      <c r="V6" s="80" t="s">
        <v>121</v>
      </c>
      <c r="W6" s="80" t="s">
        <v>128</v>
      </c>
      <c r="X6" s="80" t="s">
        <v>126</v>
      </c>
      <c r="Y6" s="80"/>
      <c r="Z6" s="80" t="s">
        <v>126</v>
      </c>
      <c r="AA6" s="80"/>
      <c r="AB6" s="80" t="s">
        <v>128</v>
      </c>
      <c r="AC6" s="80" t="s">
        <v>137</v>
      </c>
      <c r="AD6" s="80"/>
      <c r="AE6" s="80" t="s">
        <v>137</v>
      </c>
      <c r="AF6" s="80"/>
      <c r="AG6" s="80" t="s">
        <v>138</v>
      </c>
      <c r="AH6" s="80"/>
      <c r="AI6" s="80" t="s">
        <v>142</v>
      </c>
      <c r="AJ6" s="80"/>
      <c r="AK6" s="80" t="s">
        <v>143</v>
      </c>
      <c r="AL6" s="80"/>
      <c r="AM6" s="80" t="s">
        <v>144</v>
      </c>
      <c r="AN6" s="80"/>
      <c r="AO6" s="80" t="s">
        <v>224</v>
      </c>
      <c r="AP6" s="80"/>
      <c r="AQ6" s="80" t="s">
        <v>224</v>
      </c>
      <c r="AR6" s="80"/>
      <c r="AS6" s="80" t="s">
        <v>225</v>
      </c>
      <c r="AT6" s="80" t="s">
        <v>155</v>
      </c>
      <c r="AU6" s="80" t="s">
        <v>156</v>
      </c>
      <c r="AV6" s="80" t="s">
        <v>158</v>
      </c>
      <c r="AW6" s="80" t="s">
        <v>155</v>
      </c>
      <c r="AX6" s="80" t="s">
        <v>161</v>
      </c>
      <c r="AY6" s="80" t="s">
        <v>159</v>
      </c>
      <c r="AZ6" s="80" t="s">
        <v>166</v>
      </c>
      <c r="BA6" s="80" t="s">
        <v>166</v>
      </c>
      <c r="BB6" s="80" t="s">
        <v>171</v>
      </c>
      <c r="BC6" s="80" t="s">
        <v>176</v>
      </c>
      <c r="BD6" s="80" t="s">
        <v>176</v>
      </c>
      <c r="BE6" s="80" t="s">
        <v>176</v>
      </c>
      <c r="BF6" s="80" t="s">
        <v>181</v>
      </c>
      <c r="BG6" s="80" t="s">
        <v>184</v>
      </c>
      <c r="BH6" s="80" t="s">
        <v>189</v>
      </c>
      <c r="BI6" s="80" t="s">
        <v>190</v>
      </c>
      <c r="BJ6" s="80" t="s">
        <v>192</v>
      </c>
      <c r="BK6" s="80" t="s">
        <v>128</v>
      </c>
      <c r="BL6" s="80" t="s">
        <v>192</v>
      </c>
      <c r="BM6" s="80"/>
      <c r="BN6" s="80"/>
      <c r="BO6" s="80"/>
      <c r="BP6" s="80"/>
      <c r="BQ6" s="36"/>
      <c r="BR6" s="52" t="s">
        <v>194</v>
      </c>
      <c r="BS6" s="52" t="s">
        <v>194</v>
      </c>
      <c r="BT6" s="52" t="s">
        <v>195</v>
      </c>
      <c r="BU6" s="52" t="s">
        <v>195</v>
      </c>
      <c r="BV6" s="52" t="s">
        <v>194</v>
      </c>
      <c r="BW6" s="52" t="s">
        <v>196</v>
      </c>
      <c r="BX6" s="52" t="s">
        <v>194</v>
      </c>
      <c r="BY6" s="52" t="s">
        <v>196</v>
      </c>
      <c r="BZ6" s="52" t="s">
        <v>196</v>
      </c>
      <c r="CA6" s="52" t="s">
        <v>196</v>
      </c>
      <c r="CB6" s="52" t="s">
        <v>196</v>
      </c>
      <c r="CC6" s="52" t="s">
        <v>197</v>
      </c>
      <c r="CD6" s="52" t="s">
        <v>197</v>
      </c>
      <c r="CE6" s="52" t="s">
        <v>197</v>
      </c>
      <c r="CF6" s="52" t="s">
        <v>197</v>
      </c>
      <c r="CG6" s="52" t="s">
        <v>194</v>
      </c>
      <c r="CH6" s="52" t="s">
        <v>196</v>
      </c>
      <c r="CI6" s="52" t="s">
        <v>196</v>
      </c>
      <c r="CJ6" s="52" t="s">
        <v>196</v>
      </c>
      <c r="CK6" s="52" t="s">
        <v>194</v>
      </c>
      <c r="CL6" s="52" t="s">
        <v>197</v>
      </c>
      <c r="CM6" s="52" t="s">
        <v>196</v>
      </c>
      <c r="CN6" s="36"/>
      <c r="CO6" s="52"/>
      <c r="CP6" s="51"/>
      <c r="CQ6" s="84">
        <v>182</v>
      </c>
      <c r="CR6" s="84">
        <v>52</v>
      </c>
      <c r="CS6" s="84">
        <v>26</v>
      </c>
      <c r="CT6" s="84">
        <v>5.2</v>
      </c>
      <c r="CU6" s="84">
        <v>5.2</v>
      </c>
      <c r="CV6" s="84">
        <v>52</v>
      </c>
      <c r="CW6" s="83"/>
      <c r="CX6" s="83"/>
      <c r="CY6" s="84">
        <v>10.4</v>
      </c>
      <c r="CZ6" s="84">
        <v>182</v>
      </c>
      <c r="DA6" s="84">
        <v>2.6</v>
      </c>
      <c r="DB6" s="84">
        <v>5</v>
      </c>
      <c r="DC6" s="84">
        <v>2.6</v>
      </c>
      <c r="DD6" s="84">
        <v>2.6</v>
      </c>
      <c r="DE6" s="83"/>
      <c r="DF6" s="83"/>
      <c r="DG6" s="83"/>
      <c r="DH6" s="84">
        <v>5</v>
      </c>
      <c r="DI6" s="84">
        <v>5</v>
      </c>
      <c r="DJ6" s="51"/>
      <c r="DK6" s="86"/>
      <c r="DL6" s="36"/>
      <c r="DM6" s="106" t="s">
        <v>215</v>
      </c>
      <c r="DN6" s="51"/>
      <c r="DO6" s="52" t="s">
        <v>215</v>
      </c>
      <c r="DQ6" s="52" t="s">
        <v>216</v>
      </c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</row>
    <row r="7" spans="1:133" s="89" customFormat="1" ht="15" customHeight="1">
      <c r="A7" s="43"/>
      <c r="B7" s="105" t="s">
        <v>56</v>
      </c>
      <c r="C7" s="80" t="s">
        <v>109</v>
      </c>
      <c r="D7" s="80"/>
      <c r="E7" s="80" t="s">
        <v>109</v>
      </c>
      <c r="F7" s="80"/>
      <c r="G7" s="80" t="s">
        <v>109</v>
      </c>
      <c r="H7" s="80"/>
      <c r="I7" s="80" t="s">
        <v>109</v>
      </c>
      <c r="J7" s="80"/>
      <c r="K7" s="80" t="s">
        <v>117</v>
      </c>
      <c r="L7" s="80"/>
      <c r="M7" s="80" t="s">
        <v>109</v>
      </c>
      <c r="N7" s="80"/>
      <c r="O7" s="80" t="s">
        <v>117</v>
      </c>
      <c r="P7" s="80"/>
      <c r="Q7" s="80" t="s">
        <v>117</v>
      </c>
      <c r="R7" s="80"/>
      <c r="S7" s="80"/>
      <c r="T7" s="80"/>
      <c r="U7" s="80"/>
      <c r="V7" s="80"/>
      <c r="W7" s="80" t="s">
        <v>117</v>
      </c>
      <c r="X7" s="80" t="s">
        <v>117</v>
      </c>
      <c r="Y7" s="80"/>
      <c r="Z7" s="80" t="s">
        <v>117</v>
      </c>
      <c r="AA7" s="80"/>
      <c r="AB7" s="80" t="s">
        <v>117</v>
      </c>
      <c r="AC7" s="80" t="s">
        <v>134</v>
      </c>
      <c r="AD7" s="80"/>
      <c r="AE7" s="80" t="s">
        <v>134</v>
      </c>
      <c r="AF7" s="80"/>
      <c r="AG7" s="80"/>
      <c r="AH7" s="80"/>
      <c r="AI7" s="80"/>
      <c r="AJ7" s="80"/>
      <c r="AK7" s="80"/>
      <c r="AL7" s="80"/>
      <c r="AM7" s="80" t="s">
        <v>145</v>
      </c>
      <c r="AN7" s="80"/>
      <c r="AO7" s="80" t="s">
        <v>147</v>
      </c>
      <c r="AP7" s="80"/>
      <c r="AQ7" s="80" t="s">
        <v>147</v>
      </c>
      <c r="AR7" s="80"/>
      <c r="AS7" s="80" t="s">
        <v>117</v>
      </c>
      <c r="AT7" s="80" t="s">
        <v>117</v>
      </c>
      <c r="AU7" s="80"/>
      <c r="AV7" s="80"/>
      <c r="AW7" s="80" t="s">
        <v>117</v>
      </c>
      <c r="AX7" s="80" t="s">
        <v>160</v>
      </c>
      <c r="AY7" s="80" t="s">
        <v>160</v>
      </c>
      <c r="AZ7" s="80"/>
      <c r="BA7" s="80"/>
      <c r="BB7" s="80" t="s">
        <v>174</v>
      </c>
      <c r="BC7" s="80" t="s">
        <v>174</v>
      </c>
      <c r="BD7" s="80" t="s">
        <v>174</v>
      </c>
      <c r="BE7" s="80" t="s">
        <v>174</v>
      </c>
      <c r="BF7" s="80" t="s">
        <v>117</v>
      </c>
      <c r="BG7" s="80" t="s">
        <v>134</v>
      </c>
      <c r="BH7" s="80" t="s">
        <v>117</v>
      </c>
      <c r="BI7" s="80" t="s">
        <v>191</v>
      </c>
      <c r="BJ7" s="80" t="s">
        <v>117</v>
      </c>
      <c r="BK7" s="80" t="s">
        <v>117</v>
      </c>
      <c r="BL7" s="80" t="s">
        <v>117</v>
      </c>
      <c r="BM7" s="80"/>
      <c r="BN7" s="81" t="s">
        <v>48</v>
      </c>
      <c r="BO7" s="81" t="s">
        <v>50</v>
      </c>
      <c r="BP7" s="81" t="s">
        <v>52</v>
      </c>
      <c r="BQ7" s="36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36"/>
      <c r="CO7" s="52"/>
      <c r="CP7" s="51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 t="s">
        <v>211</v>
      </c>
      <c r="DI7" s="83" t="s">
        <v>211</v>
      </c>
      <c r="DJ7" s="51"/>
      <c r="DK7" s="86"/>
      <c r="DL7" s="36"/>
      <c r="DM7" s="100"/>
      <c r="DN7" s="90"/>
      <c r="DO7" s="91"/>
      <c r="DQ7" s="52" t="s">
        <v>221</v>
      </c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</row>
    <row r="8" spans="1:133" s="89" customFormat="1" ht="15" customHeight="1">
      <c r="A8" s="43"/>
      <c r="B8" s="104" t="s">
        <v>11</v>
      </c>
      <c r="C8" s="80" t="s">
        <v>105</v>
      </c>
      <c r="D8" s="80"/>
      <c r="E8" s="80" t="s">
        <v>104</v>
      </c>
      <c r="F8" s="80"/>
      <c r="G8" s="80" t="s">
        <v>105</v>
      </c>
      <c r="H8" s="80"/>
      <c r="I8" s="80" t="s">
        <v>104</v>
      </c>
      <c r="J8" s="80"/>
      <c r="K8" s="80" t="s">
        <v>100</v>
      </c>
      <c r="L8" s="80"/>
      <c r="M8" s="80" t="s">
        <v>100</v>
      </c>
      <c r="N8" s="80"/>
      <c r="O8" s="80" t="s">
        <v>119</v>
      </c>
      <c r="P8" s="80"/>
      <c r="Q8" s="80" t="s">
        <v>119</v>
      </c>
      <c r="R8" s="80"/>
      <c r="S8" s="80" t="s">
        <v>119</v>
      </c>
      <c r="T8" s="80"/>
      <c r="U8" s="80" t="s">
        <v>120</v>
      </c>
      <c r="V8" s="80" t="s">
        <v>120</v>
      </c>
      <c r="W8" s="80"/>
      <c r="X8" s="80" t="s">
        <v>100</v>
      </c>
      <c r="Y8" s="80"/>
      <c r="Z8" s="80" t="s">
        <v>100</v>
      </c>
      <c r="AA8" s="80"/>
      <c r="AB8" s="80"/>
      <c r="AC8" s="80" t="s">
        <v>100</v>
      </c>
      <c r="AD8" s="80"/>
      <c r="AE8" s="80" t="s">
        <v>136</v>
      </c>
      <c r="AF8" s="80"/>
      <c r="AG8" s="80" t="s">
        <v>139</v>
      </c>
      <c r="AH8" s="80"/>
      <c r="AI8" s="80" t="s">
        <v>139</v>
      </c>
      <c r="AJ8" s="80"/>
      <c r="AK8" s="80" t="s">
        <v>139</v>
      </c>
      <c r="AL8" s="80"/>
      <c r="AM8" s="80" t="s">
        <v>139</v>
      </c>
      <c r="AN8" s="80"/>
      <c r="AO8" s="80" t="s">
        <v>139</v>
      </c>
      <c r="AP8" s="80"/>
      <c r="AQ8" s="80" t="s">
        <v>139</v>
      </c>
      <c r="AR8" s="80"/>
      <c r="AS8" s="80"/>
      <c r="AT8" s="80"/>
      <c r="AU8" s="80"/>
      <c r="AV8" s="80"/>
      <c r="AW8" s="80"/>
      <c r="AX8" s="80"/>
      <c r="AY8" s="80"/>
      <c r="AZ8" s="80" t="s">
        <v>164</v>
      </c>
      <c r="BA8" s="80" t="s">
        <v>167</v>
      </c>
      <c r="BB8" s="80" t="s">
        <v>170</v>
      </c>
      <c r="BC8" s="80" t="s">
        <v>173</v>
      </c>
      <c r="BD8" s="80" t="s">
        <v>173</v>
      </c>
      <c r="BE8" s="80"/>
      <c r="BF8" s="80" t="s">
        <v>0</v>
      </c>
      <c r="BG8" s="80" t="s">
        <v>231</v>
      </c>
      <c r="BH8" s="80" t="s">
        <v>231</v>
      </c>
      <c r="BI8" s="80" t="s">
        <v>231</v>
      </c>
      <c r="BJ8" s="80" t="s">
        <v>231</v>
      </c>
      <c r="BK8" s="80" t="s">
        <v>231</v>
      </c>
      <c r="BL8" s="80" t="s">
        <v>232</v>
      </c>
      <c r="BM8" s="80"/>
      <c r="BN8" s="80" t="s">
        <v>49</v>
      </c>
      <c r="BO8" s="80" t="s">
        <v>51</v>
      </c>
      <c r="BP8" s="80" t="s">
        <v>53</v>
      </c>
      <c r="BQ8" s="36"/>
      <c r="BR8" s="52"/>
      <c r="BS8" s="52"/>
      <c r="BT8" s="52" t="s">
        <v>164</v>
      </c>
      <c r="BU8" s="52"/>
      <c r="BV8" s="52" t="s">
        <v>120</v>
      </c>
      <c r="BW8" s="52" t="s">
        <v>120</v>
      </c>
      <c r="BX8" s="52" t="s">
        <v>120</v>
      </c>
      <c r="BY8" s="52" t="s">
        <v>120</v>
      </c>
      <c r="BZ8" s="52" t="s">
        <v>120</v>
      </c>
      <c r="CA8" s="52" t="s">
        <v>120</v>
      </c>
      <c r="CB8" s="52" t="s">
        <v>6</v>
      </c>
      <c r="CC8" s="52" t="s">
        <v>198</v>
      </c>
      <c r="CD8" s="52"/>
      <c r="CE8" s="52"/>
      <c r="CF8" s="52"/>
      <c r="CG8" s="52" t="s">
        <v>120</v>
      </c>
      <c r="CH8" s="52" t="s">
        <v>120</v>
      </c>
      <c r="CI8" s="52"/>
      <c r="CJ8" s="52"/>
      <c r="CK8" s="52"/>
      <c r="CL8" s="52"/>
      <c r="CM8" s="52"/>
      <c r="CN8" s="36"/>
      <c r="CO8" s="52" t="s">
        <v>120</v>
      </c>
      <c r="CP8" s="51"/>
      <c r="CQ8" s="83" t="s">
        <v>120</v>
      </c>
      <c r="CR8" s="83" t="s">
        <v>120</v>
      </c>
      <c r="CS8" s="83" t="s">
        <v>120</v>
      </c>
      <c r="CT8" s="83" t="s">
        <v>120</v>
      </c>
      <c r="CU8" s="83" t="s">
        <v>120</v>
      </c>
      <c r="CV8" s="83" t="s">
        <v>120</v>
      </c>
      <c r="CW8" s="83"/>
      <c r="CX8" s="83"/>
      <c r="CY8" s="83" t="s">
        <v>120</v>
      </c>
      <c r="CZ8" s="83" t="s">
        <v>120</v>
      </c>
      <c r="DA8" s="83" t="s">
        <v>205</v>
      </c>
      <c r="DB8" s="83" t="s">
        <v>120</v>
      </c>
      <c r="DC8" s="83" t="s">
        <v>208</v>
      </c>
      <c r="DD8" s="83" t="s">
        <v>208</v>
      </c>
      <c r="DE8" s="83" t="s">
        <v>120</v>
      </c>
      <c r="DF8" s="83" t="s">
        <v>120</v>
      </c>
      <c r="DG8" s="83"/>
      <c r="DH8" s="83" t="s">
        <v>120</v>
      </c>
      <c r="DI8" s="83" t="s">
        <v>120</v>
      </c>
      <c r="DJ8" s="51"/>
      <c r="DK8" s="86" t="s">
        <v>214</v>
      </c>
      <c r="DL8" s="36"/>
      <c r="DM8" s="106" t="s">
        <v>219</v>
      </c>
      <c r="DN8" s="51"/>
      <c r="DO8" s="52" t="s">
        <v>218</v>
      </c>
      <c r="DQ8" s="52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</row>
    <row r="9" spans="1:133" s="89" customFormat="1" ht="15" customHeight="1">
      <c r="A9" s="43"/>
      <c r="B9" s="104" t="s">
        <v>57</v>
      </c>
      <c r="C9" s="81" t="s">
        <v>93</v>
      </c>
      <c r="D9" s="81"/>
      <c r="E9" s="81" t="s">
        <v>94</v>
      </c>
      <c r="F9" s="81"/>
      <c r="G9" s="81" t="s">
        <v>95</v>
      </c>
      <c r="H9" s="81"/>
      <c r="I9" s="81" t="s">
        <v>96</v>
      </c>
      <c r="J9" s="81"/>
      <c r="K9" s="81" t="s">
        <v>97</v>
      </c>
      <c r="L9" s="81"/>
      <c r="M9" s="81" t="s">
        <v>98</v>
      </c>
      <c r="N9" s="81"/>
      <c r="O9" s="81" t="s">
        <v>113</v>
      </c>
      <c r="P9" s="81"/>
      <c r="Q9" s="81" t="s">
        <v>113</v>
      </c>
      <c r="R9" s="81"/>
      <c r="S9" s="81" t="s">
        <v>114</v>
      </c>
      <c r="T9" s="81"/>
      <c r="U9" s="81" t="s">
        <v>114</v>
      </c>
      <c r="V9" s="81" t="s">
        <v>114</v>
      </c>
      <c r="W9" s="81" t="s">
        <v>124</v>
      </c>
      <c r="X9" s="81" t="s">
        <v>125</v>
      </c>
      <c r="Y9" s="81"/>
      <c r="Z9" s="81" t="s">
        <v>129</v>
      </c>
      <c r="AA9" s="81"/>
      <c r="AB9" s="81" t="s">
        <v>129</v>
      </c>
      <c r="AC9" s="81" t="s">
        <v>135</v>
      </c>
      <c r="AD9" s="81"/>
      <c r="AE9" s="81" t="s">
        <v>135</v>
      </c>
      <c r="AF9" s="81"/>
      <c r="AG9" s="81" t="s">
        <v>140</v>
      </c>
      <c r="AH9" s="81"/>
      <c r="AI9" s="81" t="s">
        <v>141</v>
      </c>
      <c r="AJ9" s="81"/>
      <c r="AK9" s="81" t="s">
        <v>5</v>
      </c>
      <c r="AL9" s="81"/>
      <c r="AM9" s="81" t="s">
        <v>146</v>
      </c>
      <c r="AN9" s="81"/>
      <c r="AO9" s="81" t="s">
        <v>148</v>
      </c>
      <c r="AP9" s="81"/>
      <c r="AQ9" s="81" t="s">
        <v>149</v>
      </c>
      <c r="AR9" s="81"/>
      <c r="AS9" s="81" t="s">
        <v>150</v>
      </c>
      <c r="AT9" s="81" t="s">
        <v>151</v>
      </c>
      <c r="AU9" s="81" t="s">
        <v>152</v>
      </c>
      <c r="AV9" s="81" t="s">
        <v>153</v>
      </c>
      <c r="AW9" s="81" t="s">
        <v>1</v>
      </c>
      <c r="AX9" s="81" t="s">
        <v>2</v>
      </c>
      <c r="AY9" s="81" t="s">
        <v>162</v>
      </c>
      <c r="AZ9" s="81" t="s">
        <v>3</v>
      </c>
      <c r="BA9" s="81" t="s">
        <v>3</v>
      </c>
      <c r="BB9" s="81" t="s">
        <v>3</v>
      </c>
      <c r="BC9" s="81" t="s">
        <v>172</v>
      </c>
      <c r="BD9" s="81" t="s">
        <v>3</v>
      </c>
      <c r="BE9" s="81" t="s">
        <v>177</v>
      </c>
      <c r="BF9" s="81" t="s">
        <v>180</v>
      </c>
      <c r="BG9" s="81" t="s">
        <v>185</v>
      </c>
      <c r="BH9" s="81" t="s">
        <v>97</v>
      </c>
      <c r="BI9" s="81" t="s">
        <v>186</v>
      </c>
      <c r="BJ9" s="81" t="s">
        <v>187</v>
      </c>
      <c r="BK9" s="81" t="s">
        <v>188</v>
      </c>
      <c r="BL9" s="81" t="s">
        <v>113</v>
      </c>
      <c r="BM9" s="81"/>
      <c r="BN9" s="81"/>
      <c r="BO9" s="81"/>
      <c r="BP9" s="81"/>
      <c r="BQ9" s="50"/>
      <c r="BR9" s="53" t="s">
        <v>93</v>
      </c>
      <c r="BS9" s="53" t="s">
        <v>180</v>
      </c>
      <c r="BT9" s="53" t="s">
        <v>3</v>
      </c>
      <c r="BU9" s="53" t="s">
        <v>162</v>
      </c>
      <c r="BV9" s="53" t="s">
        <v>185</v>
      </c>
      <c r="BW9" s="53" t="s">
        <v>97</v>
      </c>
      <c r="BX9" s="53" t="s">
        <v>186</v>
      </c>
      <c r="BY9" s="53" t="s">
        <v>129</v>
      </c>
      <c r="BZ9" s="53" t="s">
        <v>187</v>
      </c>
      <c r="CA9" s="53" t="s">
        <v>188</v>
      </c>
      <c r="CB9" s="53" t="s">
        <v>113</v>
      </c>
      <c r="CC9" s="53" t="s">
        <v>114</v>
      </c>
      <c r="CD9" s="53" t="s">
        <v>5</v>
      </c>
      <c r="CE9" s="53" t="s">
        <v>153</v>
      </c>
      <c r="CF9" s="53" t="s">
        <v>152</v>
      </c>
      <c r="CG9" s="53" t="s">
        <v>148</v>
      </c>
      <c r="CH9" s="53" t="s">
        <v>1</v>
      </c>
      <c r="CI9" s="53" t="s">
        <v>151</v>
      </c>
      <c r="CJ9" s="53" t="s">
        <v>150</v>
      </c>
      <c r="CK9" s="53" t="s">
        <v>135</v>
      </c>
      <c r="CL9" s="53" t="s">
        <v>199</v>
      </c>
      <c r="CM9" s="53" t="s">
        <v>135</v>
      </c>
      <c r="CN9" s="50"/>
      <c r="CO9" s="53" t="s">
        <v>201</v>
      </c>
      <c r="CP9" s="58"/>
      <c r="CQ9" s="85" t="s">
        <v>180</v>
      </c>
      <c r="CR9" s="85" t="s">
        <v>185</v>
      </c>
      <c r="CS9" s="85" t="s">
        <v>203</v>
      </c>
      <c r="CT9" s="85" t="s">
        <v>188</v>
      </c>
      <c r="CU9" s="85" t="s">
        <v>113</v>
      </c>
      <c r="CV9" s="85" t="s">
        <v>114</v>
      </c>
      <c r="CW9" s="85" t="s">
        <v>5</v>
      </c>
      <c r="CX9" s="85" t="s">
        <v>151</v>
      </c>
      <c r="CY9" s="85" t="s">
        <v>187</v>
      </c>
      <c r="CZ9" s="85" t="s">
        <v>186</v>
      </c>
      <c r="DA9" s="85" t="s">
        <v>1</v>
      </c>
      <c r="DB9" s="85" t="s">
        <v>206</v>
      </c>
      <c r="DC9" s="85" t="s">
        <v>129</v>
      </c>
      <c r="DD9" s="85" t="s">
        <v>207</v>
      </c>
      <c r="DE9" s="85" t="s">
        <v>135</v>
      </c>
      <c r="DF9" s="83" t="s">
        <v>150</v>
      </c>
      <c r="DG9" s="83" t="s">
        <v>210</v>
      </c>
      <c r="DH9" s="83" t="s">
        <v>135</v>
      </c>
      <c r="DI9" s="83" t="s">
        <v>150</v>
      </c>
      <c r="DJ9" s="51"/>
      <c r="DK9" s="87" t="s">
        <v>212</v>
      </c>
      <c r="DL9" s="36"/>
      <c r="DM9" s="107" t="s">
        <v>217</v>
      </c>
      <c r="DN9" s="58"/>
      <c r="DO9" s="53" t="s">
        <v>217</v>
      </c>
      <c r="DQ9" s="53" t="s">
        <v>217</v>
      </c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</row>
    <row r="10" spans="1:133">
      <c r="A10" s="2" t="s">
        <v>12</v>
      </c>
      <c r="B10" s="44"/>
      <c r="C10" s="36" t="s">
        <v>7</v>
      </c>
      <c r="D10" s="36" t="s">
        <v>4</v>
      </c>
      <c r="E10" s="36" t="s">
        <v>7</v>
      </c>
      <c r="F10" s="36" t="s">
        <v>4</v>
      </c>
      <c r="G10" s="36" t="s">
        <v>7</v>
      </c>
      <c r="H10" s="36" t="s">
        <v>4</v>
      </c>
      <c r="I10" s="36" t="s">
        <v>7</v>
      </c>
      <c r="J10" s="36" t="s">
        <v>4</v>
      </c>
      <c r="K10" s="36" t="s">
        <v>7</v>
      </c>
      <c r="L10" s="36" t="s">
        <v>4</v>
      </c>
      <c r="M10" s="36" t="s">
        <v>7</v>
      </c>
      <c r="N10" s="36" t="s">
        <v>4</v>
      </c>
      <c r="O10" s="36" t="s">
        <v>7</v>
      </c>
      <c r="P10" s="36" t="s">
        <v>4</v>
      </c>
      <c r="Q10" s="36" t="s">
        <v>7</v>
      </c>
      <c r="R10" s="36" t="s">
        <v>4</v>
      </c>
      <c r="S10" s="36" t="s">
        <v>7</v>
      </c>
      <c r="T10" s="36" t="s">
        <v>4</v>
      </c>
      <c r="U10" s="36"/>
      <c r="V10" s="36"/>
      <c r="W10" s="36"/>
      <c r="X10" s="36" t="s">
        <v>7</v>
      </c>
      <c r="Y10" s="36" t="s">
        <v>4</v>
      </c>
      <c r="Z10" s="36" t="s">
        <v>7</v>
      </c>
      <c r="AA10" s="36" t="s">
        <v>4</v>
      </c>
      <c r="AB10" s="36"/>
      <c r="AC10" s="36" t="s">
        <v>7</v>
      </c>
      <c r="AD10" s="36" t="s">
        <v>4</v>
      </c>
      <c r="AE10" s="36" t="s">
        <v>7</v>
      </c>
      <c r="AF10" s="36" t="s">
        <v>4</v>
      </c>
      <c r="AG10" s="36" t="s">
        <v>7</v>
      </c>
      <c r="AH10" s="36" t="s">
        <v>4</v>
      </c>
      <c r="AI10" s="36" t="s">
        <v>7</v>
      </c>
      <c r="AJ10" s="36" t="s">
        <v>4</v>
      </c>
      <c r="AK10" s="36" t="s">
        <v>7</v>
      </c>
      <c r="AL10" s="36" t="s">
        <v>4</v>
      </c>
      <c r="AM10" s="36" t="s">
        <v>7</v>
      </c>
      <c r="AN10" s="36" t="s">
        <v>4</v>
      </c>
      <c r="AO10" s="36" t="s">
        <v>7</v>
      </c>
      <c r="AP10" s="36" t="s">
        <v>4</v>
      </c>
      <c r="AQ10" s="36" t="s">
        <v>7</v>
      </c>
      <c r="AR10" s="36" t="s">
        <v>4</v>
      </c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J10" s="93"/>
      <c r="DK10" s="93"/>
    </row>
    <row r="11" spans="1:133">
      <c r="A11" s="42">
        <v>1259</v>
      </c>
      <c r="B11" s="36"/>
      <c r="C11" s="38">
        <v>5</v>
      </c>
      <c r="D11" s="38">
        <v>9.75</v>
      </c>
      <c r="E11" s="38">
        <v>3</v>
      </c>
      <c r="F11" s="38">
        <v>5.25</v>
      </c>
      <c r="G11" s="38">
        <v>1</v>
      </c>
      <c r="H11" s="38">
        <v>8</v>
      </c>
      <c r="I11" s="38">
        <v>2</v>
      </c>
      <c r="J11" s="38">
        <v>0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8">
        <v>4.125</v>
      </c>
      <c r="V11" s="36"/>
      <c r="W11" s="36"/>
      <c r="X11" s="36"/>
      <c r="Y11" s="36"/>
      <c r="Z11" s="36"/>
      <c r="AA11" s="36"/>
      <c r="AB11" s="36"/>
      <c r="AC11" s="38" t="s">
        <v>8</v>
      </c>
      <c r="AD11" s="36"/>
      <c r="AE11" s="36"/>
      <c r="AF11" s="36"/>
      <c r="AG11" s="36"/>
      <c r="AH11" s="36"/>
      <c r="AI11" s="36"/>
      <c r="AJ11" s="36"/>
      <c r="AK11" s="38">
        <v>3</v>
      </c>
      <c r="AL11" s="38">
        <v>6.25</v>
      </c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59">
        <v>2.5</v>
      </c>
      <c r="BH11" s="59"/>
      <c r="BI11" s="59">
        <v>5.6651989315549794E-2</v>
      </c>
      <c r="BJ11" s="59"/>
      <c r="BK11" s="36"/>
      <c r="BL11" s="36"/>
      <c r="BM11" s="36"/>
      <c r="BN11" s="38">
        <v>21.3</v>
      </c>
      <c r="BO11" s="36"/>
      <c r="BP11" s="39">
        <f t="shared" ref="BP11:BP74" si="0">(31.1*0.925/$BN11)</f>
        <v>1.3505868544600939</v>
      </c>
      <c r="BQ11" s="37"/>
      <c r="BR11" s="39">
        <f t="shared" ref="BR11:BR74" si="1">(31.1*0.925/$BN11)*(12*C11+D11)/35.238/8</f>
        <v>0.33416848678483296</v>
      </c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9">
        <f>BP11*(12*AK11+AL11)/1000</f>
        <v>5.7062294600938965E-2</v>
      </c>
      <c r="CE11" s="39"/>
      <c r="CF11" s="37"/>
      <c r="CG11" s="39"/>
      <c r="CH11" s="39"/>
      <c r="CI11" s="39"/>
      <c r="CJ11" s="39"/>
      <c r="CK11" s="39"/>
      <c r="CL11" s="39"/>
      <c r="CM11" s="39"/>
      <c r="CN11" s="37"/>
      <c r="CO11" s="37"/>
      <c r="CP11" s="37"/>
      <c r="CQ11" s="39"/>
      <c r="CR11" s="39"/>
      <c r="CS11" s="39"/>
      <c r="CT11" s="39"/>
      <c r="CU11" s="39"/>
      <c r="CV11" s="39"/>
      <c r="CW11" s="39">
        <f>CD11</f>
        <v>5.7062294600938965E-2</v>
      </c>
      <c r="CX11" s="39"/>
      <c r="CY11" s="39"/>
      <c r="CZ11" s="39"/>
      <c r="DA11" s="39"/>
      <c r="DB11" s="39"/>
      <c r="DC11" s="39"/>
      <c r="DD11" s="39"/>
      <c r="DE11" s="39"/>
      <c r="DF11" s="37"/>
      <c r="DG11" s="39"/>
      <c r="DH11" s="39"/>
      <c r="DI11" s="37"/>
      <c r="DJ11" s="88"/>
      <c r="DK11" s="88"/>
      <c r="DL11" s="37"/>
      <c r="DM11" s="37"/>
      <c r="DN11" s="37"/>
      <c r="DO11" s="37"/>
      <c r="DP11" s="37"/>
      <c r="DQ11" s="37"/>
    </row>
    <row r="12" spans="1:133">
      <c r="A12" s="42">
        <f t="shared" ref="A12:A75" si="2">A11+1</f>
        <v>1260</v>
      </c>
      <c r="B12" s="36"/>
      <c r="C12" s="38">
        <v>4</v>
      </c>
      <c r="D12" s="38">
        <v>9</v>
      </c>
      <c r="E12" s="36"/>
      <c r="F12" s="36"/>
      <c r="G12" s="38">
        <v>1</v>
      </c>
      <c r="H12" s="38">
        <v>6.5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8">
        <v>3</v>
      </c>
      <c r="V12" s="36"/>
      <c r="W12" s="38">
        <v>6</v>
      </c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59">
        <v>2.5</v>
      </c>
      <c r="BH12" s="59"/>
      <c r="BI12" s="59">
        <v>5.6651989315549794E-2</v>
      </c>
      <c r="BJ12" s="59"/>
      <c r="BK12" s="36"/>
      <c r="BL12" s="36"/>
      <c r="BM12" s="36"/>
      <c r="BN12" s="38">
        <v>21.3</v>
      </c>
      <c r="BO12" s="36"/>
      <c r="BP12" s="39">
        <f t="shared" si="0"/>
        <v>1.3505868544600939</v>
      </c>
      <c r="BQ12" s="37"/>
      <c r="BR12" s="39">
        <f t="shared" si="1"/>
        <v>0.27308392468437959</v>
      </c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7"/>
      <c r="DG12" s="39"/>
      <c r="DH12" s="39"/>
      <c r="DI12" s="37"/>
      <c r="DJ12" s="88"/>
      <c r="DK12" s="88"/>
      <c r="DL12" s="37"/>
      <c r="DM12" s="37"/>
      <c r="DN12" s="37"/>
      <c r="DO12" s="37"/>
      <c r="DP12" s="37"/>
      <c r="DQ12" s="37"/>
    </row>
    <row r="13" spans="1:133">
      <c r="A13" s="42">
        <f t="shared" si="2"/>
        <v>1261</v>
      </c>
      <c r="B13" s="36"/>
      <c r="C13" s="38">
        <v>4</v>
      </c>
      <c r="D13" s="38">
        <v>3</v>
      </c>
      <c r="E13" s="38">
        <v>3</v>
      </c>
      <c r="F13" s="38">
        <v>3.5</v>
      </c>
      <c r="G13" s="38">
        <v>2</v>
      </c>
      <c r="H13" s="38">
        <v>11.25</v>
      </c>
      <c r="I13" s="38">
        <v>3</v>
      </c>
      <c r="J13" s="38">
        <v>8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8">
        <v>2.5</v>
      </c>
      <c r="V13" s="36"/>
      <c r="W13" s="38">
        <v>7.5</v>
      </c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59">
        <v>2.5</v>
      </c>
      <c r="BH13" s="59"/>
      <c r="BI13" s="59">
        <v>5.2506721804655453E-2</v>
      </c>
      <c r="BJ13" s="59"/>
      <c r="BK13" s="36"/>
      <c r="BL13" s="36"/>
      <c r="BM13" s="36"/>
      <c r="BN13" s="38">
        <v>21.3</v>
      </c>
      <c r="BO13" s="36"/>
      <c r="BP13" s="39">
        <f t="shared" si="0"/>
        <v>1.3505868544600939</v>
      </c>
      <c r="BQ13" s="37"/>
      <c r="BR13" s="39">
        <f t="shared" si="1"/>
        <v>0.24433824840181337</v>
      </c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7"/>
      <c r="DG13" s="39"/>
      <c r="DH13" s="39"/>
      <c r="DI13" s="37"/>
      <c r="DJ13" s="88"/>
      <c r="DK13" s="88"/>
      <c r="DL13" s="37"/>
      <c r="DM13" s="37"/>
      <c r="DN13" s="37"/>
      <c r="DO13" s="37"/>
      <c r="DP13" s="37"/>
      <c r="DQ13" s="37"/>
    </row>
    <row r="14" spans="1:133">
      <c r="A14" s="42">
        <f t="shared" si="2"/>
        <v>1262</v>
      </c>
      <c r="B14" s="36"/>
      <c r="C14" s="38">
        <v>6</v>
      </c>
      <c r="D14" s="38">
        <v>1</v>
      </c>
      <c r="E14" s="38">
        <v>3</v>
      </c>
      <c r="F14" s="38">
        <v>2</v>
      </c>
      <c r="G14" s="38">
        <v>1</v>
      </c>
      <c r="H14" s="38">
        <v>8.25</v>
      </c>
      <c r="I14" s="38">
        <v>3</v>
      </c>
      <c r="J14" s="38">
        <v>8.8800000000000008</v>
      </c>
      <c r="K14" s="36"/>
      <c r="L14" s="36"/>
      <c r="M14" s="36"/>
      <c r="N14" s="36"/>
      <c r="O14" s="38">
        <v>10</v>
      </c>
      <c r="P14" s="36"/>
      <c r="Q14" s="36"/>
      <c r="R14" s="36"/>
      <c r="S14" s="36"/>
      <c r="T14" s="36"/>
      <c r="U14" s="38">
        <v>2.5</v>
      </c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59">
        <v>2.5</v>
      </c>
      <c r="BH14" s="59"/>
      <c r="BI14" s="59">
        <v>4.9743210130727022E-2</v>
      </c>
      <c r="BJ14" s="59"/>
      <c r="BK14" s="36"/>
      <c r="BL14" s="36"/>
      <c r="BM14" s="36"/>
      <c r="BN14" s="38">
        <v>21.3</v>
      </c>
      <c r="BO14" s="36"/>
      <c r="BP14" s="39">
        <f t="shared" si="0"/>
        <v>1.3505868544600939</v>
      </c>
      <c r="BQ14" s="37"/>
      <c r="BR14" s="39">
        <f t="shared" si="1"/>
        <v>0.34973906143788969</v>
      </c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7"/>
      <c r="DG14" s="39"/>
      <c r="DH14" s="39"/>
      <c r="DI14" s="37"/>
      <c r="DJ14" s="88"/>
      <c r="DK14" s="88"/>
      <c r="DL14" s="37"/>
      <c r="DM14" s="37"/>
      <c r="DN14" s="37"/>
      <c r="DO14" s="37"/>
      <c r="DP14" s="37"/>
      <c r="DQ14" s="37"/>
    </row>
    <row r="15" spans="1:133">
      <c r="A15" s="42">
        <f t="shared" si="2"/>
        <v>1263</v>
      </c>
      <c r="B15" s="36"/>
      <c r="C15" s="38">
        <v>3</v>
      </c>
      <c r="D15" s="38">
        <v>11.38</v>
      </c>
      <c r="E15" s="38">
        <v>3</v>
      </c>
      <c r="F15" s="38">
        <v>6.75</v>
      </c>
      <c r="G15" s="38">
        <v>1</v>
      </c>
      <c r="H15" s="38">
        <v>8</v>
      </c>
      <c r="I15" s="36"/>
      <c r="J15" s="36"/>
      <c r="K15" s="36"/>
      <c r="L15" s="36"/>
      <c r="M15" s="38">
        <v>3</v>
      </c>
      <c r="N15" s="36"/>
      <c r="O15" s="38">
        <v>8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8">
        <v>0</v>
      </c>
      <c r="AD15" s="38">
        <v>3.5</v>
      </c>
      <c r="AE15" s="36"/>
      <c r="AF15" s="36"/>
      <c r="AG15" s="36"/>
      <c r="AH15" s="36"/>
      <c r="AI15" s="36"/>
      <c r="AJ15" s="36"/>
      <c r="AK15" s="38">
        <v>5</v>
      </c>
      <c r="AL15" s="38">
        <v>11.5</v>
      </c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59">
        <v>2.5</v>
      </c>
      <c r="BH15" s="59"/>
      <c r="BI15" s="59">
        <v>4.5597942619832681E-2</v>
      </c>
      <c r="BJ15" s="59"/>
      <c r="BK15" s="36"/>
      <c r="BL15" s="36"/>
      <c r="BM15" s="36"/>
      <c r="BN15" s="38">
        <v>21.3</v>
      </c>
      <c r="BO15" s="36"/>
      <c r="BP15" s="39">
        <f t="shared" si="0"/>
        <v>1.3505868544600939</v>
      </c>
      <c r="BQ15" s="37"/>
      <c r="BR15" s="39">
        <f t="shared" si="1"/>
        <v>0.22699502371133168</v>
      </c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7"/>
      <c r="DG15" s="39"/>
      <c r="DH15" s="39"/>
      <c r="DI15" s="37"/>
      <c r="DJ15" s="37"/>
      <c r="DK15" s="37"/>
      <c r="DL15" s="37"/>
      <c r="DM15" s="37"/>
      <c r="DN15" s="37"/>
      <c r="DO15" s="37"/>
      <c r="DP15" s="37"/>
      <c r="DQ15" s="37"/>
    </row>
    <row r="16" spans="1:133">
      <c r="A16" s="42">
        <f t="shared" si="2"/>
        <v>1264</v>
      </c>
      <c r="B16" s="36"/>
      <c r="C16" s="38">
        <v>4</v>
      </c>
      <c r="D16" s="38">
        <v>4</v>
      </c>
      <c r="E16" s="38">
        <v>4</v>
      </c>
      <c r="F16" s="38">
        <v>0</v>
      </c>
      <c r="G16" s="38">
        <v>2</v>
      </c>
      <c r="H16" s="38">
        <v>2</v>
      </c>
      <c r="I16" s="38">
        <v>3</v>
      </c>
      <c r="J16" s="38">
        <v>4.75</v>
      </c>
      <c r="K16" s="36"/>
      <c r="L16" s="36"/>
      <c r="M16" s="38">
        <v>3</v>
      </c>
      <c r="N16" s="38">
        <v>4.5</v>
      </c>
      <c r="O16" s="38">
        <v>8</v>
      </c>
      <c r="P16" s="38">
        <v>1.25</v>
      </c>
      <c r="Q16" s="36"/>
      <c r="R16" s="36"/>
      <c r="S16" s="36"/>
      <c r="T16" s="36"/>
      <c r="U16" s="38">
        <v>5.875</v>
      </c>
      <c r="V16" s="36"/>
      <c r="W16" s="38">
        <v>9.5</v>
      </c>
      <c r="X16" s="36"/>
      <c r="Y16" s="36"/>
      <c r="Z16" s="36"/>
      <c r="AA16" s="36"/>
      <c r="AB16" s="36"/>
      <c r="AC16" s="38">
        <v>0</v>
      </c>
      <c r="AD16" s="38">
        <v>3</v>
      </c>
      <c r="AE16" s="36"/>
      <c r="AF16" s="36"/>
      <c r="AG16" s="36"/>
      <c r="AH16" s="36"/>
      <c r="AI16" s="36"/>
      <c r="AJ16" s="36"/>
      <c r="AK16" s="38">
        <v>5</v>
      </c>
      <c r="AL16" s="38">
        <v>8</v>
      </c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59">
        <v>2.5</v>
      </c>
      <c r="BH16" s="59"/>
      <c r="BI16" s="59">
        <v>4.1452675108938339E-2</v>
      </c>
      <c r="BJ16" s="59"/>
      <c r="BK16" s="36"/>
      <c r="BL16" s="36"/>
      <c r="BM16" s="36"/>
      <c r="BN16" s="38">
        <v>21.3</v>
      </c>
      <c r="BO16" s="36"/>
      <c r="BP16" s="39">
        <f t="shared" si="0"/>
        <v>1.3505868544600939</v>
      </c>
      <c r="BQ16" s="37"/>
      <c r="BR16" s="39">
        <f t="shared" si="1"/>
        <v>0.24912919444890771</v>
      </c>
      <c r="BS16" s="37"/>
      <c r="BT16" s="37"/>
      <c r="BU16" s="37"/>
      <c r="BV16" s="39">
        <f t="shared" ref="BV16:BV79" si="3">$BP16*12*$BG16/(8*35.238)</f>
        <v>0.14372838141283137</v>
      </c>
      <c r="BW16" s="37"/>
      <c r="BX16" s="39">
        <f t="shared" ref="BX16:BX79" si="4">$BP16*240*$BI16/(36*4.546)</f>
        <v>8.2102123602195723E-2</v>
      </c>
      <c r="BY16" s="39">
        <v>4.4042731255303345</v>
      </c>
      <c r="BZ16" s="37"/>
      <c r="CA16" s="37"/>
      <c r="CB16" s="39">
        <f>$BP16*(12*O16+P16)/(224*0.453592)</f>
        <v>1.2927029017841802</v>
      </c>
      <c r="CC16" s="39">
        <f>2*BP16*U16/120</f>
        <v>0.13224496283255086</v>
      </c>
      <c r="CD16" s="39">
        <f>BP16*(12*AK16+AL16)/1000</f>
        <v>9.1839906103286378E-2</v>
      </c>
      <c r="CE16" s="37"/>
      <c r="CF16" s="37"/>
      <c r="CG16" s="37"/>
      <c r="CH16" s="37"/>
      <c r="CI16" s="37"/>
      <c r="CJ16" s="37"/>
      <c r="CK16" s="39">
        <f>BP16*(12*AC16+AD16)/(35.238*8)</f>
        <v>1.4372838141283139E-2</v>
      </c>
      <c r="CL16" s="37"/>
      <c r="CM16" s="39">
        <f>BP16*(12*$AC16+$AD16)/(35.238*8)/0.283</f>
        <v>5.0787413926795547E-2</v>
      </c>
      <c r="CN16" s="37"/>
      <c r="CO16" s="39">
        <f>0.063495+(0.016949+0.014096)*Wages!P14+1.22592*BR16</f>
        <v>0.53662333764565928</v>
      </c>
      <c r="CP16" s="39"/>
      <c r="CQ16" s="39">
        <f t="shared" ref="CQ16:CQ79" si="5">CO16</f>
        <v>0.53662333764565928</v>
      </c>
      <c r="CR16" s="39">
        <f t="shared" ref="CR16:CR26" si="6">BV16</f>
        <v>0.14372838141283137</v>
      </c>
      <c r="CS16" s="39">
        <f t="shared" ref="CS16:CS79" si="7">CS$202*(CU16/CU$202)</f>
        <v>0.93138842613021688</v>
      </c>
      <c r="CT16" s="39">
        <f t="shared" ref="CT16:CT79" si="8">CT$202*(CU16/CU$202)</f>
        <v>2.680953409352409</v>
      </c>
      <c r="CU16" s="39">
        <f>CB16</f>
        <v>1.2927029017841802</v>
      </c>
      <c r="CV16" s="39">
        <f>CC16</f>
        <v>0.13224496283255086</v>
      </c>
      <c r="CW16" s="39">
        <f>CD16</f>
        <v>9.1839906103286378E-2</v>
      </c>
      <c r="CX16" s="39"/>
      <c r="CY16" s="39"/>
      <c r="CZ16" s="39">
        <f t="shared" ref="CZ16:CZ74" si="9">BX16</f>
        <v>8.2102123602195723E-2</v>
      </c>
      <c r="DA16" s="39">
        <f t="shared" ref="DA16:DA79" si="10">DC16*5.5/3.5</f>
        <v>6.9210006258333818</v>
      </c>
      <c r="DB16" s="39">
        <v>5</v>
      </c>
      <c r="DC16" s="39">
        <f t="shared" ref="DC16:DC74" si="11">BY16</f>
        <v>4.4042731255303345</v>
      </c>
      <c r="DD16" s="39">
        <v>2.9</v>
      </c>
      <c r="DE16" s="39">
        <f>CK16</f>
        <v>1.4372838141283139E-2</v>
      </c>
      <c r="DF16" s="37"/>
      <c r="DG16" s="39">
        <f t="shared" ref="DG16:DG74" si="12">CL16</f>
        <v>0</v>
      </c>
      <c r="DH16" s="39">
        <f t="shared" ref="DH16:DH74" si="13">1000*DE16/8.834</f>
        <v>1.6269909600728025</v>
      </c>
      <c r="DI16" s="37"/>
      <c r="DJ16" s="37"/>
      <c r="DK16" s="37"/>
      <c r="DL16" s="37"/>
      <c r="DM16" s="39">
        <f t="shared" ref="DM16:DM79" si="14">($CQ$6*$CQ16+$CR$6*$CR16+$CS$6*$CS16+$CT$6*$CT16+$CU$6*$CU16+$CV$6*$CV16+$CZ$6*$CZ16+$DA$6*$DA16+$DB$6*$DB16+$DC$6*$DC16+$DD$6*$DD16+$DH$6*$DH16)/414.8987</f>
        <v>0.58317470336512267</v>
      </c>
      <c r="DN16" s="39"/>
      <c r="DO16" s="39">
        <f t="shared" ref="DO16:DO79" si="15">($CQ$6*$CQ16+$CR$6*$CR16+$CS$6*$CS16+$CT$6*$CT16+$CU$6*$CU16+$CV$6*$CV16+$CZ$6*$CZ16+$DA$6*$DA16+$DB$6*$DB16+$DC$6*$DC16+$DD$6*$DD16+$DH$6*$DH16)/414.8987</f>
        <v>0.58317470336512267</v>
      </c>
      <c r="DP16" s="37"/>
      <c r="DQ16" s="37">
        <f>DO16/'Conversions, Sources &amp; Comments'!E14</f>
        <v>0.43179355806646785</v>
      </c>
    </row>
    <row r="17" spans="1:121">
      <c r="A17" s="42">
        <f t="shared" si="2"/>
        <v>1265</v>
      </c>
      <c r="B17" s="36"/>
      <c r="C17" s="38">
        <v>3</v>
      </c>
      <c r="D17" s="38">
        <v>3</v>
      </c>
      <c r="E17" s="36"/>
      <c r="F17" s="36"/>
      <c r="G17" s="38">
        <v>1</v>
      </c>
      <c r="H17" s="38">
        <v>4.88</v>
      </c>
      <c r="I17" s="36"/>
      <c r="J17" s="36"/>
      <c r="K17" s="36"/>
      <c r="L17" s="36"/>
      <c r="M17" s="38">
        <v>2</v>
      </c>
      <c r="N17" s="36"/>
      <c r="O17" s="38">
        <v>14</v>
      </c>
      <c r="P17" s="38">
        <v>6</v>
      </c>
      <c r="Q17" s="36"/>
      <c r="R17" s="36"/>
      <c r="S17" s="36"/>
      <c r="T17" s="36"/>
      <c r="U17" s="36"/>
      <c r="V17" s="36"/>
      <c r="W17" s="38">
        <v>6</v>
      </c>
      <c r="X17" s="36"/>
      <c r="Y17" s="36"/>
      <c r="Z17" s="36"/>
      <c r="AA17" s="36"/>
      <c r="AB17" s="36"/>
      <c r="AC17" s="38">
        <v>0</v>
      </c>
      <c r="AD17" s="38">
        <v>5</v>
      </c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59">
        <v>2</v>
      </c>
      <c r="BH17" s="59"/>
      <c r="BI17" s="59">
        <v>3.730740759804569E-2</v>
      </c>
      <c r="BJ17" s="59"/>
      <c r="BK17" s="36"/>
      <c r="BL17" s="36"/>
      <c r="BM17" s="36"/>
      <c r="BN17" s="38">
        <v>21.3</v>
      </c>
      <c r="BO17" s="36"/>
      <c r="BP17" s="39">
        <f t="shared" si="0"/>
        <v>1.3505868544600939</v>
      </c>
      <c r="BQ17" s="37"/>
      <c r="BR17" s="39">
        <f t="shared" si="1"/>
        <v>0.18684689583668079</v>
      </c>
      <c r="BS17" s="37"/>
      <c r="BT17" s="37"/>
      <c r="BU17" s="37"/>
      <c r="BV17" s="39">
        <f t="shared" si="3"/>
        <v>0.11498270513026511</v>
      </c>
      <c r="BW17" s="37"/>
      <c r="BX17" s="39">
        <f t="shared" si="4"/>
        <v>7.3891911241978483E-2</v>
      </c>
      <c r="BY17" s="39">
        <v>4.4042731255303345</v>
      </c>
      <c r="BZ17" s="37"/>
      <c r="CA17" s="37"/>
      <c r="CB17" s="39">
        <f>$BP17*(12*O17+P17)/(224*0.453592)</f>
        <v>2.3129080196447029</v>
      </c>
      <c r="CC17" s="37"/>
      <c r="CD17" s="37"/>
      <c r="CE17" s="37"/>
      <c r="CF17" s="37"/>
      <c r="CG17" s="37"/>
      <c r="CH17" s="37"/>
      <c r="CI17" s="37"/>
      <c r="CJ17" s="37"/>
      <c r="CK17" s="39">
        <f>BP17*(12*AC17+AD17)/(35.238*8)</f>
        <v>2.3954730235471896E-2</v>
      </c>
      <c r="CL17" s="37"/>
      <c r="CM17" s="39">
        <f>BP17*(12*$AC17+$AD17)/(35.238*8)/0.283</f>
        <v>8.4645689877992578E-2</v>
      </c>
      <c r="CN17" s="37"/>
      <c r="CO17" s="39">
        <f>0.063495+(0.016949+0.014096)*Wages!P15+1.22592*BR17</f>
        <v>0.46027022213095814</v>
      </c>
      <c r="CP17" s="39"/>
      <c r="CQ17" s="39">
        <f t="shared" si="5"/>
        <v>0.46027022213095814</v>
      </c>
      <c r="CR17" s="39">
        <f t="shared" si="6"/>
        <v>0.11498270513026511</v>
      </c>
      <c r="CS17" s="39">
        <f t="shared" si="7"/>
        <v>1.6664430452098482</v>
      </c>
      <c r="CT17" s="39">
        <f t="shared" si="8"/>
        <v>4.7967701103066238</v>
      </c>
      <c r="CU17" s="39">
        <f>CB17</f>
        <v>2.3129080196447029</v>
      </c>
      <c r="CV17" s="39">
        <v>7.0000000000000007E-2</v>
      </c>
      <c r="CW17" s="39">
        <v>7.0000000000000007E-2</v>
      </c>
      <c r="CX17" s="39"/>
      <c r="CY17" s="39"/>
      <c r="CZ17" s="39">
        <f t="shared" si="9"/>
        <v>7.3891911241978483E-2</v>
      </c>
      <c r="DA17" s="39">
        <f t="shared" si="10"/>
        <v>6.9210006258333818</v>
      </c>
      <c r="DB17" s="39">
        <v>5</v>
      </c>
      <c r="DC17" s="39">
        <f t="shared" si="11"/>
        <v>4.4042731255303345</v>
      </c>
      <c r="DD17" s="39">
        <v>2.9</v>
      </c>
      <c r="DE17" s="39">
        <f>CK17</f>
        <v>2.3954730235471896E-2</v>
      </c>
      <c r="DF17" s="37"/>
      <c r="DG17" s="39">
        <f t="shared" si="12"/>
        <v>0</v>
      </c>
      <c r="DH17" s="39">
        <f t="shared" si="13"/>
        <v>2.7116516001213378</v>
      </c>
      <c r="DI17" s="37"/>
      <c r="DJ17" s="37"/>
      <c r="DK17" s="37"/>
      <c r="DL17" s="37"/>
      <c r="DM17" s="39">
        <f t="shared" si="14"/>
        <v>0.63311459916843216</v>
      </c>
      <c r="DN17" s="39"/>
      <c r="DO17" s="39">
        <f t="shared" si="15"/>
        <v>0.63311459916843216</v>
      </c>
      <c r="DP17" s="37"/>
      <c r="DQ17" s="37">
        <f>DO17/'Conversions, Sources &amp; Comments'!E15</f>
        <v>0.46876999955809873</v>
      </c>
    </row>
    <row r="18" spans="1:121">
      <c r="A18" s="42">
        <f t="shared" si="2"/>
        <v>1266</v>
      </c>
      <c r="B18" s="36"/>
      <c r="C18" s="38">
        <v>4</v>
      </c>
      <c r="D18" s="38">
        <v>5.5</v>
      </c>
      <c r="E18" s="38">
        <v>4</v>
      </c>
      <c r="F18" s="38">
        <v>0</v>
      </c>
      <c r="G18" s="38">
        <v>1</v>
      </c>
      <c r="H18" s="38">
        <v>8.25</v>
      </c>
      <c r="I18" s="38">
        <v>5</v>
      </c>
      <c r="J18" s="38">
        <v>0.5</v>
      </c>
      <c r="K18" s="36"/>
      <c r="L18" s="36"/>
      <c r="M18" s="38">
        <v>2</v>
      </c>
      <c r="N18" s="36"/>
      <c r="O18" s="36"/>
      <c r="P18" s="36"/>
      <c r="Q18" s="36"/>
      <c r="R18" s="36"/>
      <c r="S18" s="36"/>
      <c r="T18" s="36"/>
      <c r="U18" s="38">
        <v>3</v>
      </c>
      <c r="V18" s="36"/>
      <c r="W18" s="38">
        <v>6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8">
        <v>4</v>
      </c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59">
        <v>3.1666666666666665</v>
      </c>
      <c r="BH18" s="59"/>
      <c r="BI18" s="59">
        <v>5.8033745152514013E-2</v>
      </c>
      <c r="BJ18" s="59"/>
      <c r="BK18" s="36"/>
      <c r="BL18" s="36"/>
      <c r="BM18" s="36"/>
      <c r="BN18" s="38">
        <v>21.3</v>
      </c>
      <c r="BO18" s="36"/>
      <c r="BP18" s="39">
        <f t="shared" si="0"/>
        <v>1.3505868544600939</v>
      </c>
      <c r="BQ18" s="37"/>
      <c r="BR18" s="39">
        <f t="shared" si="1"/>
        <v>0.25631561351954929</v>
      </c>
      <c r="BS18" s="37"/>
      <c r="BT18" s="37"/>
      <c r="BU18" s="37"/>
      <c r="BV18" s="39">
        <f t="shared" si="3"/>
        <v>0.18205594978958639</v>
      </c>
      <c r="BW18" s="37"/>
      <c r="BX18" s="39">
        <f t="shared" si="4"/>
        <v>0.11494297304307466</v>
      </c>
      <c r="BY18" s="39">
        <v>4.4042731255303345</v>
      </c>
      <c r="BZ18" s="37"/>
      <c r="CA18" s="37"/>
      <c r="CB18" s="37"/>
      <c r="CC18" s="39">
        <f>2*BP18*U18/120</f>
        <v>6.752934272300469E-2</v>
      </c>
      <c r="CD18" s="39">
        <f>BP18*(12*AK18+AL18)/1000</f>
        <v>6.4828169014084502E-2</v>
      </c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9">
        <f>0.063495+(0.016949+0.014096)*Wages!P16+1.22592*BR18</f>
        <v>0.5454333125127403</v>
      </c>
      <c r="CP18" s="39"/>
      <c r="CQ18" s="39">
        <f t="shared" si="5"/>
        <v>0.5454333125127403</v>
      </c>
      <c r="CR18" s="39">
        <f t="shared" si="6"/>
        <v>0.18205594978958639</v>
      </c>
      <c r="CS18" s="39">
        <f t="shared" si="7"/>
        <v>1.0807453416149069</v>
      </c>
      <c r="CT18" s="39">
        <f t="shared" si="8"/>
        <v>3.1108695652173921</v>
      </c>
      <c r="CU18" s="39">
        <v>1.5</v>
      </c>
      <c r="CV18" s="39">
        <f t="shared" ref="CV18:CW20" si="16">CC18</f>
        <v>6.752934272300469E-2</v>
      </c>
      <c r="CW18" s="39">
        <f t="shared" si="16"/>
        <v>6.4828169014084502E-2</v>
      </c>
      <c r="CX18" s="39"/>
      <c r="CY18" s="39"/>
      <c r="CZ18" s="39">
        <f t="shared" si="9"/>
        <v>0.11494297304307466</v>
      </c>
      <c r="DA18" s="39">
        <f t="shared" si="10"/>
        <v>6.9210006258333818</v>
      </c>
      <c r="DB18" s="39">
        <v>5</v>
      </c>
      <c r="DC18" s="39">
        <f t="shared" si="11"/>
        <v>4.4042731255303345</v>
      </c>
      <c r="DD18" s="39">
        <v>2.9</v>
      </c>
      <c r="DE18" s="39">
        <v>2.8000000000000001E-2</v>
      </c>
      <c r="DF18" s="37"/>
      <c r="DG18" s="39">
        <f t="shared" si="12"/>
        <v>0</v>
      </c>
      <c r="DH18" s="39">
        <f t="shared" si="13"/>
        <v>3.1695721077654517</v>
      </c>
      <c r="DI18" s="37"/>
      <c r="DJ18" s="37"/>
      <c r="DK18" s="37"/>
      <c r="DL18" s="37"/>
      <c r="DM18" s="39">
        <f t="shared" si="14"/>
        <v>0.63407379221796545</v>
      </c>
      <c r="DN18" s="39"/>
      <c r="DO18" s="39">
        <f t="shared" si="15"/>
        <v>0.63407379221796545</v>
      </c>
      <c r="DP18" s="37"/>
      <c r="DQ18" s="37">
        <f>DO18/'Conversions, Sources &amp; Comments'!E16</f>
        <v>0.46948020419719005</v>
      </c>
    </row>
    <row r="19" spans="1:121">
      <c r="A19" s="99">
        <f t="shared" si="2"/>
        <v>1267</v>
      </c>
      <c r="B19" s="36"/>
      <c r="C19" s="38">
        <v>4</v>
      </c>
      <c r="D19" s="38">
        <v>5.25</v>
      </c>
      <c r="E19" s="38">
        <v>2</v>
      </c>
      <c r="F19" s="38">
        <v>5.75</v>
      </c>
      <c r="G19" s="38">
        <v>1</v>
      </c>
      <c r="H19" s="38">
        <v>5.25</v>
      </c>
      <c r="I19" s="36"/>
      <c r="J19" s="36"/>
      <c r="K19" s="36"/>
      <c r="L19" s="36"/>
      <c r="M19" s="38">
        <v>2</v>
      </c>
      <c r="N19" s="36"/>
      <c r="O19" s="38">
        <v>8</v>
      </c>
      <c r="P19" s="38">
        <v>6</v>
      </c>
      <c r="Q19" s="36"/>
      <c r="R19" s="36"/>
      <c r="S19" s="36"/>
      <c r="T19" s="36"/>
      <c r="U19" s="38">
        <v>3</v>
      </c>
      <c r="V19" s="36"/>
      <c r="W19" s="38">
        <v>6</v>
      </c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8">
        <v>4</v>
      </c>
      <c r="AL19" s="38">
        <v>9.5</v>
      </c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59">
        <v>2.25</v>
      </c>
      <c r="BH19" s="59"/>
      <c r="BI19" s="59">
        <v>6.4942524337338478E-2</v>
      </c>
      <c r="BJ19" s="59"/>
      <c r="BK19" s="36"/>
      <c r="BL19" s="36"/>
      <c r="BM19" s="36"/>
      <c r="BN19" s="38">
        <v>21.3</v>
      </c>
      <c r="BO19" s="36"/>
      <c r="BP19" s="39">
        <f t="shared" si="0"/>
        <v>1.3505868544600939</v>
      </c>
      <c r="BQ19" s="37"/>
      <c r="BR19" s="39">
        <f t="shared" si="1"/>
        <v>0.25511787700777572</v>
      </c>
      <c r="BS19" s="37"/>
      <c r="BT19" s="37"/>
      <c r="BU19" s="37"/>
      <c r="BV19" s="39">
        <f t="shared" si="3"/>
        <v>0.12935554327154825</v>
      </c>
      <c r="BW19" s="37"/>
      <c r="BX19" s="39">
        <f t="shared" si="4"/>
        <v>0.12862666031011008</v>
      </c>
      <c r="BY19" s="39">
        <v>4.4042731255303345</v>
      </c>
      <c r="BZ19" s="37"/>
      <c r="CA19" s="37"/>
      <c r="CB19" s="39">
        <f>$BP19*(12*O19+P19)/(224*0.453592)</f>
        <v>1.3558426322055155</v>
      </c>
      <c r="CC19" s="39">
        <f>2*BP19*U19/120</f>
        <v>6.752934272300469E-2</v>
      </c>
      <c r="CD19" s="39">
        <f>BP19*(12*AK19+AL19)/1000</f>
        <v>7.765874413145539E-2</v>
      </c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9">
        <f>0.063495+(0.016949+0.014096)*Wages!P17+1.22592*BR19</f>
        <v>0.54396498336822674</v>
      </c>
      <c r="CP19" s="39"/>
      <c r="CQ19" s="39">
        <f t="shared" si="5"/>
        <v>0.54396498336822674</v>
      </c>
      <c r="CR19" s="39">
        <f t="shared" si="6"/>
        <v>0.12935554327154825</v>
      </c>
      <c r="CS19" s="39">
        <f t="shared" si="7"/>
        <v>0.97688040581266955</v>
      </c>
      <c r="CT19" s="39">
        <f t="shared" si="8"/>
        <v>2.8118997198349174</v>
      </c>
      <c r="CU19" s="39">
        <f>CB19</f>
        <v>1.3558426322055155</v>
      </c>
      <c r="CV19" s="39">
        <f t="shared" si="16"/>
        <v>6.752934272300469E-2</v>
      </c>
      <c r="CW19" s="39">
        <f t="shared" si="16"/>
        <v>7.765874413145539E-2</v>
      </c>
      <c r="CX19" s="39"/>
      <c r="CY19" s="39"/>
      <c r="CZ19" s="39">
        <f t="shared" si="9"/>
        <v>0.12862666031011008</v>
      </c>
      <c r="DA19" s="39">
        <f t="shared" si="10"/>
        <v>6.9210006258333818</v>
      </c>
      <c r="DB19" s="39">
        <v>5</v>
      </c>
      <c r="DC19" s="39">
        <f t="shared" si="11"/>
        <v>4.4042731255303345</v>
      </c>
      <c r="DD19" s="39">
        <v>2.9</v>
      </c>
      <c r="DE19" s="39">
        <v>2.8000000000000001E-2</v>
      </c>
      <c r="DF19" s="37"/>
      <c r="DG19" s="39">
        <f t="shared" si="12"/>
        <v>0</v>
      </c>
      <c r="DH19" s="39">
        <f t="shared" si="13"/>
        <v>3.1695721077654517</v>
      </c>
      <c r="DI19" s="37"/>
      <c r="DJ19" s="37"/>
      <c r="DK19" s="37"/>
      <c r="DL19" s="37"/>
      <c r="DM19" s="39">
        <f t="shared" si="14"/>
        <v>0.62076457770363369</v>
      </c>
      <c r="DN19" s="39"/>
      <c r="DO19" s="39">
        <f t="shared" si="15"/>
        <v>0.62076457770363369</v>
      </c>
      <c r="DP19" s="37"/>
      <c r="DQ19" s="37">
        <f>DO19/'Conversions, Sources &amp; Comments'!E17</f>
        <v>0.459625810553138</v>
      </c>
    </row>
    <row r="20" spans="1:121">
      <c r="A20" s="42">
        <f t="shared" si="2"/>
        <v>1268</v>
      </c>
      <c r="B20" s="36"/>
      <c r="C20" s="38">
        <v>5</v>
      </c>
      <c r="D20" s="38">
        <v>3.38</v>
      </c>
      <c r="E20" s="38">
        <v>3</v>
      </c>
      <c r="F20" s="38">
        <v>6.75</v>
      </c>
      <c r="G20" s="38">
        <v>2</v>
      </c>
      <c r="H20" s="38">
        <v>7.5</v>
      </c>
      <c r="I20" s="38">
        <v>4</v>
      </c>
      <c r="J20" s="38">
        <v>4</v>
      </c>
      <c r="K20" s="36"/>
      <c r="L20" s="36"/>
      <c r="M20" s="38">
        <v>4</v>
      </c>
      <c r="N20" s="38">
        <v>6.5</v>
      </c>
      <c r="O20" s="38">
        <v>11</v>
      </c>
      <c r="P20" s="38">
        <v>5</v>
      </c>
      <c r="Q20" s="36"/>
      <c r="R20" s="36"/>
      <c r="S20" s="36"/>
      <c r="T20" s="36"/>
      <c r="U20" s="38">
        <v>3.5</v>
      </c>
      <c r="V20" s="36"/>
      <c r="W20" s="38">
        <v>6.5</v>
      </c>
      <c r="X20" s="36"/>
      <c r="Y20" s="36"/>
      <c r="Z20" s="36"/>
      <c r="AA20" s="36"/>
      <c r="AB20" s="36"/>
      <c r="AC20" s="36"/>
      <c r="AD20" s="36"/>
      <c r="AE20" s="36"/>
      <c r="AF20" s="36"/>
      <c r="AG20" s="38">
        <v>1</v>
      </c>
      <c r="AH20" s="38">
        <v>0</v>
      </c>
      <c r="AI20" s="36"/>
      <c r="AJ20" s="36"/>
      <c r="AK20" s="38">
        <v>4</v>
      </c>
      <c r="AL20" s="38">
        <v>3.25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59">
        <v>4.583333333333333</v>
      </c>
      <c r="BH20" s="59"/>
      <c r="BI20" s="59">
        <v>7.185130352216125E-2</v>
      </c>
      <c r="BJ20" s="59"/>
      <c r="BK20" s="36"/>
      <c r="BL20" s="36"/>
      <c r="BM20" s="36"/>
      <c r="BN20" s="38">
        <v>21.3</v>
      </c>
      <c r="BO20" s="36"/>
      <c r="BP20" s="39">
        <f t="shared" si="0"/>
        <v>1.3505868544600939</v>
      </c>
      <c r="BQ20" s="37"/>
      <c r="BR20" s="39">
        <f t="shared" si="1"/>
        <v>0.30365016046484178</v>
      </c>
      <c r="BS20" s="37"/>
      <c r="BT20" s="37"/>
      <c r="BU20" s="37"/>
      <c r="BV20" s="39">
        <f t="shared" si="3"/>
        <v>0.26350203259019089</v>
      </c>
      <c r="BW20" s="37"/>
      <c r="BX20" s="39">
        <f t="shared" si="4"/>
        <v>0.14231034757714214</v>
      </c>
      <c r="BY20" s="39">
        <v>4.4042731255303345</v>
      </c>
      <c r="BZ20" s="37"/>
      <c r="CA20" s="37"/>
      <c r="CB20" s="39">
        <f>$BP20*(12*O20+P20)/(224*0.453592)</f>
        <v>1.8210827510995649</v>
      </c>
      <c r="CC20" s="39">
        <f>2*BP20*U20/120</f>
        <v>7.8784233176838817E-2</v>
      </c>
      <c r="CD20" s="39">
        <f>BP20*(12*AK20+AL20)/1000</f>
        <v>6.9217576291079802E-2</v>
      </c>
      <c r="CE20" s="37"/>
      <c r="CF20" s="37"/>
      <c r="CG20" s="37"/>
      <c r="CH20" s="37"/>
      <c r="CI20" s="37"/>
      <c r="CJ20" s="37"/>
      <c r="CK20" s="37"/>
      <c r="CL20" s="39">
        <f>BP20*(12*AG20+AH20)/100</f>
        <v>0.16207042253521128</v>
      </c>
      <c r="CM20" s="37"/>
      <c r="CN20" s="37"/>
      <c r="CO20" s="39">
        <f>0.063495+(0.016949+0.014096)*Wages!P18+1.22592*BR20</f>
        <v>0.60346168030391323</v>
      </c>
      <c r="CP20" s="39"/>
      <c r="CQ20" s="39">
        <f t="shared" si="5"/>
        <v>0.60346168030391323</v>
      </c>
      <c r="CR20" s="39">
        <f t="shared" si="6"/>
        <v>0.26350203259019089</v>
      </c>
      <c r="CS20" s="39">
        <f t="shared" si="7"/>
        <v>1.3120844666307425</v>
      </c>
      <c r="CT20" s="39">
        <f t="shared" si="8"/>
        <v>3.7767672707586635</v>
      </c>
      <c r="CU20" s="39">
        <f>CB20</f>
        <v>1.8210827510995649</v>
      </c>
      <c r="CV20" s="39">
        <f t="shared" si="16"/>
        <v>7.8784233176838817E-2</v>
      </c>
      <c r="CW20" s="39">
        <f t="shared" si="16"/>
        <v>6.9217576291079802E-2</v>
      </c>
      <c r="CX20" s="39"/>
      <c r="CY20" s="39"/>
      <c r="CZ20" s="39">
        <f t="shared" si="9"/>
        <v>0.14231034757714214</v>
      </c>
      <c r="DA20" s="39">
        <f t="shared" si="10"/>
        <v>6.9210006258333818</v>
      </c>
      <c r="DB20" s="39">
        <v>5</v>
      </c>
      <c r="DC20" s="39">
        <f t="shared" si="11"/>
        <v>4.4042731255303345</v>
      </c>
      <c r="DD20" s="39">
        <v>2.9</v>
      </c>
      <c r="DE20" s="39">
        <v>2.8000000000000001E-2</v>
      </c>
      <c r="DF20" s="37"/>
      <c r="DG20" s="39">
        <f t="shared" si="12"/>
        <v>0.16207042253521128</v>
      </c>
      <c r="DH20" s="39">
        <f t="shared" si="13"/>
        <v>3.1695721077654517</v>
      </c>
      <c r="DI20" s="37"/>
      <c r="DJ20" s="37"/>
      <c r="DK20" s="37"/>
      <c r="DL20" s="37"/>
      <c r="DM20" s="39">
        <f t="shared" si="14"/>
        <v>0.71001905629656747</v>
      </c>
      <c r="DN20" s="39"/>
      <c r="DO20" s="39">
        <f t="shared" si="15"/>
        <v>0.71001905629656747</v>
      </c>
      <c r="DP20" s="37"/>
      <c r="DQ20" s="37">
        <f>DO20/'Conversions, Sources &amp; Comments'!E18</f>
        <v>0.52571151122332105</v>
      </c>
    </row>
    <row r="21" spans="1:121">
      <c r="A21" s="42">
        <f t="shared" si="2"/>
        <v>1269</v>
      </c>
      <c r="B21" s="36"/>
      <c r="C21" s="38">
        <v>5</v>
      </c>
      <c r="D21" s="38">
        <v>0</v>
      </c>
      <c r="E21" s="38">
        <v>3</v>
      </c>
      <c r="F21" s="38">
        <v>1</v>
      </c>
      <c r="G21" s="38">
        <v>1</v>
      </c>
      <c r="H21" s="38">
        <v>7.25</v>
      </c>
      <c r="I21" s="38">
        <v>5</v>
      </c>
      <c r="J21" s="38">
        <v>4</v>
      </c>
      <c r="K21" s="36"/>
      <c r="L21" s="38" t="s">
        <v>8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8">
        <v>4</v>
      </c>
      <c r="AL21" s="38">
        <v>2</v>
      </c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59">
        <v>3.75</v>
      </c>
      <c r="BH21" s="59"/>
      <c r="BI21" s="59">
        <v>7.8760082706984036E-2</v>
      </c>
      <c r="BJ21" s="59"/>
      <c r="BK21" s="36"/>
      <c r="BL21" s="36"/>
      <c r="BM21" s="36"/>
      <c r="BN21" s="38">
        <v>21.3</v>
      </c>
      <c r="BO21" s="36"/>
      <c r="BP21" s="39">
        <f t="shared" si="0"/>
        <v>1.3505868544600939</v>
      </c>
      <c r="BQ21" s="37"/>
      <c r="BR21" s="39">
        <f t="shared" si="1"/>
        <v>0.28745676282566274</v>
      </c>
      <c r="BS21" s="37"/>
      <c r="BT21" s="37"/>
      <c r="BU21" s="37"/>
      <c r="BV21" s="39">
        <f t="shared" si="3"/>
        <v>0.21559257211924707</v>
      </c>
      <c r="BW21" s="37"/>
      <c r="BX21" s="39">
        <f t="shared" si="4"/>
        <v>0.15599403484417423</v>
      </c>
      <c r="BY21" s="39">
        <v>4.4042731255303345</v>
      </c>
      <c r="BZ21" s="37"/>
      <c r="CA21" s="37"/>
      <c r="CB21" s="37"/>
      <c r="CC21" s="37"/>
      <c r="CD21" s="39">
        <f>BP21*(12*AK21+AL21)/1000</f>
        <v>6.752934272300469E-2</v>
      </c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9">
        <f>0.063495+(0.016949+0.014096)*Wages!P19+1.22592*BR21</f>
        <v>0.58360987027009092</v>
      </c>
      <c r="CP21" s="39"/>
      <c r="CQ21" s="39">
        <f t="shared" si="5"/>
        <v>0.58360987027009092</v>
      </c>
      <c r="CR21" s="39">
        <f t="shared" si="6"/>
        <v>0.21559257211924707</v>
      </c>
      <c r="CS21" s="39">
        <f t="shared" si="7"/>
        <v>1.1527950310559008</v>
      </c>
      <c r="CT21" s="39">
        <f t="shared" si="8"/>
        <v>3.3182608695652185</v>
      </c>
      <c r="CU21" s="39">
        <v>1.6</v>
      </c>
      <c r="CV21" s="39">
        <v>0.08</v>
      </c>
      <c r="CW21" s="39">
        <f>CD21</f>
        <v>6.752934272300469E-2</v>
      </c>
      <c r="CX21" s="39"/>
      <c r="CY21" s="39"/>
      <c r="CZ21" s="39">
        <f t="shared" si="9"/>
        <v>0.15599403484417423</v>
      </c>
      <c r="DA21" s="39">
        <f t="shared" si="10"/>
        <v>6.9210006258333818</v>
      </c>
      <c r="DB21" s="39">
        <v>5</v>
      </c>
      <c r="DC21" s="39">
        <f t="shared" si="11"/>
        <v>4.4042731255303345</v>
      </c>
      <c r="DD21" s="39">
        <v>2.9</v>
      </c>
      <c r="DE21" s="39">
        <v>2.8000000000000001E-2</v>
      </c>
      <c r="DF21" s="37"/>
      <c r="DG21" s="39">
        <f t="shared" si="12"/>
        <v>0</v>
      </c>
      <c r="DH21" s="39">
        <f t="shared" si="13"/>
        <v>3.1695721077654517</v>
      </c>
      <c r="DI21" s="37"/>
      <c r="DJ21" s="37"/>
      <c r="DK21" s="37"/>
      <c r="DL21" s="37"/>
      <c r="DM21" s="39">
        <f t="shared" si="14"/>
        <v>0.6829617063214769</v>
      </c>
      <c r="DN21" s="39"/>
      <c r="DO21" s="39">
        <f t="shared" si="15"/>
        <v>0.6829617063214769</v>
      </c>
      <c r="DP21" s="37"/>
      <c r="DQ21" s="37">
        <f>DO21/'Conversions, Sources &amp; Comments'!E19</f>
        <v>0.50567773858164455</v>
      </c>
    </row>
    <row r="22" spans="1:121">
      <c r="A22" s="42">
        <f t="shared" si="2"/>
        <v>1270</v>
      </c>
      <c r="B22" s="36"/>
      <c r="C22" s="38">
        <v>6</v>
      </c>
      <c r="D22" s="38">
        <v>4.13</v>
      </c>
      <c r="E22" s="38">
        <v>4</v>
      </c>
      <c r="F22" s="38">
        <v>0.5</v>
      </c>
      <c r="G22" s="38">
        <v>2</v>
      </c>
      <c r="H22" s="38">
        <v>3.75</v>
      </c>
      <c r="I22" s="38">
        <v>4</v>
      </c>
      <c r="J22" s="38">
        <v>11.38</v>
      </c>
      <c r="K22" s="36"/>
      <c r="L22" s="36"/>
      <c r="M22" s="38">
        <v>4</v>
      </c>
      <c r="N22" s="38">
        <v>1.5</v>
      </c>
      <c r="O22" s="36"/>
      <c r="P22" s="36"/>
      <c r="Q22" s="36"/>
      <c r="R22" s="36"/>
      <c r="S22" s="36"/>
      <c r="T22" s="36"/>
      <c r="U22" s="38">
        <v>4</v>
      </c>
      <c r="V22" s="36"/>
      <c r="W22" s="38">
        <v>6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59">
        <v>3</v>
      </c>
      <c r="BH22" s="59"/>
      <c r="BI22" s="59">
        <v>8.5668861891806808E-2</v>
      </c>
      <c r="BJ22" s="59"/>
      <c r="BK22" s="36"/>
      <c r="BL22" s="36"/>
      <c r="BM22" s="36"/>
      <c r="BN22" s="38">
        <v>21.3</v>
      </c>
      <c r="BO22" s="36"/>
      <c r="BP22" s="39">
        <f t="shared" si="0"/>
        <v>1.3505868544600939</v>
      </c>
      <c r="BQ22" s="37"/>
      <c r="BR22" s="39">
        <f t="shared" si="1"/>
        <v>0.36473472256529504</v>
      </c>
      <c r="BS22" s="37"/>
      <c r="BT22" s="37"/>
      <c r="BU22" s="37"/>
      <c r="BV22" s="39">
        <f t="shared" si="3"/>
        <v>0.17247405769539767</v>
      </c>
      <c r="BW22" s="37"/>
      <c r="BX22" s="39">
        <f t="shared" si="4"/>
        <v>0.16967772211120627</v>
      </c>
      <c r="BY22" s="39">
        <v>4.4042731255303345</v>
      </c>
      <c r="BZ22" s="37"/>
      <c r="CA22" s="37"/>
      <c r="CB22" s="37"/>
      <c r="CC22" s="39">
        <f t="shared" ref="CC22:CC53" si="17">2*BP22*U22/120</f>
        <v>9.0039123630672929E-2</v>
      </c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9">
        <f>0.063495+(0.016949+0.014096)*Wages!P20+1.22592*BR22</f>
        <v>0.67834646667410092</v>
      </c>
      <c r="CP22" s="39"/>
      <c r="CQ22" s="39">
        <f t="shared" si="5"/>
        <v>0.67834646667410092</v>
      </c>
      <c r="CR22" s="39">
        <f t="shared" si="6"/>
        <v>0.17247405769539767</v>
      </c>
      <c r="CS22" s="39">
        <f t="shared" si="7"/>
        <v>1.1527950310559008</v>
      </c>
      <c r="CT22" s="39">
        <f t="shared" si="8"/>
        <v>3.3182608695652185</v>
      </c>
      <c r="CU22" s="39">
        <v>1.6</v>
      </c>
      <c r="CV22" s="39">
        <f t="shared" ref="CV22:CW53" si="18">CC22</f>
        <v>9.0039123630672929E-2</v>
      </c>
      <c r="CW22" s="39">
        <v>6.8000000000000005E-2</v>
      </c>
      <c r="CX22" s="39"/>
      <c r="CY22" s="39"/>
      <c r="CZ22" s="39">
        <f t="shared" si="9"/>
        <v>0.16967772211120627</v>
      </c>
      <c r="DA22" s="39">
        <f t="shared" si="10"/>
        <v>6.9210006258333818</v>
      </c>
      <c r="DB22" s="39">
        <v>5</v>
      </c>
      <c r="DC22" s="39">
        <f t="shared" si="11"/>
        <v>4.4042731255303345</v>
      </c>
      <c r="DD22" s="39">
        <v>2.9</v>
      </c>
      <c r="DE22" s="39">
        <v>2.8000000000000001E-2</v>
      </c>
      <c r="DF22" s="37"/>
      <c r="DG22" s="39">
        <f t="shared" si="12"/>
        <v>0</v>
      </c>
      <c r="DH22" s="39">
        <f t="shared" si="13"/>
        <v>3.1695721077654517</v>
      </c>
      <c r="DI22" s="37"/>
      <c r="DJ22" s="37"/>
      <c r="DK22" s="37"/>
      <c r="DL22" s="37"/>
      <c r="DM22" s="39">
        <f t="shared" si="14"/>
        <v>0.72637558857004636</v>
      </c>
      <c r="DN22" s="39"/>
      <c r="DO22" s="39">
        <f t="shared" si="15"/>
        <v>0.72637558857004636</v>
      </c>
      <c r="DP22" s="37"/>
      <c r="DQ22" s="37">
        <f>DO22/'Conversions, Sources &amp; Comments'!E20</f>
        <v>0.53782219645579166</v>
      </c>
    </row>
    <row r="23" spans="1:121">
      <c r="A23" s="42">
        <f t="shared" si="2"/>
        <v>1271</v>
      </c>
      <c r="B23" s="36"/>
      <c r="C23" s="38">
        <v>6</v>
      </c>
      <c r="D23" s="38">
        <v>10.88</v>
      </c>
      <c r="E23" s="38">
        <v>5</v>
      </c>
      <c r="F23" s="38">
        <v>1.5</v>
      </c>
      <c r="G23" s="38">
        <v>2</v>
      </c>
      <c r="H23" s="38">
        <v>7.63</v>
      </c>
      <c r="I23" s="38">
        <v>6</v>
      </c>
      <c r="J23" s="38">
        <v>6.25</v>
      </c>
      <c r="K23" s="36"/>
      <c r="L23" s="36"/>
      <c r="M23" s="38">
        <v>4</v>
      </c>
      <c r="N23" s="38">
        <v>10.625</v>
      </c>
      <c r="O23" s="38">
        <v>10</v>
      </c>
      <c r="P23" s="36"/>
      <c r="Q23" s="36"/>
      <c r="R23" s="36"/>
      <c r="S23" s="36"/>
      <c r="T23" s="36"/>
      <c r="U23" s="38">
        <v>4.5</v>
      </c>
      <c r="V23" s="36"/>
      <c r="W23" s="38">
        <v>6</v>
      </c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8">
        <v>4</v>
      </c>
      <c r="AL23" s="38">
        <v>2.75</v>
      </c>
      <c r="AM23" s="36"/>
      <c r="AN23" s="36"/>
      <c r="AO23" s="38">
        <v>0</v>
      </c>
      <c r="AP23" s="38">
        <v>8</v>
      </c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59">
        <v>4.666666666666667</v>
      </c>
      <c r="BH23" s="59"/>
      <c r="BI23" s="59">
        <v>8.0141838543948241E-2</v>
      </c>
      <c r="BJ23" s="59"/>
      <c r="BK23" s="36"/>
      <c r="BL23" s="36"/>
      <c r="BM23" s="36"/>
      <c r="BN23" s="38">
        <v>21.3</v>
      </c>
      <c r="BO23" s="36"/>
      <c r="BP23" s="39">
        <f t="shared" si="0"/>
        <v>1.3505868544600939</v>
      </c>
      <c r="BQ23" s="37"/>
      <c r="BR23" s="39">
        <f t="shared" si="1"/>
        <v>0.39707360838318212</v>
      </c>
      <c r="BS23" s="37"/>
      <c r="BT23" s="37"/>
      <c r="BU23" s="37"/>
      <c r="BV23" s="39">
        <f t="shared" si="3"/>
        <v>0.2682929786372853</v>
      </c>
      <c r="BW23" s="37"/>
      <c r="BX23" s="39">
        <f t="shared" si="4"/>
        <v>0.15873077229757993</v>
      </c>
      <c r="BY23" s="39">
        <v>4.4042731255303345</v>
      </c>
      <c r="BZ23" s="37"/>
      <c r="CA23" s="37"/>
      <c r="CB23" s="39">
        <f t="shared" ref="CB23:CB56" si="19">$BP23*(12*O23+P23)/(224*0.453592)</f>
        <v>1.5951089790653123</v>
      </c>
      <c r="CC23" s="39">
        <f t="shared" si="17"/>
        <v>0.10129401408450704</v>
      </c>
      <c r="CD23" s="39">
        <f t="shared" ref="CD23:CD52" si="20">BP23*(12*AK23+AL23)/1000</f>
        <v>6.8542282863849766E-2</v>
      </c>
      <c r="CE23" s="37"/>
      <c r="CF23" s="37"/>
      <c r="CG23" s="39">
        <f>BP23*(12*AO23+AP23)/4.55</f>
        <v>2.374658205644121</v>
      </c>
      <c r="CH23" s="37"/>
      <c r="CI23" s="37"/>
      <c r="CJ23" s="37"/>
      <c r="CK23" s="37"/>
      <c r="CL23" s="37"/>
      <c r="CM23" s="37"/>
      <c r="CN23" s="37"/>
      <c r="CO23" s="39">
        <f>0.063495+(0.016949+0.014096)*Wages!P21+1.22592*BR23</f>
        <v>0.717991353575965</v>
      </c>
      <c r="CP23" s="39"/>
      <c r="CQ23" s="39">
        <f t="shared" si="5"/>
        <v>0.717991353575965</v>
      </c>
      <c r="CR23" s="39">
        <f t="shared" si="6"/>
        <v>0.2682929786372853</v>
      </c>
      <c r="CS23" s="39">
        <f t="shared" si="7"/>
        <v>1.149271065661964</v>
      </c>
      <c r="CT23" s="39">
        <f t="shared" si="8"/>
        <v>3.3081173174528438</v>
      </c>
      <c r="CU23" s="39">
        <f t="shared" ref="CU23:CV56" si="21">CB23</f>
        <v>1.5951089790653123</v>
      </c>
      <c r="CV23" s="39">
        <f t="shared" si="18"/>
        <v>0.10129401408450704</v>
      </c>
      <c r="CW23" s="39">
        <f t="shared" si="18"/>
        <v>6.8542282863849766E-2</v>
      </c>
      <c r="CX23" s="39"/>
      <c r="CY23" s="39"/>
      <c r="CZ23" s="39">
        <f t="shared" si="9"/>
        <v>0.15873077229757993</v>
      </c>
      <c r="DA23" s="39">
        <f t="shared" si="10"/>
        <v>6.9210006258333818</v>
      </c>
      <c r="DB23" s="39">
        <v>5</v>
      </c>
      <c r="DC23" s="39">
        <f t="shared" si="11"/>
        <v>4.4042731255303345</v>
      </c>
      <c r="DD23" s="39">
        <f>CG23</f>
        <v>2.374658205644121</v>
      </c>
      <c r="DE23" s="39">
        <v>2.8000000000000001E-2</v>
      </c>
      <c r="DF23" s="37"/>
      <c r="DG23" s="39">
        <f t="shared" si="12"/>
        <v>0</v>
      </c>
      <c r="DH23" s="39">
        <f t="shared" si="13"/>
        <v>3.1695721077654517</v>
      </c>
      <c r="DI23" s="37"/>
      <c r="DJ23" s="37"/>
      <c r="DK23" s="37"/>
      <c r="DL23" s="37"/>
      <c r="DM23" s="39">
        <f t="shared" si="14"/>
        <v>0.74868265098606357</v>
      </c>
      <c r="DN23" s="39"/>
      <c r="DO23" s="39">
        <f t="shared" si="15"/>
        <v>0.74868265098606357</v>
      </c>
      <c r="DP23" s="37"/>
      <c r="DQ23" s="37">
        <f>DO23/'Conversions, Sources &amp; Comments'!E21</f>
        <v>0.55433876652483371</v>
      </c>
    </row>
    <row r="24" spans="1:121">
      <c r="A24" s="42">
        <f t="shared" si="2"/>
        <v>1272</v>
      </c>
      <c r="B24" s="36"/>
      <c r="C24" s="38">
        <v>6</v>
      </c>
      <c r="D24" s="38">
        <v>4.63</v>
      </c>
      <c r="E24" s="38">
        <v>4</v>
      </c>
      <c r="F24" s="38">
        <v>7</v>
      </c>
      <c r="G24" s="38">
        <v>2</v>
      </c>
      <c r="H24" s="38">
        <v>4.38</v>
      </c>
      <c r="I24" s="38">
        <v>5</v>
      </c>
      <c r="J24" s="38">
        <v>1.75</v>
      </c>
      <c r="K24" s="36"/>
      <c r="L24" s="36"/>
      <c r="M24" s="38">
        <v>4</v>
      </c>
      <c r="N24" s="38">
        <v>3.25</v>
      </c>
      <c r="O24" s="38">
        <v>7</v>
      </c>
      <c r="P24" s="38">
        <v>6.75</v>
      </c>
      <c r="Q24" s="36"/>
      <c r="R24" s="36"/>
      <c r="S24" s="36"/>
      <c r="T24" s="36"/>
      <c r="U24" s="38">
        <v>3.5</v>
      </c>
      <c r="V24" s="36"/>
      <c r="W24" s="38">
        <v>6.5</v>
      </c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8">
        <v>4</v>
      </c>
      <c r="AL24" s="38">
        <v>9.25</v>
      </c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59">
        <v>4.666666666666667</v>
      </c>
      <c r="BH24" s="59"/>
      <c r="BI24" s="59">
        <v>7.4614815196089687E-2</v>
      </c>
      <c r="BJ24" s="59"/>
      <c r="BK24" s="36"/>
      <c r="BL24" s="36"/>
      <c r="BM24" s="36"/>
      <c r="BN24" s="38">
        <v>21.3</v>
      </c>
      <c r="BO24" s="36"/>
      <c r="BP24" s="39">
        <f t="shared" si="0"/>
        <v>1.3505868544600939</v>
      </c>
      <c r="BQ24" s="37"/>
      <c r="BR24" s="39">
        <f t="shared" si="1"/>
        <v>0.36713019558884225</v>
      </c>
      <c r="BS24" s="37"/>
      <c r="BT24" s="37"/>
      <c r="BU24" s="37"/>
      <c r="BV24" s="39">
        <f t="shared" si="3"/>
        <v>0.2682929786372853</v>
      </c>
      <c r="BW24" s="37"/>
      <c r="BX24" s="39">
        <f t="shared" si="4"/>
        <v>0.14778382248395364</v>
      </c>
      <c r="BY24" s="39">
        <v>4.4042731255303345</v>
      </c>
      <c r="BZ24" s="37"/>
      <c r="CA24" s="37"/>
      <c r="CB24" s="39">
        <f t="shared" si="19"/>
        <v>1.2063011654181426</v>
      </c>
      <c r="CC24" s="39">
        <f t="shared" si="17"/>
        <v>7.8784233176838817E-2</v>
      </c>
      <c r="CD24" s="39">
        <f t="shared" si="20"/>
        <v>7.7321097417840379E-2</v>
      </c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9">
        <f>0.063495+(0.016949+0.014096)*Wages!P22+1.22592*BR24</f>
        <v>0.68128312496312793</v>
      </c>
      <c r="CP24" s="39"/>
      <c r="CQ24" s="39">
        <f t="shared" si="5"/>
        <v>0.68128312496312793</v>
      </c>
      <c r="CR24" s="39">
        <f t="shared" si="6"/>
        <v>0.2682929786372853</v>
      </c>
      <c r="CS24" s="39">
        <f t="shared" si="7"/>
        <v>0.86913624340686058</v>
      </c>
      <c r="CT24" s="39">
        <f t="shared" si="8"/>
        <v>2.5017637213237136</v>
      </c>
      <c r="CU24" s="39">
        <f t="shared" si="21"/>
        <v>1.2063011654181426</v>
      </c>
      <c r="CV24" s="39">
        <f t="shared" si="18"/>
        <v>7.8784233176838817E-2</v>
      </c>
      <c r="CW24" s="39">
        <f t="shared" si="18"/>
        <v>7.7321097417840379E-2</v>
      </c>
      <c r="CX24" s="39"/>
      <c r="CY24" s="39"/>
      <c r="CZ24" s="39">
        <f t="shared" si="9"/>
        <v>0.14778382248395364</v>
      </c>
      <c r="DA24" s="39">
        <f t="shared" si="10"/>
        <v>6.9210006258333818</v>
      </c>
      <c r="DB24" s="39">
        <v>5</v>
      </c>
      <c r="DC24" s="39">
        <f t="shared" si="11"/>
        <v>4.4042731255303345</v>
      </c>
      <c r="DD24" s="39">
        <v>2.9</v>
      </c>
      <c r="DE24" s="39">
        <v>2.8000000000000001E-2</v>
      </c>
      <c r="DF24" s="37"/>
      <c r="DG24" s="39">
        <f t="shared" si="12"/>
        <v>0</v>
      </c>
      <c r="DH24" s="39">
        <f t="shared" si="13"/>
        <v>3.1695721077654517</v>
      </c>
      <c r="DI24" s="37"/>
      <c r="DJ24" s="37"/>
      <c r="DK24" s="37"/>
      <c r="DL24" s="37"/>
      <c r="DM24" s="39">
        <f t="shared" si="14"/>
        <v>0.69571500581156864</v>
      </c>
      <c r="DN24" s="39"/>
      <c r="DO24" s="39">
        <f t="shared" si="15"/>
        <v>0.69571500581156864</v>
      </c>
      <c r="DP24" s="37"/>
      <c r="DQ24" s="37">
        <f>DO24/'Conversions, Sources &amp; Comments'!E22</f>
        <v>0.5151205222485935</v>
      </c>
    </row>
    <row r="25" spans="1:121">
      <c r="A25" s="42">
        <f t="shared" si="2"/>
        <v>1273</v>
      </c>
      <c r="B25" s="36"/>
      <c r="C25" s="38">
        <v>5</v>
      </c>
      <c r="D25" s="38">
        <v>5.75</v>
      </c>
      <c r="E25" s="38">
        <v>4</v>
      </c>
      <c r="F25" s="38">
        <v>0.5</v>
      </c>
      <c r="G25" s="38">
        <v>2</v>
      </c>
      <c r="H25" s="38">
        <v>4.13</v>
      </c>
      <c r="I25" s="38">
        <v>4</v>
      </c>
      <c r="J25" s="38">
        <v>5.5</v>
      </c>
      <c r="K25" s="36"/>
      <c r="L25" s="36"/>
      <c r="M25" s="38">
        <v>3</v>
      </c>
      <c r="N25" s="38">
        <v>9</v>
      </c>
      <c r="O25" s="38">
        <v>10</v>
      </c>
      <c r="P25" s="38">
        <v>3</v>
      </c>
      <c r="Q25" s="36"/>
      <c r="R25" s="36"/>
      <c r="S25" s="36"/>
      <c r="T25" s="36"/>
      <c r="U25" s="38">
        <v>4</v>
      </c>
      <c r="V25" s="36"/>
      <c r="W25" s="38">
        <v>6</v>
      </c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8">
        <v>4</v>
      </c>
      <c r="AL25" s="38">
        <v>10.5</v>
      </c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59">
        <v>3.5</v>
      </c>
      <c r="BH25" s="59"/>
      <c r="BI25" s="59">
        <v>7.5996571033055599E-2</v>
      </c>
      <c r="BJ25" s="59"/>
      <c r="BK25" s="36"/>
      <c r="BL25" s="36"/>
      <c r="BM25" s="36"/>
      <c r="BN25" s="38">
        <v>21.3</v>
      </c>
      <c r="BO25" s="36"/>
      <c r="BP25" s="39">
        <f t="shared" si="0"/>
        <v>1.3505868544600939</v>
      </c>
      <c r="BQ25" s="37"/>
      <c r="BR25" s="39">
        <f t="shared" si="1"/>
        <v>0.31500470259645541</v>
      </c>
      <c r="BS25" s="37"/>
      <c r="BT25" s="37"/>
      <c r="BU25" s="37"/>
      <c r="BV25" s="39">
        <f t="shared" si="3"/>
        <v>0.20121973397796394</v>
      </c>
      <c r="BW25" s="37"/>
      <c r="BX25" s="39">
        <f t="shared" si="4"/>
        <v>0.15052055993736271</v>
      </c>
      <c r="BY25" s="39">
        <v>4.4042731255303345</v>
      </c>
      <c r="BZ25" s="37"/>
      <c r="CA25" s="37"/>
      <c r="CB25" s="39">
        <f t="shared" si="19"/>
        <v>1.634986703541945</v>
      </c>
      <c r="CC25" s="39">
        <f t="shared" si="17"/>
        <v>9.0039123630672929E-2</v>
      </c>
      <c r="CD25" s="39">
        <f t="shared" si="20"/>
        <v>7.9009330985915491E-2</v>
      </c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9">
        <f>0.063495+(0.016949+0.014096)*Wages!P23+1.22592*BR25</f>
        <v>0.6173814405939011</v>
      </c>
      <c r="CP25" s="39"/>
      <c r="CQ25" s="39">
        <f t="shared" si="5"/>
        <v>0.6173814405939011</v>
      </c>
      <c r="CR25" s="39">
        <f t="shared" si="6"/>
        <v>0.20121973397796394</v>
      </c>
      <c r="CS25" s="39">
        <f t="shared" si="7"/>
        <v>1.1780028423035132</v>
      </c>
      <c r="CT25" s="39">
        <f t="shared" si="8"/>
        <v>3.3908202503891647</v>
      </c>
      <c r="CU25" s="39">
        <f t="shared" si="21"/>
        <v>1.634986703541945</v>
      </c>
      <c r="CV25" s="39">
        <f t="shared" si="18"/>
        <v>9.0039123630672929E-2</v>
      </c>
      <c r="CW25" s="39">
        <f t="shared" si="18"/>
        <v>7.9009330985915491E-2</v>
      </c>
      <c r="CX25" s="39"/>
      <c r="CY25" s="39"/>
      <c r="CZ25" s="39">
        <f t="shared" si="9"/>
        <v>0.15052055993736271</v>
      </c>
      <c r="DA25" s="39">
        <f t="shared" si="10"/>
        <v>6.9210006258333818</v>
      </c>
      <c r="DB25" s="39">
        <v>5</v>
      </c>
      <c r="DC25" s="39">
        <f t="shared" si="11"/>
        <v>4.4042731255303345</v>
      </c>
      <c r="DD25" s="39">
        <v>2.9</v>
      </c>
      <c r="DE25" s="39">
        <v>2.8000000000000001E-2</v>
      </c>
      <c r="DF25" s="37"/>
      <c r="DG25" s="39">
        <f t="shared" si="12"/>
        <v>0</v>
      </c>
      <c r="DH25" s="39">
        <f t="shared" si="13"/>
        <v>3.1695721077654517</v>
      </c>
      <c r="DI25" s="37"/>
      <c r="DJ25" s="37"/>
      <c r="DK25" s="37"/>
      <c r="DL25" s="37"/>
      <c r="DM25" s="39">
        <f t="shared" si="14"/>
        <v>0.69775939776394869</v>
      </c>
      <c r="DN25" s="39"/>
      <c r="DO25" s="39">
        <f t="shared" si="15"/>
        <v>0.69775939776394869</v>
      </c>
      <c r="DP25" s="37"/>
      <c r="DQ25" s="37">
        <f>DO25/'Conversions, Sources &amp; Comments'!E23</f>
        <v>0.51663422863898867</v>
      </c>
    </row>
    <row r="26" spans="1:121">
      <c r="A26" s="42">
        <f t="shared" si="2"/>
        <v>1274</v>
      </c>
      <c r="B26" s="36"/>
      <c r="C26" s="38">
        <v>6</v>
      </c>
      <c r="D26" s="38">
        <v>9.1300000000000008</v>
      </c>
      <c r="E26" s="38">
        <v>4</v>
      </c>
      <c r="F26" s="38">
        <v>8.8800000000000008</v>
      </c>
      <c r="G26" s="38">
        <v>2</v>
      </c>
      <c r="H26" s="38">
        <v>7.75</v>
      </c>
      <c r="I26" s="38">
        <v>5</v>
      </c>
      <c r="J26" s="38">
        <v>3.63</v>
      </c>
      <c r="K26" s="36"/>
      <c r="L26" s="36"/>
      <c r="M26" s="38">
        <v>4</v>
      </c>
      <c r="N26" s="38">
        <v>2.75</v>
      </c>
      <c r="O26" s="38">
        <v>10</v>
      </c>
      <c r="P26" s="38">
        <v>6</v>
      </c>
      <c r="Q26" s="36"/>
      <c r="R26" s="36"/>
      <c r="S26" s="36"/>
      <c r="T26" s="36"/>
      <c r="U26" s="38">
        <v>3.75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8">
        <v>3</v>
      </c>
      <c r="AL26" s="38">
        <v>2</v>
      </c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59">
        <v>4.75</v>
      </c>
      <c r="BH26" s="59"/>
      <c r="BI26" s="59">
        <v>7.7378326870019817E-2</v>
      </c>
      <c r="BJ26" s="59"/>
      <c r="BK26" s="36"/>
      <c r="BL26" s="36"/>
      <c r="BM26" s="36"/>
      <c r="BN26" s="38">
        <v>21.3</v>
      </c>
      <c r="BO26" s="36"/>
      <c r="BP26" s="39">
        <f t="shared" si="0"/>
        <v>1.3505868544600939</v>
      </c>
      <c r="BQ26" s="37"/>
      <c r="BR26" s="39">
        <f t="shared" si="1"/>
        <v>0.38868945280076694</v>
      </c>
      <c r="BS26" s="37"/>
      <c r="BT26" s="37"/>
      <c r="BU26" s="37"/>
      <c r="BV26" s="39">
        <f t="shared" si="3"/>
        <v>0.27308392468437959</v>
      </c>
      <c r="BW26" s="37"/>
      <c r="BX26" s="39">
        <f t="shared" si="4"/>
        <v>0.15325729739076849</v>
      </c>
      <c r="BY26" s="39">
        <v>4.4042731255303345</v>
      </c>
      <c r="BZ26" s="37"/>
      <c r="CA26" s="37"/>
      <c r="CB26" s="39">
        <f t="shared" si="19"/>
        <v>1.674864428018578</v>
      </c>
      <c r="CC26" s="39">
        <f t="shared" si="17"/>
        <v>8.4411678403755866E-2</v>
      </c>
      <c r="CD26" s="39">
        <f t="shared" si="20"/>
        <v>5.1322300469483564E-2</v>
      </c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9">
        <f>0.063495+(0.016949+0.014096)*Wages!P24+1.22592*BR26</f>
        <v>0.70771304956437064</v>
      </c>
      <c r="CP26" s="39"/>
      <c r="CQ26" s="39">
        <f t="shared" si="5"/>
        <v>0.70771304956437064</v>
      </c>
      <c r="CR26" s="39">
        <f t="shared" si="6"/>
        <v>0.27308392468437959</v>
      </c>
      <c r="CS26" s="39">
        <f t="shared" si="7"/>
        <v>1.2067346189450623</v>
      </c>
      <c r="CT26" s="39">
        <f t="shared" si="8"/>
        <v>3.473523183325486</v>
      </c>
      <c r="CU26" s="39">
        <f t="shared" si="21"/>
        <v>1.674864428018578</v>
      </c>
      <c r="CV26" s="39">
        <f t="shared" si="18"/>
        <v>8.4411678403755866E-2</v>
      </c>
      <c r="CW26" s="39">
        <f t="shared" si="18"/>
        <v>5.1322300469483564E-2</v>
      </c>
      <c r="CX26" s="39"/>
      <c r="CY26" s="39"/>
      <c r="CZ26" s="39">
        <f t="shared" si="9"/>
        <v>0.15325729739076849</v>
      </c>
      <c r="DA26" s="39">
        <f t="shared" si="10"/>
        <v>6.9210006258333818</v>
      </c>
      <c r="DB26" s="39">
        <v>5</v>
      </c>
      <c r="DC26" s="39">
        <f t="shared" si="11"/>
        <v>4.4042731255303345</v>
      </c>
      <c r="DD26" s="39">
        <v>2.9</v>
      </c>
      <c r="DE26" s="39">
        <v>2.8000000000000001E-2</v>
      </c>
      <c r="DF26" s="37"/>
      <c r="DG26" s="39">
        <f t="shared" si="12"/>
        <v>0</v>
      </c>
      <c r="DH26" s="39">
        <f t="shared" si="13"/>
        <v>3.1695721077654517</v>
      </c>
      <c r="DI26" s="37"/>
      <c r="DJ26" s="37"/>
      <c r="DK26" s="37"/>
      <c r="DL26" s="37"/>
      <c r="DM26" s="39">
        <f t="shared" si="14"/>
        <v>0.75022327732131255</v>
      </c>
      <c r="DN26" s="39"/>
      <c r="DO26" s="39">
        <f t="shared" si="15"/>
        <v>0.75022327732131255</v>
      </c>
      <c r="DP26" s="37"/>
      <c r="DQ26" s="37">
        <f>DO26/'Conversions, Sources &amp; Comments'!E24</f>
        <v>0.55547947534349384</v>
      </c>
    </row>
    <row r="27" spans="1:121">
      <c r="A27" s="42">
        <f t="shared" si="2"/>
        <v>1275</v>
      </c>
      <c r="B27" s="36"/>
      <c r="C27" s="38">
        <v>5</v>
      </c>
      <c r="D27" s="38">
        <v>0.88</v>
      </c>
      <c r="E27" s="38">
        <v>3</v>
      </c>
      <c r="F27" s="38">
        <v>10.88</v>
      </c>
      <c r="G27" s="38">
        <v>2</v>
      </c>
      <c r="H27" s="38">
        <v>2.5</v>
      </c>
      <c r="I27" s="38">
        <v>4</v>
      </c>
      <c r="J27" s="38">
        <v>2.13</v>
      </c>
      <c r="K27" s="36"/>
      <c r="L27" s="36"/>
      <c r="M27" s="38">
        <v>3</v>
      </c>
      <c r="N27" s="38">
        <v>3</v>
      </c>
      <c r="O27" s="38">
        <v>9</v>
      </c>
      <c r="P27" s="36"/>
      <c r="Q27" s="36"/>
      <c r="R27" s="36"/>
      <c r="S27" s="36"/>
      <c r="T27" s="36"/>
      <c r="U27" s="38">
        <v>4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8">
        <v>3</v>
      </c>
      <c r="AL27" s="38">
        <v>10.75</v>
      </c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59">
        <v>3.3333333333333335</v>
      </c>
      <c r="BH27" s="59"/>
      <c r="BI27" s="59">
        <v>7.0469547685197045E-2</v>
      </c>
      <c r="BJ27" s="59"/>
      <c r="BK27" s="36"/>
      <c r="BL27" s="36"/>
      <c r="BM27" s="36"/>
      <c r="BN27" s="38">
        <v>21.3</v>
      </c>
      <c r="BO27" s="36"/>
      <c r="BP27" s="39">
        <f t="shared" si="0"/>
        <v>1.3505868544600939</v>
      </c>
      <c r="BQ27" s="37"/>
      <c r="BR27" s="39">
        <f t="shared" si="1"/>
        <v>0.29167279534710583</v>
      </c>
      <c r="BS27" s="37"/>
      <c r="BT27" s="37"/>
      <c r="BU27" s="37"/>
      <c r="BV27" s="39">
        <f t="shared" si="3"/>
        <v>0.1916378418837752</v>
      </c>
      <c r="BW27" s="37"/>
      <c r="BX27" s="39">
        <f t="shared" si="4"/>
        <v>0.13957361012373642</v>
      </c>
      <c r="BY27" s="39">
        <v>4.4042731255303345</v>
      </c>
      <c r="BZ27" s="37"/>
      <c r="CA27" s="37"/>
      <c r="CB27" s="39">
        <f t="shared" si="19"/>
        <v>1.435598081158781</v>
      </c>
      <c r="CC27" s="39">
        <f t="shared" si="17"/>
        <v>9.0039123630672929E-2</v>
      </c>
      <c r="CD27" s="39">
        <f t="shared" si="20"/>
        <v>6.313993544600939E-2</v>
      </c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9">
        <f>0.063495+(0.016949+0.014096)*Wages!P25+1.22592*BR27</f>
        <v>0.58877838885877831</v>
      </c>
      <c r="CP27" s="39"/>
      <c r="CQ27" s="39">
        <f t="shared" si="5"/>
        <v>0.58877838885877831</v>
      </c>
      <c r="CR27" s="39">
        <f t="shared" ref="CR27:CR90" si="22">BV27</f>
        <v>0.1916378418837752</v>
      </c>
      <c r="CS27" s="39">
        <f t="shared" si="7"/>
        <v>1.0343439590957677</v>
      </c>
      <c r="CT27" s="39">
        <f t="shared" si="8"/>
        <v>2.9773055857075592</v>
      </c>
      <c r="CU27" s="39">
        <f t="shared" si="21"/>
        <v>1.435598081158781</v>
      </c>
      <c r="CV27" s="39">
        <f t="shared" si="18"/>
        <v>9.0039123630672929E-2</v>
      </c>
      <c r="CW27" s="39">
        <f t="shared" si="18"/>
        <v>6.313993544600939E-2</v>
      </c>
      <c r="CX27" s="39"/>
      <c r="CY27" s="39"/>
      <c r="CZ27" s="39">
        <f t="shared" si="9"/>
        <v>0.13957361012373642</v>
      </c>
      <c r="DA27" s="39">
        <f t="shared" si="10"/>
        <v>6.9210006258333818</v>
      </c>
      <c r="DB27" s="39">
        <v>5</v>
      </c>
      <c r="DC27" s="39">
        <f t="shared" si="11"/>
        <v>4.4042731255303345</v>
      </c>
      <c r="DD27" s="39">
        <v>2.9</v>
      </c>
      <c r="DE27" s="39">
        <v>2.8000000000000001E-2</v>
      </c>
      <c r="DF27" s="37"/>
      <c r="DG27" s="39">
        <f t="shared" si="12"/>
        <v>0</v>
      </c>
      <c r="DH27" s="39">
        <f t="shared" si="13"/>
        <v>3.1695721077654517</v>
      </c>
      <c r="DI27" s="37"/>
      <c r="DJ27" s="37"/>
      <c r="DK27" s="37"/>
      <c r="DL27" s="37"/>
      <c r="DM27" s="39">
        <f t="shared" si="14"/>
        <v>0.6625252870595566</v>
      </c>
      <c r="DN27" s="39"/>
      <c r="DO27" s="39">
        <f t="shared" si="15"/>
        <v>0.6625252870595566</v>
      </c>
      <c r="DP27" s="37"/>
      <c r="DQ27" s="37">
        <f>DO27/'Conversions, Sources &amp; Comments'!E25</f>
        <v>0.49054622801315917</v>
      </c>
    </row>
    <row r="28" spans="1:121">
      <c r="A28" s="42">
        <f t="shared" si="2"/>
        <v>1276</v>
      </c>
      <c r="B28" s="36"/>
      <c r="C28" s="38">
        <v>6</v>
      </c>
      <c r="D28" s="38">
        <v>2.63</v>
      </c>
      <c r="E28" s="38">
        <v>4</v>
      </c>
      <c r="F28" s="38">
        <v>10</v>
      </c>
      <c r="G28" s="38">
        <v>2</v>
      </c>
      <c r="H28" s="38">
        <v>8.6300000000000008</v>
      </c>
      <c r="I28" s="38">
        <v>6</v>
      </c>
      <c r="J28" s="38">
        <v>0.5</v>
      </c>
      <c r="K28" s="36"/>
      <c r="L28" s="36"/>
      <c r="M28" s="38">
        <v>4</v>
      </c>
      <c r="N28" s="38">
        <v>2.5</v>
      </c>
      <c r="O28" s="38">
        <v>9</v>
      </c>
      <c r="P28" s="38">
        <v>7</v>
      </c>
      <c r="Q28" s="36"/>
      <c r="R28" s="36"/>
      <c r="S28" s="36"/>
      <c r="T28" s="36"/>
      <c r="U28" s="38">
        <v>4</v>
      </c>
      <c r="V28" s="36"/>
      <c r="W28" s="38">
        <v>6</v>
      </c>
      <c r="X28" s="36"/>
      <c r="Y28" s="36"/>
      <c r="Z28" s="36"/>
      <c r="AA28" s="36"/>
      <c r="AB28" s="36"/>
      <c r="AC28" s="36"/>
      <c r="AD28" s="36"/>
      <c r="AE28" s="36"/>
      <c r="AF28" s="36"/>
      <c r="AG28" s="38">
        <v>1</v>
      </c>
      <c r="AH28" s="38">
        <v>2</v>
      </c>
      <c r="AI28" s="36"/>
      <c r="AJ28" s="36"/>
      <c r="AK28" s="38">
        <v>6</v>
      </c>
      <c r="AL28" s="38">
        <v>8</v>
      </c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59">
        <v>4.583333333333333</v>
      </c>
      <c r="BH28" s="59"/>
      <c r="BI28" s="59">
        <v>7.3233059359125469E-2</v>
      </c>
      <c r="BJ28" s="59"/>
      <c r="BK28" s="36"/>
      <c r="BL28" s="36"/>
      <c r="BM28" s="36"/>
      <c r="BN28" s="38">
        <v>21.6</v>
      </c>
      <c r="BO28" s="36"/>
      <c r="BP28" s="39">
        <f t="shared" si="0"/>
        <v>1.3318287037037038</v>
      </c>
      <c r="BQ28" s="37"/>
      <c r="BR28" s="39">
        <f t="shared" si="1"/>
        <v>0.35258235483500555</v>
      </c>
      <c r="BS28" s="37"/>
      <c r="BT28" s="37"/>
      <c r="BU28" s="37"/>
      <c r="BV28" s="39">
        <f t="shared" si="3"/>
        <v>0.25984228213754929</v>
      </c>
      <c r="BW28" s="37"/>
      <c r="BX28" s="39">
        <f t="shared" si="4"/>
        <v>0.1430325421829014</v>
      </c>
      <c r="BY28" s="39">
        <v>4.4042731255303345</v>
      </c>
      <c r="BZ28" s="37"/>
      <c r="CA28" s="37"/>
      <c r="CB28" s="39">
        <f t="shared" si="19"/>
        <v>1.5074149090356801</v>
      </c>
      <c r="CC28" s="39">
        <f t="shared" si="17"/>
        <v>8.8788580246913579E-2</v>
      </c>
      <c r="CD28" s="39">
        <f t="shared" si="20"/>
        <v>0.10654629629629631</v>
      </c>
      <c r="CE28" s="37"/>
      <c r="CF28" s="37"/>
      <c r="CG28" s="37"/>
      <c r="CH28" s="37"/>
      <c r="CI28" s="37"/>
      <c r="CJ28" s="37"/>
      <c r="CK28" s="37"/>
      <c r="CL28" s="39">
        <f t="shared" ref="CL28:CL33" si="23">BP28*(12*AG28+AH28)/100</f>
        <v>0.18645601851851853</v>
      </c>
      <c r="CM28" s="37"/>
      <c r="CN28" s="37"/>
      <c r="CO28" s="39">
        <f>0.063495+(0.016949+0.014096)*Wages!P26+1.22592*BR28</f>
        <v>0.66111924886525586</v>
      </c>
      <c r="CP28" s="39"/>
      <c r="CQ28" s="39">
        <f t="shared" si="5"/>
        <v>0.66111924886525586</v>
      </c>
      <c r="CR28" s="39">
        <f t="shared" si="22"/>
        <v>0.25984228213754929</v>
      </c>
      <c r="CS28" s="39">
        <f t="shared" si="7"/>
        <v>1.0860877605474464</v>
      </c>
      <c r="CT28" s="39">
        <f t="shared" si="8"/>
        <v>3.1262474417826933</v>
      </c>
      <c r="CU28" s="39">
        <f t="shared" si="21"/>
        <v>1.5074149090356801</v>
      </c>
      <c r="CV28" s="39">
        <f t="shared" si="18"/>
        <v>8.8788580246913579E-2</v>
      </c>
      <c r="CW28" s="39">
        <f t="shared" si="18"/>
        <v>0.10654629629629631</v>
      </c>
      <c r="CX28" s="39"/>
      <c r="CY28" s="39"/>
      <c r="CZ28" s="39">
        <f t="shared" si="9"/>
        <v>0.1430325421829014</v>
      </c>
      <c r="DA28" s="39">
        <f t="shared" si="10"/>
        <v>6.9210006258333818</v>
      </c>
      <c r="DB28" s="39">
        <v>5</v>
      </c>
      <c r="DC28" s="39">
        <f t="shared" si="11"/>
        <v>4.4042731255303345</v>
      </c>
      <c r="DD28" s="39">
        <v>2.9</v>
      </c>
      <c r="DE28" s="39">
        <v>2.8000000000000001E-2</v>
      </c>
      <c r="DF28" s="37"/>
      <c r="DG28" s="39">
        <f t="shared" si="12"/>
        <v>0.18645601851851853</v>
      </c>
      <c r="DH28" s="39">
        <f t="shared" si="13"/>
        <v>3.1695721077654517</v>
      </c>
      <c r="DI28" s="37"/>
      <c r="DJ28" s="37"/>
      <c r="DK28" s="37"/>
      <c r="DL28" s="37"/>
      <c r="DM28" s="39">
        <f t="shared" si="14"/>
        <v>0.71017655419411718</v>
      </c>
      <c r="DN28" s="39"/>
      <c r="DO28" s="39">
        <f t="shared" si="15"/>
        <v>0.71017655419411718</v>
      </c>
      <c r="DP28" s="37"/>
      <c r="DQ28" s="37">
        <f>DO28/'Conversions, Sources &amp; Comments'!E26</f>
        <v>0.53323415557809783</v>
      </c>
    </row>
    <row r="29" spans="1:121">
      <c r="A29" s="42">
        <f t="shared" si="2"/>
        <v>1277</v>
      </c>
      <c r="B29" s="36"/>
      <c r="C29" s="38">
        <v>5</v>
      </c>
      <c r="D29" s="38">
        <v>1.75</v>
      </c>
      <c r="E29" s="38">
        <v>4</v>
      </c>
      <c r="F29" s="38">
        <v>1</v>
      </c>
      <c r="G29" s="38">
        <v>2</v>
      </c>
      <c r="H29" s="38">
        <v>3.63</v>
      </c>
      <c r="I29" s="38">
        <v>4</v>
      </c>
      <c r="J29" s="38">
        <v>2</v>
      </c>
      <c r="K29" s="36"/>
      <c r="L29" s="36"/>
      <c r="M29" s="38">
        <v>4</v>
      </c>
      <c r="N29" s="38">
        <v>0.75</v>
      </c>
      <c r="O29" s="38">
        <v>10</v>
      </c>
      <c r="P29" s="38">
        <v>0.25</v>
      </c>
      <c r="Q29" s="36"/>
      <c r="R29" s="36"/>
      <c r="S29" s="36"/>
      <c r="T29" s="36"/>
      <c r="U29" s="38">
        <v>4</v>
      </c>
      <c r="V29" s="36"/>
      <c r="W29" s="38">
        <v>7</v>
      </c>
      <c r="X29" s="36"/>
      <c r="Y29" s="36"/>
      <c r="Z29" s="36"/>
      <c r="AA29" s="36"/>
      <c r="AB29" s="36"/>
      <c r="AC29" s="36"/>
      <c r="AD29" s="36"/>
      <c r="AE29" s="36"/>
      <c r="AF29" s="36"/>
      <c r="AG29" s="38">
        <v>1</v>
      </c>
      <c r="AH29" s="38">
        <v>2</v>
      </c>
      <c r="AI29" s="36"/>
      <c r="AJ29" s="36"/>
      <c r="AK29" s="38">
        <v>6</v>
      </c>
      <c r="AL29" s="38">
        <v>0.5</v>
      </c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59">
        <v>5</v>
      </c>
      <c r="BH29" s="59"/>
      <c r="BI29" s="59">
        <v>7.4614815196089687E-2</v>
      </c>
      <c r="BJ29" s="59"/>
      <c r="BK29" s="36"/>
      <c r="BL29" s="36"/>
      <c r="BM29" s="36"/>
      <c r="BN29" s="38">
        <v>21.6</v>
      </c>
      <c r="BO29" s="36"/>
      <c r="BP29" s="39">
        <f t="shared" si="0"/>
        <v>1.3318287037037038</v>
      </c>
      <c r="BQ29" s="37"/>
      <c r="BR29" s="39">
        <f t="shared" si="1"/>
        <v>0.29173201676352128</v>
      </c>
      <c r="BS29" s="37"/>
      <c r="BT29" s="37"/>
      <c r="BU29" s="37"/>
      <c r="BV29" s="39">
        <f t="shared" si="3"/>
        <v>0.28346430778641746</v>
      </c>
      <c r="BW29" s="37"/>
      <c r="BX29" s="39">
        <f t="shared" si="4"/>
        <v>0.14573126939389872</v>
      </c>
      <c r="BY29" s="39">
        <v>4.4042731255303345</v>
      </c>
      <c r="BZ29" s="37"/>
      <c r="CA29" s="37"/>
      <c r="CB29" s="39">
        <f t="shared" si="19"/>
        <v>1.5762316766220914</v>
      </c>
      <c r="CC29" s="39">
        <f t="shared" si="17"/>
        <v>8.8788580246913579E-2</v>
      </c>
      <c r="CD29" s="39">
        <f t="shared" si="20"/>
        <v>9.6557581018518523E-2</v>
      </c>
      <c r="CE29" s="37"/>
      <c r="CF29" s="37"/>
      <c r="CG29" s="37"/>
      <c r="CH29" s="37"/>
      <c r="CI29" s="37"/>
      <c r="CJ29" s="37"/>
      <c r="CK29" s="37"/>
      <c r="CL29" s="39">
        <f t="shared" si="23"/>
        <v>0.18645601851851853</v>
      </c>
      <c r="CM29" s="37"/>
      <c r="CN29" s="37"/>
      <c r="CO29" s="39">
        <f>0.063495+(0.016949+0.014096)*Wages!P27+1.22592*BR29</f>
        <v>0.58652160241666185</v>
      </c>
      <c r="CP29" s="39"/>
      <c r="CQ29" s="39">
        <f t="shared" si="5"/>
        <v>0.58652160241666185</v>
      </c>
      <c r="CR29" s="39">
        <f t="shared" si="22"/>
        <v>0.28346430778641746</v>
      </c>
      <c r="CS29" s="39">
        <f t="shared" si="7"/>
        <v>1.1356700278767864</v>
      </c>
      <c r="CT29" s="39">
        <f t="shared" si="8"/>
        <v>3.2689674336901642</v>
      </c>
      <c r="CU29" s="39">
        <f t="shared" si="21"/>
        <v>1.5762316766220914</v>
      </c>
      <c r="CV29" s="39">
        <f t="shared" si="18"/>
        <v>8.8788580246913579E-2</v>
      </c>
      <c r="CW29" s="39">
        <f t="shared" si="18"/>
        <v>9.6557581018518523E-2</v>
      </c>
      <c r="CX29" s="39"/>
      <c r="CY29" s="39"/>
      <c r="CZ29" s="39">
        <f t="shared" si="9"/>
        <v>0.14573126939389872</v>
      </c>
      <c r="DA29" s="39">
        <f t="shared" si="10"/>
        <v>6.9210006258333818</v>
      </c>
      <c r="DB29" s="39">
        <v>5</v>
      </c>
      <c r="DC29" s="39">
        <f t="shared" si="11"/>
        <v>4.4042731255303345</v>
      </c>
      <c r="DD29" s="39">
        <v>2.9</v>
      </c>
      <c r="DE29" s="39">
        <v>2.8000000000000001E-2</v>
      </c>
      <c r="DF29" s="37"/>
      <c r="DG29" s="39">
        <f t="shared" si="12"/>
        <v>0.18645601851851853</v>
      </c>
      <c r="DH29" s="39">
        <f t="shared" si="13"/>
        <v>3.1695721077654517</v>
      </c>
      <c r="DI29" s="37"/>
      <c r="DJ29" s="37"/>
      <c r="DK29" s="37"/>
      <c r="DL29" s="37"/>
      <c r="DM29" s="39">
        <f t="shared" si="14"/>
        <v>0.68735621788655477</v>
      </c>
      <c r="DN29" s="39"/>
      <c r="DO29" s="39">
        <f t="shared" si="15"/>
        <v>0.68735621788655477</v>
      </c>
      <c r="DP29" s="37"/>
      <c r="DQ29" s="37">
        <f>DO29/'Conversions, Sources &amp; Comments'!E27</f>
        <v>0.51609956744067376</v>
      </c>
    </row>
    <row r="30" spans="1:121">
      <c r="A30" s="42">
        <f t="shared" si="2"/>
        <v>1278</v>
      </c>
      <c r="B30" s="36"/>
      <c r="C30" s="38">
        <v>4</v>
      </c>
      <c r="D30" s="38">
        <v>4.63</v>
      </c>
      <c r="E30" s="38">
        <v>3</v>
      </c>
      <c r="F30" s="38">
        <v>8.8800000000000008</v>
      </c>
      <c r="G30" s="38">
        <v>2</v>
      </c>
      <c r="H30" s="38">
        <v>4.38</v>
      </c>
      <c r="I30" s="38">
        <v>4</v>
      </c>
      <c r="J30" s="38">
        <v>1</v>
      </c>
      <c r="K30" s="36"/>
      <c r="L30" s="36"/>
      <c r="M30" s="38">
        <v>2</v>
      </c>
      <c r="N30" s="38">
        <v>9.375</v>
      </c>
      <c r="O30" s="38">
        <v>10</v>
      </c>
      <c r="P30" s="38">
        <v>7.5</v>
      </c>
      <c r="Q30" s="36"/>
      <c r="R30" s="36"/>
      <c r="S30" s="36"/>
      <c r="T30" s="36"/>
      <c r="U30" s="38">
        <v>4</v>
      </c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8">
        <v>1</v>
      </c>
      <c r="AH30" s="38">
        <v>8.75</v>
      </c>
      <c r="AI30" s="36"/>
      <c r="AJ30" s="36"/>
      <c r="AK30" s="38">
        <v>3</v>
      </c>
      <c r="AL30" s="38">
        <v>4</v>
      </c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59">
        <v>3.1666666666666665</v>
      </c>
      <c r="BH30" s="59"/>
      <c r="BI30" s="59">
        <v>6.6324280174302697E-2</v>
      </c>
      <c r="BJ30" s="59"/>
      <c r="BK30" s="36"/>
      <c r="BL30" s="36"/>
      <c r="BM30" s="36"/>
      <c r="BN30" s="38">
        <v>21.6</v>
      </c>
      <c r="BO30" s="36"/>
      <c r="BP30" s="39">
        <f t="shared" si="0"/>
        <v>1.3318287037037038</v>
      </c>
      <c r="BQ30" s="37"/>
      <c r="BR30" s="39">
        <f t="shared" si="1"/>
        <v>0.24864544197998587</v>
      </c>
      <c r="BS30" s="37"/>
      <c r="BT30" s="37"/>
      <c r="BU30" s="37"/>
      <c r="BV30" s="39">
        <f t="shared" si="3"/>
        <v>0.17952739493139772</v>
      </c>
      <c r="BW30" s="37"/>
      <c r="BX30" s="39">
        <f t="shared" si="4"/>
        <v>0.12953890612791147</v>
      </c>
      <c r="BY30" s="39">
        <v>4.4042731255303345</v>
      </c>
      <c r="BZ30" s="37"/>
      <c r="CA30" s="37"/>
      <c r="CB30" s="39">
        <f t="shared" si="19"/>
        <v>1.6712643556699931</v>
      </c>
      <c r="CC30" s="39">
        <f t="shared" si="17"/>
        <v>8.8788580246913579E-2</v>
      </c>
      <c r="CD30" s="39">
        <f t="shared" si="20"/>
        <v>5.3273148148148153E-2</v>
      </c>
      <c r="CE30" s="37"/>
      <c r="CF30" s="37"/>
      <c r="CG30" s="37"/>
      <c r="CH30" s="37"/>
      <c r="CI30" s="37"/>
      <c r="CJ30" s="37"/>
      <c r="CK30" s="37"/>
      <c r="CL30" s="39">
        <f t="shared" si="23"/>
        <v>0.27635445601851855</v>
      </c>
      <c r="CM30" s="37"/>
      <c r="CN30" s="37"/>
      <c r="CO30" s="39">
        <f>0.063495+(0.016949+0.014096)*Wages!P28+1.22592*BR30</f>
        <v>0.5337009086580301</v>
      </c>
      <c r="CP30" s="39"/>
      <c r="CQ30" s="39">
        <f t="shared" si="5"/>
        <v>0.5337009086580301</v>
      </c>
      <c r="CR30" s="39">
        <f t="shared" si="22"/>
        <v>0.17952739493139772</v>
      </c>
      <c r="CS30" s="39">
        <f t="shared" si="7"/>
        <v>1.2041407779982558</v>
      </c>
      <c r="CT30" s="39">
        <f t="shared" si="8"/>
        <v>3.4660569463242905</v>
      </c>
      <c r="CU30" s="39">
        <f t="shared" si="21"/>
        <v>1.6712643556699931</v>
      </c>
      <c r="CV30" s="39">
        <f t="shared" si="18"/>
        <v>8.8788580246913579E-2</v>
      </c>
      <c r="CW30" s="39">
        <f t="shared" si="18"/>
        <v>5.3273148148148153E-2</v>
      </c>
      <c r="CX30" s="39"/>
      <c r="CY30" s="39"/>
      <c r="CZ30" s="39">
        <f t="shared" si="9"/>
        <v>0.12953890612791147</v>
      </c>
      <c r="DA30" s="39">
        <f t="shared" si="10"/>
        <v>6.9210006258333818</v>
      </c>
      <c r="DB30" s="39">
        <v>5</v>
      </c>
      <c r="DC30" s="39">
        <f t="shared" si="11"/>
        <v>4.4042731255303345</v>
      </c>
      <c r="DD30" s="39">
        <v>2.9</v>
      </c>
      <c r="DE30" s="39">
        <v>2.8000000000000001E-2</v>
      </c>
      <c r="DF30" s="37"/>
      <c r="DG30" s="39">
        <f t="shared" si="12"/>
        <v>0.27635445601851855</v>
      </c>
      <c r="DH30" s="39">
        <f t="shared" si="13"/>
        <v>3.1695721077654517</v>
      </c>
      <c r="DI30" s="37"/>
      <c r="DJ30" s="37"/>
      <c r="DK30" s="37"/>
      <c r="DL30" s="37"/>
      <c r="DM30" s="39">
        <f t="shared" si="14"/>
        <v>0.65200826199506379</v>
      </c>
      <c r="DN30" s="39"/>
      <c r="DO30" s="39">
        <f t="shared" si="15"/>
        <v>0.65200826199506379</v>
      </c>
      <c r="DP30" s="37"/>
      <c r="DQ30" s="37">
        <f>DO30/'Conversions, Sources &amp; Comments'!E28</f>
        <v>0.48955864983378383</v>
      </c>
    </row>
    <row r="31" spans="1:121">
      <c r="A31" s="42">
        <f t="shared" si="2"/>
        <v>1279</v>
      </c>
      <c r="B31" s="36"/>
      <c r="C31" s="38">
        <v>5</v>
      </c>
      <c r="D31" s="38">
        <v>1.25</v>
      </c>
      <c r="E31" s="38">
        <v>3</v>
      </c>
      <c r="F31" s="38">
        <v>11.38</v>
      </c>
      <c r="G31" s="38">
        <v>2</v>
      </c>
      <c r="H31" s="38">
        <v>0.63</v>
      </c>
      <c r="I31" s="38">
        <v>4</v>
      </c>
      <c r="J31" s="38">
        <v>3.75</v>
      </c>
      <c r="K31" s="36"/>
      <c r="L31" s="36"/>
      <c r="M31" s="38">
        <v>3</v>
      </c>
      <c r="N31" s="38">
        <v>8</v>
      </c>
      <c r="O31" s="38">
        <v>10</v>
      </c>
      <c r="P31" s="38">
        <v>2.25</v>
      </c>
      <c r="Q31" s="36"/>
      <c r="R31" s="36"/>
      <c r="S31" s="36"/>
      <c r="T31" s="36"/>
      <c r="U31" s="38">
        <v>3.75</v>
      </c>
      <c r="V31" s="36"/>
      <c r="W31" s="36"/>
      <c r="X31" s="36"/>
      <c r="Y31" s="36"/>
      <c r="Z31" s="36"/>
      <c r="AA31" s="36"/>
      <c r="AB31" s="36"/>
      <c r="AC31" s="38">
        <v>0</v>
      </c>
      <c r="AD31" s="38">
        <v>8</v>
      </c>
      <c r="AE31" s="36"/>
      <c r="AF31" s="36"/>
      <c r="AG31" s="38">
        <v>2</v>
      </c>
      <c r="AH31" s="38">
        <v>6</v>
      </c>
      <c r="AI31" s="36"/>
      <c r="AJ31" s="36"/>
      <c r="AK31" s="38">
        <v>7</v>
      </c>
      <c r="AL31" s="38">
        <v>7.5</v>
      </c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59">
        <v>4.75</v>
      </c>
      <c r="BH31" s="59"/>
      <c r="BI31" s="59">
        <v>6.6324280174302697E-2</v>
      </c>
      <c r="BJ31" s="59"/>
      <c r="BK31" s="36"/>
      <c r="BL31" s="36"/>
      <c r="BM31" s="36"/>
      <c r="BN31" s="38">
        <v>21.6</v>
      </c>
      <c r="BO31" s="36"/>
      <c r="BP31" s="39">
        <f t="shared" si="0"/>
        <v>1.3318287037037038</v>
      </c>
      <c r="BQ31" s="37"/>
      <c r="BR31" s="39">
        <f t="shared" si="1"/>
        <v>0.2893698141986345</v>
      </c>
      <c r="BS31" s="37"/>
      <c r="BT31" s="37"/>
      <c r="BU31" s="37"/>
      <c r="BV31" s="39">
        <f t="shared" si="3"/>
        <v>0.26929109239709659</v>
      </c>
      <c r="BW31" s="37"/>
      <c r="BX31" s="39">
        <f t="shared" si="4"/>
        <v>0.12953890612791147</v>
      </c>
      <c r="BY31" s="39">
        <v>4.4042731255303345</v>
      </c>
      <c r="BZ31" s="37"/>
      <c r="CA31" s="37"/>
      <c r="CB31" s="39">
        <f t="shared" si="19"/>
        <v>1.6024475880835816</v>
      </c>
      <c r="CC31" s="39">
        <f t="shared" si="17"/>
        <v>8.3239293981481485E-2</v>
      </c>
      <c r="CD31" s="39">
        <f t="shared" si="20"/>
        <v>0.12186232638888889</v>
      </c>
      <c r="CE31" s="37"/>
      <c r="CF31" s="37"/>
      <c r="CG31" s="37"/>
      <c r="CH31" s="37"/>
      <c r="CI31" s="37"/>
      <c r="CJ31" s="37"/>
      <c r="CK31" s="39">
        <f>BP31*(12*AC31+AD31)/(35.238*8)</f>
        <v>3.7795241038188994E-2</v>
      </c>
      <c r="CL31" s="39">
        <f t="shared" si="23"/>
        <v>0.39954861111111112</v>
      </c>
      <c r="CM31" s="39">
        <f>BP31*(12*$AC31+$AD31)/(35.238*8)/0.283</f>
        <v>0.13355208847416608</v>
      </c>
      <c r="CN31" s="37"/>
      <c r="CO31" s="39">
        <f>0.063495+(0.016949+0.014096)*Wages!P29+1.22592*BR31</f>
        <v>0.58362573104831583</v>
      </c>
      <c r="CP31" s="39"/>
      <c r="CQ31" s="39">
        <f t="shared" si="5"/>
        <v>0.58362573104831583</v>
      </c>
      <c r="CR31" s="39">
        <f t="shared" si="22"/>
        <v>0.26929109239709659</v>
      </c>
      <c r="CS31" s="39">
        <f t="shared" si="7"/>
        <v>1.1545585106689158</v>
      </c>
      <c r="CT31" s="39">
        <f t="shared" si="8"/>
        <v>3.3233369544168196</v>
      </c>
      <c r="CU31" s="39">
        <f t="shared" si="21"/>
        <v>1.6024475880835816</v>
      </c>
      <c r="CV31" s="39">
        <f t="shared" si="18"/>
        <v>8.3239293981481485E-2</v>
      </c>
      <c r="CW31" s="39">
        <f t="shared" si="18"/>
        <v>0.12186232638888889</v>
      </c>
      <c r="CX31" s="39"/>
      <c r="CY31" s="39"/>
      <c r="CZ31" s="39">
        <f t="shared" si="9"/>
        <v>0.12953890612791147</v>
      </c>
      <c r="DA31" s="39">
        <f t="shared" si="10"/>
        <v>6.9210006258333818</v>
      </c>
      <c r="DB31" s="39">
        <v>5</v>
      </c>
      <c r="DC31" s="39">
        <f t="shared" si="11"/>
        <v>4.4042731255303345</v>
      </c>
      <c r="DD31" s="39">
        <v>2.9</v>
      </c>
      <c r="DE31" s="39">
        <f>CK31</f>
        <v>3.7795241038188994E-2</v>
      </c>
      <c r="DF31" s="37"/>
      <c r="DG31" s="39">
        <f t="shared" si="12"/>
        <v>0.39954861111111112</v>
      </c>
      <c r="DH31" s="39">
        <f t="shared" si="13"/>
        <v>4.2783836357469998</v>
      </c>
      <c r="DI31" s="37"/>
      <c r="DJ31" s="37"/>
      <c r="DK31" s="37"/>
      <c r="DL31" s="37"/>
      <c r="DM31" s="39">
        <f t="shared" si="14"/>
        <v>0.69206718384134236</v>
      </c>
      <c r="DN31" s="39"/>
      <c r="DO31" s="39">
        <f t="shared" si="15"/>
        <v>0.69206718384134236</v>
      </c>
      <c r="DP31" s="37"/>
      <c r="DQ31" s="37">
        <f>DO31/'Conversions, Sources &amp; Comments'!E29</f>
        <v>0.51963678355689558</v>
      </c>
    </row>
    <row r="32" spans="1:121">
      <c r="A32" s="42">
        <f t="shared" si="2"/>
        <v>1280</v>
      </c>
      <c r="B32" s="36"/>
      <c r="C32" s="38">
        <v>4</v>
      </c>
      <c r="D32" s="38">
        <v>11.88</v>
      </c>
      <c r="E32" s="38">
        <v>3</v>
      </c>
      <c r="F32" s="38">
        <v>6.75</v>
      </c>
      <c r="G32" s="38">
        <v>2</v>
      </c>
      <c r="H32" s="38">
        <v>4.38</v>
      </c>
      <c r="I32" s="38">
        <v>3</v>
      </c>
      <c r="J32" s="38">
        <v>8.1300000000000008</v>
      </c>
      <c r="K32" s="36"/>
      <c r="L32" s="36"/>
      <c r="M32" s="38">
        <v>3</v>
      </c>
      <c r="N32" s="38">
        <v>6.25</v>
      </c>
      <c r="O32" s="38">
        <v>9</v>
      </c>
      <c r="P32" s="38">
        <v>0.25</v>
      </c>
      <c r="Q32" s="36"/>
      <c r="R32" s="36"/>
      <c r="S32" s="36"/>
      <c r="T32" s="36"/>
      <c r="U32" s="38">
        <v>4.25</v>
      </c>
      <c r="V32" s="36"/>
      <c r="W32" s="38">
        <v>6</v>
      </c>
      <c r="X32" s="36"/>
      <c r="Y32" s="36"/>
      <c r="Z32" s="36"/>
      <c r="AA32" s="36"/>
      <c r="AB32" s="36"/>
      <c r="AC32" s="36"/>
      <c r="AD32" s="36"/>
      <c r="AE32" s="36"/>
      <c r="AF32" s="36"/>
      <c r="AG32" s="38">
        <v>3</v>
      </c>
      <c r="AH32" s="38">
        <v>4</v>
      </c>
      <c r="AI32" s="36"/>
      <c r="AJ32" s="36"/>
      <c r="AK32" s="38">
        <v>6</v>
      </c>
      <c r="AL32" s="38">
        <v>3.5</v>
      </c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59">
        <v>5</v>
      </c>
      <c r="BH32" s="59"/>
      <c r="BI32" s="59">
        <v>7.4614815196089687E-2</v>
      </c>
      <c r="BJ32" s="59"/>
      <c r="BK32" s="36"/>
      <c r="BL32" s="36"/>
      <c r="BM32" s="36"/>
      <c r="BN32" s="38">
        <v>21.6</v>
      </c>
      <c r="BO32" s="36"/>
      <c r="BP32" s="39">
        <f t="shared" si="0"/>
        <v>1.3318287037037038</v>
      </c>
      <c r="BQ32" s="37"/>
      <c r="BR32" s="39">
        <f t="shared" si="1"/>
        <v>0.28289737917084468</v>
      </c>
      <c r="BS32" s="37"/>
      <c r="BT32" s="37"/>
      <c r="BU32" s="37"/>
      <c r="BV32" s="39">
        <f t="shared" si="3"/>
        <v>0.28346430778641746</v>
      </c>
      <c r="BW32" s="37"/>
      <c r="BX32" s="39">
        <f t="shared" si="4"/>
        <v>0.14573126939389872</v>
      </c>
      <c r="BY32" s="39">
        <v>4.4042731255303345</v>
      </c>
      <c r="BZ32" s="37"/>
      <c r="CA32" s="37"/>
      <c r="CB32" s="39">
        <f t="shared" si="19"/>
        <v>1.4189362078531511</v>
      </c>
      <c r="CC32" s="39">
        <f t="shared" si="17"/>
        <v>9.4337866512345686E-2</v>
      </c>
      <c r="CD32" s="39">
        <f t="shared" si="20"/>
        <v>0.10055306712962964</v>
      </c>
      <c r="CE32" s="37"/>
      <c r="CF32" s="37"/>
      <c r="CG32" s="37"/>
      <c r="CH32" s="37"/>
      <c r="CI32" s="37"/>
      <c r="CJ32" s="37"/>
      <c r="CK32" s="37"/>
      <c r="CL32" s="39">
        <f t="shared" si="23"/>
        <v>0.53273148148148153</v>
      </c>
      <c r="CM32" s="37"/>
      <c r="CN32" s="37"/>
      <c r="CO32" s="39">
        <f>0.063495+(0.016949+0.014096)*Wages!P30+1.22592*BR32</f>
        <v>0.57569104349904776</v>
      </c>
      <c r="CP32" s="39"/>
      <c r="CQ32" s="39">
        <f t="shared" si="5"/>
        <v>0.57569104349904776</v>
      </c>
      <c r="CR32" s="39">
        <f t="shared" si="22"/>
        <v>0.28346430778641746</v>
      </c>
      <c r="CS32" s="39">
        <f t="shared" si="7"/>
        <v>1.0223391311240095</v>
      </c>
      <c r="CT32" s="39">
        <f t="shared" si="8"/>
        <v>2.942750309330231</v>
      </c>
      <c r="CU32" s="39">
        <f t="shared" si="21"/>
        <v>1.4189362078531511</v>
      </c>
      <c r="CV32" s="39">
        <f t="shared" si="18"/>
        <v>9.4337866512345686E-2</v>
      </c>
      <c r="CW32" s="39">
        <f t="shared" si="18"/>
        <v>0.10055306712962964</v>
      </c>
      <c r="CX32" s="39"/>
      <c r="CY32" s="39"/>
      <c r="CZ32" s="39">
        <f t="shared" si="9"/>
        <v>0.14573126939389872</v>
      </c>
      <c r="DA32" s="39">
        <f t="shared" si="10"/>
        <v>6.9210006258333818</v>
      </c>
      <c r="DB32" s="39">
        <v>5</v>
      </c>
      <c r="DC32" s="39">
        <f t="shared" si="11"/>
        <v>4.4042731255303345</v>
      </c>
      <c r="DD32" s="39">
        <v>2.9</v>
      </c>
      <c r="DE32" s="39">
        <v>3.2000000000000001E-2</v>
      </c>
      <c r="DF32" s="37"/>
      <c r="DG32" s="39">
        <f t="shared" si="12"/>
        <v>0.53273148148148153</v>
      </c>
      <c r="DH32" s="39">
        <f t="shared" si="13"/>
        <v>3.6223681231605163</v>
      </c>
      <c r="DI32" s="37"/>
      <c r="DJ32" s="37"/>
      <c r="DK32" s="37"/>
      <c r="DL32" s="37"/>
      <c r="DM32" s="39">
        <f t="shared" si="14"/>
        <v>0.6755955457994397</v>
      </c>
      <c r="DN32" s="39"/>
      <c r="DO32" s="39">
        <f t="shared" si="15"/>
        <v>0.6755955457994397</v>
      </c>
      <c r="DP32" s="37"/>
      <c r="DQ32" s="37">
        <f>DO32/'Conversions, Sources &amp; Comments'!E30</f>
        <v>0.50726909843635692</v>
      </c>
    </row>
    <row r="33" spans="1:121">
      <c r="A33" s="42">
        <f t="shared" si="2"/>
        <v>1281</v>
      </c>
      <c r="B33" s="36"/>
      <c r="C33" s="38">
        <v>6</v>
      </c>
      <c r="D33" s="38">
        <v>0.75</v>
      </c>
      <c r="E33" s="38">
        <v>3</v>
      </c>
      <c r="F33" s="38">
        <v>5.63</v>
      </c>
      <c r="G33" s="38">
        <v>2</v>
      </c>
      <c r="H33" s="38">
        <v>5</v>
      </c>
      <c r="I33" s="38">
        <v>4</v>
      </c>
      <c r="J33" s="38">
        <v>7.75</v>
      </c>
      <c r="K33" s="36"/>
      <c r="L33" s="36"/>
      <c r="M33" s="38">
        <v>4</v>
      </c>
      <c r="N33" s="38">
        <v>4.25</v>
      </c>
      <c r="O33" s="38">
        <v>9</v>
      </c>
      <c r="P33" s="38">
        <v>8</v>
      </c>
      <c r="Q33" s="36"/>
      <c r="R33" s="36"/>
      <c r="S33" s="36"/>
      <c r="T33" s="36"/>
      <c r="U33" s="38">
        <v>4.5</v>
      </c>
      <c r="V33" s="36"/>
      <c r="W33" s="36"/>
      <c r="X33" s="36"/>
      <c r="Y33" s="36"/>
      <c r="Z33" s="36"/>
      <c r="AA33" s="36"/>
      <c r="AB33" s="36"/>
      <c r="AC33" s="38">
        <v>0</v>
      </c>
      <c r="AD33" s="38">
        <v>5.75</v>
      </c>
      <c r="AE33" s="36"/>
      <c r="AF33" s="36"/>
      <c r="AG33" s="38">
        <v>2</v>
      </c>
      <c r="AH33" s="38">
        <v>0</v>
      </c>
      <c r="AI33" s="36"/>
      <c r="AJ33" s="36"/>
      <c r="AK33" s="38">
        <v>8</v>
      </c>
      <c r="AL33" s="38">
        <v>1.5</v>
      </c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59">
        <v>5.083333333333333</v>
      </c>
      <c r="BH33" s="59"/>
      <c r="BI33" s="59">
        <v>7.8760082706984036E-2</v>
      </c>
      <c r="BJ33" s="59"/>
      <c r="BK33" s="36"/>
      <c r="BL33" s="36"/>
      <c r="BM33" s="36"/>
      <c r="BN33" s="38">
        <v>21.6</v>
      </c>
      <c r="BO33" s="36"/>
      <c r="BP33" s="39">
        <f t="shared" si="0"/>
        <v>1.3318287037037038</v>
      </c>
      <c r="BQ33" s="37"/>
      <c r="BR33" s="39">
        <f t="shared" si="1"/>
        <v>0.34370047319103114</v>
      </c>
      <c r="BS33" s="37"/>
      <c r="BT33" s="37"/>
      <c r="BU33" s="37"/>
      <c r="BV33" s="39">
        <f t="shared" si="3"/>
        <v>0.28818871291619103</v>
      </c>
      <c r="BW33" s="37"/>
      <c r="BX33" s="39">
        <f t="shared" si="4"/>
        <v>0.15382745102689405</v>
      </c>
      <c r="BY33" s="39">
        <v>4.4042731255303345</v>
      </c>
      <c r="BZ33" s="37"/>
      <c r="CA33" s="37"/>
      <c r="CB33" s="39">
        <f t="shared" si="19"/>
        <v>1.5205228647664251</v>
      </c>
      <c r="CC33" s="39">
        <f t="shared" si="17"/>
        <v>9.988715277777778E-2</v>
      </c>
      <c r="CD33" s="39">
        <f t="shared" si="20"/>
        <v>0.12985329861111111</v>
      </c>
      <c r="CE33" s="37"/>
      <c r="CF33" s="37"/>
      <c r="CG33" s="37"/>
      <c r="CH33" s="37"/>
      <c r="CI33" s="37"/>
      <c r="CJ33" s="37"/>
      <c r="CK33" s="39">
        <f>BP33*(12*AC33+AD33)/(35.238*8)</f>
        <v>2.7165329496198338E-2</v>
      </c>
      <c r="CL33" s="39">
        <f t="shared" si="23"/>
        <v>0.31963888888888886</v>
      </c>
      <c r="CM33" s="39">
        <f>BP33*(12*$AC33+$AD33)/(35.238*8)/0.283</f>
        <v>9.5990563590806863E-2</v>
      </c>
      <c r="CN33" s="37"/>
      <c r="CO33" s="39">
        <f>0.063495+(0.016949+0.014096)*Wages!P31+1.22592*BR33</f>
        <v>0.65023077252027472</v>
      </c>
      <c r="CP33" s="39"/>
      <c r="CQ33" s="39">
        <f t="shared" si="5"/>
        <v>0.65023077252027472</v>
      </c>
      <c r="CR33" s="39">
        <f t="shared" si="22"/>
        <v>0.28818871291619103</v>
      </c>
      <c r="CS33" s="39">
        <f t="shared" si="7"/>
        <v>1.0955320019435111</v>
      </c>
      <c r="CT33" s="39">
        <f t="shared" si="8"/>
        <v>3.1534322021460208</v>
      </c>
      <c r="CU33" s="39">
        <f t="shared" si="21"/>
        <v>1.5205228647664251</v>
      </c>
      <c r="CV33" s="39">
        <f t="shared" si="18"/>
        <v>9.988715277777778E-2</v>
      </c>
      <c r="CW33" s="39">
        <f t="shared" si="18"/>
        <v>0.12985329861111111</v>
      </c>
      <c r="CX33" s="39"/>
      <c r="CY33" s="39"/>
      <c r="CZ33" s="39">
        <f t="shared" si="9"/>
        <v>0.15382745102689405</v>
      </c>
      <c r="DA33" s="39">
        <f t="shared" si="10"/>
        <v>6.9210006258333818</v>
      </c>
      <c r="DB33" s="39">
        <v>5</v>
      </c>
      <c r="DC33" s="39">
        <f t="shared" si="11"/>
        <v>4.4042731255303345</v>
      </c>
      <c r="DD33" s="39">
        <v>2.9</v>
      </c>
      <c r="DE33" s="39">
        <f>CK33</f>
        <v>2.7165329496198338E-2</v>
      </c>
      <c r="DF33" s="37"/>
      <c r="DG33" s="39">
        <f t="shared" si="12"/>
        <v>0.31963888888888886</v>
      </c>
      <c r="DH33" s="39">
        <f t="shared" si="13"/>
        <v>3.0750882381931559</v>
      </c>
      <c r="DI33" s="37"/>
      <c r="DJ33" s="37"/>
      <c r="DK33" s="37"/>
      <c r="DL33" s="37"/>
      <c r="DM33" s="39">
        <f t="shared" si="14"/>
        <v>0.71503741285441125</v>
      </c>
      <c r="DN33" s="39"/>
      <c r="DO33" s="39">
        <f t="shared" si="15"/>
        <v>0.71503741285441125</v>
      </c>
      <c r="DP33" s="37"/>
      <c r="DQ33" s="37">
        <f>DO33/'Conversions, Sources &amp; Comments'!E31</f>
        <v>0.53688391822908776</v>
      </c>
    </row>
    <row r="34" spans="1:121">
      <c r="A34" s="42">
        <f t="shared" si="2"/>
        <v>1282</v>
      </c>
      <c r="B34" s="36"/>
      <c r="C34" s="38">
        <v>5</v>
      </c>
      <c r="D34" s="38">
        <v>11.5</v>
      </c>
      <c r="E34" s="38">
        <v>4</v>
      </c>
      <c r="F34" s="38">
        <v>1.25</v>
      </c>
      <c r="G34" s="38">
        <v>2</v>
      </c>
      <c r="H34" s="38">
        <v>1.5</v>
      </c>
      <c r="I34" s="38">
        <v>4</v>
      </c>
      <c r="J34" s="38">
        <v>11.25</v>
      </c>
      <c r="K34" s="36"/>
      <c r="L34" s="36"/>
      <c r="M34" s="38">
        <v>3</v>
      </c>
      <c r="N34" s="38">
        <v>2.5</v>
      </c>
      <c r="O34" s="38">
        <v>8</v>
      </c>
      <c r="P34" s="38">
        <v>11</v>
      </c>
      <c r="Q34" s="36"/>
      <c r="R34" s="36"/>
      <c r="S34" s="36"/>
      <c r="T34" s="36"/>
      <c r="U34" s="38">
        <v>3.875</v>
      </c>
      <c r="V34" s="36"/>
      <c r="W34" s="36"/>
      <c r="X34" s="36"/>
      <c r="Y34" s="36"/>
      <c r="Z34" s="38">
        <v>1</v>
      </c>
      <c r="AA34" s="38">
        <v>6</v>
      </c>
      <c r="AB34" s="36"/>
      <c r="AC34" s="36"/>
      <c r="AD34" s="36"/>
      <c r="AE34" s="36"/>
      <c r="AF34" s="36"/>
      <c r="AG34" s="36"/>
      <c r="AH34" s="36"/>
      <c r="AI34" s="36"/>
      <c r="AJ34" s="36"/>
      <c r="AK34" s="38">
        <v>6</v>
      </c>
      <c r="AL34" s="38">
        <v>10.25</v>
      </c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59">
        <v>4.083333333333333</v>
      </c>
      <c r="BH34" s="59"/>
      <c r="BI34" s="59">
        <v>0.11192222279413538</v>
      </c>
      <c r="BJ34" s="59"/>
      <c r="BK34" s="36"/>
      <c r="BL34" s="36"/>
      <c r="BM34" s="36"/>
      <c r="BN34" s="38">
        <v>21.6</v>
      </c>
      <c r="BO34" s="36"/>
      <c r="BP34" s="39">
        <f t="shared" si="0"/>
        <v>1.3318287037037038</v>
      </c>
      <c r="BQ34" s="37"/>
      <c r="BR34" s="39">
        <f t="shared" si="1"/>
        <v>0.3377949667788141</v>
      </c>
      <c r="BS34" s="37"/>
      <c r="BT34" s="37"/>
      <c r="BU34" s="37"/>
      <c r="BV34" s="39">
        <f t="shared" si="3"/>
        <v>0.23149585135890755</v>
      </c>
      <c r="BW34" s="37"/>
      <c r="BX34" s="39">
        <f t="shared" si="4"/>
        <v>0.21859690409084975</v>
      </c>
      <c r="BY34" s="39">
        <f>$BP34*(12*Z34+AA34)/(12*0.453592)</f>
        <v>4.4042731255303345</v>
      </c>
      <c r="BZ34" s="37"/>
      <c r="CA34" s="37"/>
      <c r="CB34" s="39">
        <f t="shared" si="19"/>
        <v>1.4025512631897197</v>
      </c>
      <c r="CC34" s="39">
        <f t="shared" si="17"/>
        <v>8.6013937114197525E-2</v>
      </c>
      <c r="CD34" s="39">
        <f t="shared" si="20"/>
        <v>0.10954291087962963</v>
      </c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9">
        <f>0.063495+(0.016949+0.014096)*Wages!P32+1.22592*BR34</f>
        <v>0.64299109409940969</v>
      </c>
      <c r="CP34" s="39"/>
      <c r="CQ34" s="39">
        <f t="shared" si="5"/>
        <v>0.64299109409940969</v>
      </c>
      <c r="CR34" s="39">
        <f t="shared" si="22"/>
        <v>0.23149585135890755</v>
      </c>
      <c r="CS34" s="39">
        <f t="shared" si="7"/>
        <v>1.0105338293789285</v>
      </c>
      <c r="CT34" s="39">
        <f t="shared" si="8"/>
        <v>2.908769358876071</v>
      </c>
      <c r="CU34" s="39">
        <f t="shared" si="21"/>
        <v>1.4025512631897197</v>
      </c>
      <c r="CV34" s="39">
        <f t="shared" si="18"/>
        <v>8.6013937114197525E-2</v>
      </c>
      <c r="CW34" s="39">
        <f t="shared" si="18"/>
        <v>0.10954291087962963</v>
      </c>
      <c r="CX34" s="39"/>
      <c r="CY34" s="39"/>
      <c r="CZ34" s="39">
        <f t="shared" si="9"/>
        <v>0.21859690409084975</v>
      </c>
      <c r="DA34" s="39">
        <f t="shared" si="10"/>
        <v>6.9210006258333818</v>
      </c>
      <c r="DB34" s="39">
        <v>5</v>
      </c>
      <c r="DC34" s="39">
        <f t="shared" si="11"/>
        <v>4.4042731255303345</v>
      </c>
      <c r="DD34" s="39">
        <v>2.9</v>
      </c>
      <c r="DE34" s="39">
        <v>3.2000000000000001E-2</v>
      </c>
      <c r="DF34" s="37"/>
      <c r="DG34" s="39">
        <f t="shared" si="12"/>
        <v>0</v>
      </c>
      <c r="DH34" s="39">
        <f t="shared" si="13"/>
        <v>3.6223681231605163</v>
      </c>
      <c r="DI34" s="37"/>
      <c r="DJ34" s="37"/>
      <c r="DK34" s="37"/>
      <c r="DL34" s="37"/>
      <c r="DM34" s="39">
        <f t="shared" si="14"/>
        <v>0.72815321869933847</v>
      </c>
      <c r="DN34" s="39"/>
      <c r="DO34" s="39">
        <f t="shared" si="15"/>
        <v>0.72815321869933847</v>
      </c>
      <c r="DP34" s="37"/>
      <c r="DQ34" s="37">
        <f>DO34/'Conversions, Sources &amp; Comments'!E32</f>
        <v>0.54673188577059917</v>
      </c>
    </row>
    <row r="35" spans="1:121">
      <c r="A35" s="42">
        <f t="shared" si="2"/>
        <v>1283</v>
      </c>
      <c r="B35" s="36"/>
      <c r="C35" s="38">
        <v>6</v>
      </c>
      <c r="D35" s="38">
        <v>11.25</v>
      </c>
      <c r="E35" s="38">
        <v>4</v>
      </c>
      <c r="F35" s="38">
        <v>5.13</v>
      </c>
      <c r="G35" s="38">
        <v>2</v>
      </c>
      <c r="H35" s="38">
        <v>4.25</v>
      </c>
      <c r="I35" s="38">
        <v>5</v>
      </c>
      <c r="J35" s="38">
        <v>4.38</v>
      </c>
      <c r="K35" s="36"/>
      <c r="L35" s="36"/>
      <c r="M35" s="38">
        <v>4</v>
      </c>
      <c r="N35" s="38">
        <v>9.625</v>
      </c>
      <c r="O35" s="38">
        <v>8</v>
      </c>
      <c r="P35" s="38">
        <v>4.25</v>
      </c>
      <c r="Q35" s="36"/>
      <c r="R35" s="36"/>
      <c r="S35" s="36"/>
      <c r="T35" s="36"/>
      <c r="U35" s="38">
        <v>3.75</v>
      </c>
      <c r="V35" s="36"/>
      <c r="W35" s="38">
        <v>5</v>
      </c>
      <c r="X35" s="36"/>
      <c r="Y35" s="36"/>
      <c r="Z35" s="36"/>
      <c r="AA35" s="36"/>
      <c r="AB35" s="36"/>
      <c r="AC35" s="36"/>
      <c r="AD35" s="36"/>
      <c r="AE35" s="36"/>
      <c r="AF35" s="36"/>
      <c r="AG35" s="38">
        <v>1</v>
      </c>
      <c r="AH35" s="38">
        <v>7</v>
      </c>
      <c r="AI35" s="36"/>
      <c r="AJ35" s="36"/>
      <c r="AK35" s="38">
        <v>8</v>
      </c>
      <c r="AL35" s="38">
        <v>4</v>
      </c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59">
        <v>4.666666666666667</v>
      </c>
      <c r="BH35" s="59"/>
      <c r="BI35" s="59">
        <v>0.10639519944627682</v>
      </c>
      <c r="BJ35" s="59"/>
      <c r="BK35" s="36"/>
      <c r="BL35" s="36"/>
      <c r="BM35" s="36"/>
      <c r="BN35" s="38">
        <v>21.6</v>
      </c>
      <c r="BO35" s="36"/>
      <c r="BP35" s="39">
        <f t="shared" si="0"/>
        <v>1.3318287037037038</v>
      </c>
      <c r="BQ35" s="37"/>
      <c r="BR35" s="39">
        <f t="shared" si="1"/>
        <v>0.39330672705365421</v>
      </c>
      <c r="BS35" s="37"/>
      <c r="BT35" s="37"/>
      <c r="BU35" s="37"/>
      <c r="BV35" s="39">
        <f t="shared" si="3"/>
        <v>0.26456668726732296</v>
      </c>
      <c r="BW35" s="37"/>
      <c r="BX35" s="39">
        <f t="shared" si="4"/>
        <v>0.20780199524685711</v>
      </c>
      <c r="BY35" s="39">
        <v>4</v>
      </c>
      <c r="BZ35" s="37"/>
      <c r="CA35" s="37"/>
      <c r="CB35" s="39">
        <f t="shared" si="19"/>
        <v>1.3140725620071907</v>
      </c>
      <c r="CC35" s="39">
        <f t="shared" si="17"/>
        <v>8.3239293981481485E-2</v>
      </c>
      <c r="CD35" s="39">
        <f t="shared" si="20"/>
        <v>0.13318287037037038</v>
      </c>
      <c r="CE35" s="37"/>
      <c r="CF35" s="37"/>
      <c r="CG35" s="37"/>
      <c r="CH35" s="37"/>
      <c r="CI35" s="37"/>
      <c r="CJ35" s="37"/>
      <c r="CK35" s="37"/>
      <c r="CL35" s="39">
        <f>BP35*(12*AG35+AH35)/100</f>
        <v>0.25304745370370374</v>
      </c>
      <c r="CM35" s="37"/>
      <c r="CN35" s="37"/>
      <c r="CO35" s="39">
        <f>0.063495+(0.016949+0.014096)*Wages!P33+1.22592*BR35</f>
        <v>0.71104407125554159</v>
      </c>
      <c r="CP35" s="39"/>
      <c r="CQ35" s="39">
        <f t="shared" si="5"/>
        <v>0.71104407125554159</v>
      </c>
      <c r="CR35" s="39">
        <f t="shared" si="22"/>
        <v>0.26456668726732296</v>
      </c>
      <c r="CS35" s="39">
        <f t="shared" si="7"/>
        <v>0.94678519995549137</v>
      </c>
      <c r="CT35" s="39">
        <f t="shared" si="8"/>
        <v>2.7252722264236087</v>
      </c>
      <c r="CU35" s="39">
        <f t="shared" si="21"/>
        <v>1.3140725620071907</v>
      </c>
      <c r="CV35" s="39">
        <f t="shared" si="18"/>
        <v>8.3239293981481485E-2</v>
      </c>
      <c r="CW35" s="39">
        <f t="shared" si="18"/>
        <v>0.13318287037037038</v>
      </c>
      <c r="CX35" s="39"/>
      <c r="CY35" s="39"/>
      <c r="CZ35" s="39">
        <f t="shared" si="9"/>
        <v>0.20780199524685711</v>
      </c>
      <c r="DA35" s="39">
        <f t="shared" si="10"/>
        <v>6.2857142857142856</v>
      </c>
      <c r="DB35" s="39">
        <v>5</v>
      </c>
      <c r="DC35" s="39">
        <f t="shared" si="11"/>
        <v>4</v>
      </c>
      <c r="DD35" s="39">
        <v>2.9</v>
      </c>
      <c r="DE35" s="39">
        <v>3.2000000000000001E-2</v>
      </c>
      <c r="DF35" s="37"/>
      <c r="DG35" s="39">
        <f t="shared" si="12"/>
        <v>0.25304745370370374</v>
      </c>
      <c r="DH35" s="39">
        <f t="shared" si="13"/>
        <v>3.6223681231605163</v>
      </c>
      <c r="DI35" s="37"/>
      <c r="DJ35" s="37"/>
      <c r="DK35" s="37"/>
      <c r="DL35" s="37"/>
      <c r="DM35" s="39">
        <f t="shared" si="14"/>
        <v>0.74314911323105382</v>
      </c>
      <c r="DN35" s="39"/>
      <c r="DO35" s="39">
        <f t="shared" si="15"/>
        <v>0.74314911323105382</v>
      </c>
      <c r="DP35" s="37"/>
      <c r="DQ35" s="37">
        <f>DO35/'Conversions, Sources &amp; Comments'!E33</f>
        <v>0.55799151284577253</v>
      </c>
    </row>
    <row r="36" spans="1:121">
      <c r="A36" s="42">
        <f t="shared" si="2"/>
        <v>1284</v>
      </c>
      <c r="B36" s="36"/>
      <c r="C36" s="38">
        <v>4</v>
      </c>
      <c r="D36" s="38">
        <v>11.75</v>
      </c>
      <c r="E36" s="38">
        <v>3</v>
      </c>
      <c r="F36" s="38">
        <v>1.63</v>
      </c>
      <c r="G36" s="38">
        <v>1</v>
      </c>
      <c r="H36" s="38">
        <v>9.8800000000000008</v>
      </c>
      <c r="I36" s="38">
        <v>3</v>
      </c>
      <c r="J36" s="38">
        <v>4.88</v>
      </c>
      <c r="K36" s="36"/>
      <c r="L36" s="36"/>
      <c r="M36" s="38">
        <v>2</v>
      </c>
      <c r="N36" s="38">
        <v>10.75</v>
      </c>
      <c r="O36" s="38">
        <v>8</v>
      </c>
      <c r="P36" s="38">
        <v>5.75</v>
      </c>
      <c r="Q36" s="36"/>
      <c r="R36" s="36"/>
      <c r="S36" s="36"/>
      <c r="T36" s="36"/>
      <c r="U36" s="38">
        <v>4</v>
      </c>
      <c r="V36" s="36"/>
      <c r="W36" s="36"/>
      <c r="X36" s="36"/>
      <c r="Y36" s="36"/>
      <c r="Z36" s="36"/>
      <c r="AA36" s="36"/>
      <c r="AB36" s="36"/>
      <c r="AC36" s="38">
        <v>0</v>
      </c>
      <c r="AD36" s="38">
        <v>8</v>
      </c>
      <c r="AE36" s="36"/>
      <c r="AF36" s="36"/>
      <c r="AG36" s="36"/>
      <c r="AH36" s="36"/>
      <c r="AI36" s="36"/>
      <c r="AJ36" s="36"/>
      <c r="AK36" s="38">
        <v>8</v>
      </c>
      <c r="AL36" s="38">
        <v>4</v>
      </c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59">
        <v>2.75</v>
      </c>
      <c r="BH36" s="59"/>
      <c r="BI36" s="59">
        <v>8.5668861891806808E-2</v>
      </c>
      <c r="BJ36" s="59"/>
      <c r="BK36" s="36"/>
      <c r="BL36" s="36"/>
      <c r="BM36" s="36"/>
      <c r="BN36" s="38">
        <v>21.6</v>
      </c>
      <c r="BO36" s="36"/>
      <c r="BP36" s="39">
        <f t="shared" si="0"/>
        <v>1.3318287037037038</v>
      </c>
      <c r="BQ36" s="37"/>
      <c r="BR36" s="39">
        <f t="shared" si="1"/>
        <v>0.28228320650397404</v>
      </c>
      <c r="BS36" s="37"/>
      <c r="BT36" s="37"/>
      <c r="BU36" s="37"/>
      <c r="BV36" s="39">
        <f t="shared" si="3"/>
        <v>0.1559053692825296</v>
      </c>
      <c r="BW36" s="37"/>
      <c r="BX36" s="39">
        <f t="shared" si="4"/>
        <v>0.16732108708188398</v>
      </c>
      <c r="BY36" s="39">
        <v>4</v>
      </c>
      <c r="BZ36" s="37"/>
      <c r="CA36" s="37"/>
      <c r="CB36" s="39">
        <f t="shared" si="19"/>
        <v>1.3337344956033081</v>
      </c>
      <c r="CC36" s="39">
        <f t="shared" si="17"/>
        <v>8.8788580246913579E-2</v>
      </c>
      <c r="CD36" s="39">
        <f t="shared" si="20"/>
        <v>0.13318287037037038</v>
      </c>
      <c r="CE36" s="37"/>
      <c r="CF36" s="37"/>
      <c r="CG36" s="37"/>
      <c r="CH36" s="37"/>
      <c r="CI36" s="37"/>
      <c r="CJ36" s="37"/>
      <c r="CK36" s="39">
        <f>BP36*(12*AC36+AD36)/(35.238*8)</f>
        <v>3.7795241038188994E-2</v>
      </c>
      <c r="CL36" s="37"/>
      <c r="CM36" s="39">
        <f>BP36*(12*$AC36+$AD36)/(35.238*8)/0.283</f>
        <v>0.13355208847416608</v>
      </c>
      <c r="CN36" s="37"/>
      <c r="CO36" s="39">
        <f>0.063495+(0.016949+0.014096)*Wages!P34+1.22592*BR36</f>
        <v>0.57493811694327768</v>
      </c>
      <c r="CP36" s="39"/>
      <c r="CQ36" s="39">
        <f t="shared" si="5"/>
        <v>0.57493811694327768</v>
      </c>
      <c r="CR36" s="39">
        <f t="shared" si="22"/>
        <v>0.1559053692825296</v>
      </c>
      <c r="CS36" s="39">
        <f t="shared" si="7"/>
        <v>0.96095156204958854</v>
      </c>
      <c r="CT36" s="39">
        <f t="shared" si="8"/>
        <v>2.7660493669686002</v>
      </c>
      <c r="CU36" s="39">
        <f t="shared" si="21"/>
        <v>1.3337344956033081</v>
      </c>
      <c r="CV36" s="39">
        <f t="shared" si="18"/>
        <v>8.8788580246913579E-2</v>
      </c>
      <c r="CW36" s="39">
        <f t="shared" si="18"/>
        <v>0.13318287037037038</v>
      </c>
      <c r="CX36" s="39"/>
      <c r="CY36" s="39"/>
      <c r="CZ36" s="39">
        <f t="shared" si="9"/>
        <v>0.16732108708188398</v>
      </c>
      <c r="DA36" s="39">
        <f t="shared" si="10"/>
        <v>6.2857142857142856</v>
      </c>
      <c r="DB36" s="39">
        <v>5</v>
      </c>
      <c r="DC36" s="39">
        <f t="shared" si="11"/>
        <v>4</v>
      </c>
      <c r="DD36" s="39">
        <v>2.9</v>
      </c>
      <c r="DE36" s="39">
        <f>CK36</f>
        <v>3.7795241038188994E-2</v>
      </c>
      <c r="DF36" s="37"/>
      <c r="DG36" s="39">
        <f t="shared" si="12"/>
        <v>0</v>
      </c>
      <c r="DH36" s="39">
        <f t="shared" si="13"/>
        <v>4.2783836357469998</v>
      </c>
      <c r="DI36" s="37"/>
      <c r="DJ36" s="37"/>
      <c r="DK36" s="37"/>
      <c r="DL36" s="37"/>
      <c r="DM36" s="39">
        <f t="shared" si="14"/>
        <v>0.6623150482958029</v>
      </c>
      <c r="DN36" s="39"/>
      <c r="DO36" s="39">
        <f t="shared" si="15"/>
        <v>0.6623150482958029</v>
      </c>
      <c r="DP36" s="37"/>
      <c r="DQ36" s="37">
        <f>DO36/'Conversions, Sources &amp; Comments'!E34</f>
        <v>0.49729747260586921</v>
      </c>
    </row>
    <row r="37" spans="1:121">
      <c r="A37" s="42">
        <f t="shared" si="2"/>
        <v>1285</v>
      </c>
      <c r="B37" s="36"/>
      <c r="C37" s="38">
        <v>5</v>
      </c>
      <c r="D37" s="38">
        <v>4.25</v>
      </c>
      <c r="E37" s="38">
        <v>3</v>
      </c>
      <c r="F37" s="38">
        <v>6.13</v>
      </c>
      <c r="G37" s="38">
        <v>2</v>
      </c>
      <c r="H37" s="38">
        <v>1.75</v>
      </c>
      <c r="I37" s="38">
        <v>4</v>
      </c>
      <c r="J37" s="38">
        <v>1.63</v>
      </c>
      <c r="K37" s="36"/>
      <c r="L37" s="36"/>
      <c r="M37" s="38">
        <v>3</v>
      </c>
      <c r="N37" s="38">
        <v>3.75</v>
      </c>
      <c r="O37" s="38">
        <v>8</v>
      </c>
      <c r="P37" s="38">
        <v>8.25</v>
      </c>
      <c r="Q37" s="36"/>
      <c r="R37" s="36"/>
      <c r="S37" s="36"/>
      <c r="T37" s="36"/>
      <c r="U37" s="38">
        <v>3.875</v>
      </c>
      <c r="V37" s="36"/>
      <c r="W37" s="36"/>
      <c r="X37" s="36"/>
      <c r="Y37" s="36"/>
      <c r="Z37" s="36"/>
      <c r="AA37" s="36"/>
      <c r="AB37" s="36"/>
      <c r="AC37" s="38">
        <v>0</v>
      </c>
      <c r="AD37" s="38">
        <v>6.5</v>
      </c>
      <c r="AE37" s="36"/>
      <c r="AF37" s="36"/>
      <c r="AG37" s="38">
        <v>2</v>
      </c>
      <c r="AH37" s="38">
        <v>8.5</v>
      </c>
      <c r="AI37" s="36"/>
      <c r="AJ37" s="36"/>
      <c r="AK37" s="38">
        <v>5</v>
      </c>
      <c r="AL37" s="38">
        <v>10.5</v>
      </c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59">
        <v>3.5</v>
      </c>
      <c r="BH37" s="59"/>
      <c r="BI37" s="59">
        <v>6.6324280174302697E-2</v>
      </c>
      <c r="BJ37" s="59"/>
      <c r="BK37" s="36"/>
      <c r="BL37" s="36"/>
      <c r="BM37" s="36"/>
      <c r="BN37" s="38">
        <v>21.6</v>
      </c>
      <c r="BO37" s="36"/>
      <c r="BP37" s="39">
        <f t="shared" si="0"/>
        <v>1.3318287037037038</v>
      </c>
      <c r="BQ37" s="37"/>
      <c r="BR37" s="39">
        <f t="shared" si="1"/>
        <v>0.30354302958795537</v>
      </c>
      <c r="BS37" s="37"/>
      <c r="BT37" s="37"/>
      <c r="BU37" s="37"/>
      <c r="BV37" s="39">
        <f t="shared" si="3"/>
        <v>0.19842501545049221</v>
      </c>
      <c r="BW37" s="37"/>
      <c r="BX37" s="39">
        <f t="shared" si="4"/>
        <v>0.12953890612791147</v>
      </c>
      <c r="BY37" s="39">
        <v>4</v>
      </c>
      <c r="BZ37" s="37"/>
      <c r="CA37" s="37"/>
      <c r="CB37" s="39">
        <f t="shared" si="19"/>
        <v>1.3665043849301708</v>
      </c>
      <c r="CC37" s="39">
        <f t="shared" si="17"/>
        <v>8.6013937114197525E-2</v>
      </c>
      <c r="CD37" s="39">
        <f t="shared" si="20"/>
        <v>9.3893923611111124E-2</v>
      </c>
      <c r="CE37" s="37"/>
      <c r="CF37" s="37"/>
      <c r="CG37" s="37"/>
      <c r="CH37" s="37"/>
      <c r="CI37" s="37"/>
      <c r="CJ37" s="37"/>
      <c r="CK37" s="39">
        <f>BP37*(12*AC37+AD37)/(35.238*8)</f>
        <v>3.0708633343528555E-2</v>
      </c>
      <c r="CL37" s="39">
        <f t="shared" ref="CL37:CL54" si="24">BP37*(12*AG37+AH37)/100</f>
        <v>0.43284432870370376</v>
      </c>
      <c r="CM37" s="39">
        <f>BP37*(12*$AC37+$AD37)/(35.238*8)/0.283</f>
        <v>0.10851107188525992</v>
      </c>
      <c r="CN37" s="37"/>
      <c r="CO37" s="39">
        <f>0.063495+(0.016949+0.014096)*Wages!P35+1.22592*BR37</f>
        <v>0.60100095925839214</v>
      </c>
      <c r="CP37" s="39"/>
      <c r="CQ37" s="39">
        <f t="shared" si="5"/>
        <v>0.60100095925839214</v>
      </c>
      <c r="CR37" s="39">
        <f t="shared" si="22"/>
        <v>0.19842501545049221</v>
      </c>
      <c r="CS37" s="39">
        <f t="shared" si="7"/>
        <v>0.9845621655397504</v>
      </c>
      <c r="CT37" s="39">
        <f t="shared" si="8"/>
        <v>2.8340112678769196</v>
      </c>
      <c r="CU37" s="39">
        <f t="shared" si="21"/>
        <v>1.3665043849301708</v>
      </c>
      <c r="CV37" s="39">
        <f t="shared" si="18"/>
        <v>8.6013937114197525E-2</v>
      </c>
      <c r="CW37" s="39">
        <f t="shared" si="18"/>
        <v>9.3893923611111124E-2</v>
      </c>
      <c r="CX37" s="39"/>
      <c r="CY37" s="39"/>
      <c r="CZ37" s="39">
        <f t="shared" si="9"/>
        <v>0.12953890612791147</v>
      </c>
      <c r="DA37" s="39">
        <f t="shared" si="10"/>
        <v>6.2857142857142856</v>
      </c>
      <c r="DB37" s="39">
        <v>5</v>
      </c>
      <c r="DC37" s="39">
        <f t="shared" si="11"/>
        <v>4</v>
      </c>
      <c r="DD37" s="39">
        <v>2.9</v>
      </c>
      <c r="DE37" s="39">
        <f>CK37</f>
        <v>3.0708633343528555E-2</v>
      </c>
      <c r="DF37" s="37"/>
      <c r="DG37" s="39">
        <f t="shared" si="12"/>
        <v>0.43284432870370376</v>
      </c>
      <c r="DH37" s="39">
        <f t="shared" si="13"/>
        <v>3.4761867040444367</v>
      </c>
      <c r="DI37" s="37"/>
      <c r="DJ37" s="37"/>
      <c r="DK37" s="37"/>
      <c r="DL37" s="37"/>
      <c r="DM37" s="39">
        <f t="shared" si="14"/>
        <v>0.6552302270298288</v>
      </c>
      <c r="DN37" s="39"/>
      <c r="DO37" s="39">
        <f t="shared" si="15"/>
        <v>0.6552302270298288</v>
      </c>
      <c r="DP37" s="37"/>
      <c r="DQ37" s="37">
        <f>DO37/'Conversions, Sources &amp; Comments'!E35</f>
        <v>0.49197785361412361</v>
      </c>
    </row>
    <row r="38" spans="1:121">
      <c r="A38" s="42">
        <f t="shared" si="2"/>
        <v>1286</v>
      </c>
      <c r="B38" s="36"/>
      <c r="C38" s="38">
        <v>4</v>
      </c>
      <c r="D38" s="38">
        <v>9</v>
      </c>
      <c r="E38" s="38">
        <v>3</v>
      </c>
      <c r="F38" s="38">
        <v>3.13</v>
      </c>
      <c r="G38" s="38">
        <v>2</v>
      </c>
      <c r="H38" s="38">
        <v>0.88</v>
      </c>
      <c r="I38" s="38">
        <v>3</v>
      </c>
      <c r="J38" s="38">
        <v>8.8800000000000008</v>
      </c>
      <c r="K38" s="36"/>
      <c r="L38" s="36"/>
      <c r="M38" s="38">
        <v>3</v>
      </c>
      <c r="N38" s="38">
        <v>1.75</v>
      </c>
      <c r="O38" s="38">
        <v>9</v>
      </c>
      <c r="P38" s="38">
        <v>1.25</v>
      </c>
      <c r="Q38" s="36"/>
      <c r="R38" s="36"/>
      <c r="S38" s="36"/>
      <c r="T38" s="36"/>
      <c r="U38" s="38">
        <v>3.75</v>
      </c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8">
        <v>2</v>
      </c>
      <c r="AH38" s="38">
        <v>0.75</v>
      </c>
      <c r="AI38" s="36"/>
      <c r="AJ38" s="36"/>
      <c r="AK38" s="38">
        <v>5</v>
      </c>
      <c r="AL38" s="38">
        <v>4</v>
      </c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59">
        <v>3.0833333333333335</v>
      </c>
      <c r="BH38" s="59"/>
      <c r="BI38" s="59">
        <v>7.8760082706984036E-2</v>
      </c>
      <c r="BJ38" s="59"/>
      <c r="BK38" s="36"/>
      <c r="BL38" s="36"/>
      <c r="BM38" s="36"/>
      <c r="BN38" s="38">
        <v>21.6</v>
      </c>
      <c r="BO38" s="36"/>
      <c r="BP38" s="39">
        <f t="shared" si="0"/>
        <v>1.3318287037037038</v>
      </c>
      <c r="BQ38" s="37"/>
      <c r="BR38" s="39">
        <f t="shared" si="1"/>
        <v>0.26929109239709659</v>
      </c>
      <c r="BS38" s="37"/>
      <c r="BT38" s="37"/>
      <c r="BU38" s="37"/>
      <c r="BV38" s="39">
        <f t="shared" si="3"/>
        <v>0.17480298980162409</v>
      </c>
      <c r="BW38" s="37"/>
      <c r="BX38" s="39">
        <f t="shared" si="4"/>
        <v>0.15382745102689405</v>
      </c>
      <c r="BY38" s="39">
        <v>4</v>
      </c>
      <c r="BZ38" s="37"/>
      <c r="CA38" s="37"/>
      <c r="CB38" s="39">
        <f t="shared" si="19"/>
        <v>1.4320441635838961</v>
      </c>
      <c r="CC38" s="39">
        <f t="shared" si="17"/>
        <v>8.3239293981481485E-2</v>
      </c>
      <c r="CD38" s="39">
        <f t="shared" si="20"/>
        <v>8.5237037037037042E-2</v>
      </c>
      <c r="CE38" s="37"/>
      <c r="CF38" s="37"/>
      <c r="CG38" s="37"/>
      <c r="CH38" s="37"/>
      <c r="CI38" s="37"/>
      <c r="CJ38" s="37"/>
      <c r="CK38" s="37"/>
      <c r="CL38" s="39">
        <f t="shared" si="24"/>
        <v>0.3296276041666667</v>
      </c>
      <c r="CM38" s="37"/>
      <c r="CN38" s="37"/>
      <c r="CO38" s="39">
        <f>0.063495+(0.016949+0.014096)*Wages!P36+1.22592*BR38</f>
        <v>0.55901082441737449</v>
      </c>
      <c r="CP38" s="39"/>
      <c r="CQ38" s="39">
        <f t="shared" si="5"/>
        <v>0.55901082441737449</v>
      </c>
      <c r="CR38" s="39">
        <f t="shared" si="22"/>
        <v>0.17480298980162409</v>
      </c>
      <c r="CS38" s="39">
        <f t="shared" si="7"/>
        <v>1.0317833725200742</v>
      </c>
      <c r="CT38" s="39">
        <f t="shared" si="8"/>
        <v>2.9699350696935589</v>
      </c>
      <c r="CU38" s="39">
        <f t="shared" si="21"/>
        <v>1.4320441635838961</v>
      </c>
      <c r="CV38" s="39">
        <f t="shared" si="18"/>
        <v>8.3239293981481485E-2</v>
      </c>
      <c r="CW38" s="39">
        <f t="shared" si="18"/>
        <v>8.5237037037037042E-2</v>
      </c>
      <c r="CX38" s="39"/>
      <c r="CY38" s="39"/>
      <c r="CZ38" s="39">
        <f t="shared" si="9"/>
        <v>0.15382745102689405</v>
      </c>
      <c r="DA38" s="39">
        <f t="shared" si="10"/>
        <v>6.2857142857142856</v>
      </c>
      <c r="DB38" s="39">
        <v>5</v>
      </c>
      <c r="DC38" s="39">
        <f t="shared" si="11"/>
        <v>4</v>
      </c>
      <c r="DD38" s="39">
        <v>2.9</v>
      </c>
      <c r="DE38" s="39">
        <v>2.8000000000000001E-2</v>
      </c>
      <c r="DF38" s="37"/>
      <c r="DG38" s="39">
        <f t="shared" si="12"/>
        <v>0.3296276041666667</v>
      </c>
      <c r="DH38" s="39">
        <f t="shared" si="13"/>
        <v>3.1695721077654517</v>
      </c>
      <c r="DI38" s="37"/>
      <c r="DJ38" s="37"/>
      <c r="DK38" s="37"/>
      <c r="DL38" s="37"/>
      <c r="DM38" s="39">
        <f t="shared" si="14"/>
        <v>0.64594596769724144</v>
      </c>
      <c r="DN38" s="39"/>
      <c r="DO38" s="39">
        <f t="shared" si="15"/>
        <v>0.64594596769724144</v>
      </c>
      <c r="DP38" s="37"/>
      <c r="DQ38" s="37">
        <f>DO38/'Conversions, Sources &amp; Comments'!E36</f>
        <v>0.48500679246581785</v>
      </c>
    </row>
    <row r="39" spans="1:121">
      <c r="A39" s="42">
        <f t="shared" si="2"/>
        <v>1287</v>
      </c>
      <c r="B39" s="36"/>
      <c r="C39" s="38">
        <v>2</v>
      </c>
      <c r="D39" s="38">
        <v>10.25</v>
      </c>
      <c r="E39" s="38">
        <v>2</v>
      </c>
      <c r="F39" s="38">
        <v>6.5</v>
      </c>
      <c r="G39" s="38">
        <v>1</v>
      </c>
      <c r="H39" s="38">
        <v>5.75</v>
      </c>
      <c r="I39" s="38">
        <v>2</v>
      </c>
      <c r="J39" s="38">
        <v>3.25</v>
      </c>
      <c r="K39" s="36"/>
      <c r="L39" s="36"/>
      <c r="M39" s="38">
        <v>1</v>
      </c>
      <c r="N39" s="38">
        <v>11.75</v>
      </c>
      <c r="O39" s="38">
        <v>8</v>
      </c>
      <c r="P39" s="38">
        <v>7.5</v>
      </c>
      <c r="Q39" s="36"/>
      <c r="R39" s="36"/>
      <c r="S39" s="36"/>
      <c r="T39" s="36"/>
      <c r="U39" s="38">
        <v>3.375</v>
      </c>
      <c r="V39" s="36"/>
      <c r="W39" s="38">
        <v>5</v>
      </c>
      <c r="X39" s="36"/>
      <c r="Y39" s="36"/>
      <c r="Z39" s="36"/>
      <c r="AA39" s="36"/>
      <c r="AB39" s="36"/>
      <c r="AC39" s="38">
        <v>0</v>
      </c>
      <c r="AD39" s="38">
        <v>5</v>
      </c>
      <c r="AE39" s="36"/>
      <c r="AF39" s="36"/>
      <c r="AG39" s="38">
        <v>3</v>
      </c>
      <c r="AH39" s="38">
        <v>1</v>
      </c>
      <c r="AI39" s="36"/>
      <c r="AJ39" s="36"/>
      <c r="AK39" s="38">
        <v>4</v>
      </c>
      <c r="AL39" s="38">
        <v>7.5</v>
      </c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59">
        <v>1.8333333333333333</v>
      </c>
      <c r="BH39" s="59"/>
      <c r="BI39" s="59">
        <v>5.5270233478585583E-2</v>
      </c>
      <c r="BJ39" s="59"/>
      <c r="BK39" s="36"/>
      <c r="BL39" s="36"/>
      <c r="BM39" s="36"/>
      <c r="BN39" s="38">
        <v>21.6</v>
      </c>
      <c r="BO39" s="36"/>
      <c r="BP39" s="39">
        <f t="shared" si="0"/>
        <v>1.3318287037037038</v>
      </c>
      <c r="BQ39" s="37"/>
      <c r="BR39" s="39">
        <f t="shared" si="1"/>
        <v>0.16181087569474664</v>
      </c>
      <c r="BS39" s="37"/>
      <c r="BT39" s="37"/>
      <c r="BU39" s="37"/>
      <c r="BV39" s="39">
        <f t="shared" si="3"/>
        <v>0.10393691285501971</v>
      </c>
      <c r="BW39" s="37"/>
      <c r="BX39" s="39">
        <f t="shared" si="4"/>
        <v>0.10794908843992621</v>
      </c>
      <c r="BY39" s="39">
        <v>4</v>
      </c>
      <c r="BZ39" s="37"/>
      <c r="CA39" s="37"/>
      <c r="CB39" s="39">
        <f t="shared" si="19"/>
        <v>1.3566734181321121</v>
      </c>
      <c r="CC39" s="39">
        <f t="shared" si="17"/>
        <v>7.4915364583333338E-2</v>
      </c>
      <c r="CD39" s="39">
        <f t="shared" si="20"/>
        <v>7.391649305555556E-2</v>
      </c>
      <c r="CE39" s="37"/>
      <c r="CF39" s="37"/>
      <c r="CG39" s="37"/>
      <c r="CH39" s="37"/>
      <c r="CI39" s="37"/>
      <c r="CJ39" s="37"/>
      <c r="CK39" s="39">
        <f>BP39*(12*AC39+AD39)/(35.238*8)</f>
        <v>2.3622025648868124E-2</v>
      </c>
      <c r="CL39" s="39">
        <f t="shared" si="24"/>
        <v>0.4927766203703704</v>
      </c>
      <c r="CM39" s="39">
        <f>BP39*(12*$AC39+$AD39)/(35.238*8)/0.283</f>
        <v>8.3470055296353804E-2</v>
      </c>
      <c r="CN39" s="37"/>
      <c r="CO39" s="39">
        <f>0.063495+(0.016949+0.014096)*Wages!P37+1.22592*BR39</f>
        <v>0.42724867715762971</v>
      </c>
      <c r="CP39" s="39"/>
      <c r="CQ39" s="39">
        <f t="shared" si="5"/>
        <v>0.42724867715762971</v>
      </c>
      <c r="CR39" s="39">
        <f t="shared" si="22"/>
        <v>0.10393691285501971</v>
      </c>
      <c r="CS39" s="39">
        <f t="shared" si="7"/>
        <v>0.97747898449270187</v>
      </c>
      <c r="CT39" s="39">
        <f t="shared" si="8"/>
        <v>2.8136226976044241</v>
      </c>
      <c r="CU39" s="39">
        <f t="shared" si="21"/>
        <v>1.3566734181321121</v>
      </c>
      <c r="CV39" s="39">
        <f t="shared" si="18"/>
        <v>7.4915364583333338E-2</v>
      </c>
      <c r="CW39" s="39">
        <f t="shared" si="18"/>
        <v>7.391649305555556E-2</v>
      </c>
      <c r="CX39" s="39"/>
      <c r="CY39" s="39"/>
      <c r="CZ39" s="39">
        <f t="shared" si="9"/>
        <v>0.10794908843992621</v>
      </c>
      <c r="DA39" s="39">
        <f t="shared" si="10"/>
        <v>6.2857142857142856</v>
      </c>
      <c r="DB39" s="39">
        <v>5</v>
      </c>
      <c r="DC39" s="39">
        <f t="shared" si="11"/>
        <v>4</v>
      </c>
      <c r="DD39" s="39">
        <v>2.9</v>
      </c>
      <c r="DE39" s="39">
        <f>CK39</f>
        <v>2.3622025648868124E-2</v>
      </c>
      <c r="DF39" s="37"/>
      <c r="DG39" s="39">
        <f t="shared" si="12"/>
        <v>0.4927766203703704</v>
      </c>
      <c r="DH39" s="39">
        <f t="shared" si="13"/>
        <v>2.6739897723418751</v>
      </c>
      <c r="DI39" s="37"/>
      <c r="DJ39" s="37"/>
      <c r="DK39" s="37"/>
      <c r="DL39" s="37"/>
      <c r="DM39" s="39">
        <f t="shared" si="14"/>
        <v>0.54581783738718925</v>
      </c>
      <c r="DN39" s="39"/>
      <c r="DO39" s="39">
        <f t="shared" si="15"/>
        <v>0.54581783738718925</v>
      </c>
      <c r="DP39" s="37"/>
      <c r="DQ39" s="37">
        <f>DO39/'Conversions, Sources &amp; Comments'!E37</f>
        <v>0.40982585513385894</v>
      </c>
    </row>
    <row r="40" spans="1:121">
      <c r="A40" s="42">
        <f t="shared" si="2"/>
        <v>1288</v>
      </c>
      <c r="B40" s="36"/>
      <c r="C40" s="38">
        <v>3</v>
      </c>
      <c r="D40" s="38">
        <v>0.88</v>
      </c>
      <c r="E40" s="38">
        <v>2</v>
      </c>
      <c r="F40" s="38">
        <v>3.63</v>
      </c>
      <c r="G40" s="38">
        <v>1</v>
      </c>
      <c r="H40" s="38">
        <v>6.5</v>
      </c>
      <c r="I40" s="38">
        <v>1</v>
      </c>
      <c r="J40" s="38">
        <v>10.130000000000001</v>
      </c>
      <c r="K40" s="36"/>
      <c r="L40" s="36"/>
      <c r="M40" s="38">
        <v>2</v>
      </c>
      <c r="N40" s="38">
        <v>0.75</v>
      </c>
      <c r="O40" s="38">
        <v>10</v>
      </c>
      <c r="P40" s="38">
        <v>1</v>
      </c>
      <c r="Q40" s="36"/>
      <c r="R40" s="36"/>
      <c r="S40" s="36"/>
      <c r="T40" s="36"/>
      <c r="U40" s="38">
        <v>3.25</v>
      </c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8">
        <v>3</v>
      </c>
      <c r="AH40" s="38">
        <v>4</v>
      </c>
      <c r="AI40" s="36"/>
      <c r="AJ40" s="36"/>
      <c r="AK40" s="38">
        <v>4</v>
      </c>
      <c r="AL40" s="38">
        <v>7.5</v>
      </c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59">
        <v>2.1666666666666665</v>
      </c>
      <c r="BH40" s="59"/>
      <c r="BI40" s="59">
        <v>4.283443094590425E-2</v>
      </c>
      <c r="BJ40" s="59"/>
      <c r="BK40" s="36"/>
      <c r="BL40" s="36"/>
      <c r="BM40" s="36"/>
      <c r="BN40" s="38">
        <v>21.6</v>
      </c>
      <c r="BO40" s="36"/>
      <c r="BP40" s="39">
        <f t="shared" si="0"/>
        <v>1.3318287037037038</v>
      </c>
      <c r="BQ40" s="37"/>
      <c r="BR40" s="39">
        <f t="shared" si="1"/>
        <v>0.17423606118605126</v>
      </c>
      <c r="BS40" s="37"/>
      <c r="BT40" s="37"/>
      <c r="BU40" s="37"/>
      <c r="BV40" s="39">
        <f t="shared" si="3"/>
        <v>0.12283453337411422</v>
      </c>
      <c r="BW40" s="37"/>
      <c r="BX40" s="39">
        <f t="shared" si="4"/>
        <v>8.3660543540943641E-2</v>
      </c>
      <c r="BY40" s="39">
        <v>4</v>
      </c>
      <c r="BZ40" s="37"/>
      <c r="CA40" s="37"/>
      <c r="CB40" s="39">
        <f t="shared" si="19"/>
        <v>1.5860626434201504</v>
      </c>
      <c r="CC40" s="39">
        <f t="shared" si="17"/>
        <v>7.2140721450617284E-2</v>
      </c>
      <c r="CD40" s="39">
        <f t="shared" si="20"/>
        <v>7.391649305555556E-2</v>
      </c>
      <c r="CE40" s="37"/>
      <c r="CF40" s="37"/>
      <c r="CG40" s="37"/>
      <c r="CH40" s="37"/>
      <c r="CI40" s="37"/>
      <c r="CJ40" s="37"/>
      <c r="CK40" s="37"/>
      <c r="CL40" s="39">
        <f t="shared" si="24"/>
        <v>0.53273148148148153</v>
      </c>
      <c r="CM40" s="37"/>
      <c r="CN40" s="37"/>
      <c r="CO40" s="39">
        <f>0.063495+(0.016949+0.014096)*Wages!P38+1.22592*BR40</f>
        <v>0.44248096055512987</v>
      </c>
      <c r="CP40" s="39"/>
      <c r="CQ40" s="39">
        <f t="shared" si="5"/>
        <v>0.44248096055512987</v>
      </c>
      <c r="CR40" s="39">
        <f t="shared" si="22"/>
        <v>0.12283453337411422</v>
      </c>
      <c r="CS40" s="39">
        <f t="shared" si="7"/>
        <v>1.142753208923835</v>
      </c>
      <c r="CT40" s="39">
        <f t="shared" si="8"/>
        <v>3.2893560039626601</v>
      </c>
      <c r="CU40" s="39">
        <f t="shared" si="21"/>
        <v>1.5860626434201504</v>
      </c>
      <c r="CV40" s="39">
        <f t="shared" si="18"/>
        <v>7.2140721450617284E-2</v>
      </c>
      <c r="CW40" s="39">
        <f t="shared" si="18"/>
        <v>7.391649305555556E-2</v>
      </c>
      <c r="CX40" s="39"/>
      <c r="CY40" s="39"/>
      <c r="CZ40" s="39">
        <f t="shared" si="9"/>
        <v>8.3660543540943641E-2</v>
      </c>
      <c r="DA40" s="39">
        <f t="shared" si="10"/>
        <v>6.2857142857142856</v>
      </c>
      <c r="DB40" s="39">
        <v>5</v>
      </c>
      <c r="DC40" s="39">
        <f t="shared" si="11"/>
        <v>4</v>
      </c>
      <c r="DD40" s="39">
        <v>2.9</v>
      </c>
      <c r="DE40" s="39">
        <v>3.5000000000000003E-2</v>
      </c>
      <c r="DF40" s="37"/>
      <c r="DG40" s="39">
        <f t="shared" si="12"/>
        <v>0.53273148148148153</v>
      </c>
      <c r="DH40" s="39">
        <f t="shared" si="13"/>
        <v>3.9619651347068148</v>
      </c>
      <c r="DI40" s="37"/>
      <c r="DJ40" s="37"/>
      <c r="DK40" s="37"/>
      <c r="DL40" s="37"/>
      <c r="DM40" s="39">
        <f t="shared" si="14"/>
        <v>0.57858197726619276</v>
      </c>
      <c r="DN40" s="39"/>
      <c r="DO40" s="39">
        <f t="shared" si="15"/>
        <v>0.57858197726619276</v>
      </c>
      <c r="DP40" s="37"/>
      <c r="DQ40" s="37">
        <f>DO40/'Conversions, Sources &amp; Comments'!E38</f>
        <v>0.43442672143737771</v>
      </c>
    </row>
    <row r="41" spans="1:121">
      <c r="A41" s="42">
        <f t="shared" si="2"/>
        <v>1289</v>
      </c>
      <c r="B41" s="36"/>
      <c r="C41" s="38">
        <v>4</v>
      </c>
      <c r="D41" s="38">
        <v>3.63</v>
      </c>
      <c r="E41" s="38">
        <v>3</v>
      </c>
      <c r="F41" s="38">
        <v>2.5</v>
      </c>
      <c r="G41" s="38">
        <v>1</v>
      </c>
      <c r="H41" s="38">
        <v>11.75</v>
      </c>
      <c r="I41" s="38">
        <v>2</v>
      </c>
      <c r="J41" s="38">
        <v>10.38</v>
      </c>
      <c r="K41" s="36"/>
      <c r="L41" s="36"/>
      <c r="M41" s="38">
        <v>2</v>
      </c>
      <c r="N41" s="38">
        <v>6.25</v>
      </c>
      <c r="O41" s="38">
        <v>8</v>
      </c>
      <c r="P41" s="38">
        <v>5.5</v>
      </c>
      <c r="Q41" s="36"/>
      <c r="R41" s="36"/>
      <c r="S41" s="36"/>
      <c r="T41" s="36"/>
      <c r="U41" s="38">
        <v>3.625</v>
      </c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8">
        <v>3</v>
      </c>
      <c r="AH41" s="38">
        <v>0</v>
      </c>
      <c r="AI41" s="36"/>
      <c r="AJ41" s="36"/>
      <c r="AK41" s="38">
        <v>7</v>
      </c>
      <c r="AL41" s="38">
        <v>1</v>
      </c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59">
        <v>2.5833333333333335</v>
      </c>
      <c r="BH41" s="59"/>
      <c r="BI41" s="59">
        <v>5.5270233478585583E-2</v>
      </c>
      <c r="BJ41" s="59"/>
      <c r="BK41" s="36"/>
      <c r="BL41" s="36"/>
      <c r="BM41" s="36"/>
      <c r="BN41" s="38">
        <v>21.6</v>
      </c>
      <c r="BO41" s="36"/>
      <c r="BP41" s="39">
        <f t="shared" si="0"/>
        <v>1.3318287037037038</v>
      </c>
      <c r="BQ41" s="37"/>
      <c r="BR41" s="39">
        <f t="shared" si="1"/>
        <v>0.24392103685021221</v>
      </c>
      <c r="BS41" s="37"/>
      <c r="BT41" s="37"/>
      <c r="BU41" s="37"/>
      <c r="BV41" s="39">
        <f t="shared" si="3"/>
        <v>0.14645655902298235</v>
      </c>
      <c r="BW41" s="37"/>
      <c r="BX41" s="39">
        <f t="shared" si="4"/>
        <v>0.10794908843992621</v>
      </c>
      <c r="BY41" s="39">
        <v>4</v>
      </c>
      <c r="BZ41" s="37"/>
      <c r="CA41" s="37"/>
      <c r="CB41" s="39">
        <f t="shared" si="19"/>
        <v>1.3304575066706221</v>
      </c>
      <c r="CC41" s="39">
        <f t="shared" si="17"/>
        <v>8.0464650848765432E-2</v>
      </c>
      <c r="CD41" s="39">
        <f t="shared" si="20"/>
        <v>0.11320543981481482</v>
      </c>
      <c r="CE41" s="37"/>
      <c r="CF41" s="37"/>
      <c r="CG41" s="37"/>
      <c r="CH41" s="37"/>
      <c r="CI41" s="37"/>
      <c r="CJ41" s="37"/>
      <c r="CK41" s="37"/>
      <c r="CL41" s="39">
        <f t="shared" si="24"/>
        <v>0.47945833333333332</v>
      </c>
      <c r="CM41" s="37"/>
      <c r="CN41" s="37"/>
      <c r="CO41" s="39">
        <f>0.063495+(0.016949+0.014096)*Wages!P39+1.22592*BR41</f>
        <v>0.52790916592133807</v>
      </c>
      <c r="CP41" s="39"/>
      <c r="CQ41" s="39">
        <f t="shared" si="5"/>
        <v>0.52790916592133807</v>
      </c>
      <c r="CR41" s="39">
        <f t="shared" si="22"/>
        <v>0.14645655902298235</v>
      </c>
      <c r="CS41" s="39">
        <f t="shared" si="7"/>
        <v>0.95859050170057247</v>
      </c>
      <c r="CT41" s="39">
        <f t="shared" si="8"/>
        <v>2.7592531768777691</v>
      </c>
      <c r="CU41" s="39">
        <f t="shared" si="21"/>
        <v>1.3304575066706221</v>
      </c>
      <c r="CV41" s="39">
        <f t="shared" si="18"/>
        <v>8.0464650848765432E-2</v>
      </c>
      <c r="CW41" s="39">
        <f t="shared" si="18"/>
        <v>0.11320543981481482</v>
      </c>
      <c r="CX41" s="39"/>
      <c r="CY41" s="39"/>
      <c r="CZ41" s="39">
        <f t="shared" si="9"/>
        <v>0.10794908843992621</v>
      </c>
      <c r="DA41" s="39">
        <f t="shared" si="10"/>
        <v>6.2857142857142856</v>
      </c>
      <c r="DB41" s="39">
        <v>5</v>
      </c>
      <c r="DC41" s="39">
        <f t="shared" si="11"/>
        <v>4</v>
      </c>
      <c r="DD41" s="39">
        <v>2.9</v>
      </c>
      <c r="DE41" s="39">
        <v>3.5000000000000003E-2</v>
      </c>
      <c r="DF41" s="37"/>
      <c r="DG41" s="39">
        <f t="shared" si="12"/>
        <v>0.47945833333333332</v>
      </c>
      <c r="DH41" s="39">
        <f t="shared" si="13"/>
        <v>3.9619651347068148</v>
      </c>
      <c r="DI41" s="37"/>
      <c r="DJ41" s="37"/>
      <c r="DK41" s="37"/>
      <c r="DL41" s="37"/>
      <c r="DM41" s="39">
        <f t="shared" si="14"/>
        <v>0.60932617195989947</v>
      </c>
      <c r="DN41" s="39"/>
      <c r="DO41" s="39">
        <f t="shared" si="15"/>
        <v>0.60932617195989947</v>
      </c>
      <c r="DP41" s="37"/>
      <c r="DQ41" s="37">
        <f>DO41/'Conversions, Sources &amp; Comments'!E39</f>
        <v>0.45751091733149657</v>
      </c>
    </row>
    <row r="42" spans="1:121">
      <c r="A42" s="42">
        <f t="shared" si="2"/>
        <v>1290</v>
      </c>
      <c r="B42" s="36"/>
      <c r="C42" s="38">
        <v>6</v>
      </c>
      <c r="D42" s="38">
        <v>5.5</v>
      </c>
      <c r="E42" s="38">
        <v>4</v>
      </c>
      <c r="F42" s="38">
        <v>5.63</v>
      </c>
      <c r="G42" s="38">
        <v>2</v>
      </c>
      <c r="H42" s="38">
        <v>6.75</v>
      </c>
      <c r="I42" s="38">
        <v>5</v>
      </c>
      <c r="J42" s="38">
        <v>7.38</v>
      </c>
      <c r="K42" s="36"/>
      <c r="L42" s="36"/>
      <c r="M42" s="38">
        <v>4</v>
      </c>
      <c r="N42" s="36"/>
      <c r="O42" s="38">
        <v>9</v>
      </c>
      <c r="P42" s="38">
        <v>0.75</v>
      </c>
      <c r="Q42" s="36"/>
      <c r="R42" s="36"/>
      <c r="S42" s="36"/>
      <c r="T42" s="36"/>
      <c r="U42" s="38">
        <v>3.375</v>
      </c>
      <c r="V42" s="36"/>
      <c r="W42" s="36"/>
      <c r="X42" s="36"/>
      <c r="Y42" s="36"/>
      <c r="Z42" s="38">
        <v>1</v>
      </c>
      <c r="AA42" s="38">
        <v>0</v>
      </c>
      <c r="AB42" s="36"/>
      <c r="AC42" s="38">
        <v>1</v>
      </c>
      <c r="AD42" s="38">
        <v>0</v>
      </c>
      <c r="AE42" s="36"/>
      <c r="AF42" s="36"/>
      <c r="AG42" s="38">
        <v>3</v>
      </c>
      <c r="AH42" s="38">
        <v>4</v>
      </c>
      <c r="AI42" s="36"/>
      <c r="AJ42" s="36"/>
      <c r="AK42" s="38">
        <v>4</v>
      </c>
      <c r="AL42" s="38">
        <v>8.5</v>
      </c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59">
        <v>4.333333333333333</v>
      </c>
      <c r="BH42" s="59"/>
      <c r="BI42" s="59">
        <v>0.1036316877723467</v>
      </c>
      <c r="BJ42" s="59"/>
      <c r="BK42" s="36"/>
      <c r="BL42" s="36"/>
      <c r="BM42" s="36"/>
      <c r="BN42" s="38">
        <v>21.6</v>
      </c>
      <c r="BO42" s="36"/>
      <c r="BP42" s="39">
        <f t="shared" si="0"/>
        <v>1.3318287037037038</v>
      </c>
      <c r="BQ42" s="37"/>
      <c r="BR42" s="39">
        <f t="shared" si="1"/>
        <v>0.36614139755745589</v>
      </c>
      <c r="BS42" s="37"/>
      <c r="BT42" s="37"/>
      <c r="BU42" s="37"/>
      <c r="BV42" s="39">
        <f t="shared" si="3"/>
        <v>0.24566906674822844</v>
      </c>
      <c r="BW42" s="37"/>
      <c r="BX42" s="39">
        <f t="shared" si="4"/>
        <v>0.20240454082485917</v>
      </c>
      <c r="BY42" s="39">
        <f>$BP42*(12*Z42+AA42)/(12*0.453592)</f>
        <v>2.9361820836868899</v>
      </c>
      <c r="BZ42" s="37"/>
      <c r="CA42" s="37"/>
      <c r="CB42" s="39">
        <f t="shared" si="19"/>
        <v>1.4254901857185234</v>
      </c>
      <c r="CC42" s="39">
        <f t="shared" si="17"/>
        <v>7.4915364583333338E-2</v>
      </c>
      <c r="CD42" s="39">
        <f t="shared" si="20"/>
        <v>7.5248321759259273E-2</v>
      </c>
      <c r="CE42" s="37"/>
      <c r="CF42" s="37"/>
      <c r="CG42" s="37"/>
      <c r="CH42" s="37"/>
      <c r="CI42" s="37"/>
      <c r="CJ42" s="37"/>
      <c r="CK42" s="39">
        <f>BP42*(12*AC42+AD42)/(35.238*8)</f>
        <v>5.6692861557283487E-2</v>
      </c>
      <c r="CL42" s="39">
        <f t="shared" si="24"/>
        <v>0.53273148148148153</v>
      </c>
      <c r="CM42" s="39">
        <f>BP42*(12*$AC42+$AD42)/(35.238*8)/0.283</f>
        <v>0.20032813271124908</v>
      </c>
      <c r="CN42" s="37"/>
      <c r="CO42" s="39">
        <f>0.063495+(0.016949+0.014096)*Wages!P40+1.22592*BR42</f>
        <v>0.6777415505195622</v>
      </c>
      <c r="CP42" s="39"/>
      <c r="CQ42" s="39">
        <f t="shared" si="5"/>
        <v>0.6777415505195622</v>
      </c>
      <c r="CR42" s="39">
        <f t="shared" si="22"/>
        <v>0.24566906674822844</v>
      </c>
      <c r="CS42" s="39">
        <f t="shared" si="7"/>
        <v>1.0270612518220417</v>
      </c>
      <c r="CT42" s="39">
        <f t="shared" si="8"/>
        <v>2.9563426895118945</v>
      </c>
      <c r="CU42" s="39">
        <f t="shared" si="21"/>
        <v>1.4254901857185234</v>
      </c>
      <c r="CV42" s="39">
        <f t="shared" si="18"/>
        <v>7.4915364583333338E-2</v>
      </c>
      <c r="CW42" s="39">
        <f t="shared" si="18"/>
        <v>7.5248321759259273E-2</v>
      </c>
      <c r="CX42" s="39"/>
      <c r="CY42" s="39"/>
      <c r="CZ42" s="39">
        <f t="shared" si="9"/>
        <v>0.20240454082485917</v>
      </c>
      <c r="DA42" s="39">
        <f t="shared" si="10"/>
        <v>4.6140004172222557</v>
      </c>
      <c r="DB42" s="39">
        <v>5</v>
      </c>
      <c r="DC42" s="39">
        <f t="shared" si="11"/>
        <v>2.9361820836868899</v>
      </c>
      <c r="DD42" s="39">
        <v>2.9</v>
      </c>
      <c r="DE42" s="39">
        <f>CK42</f>
        <v>5.6692861557283487E-2</v>
      </c>
      <c r="DF42" s="37"/>
      <c r="DG42" s="39">
        <f t="shared" si="12"/>
        <v>0.53273148148148153</v>
      </c>
      <c r="DH42" s="39">
        <f t="shared" si="13"/>
        <v>6.4175754536204987</v>
      </c>
      <c r="DI42" s="37"/>
      <c r="DJ42" s="37"/>
      <c r="DK42" s="37"/>
      <c r="DL42" s="37"/>
      <c r="DM42" s="39">
        <f t="shared" si="14"/>
        <v>0.74862720544307193</v>
      </c>
      <c r="DN42" s="39"/>
      <c r="DO42" s="39">
        <f t="shared" si="15"/>
        <v>0.74862720544307193</v>
      </c>
      <c r="DP42" s="37"/>
      <c r="DQ42" s="37">
        <f>DO42/'Conversions, Sources &amp; Comments'!E40</f>
        <v>0.56210472364892161</v>
      </c>
    </row>
    <row r="43" spans="1:121">
      <c r="A43" s="42">
        <f t="shared" si="2"/>
        <v>1291</v>
      </c>
      <c r="B43" s="36"/>
      <c r="C43" s="38">
        <v>5</v>
      </c>
      <c r="D43" s="38">
        <v>7.25</v>
      </c>
      <c r="E43" s="38">
        <v>4</v>
      </c>
      <c r="F43" s="38">
        <v>4.5</v>
      </c>
      <c r="G43" s="38">
        <v>2</v>
      </c>
      <c r="H43" s="38">
        <v>2.88</v>
      </c>
      <c r="I43" s="38">
        <v>4</v>
      </c>
      <c r="J43" s="38">
        <v>3.25</v>
      </c>
      <c r="K43" s="36"/>
      <c r="L43" s="36"/>
      <c r="M43" s="38">
        <v>4</v>
      </c>
      <c r="N43" s="38">
        <v>6</v>
      </c>
      <c r="O43" s="38">
        <v>9</v>
      </c>
      <c r="P43" s="38">
        <v>3.5</v>
      </c>
      <c r="Q43" s="36"/>
      <c r="R43" s="36"/>
      <c r="S43" s="36"/>
      <c r="T43" s="36"/>
      <c r="U43" s="38">
        <v>3.75</v>
      </c>
      <c r="V43" s="36"/>
      <c r="W43" s="38">
        <v>6</v>
      </c>
      <c r="X43" s="36"/>
      <c r="Y43" s="36"/>
      <c r="Z43" s="36"/>
      <c r="AA43" s="36"/>
      <c r="AB43" s="36"/>
      <c r="AC43" s="38">
        <v>0</v>
      </c>
      <c r="AD43" s="38">
        <v>5</v>
      </c>
      <c r="AE43" s="36"/>
      <c r="AF43" s="36"/>
      <c r="AG43" s="38">
        <v>2</v>
      </c>
      <c r="AH43" s="38">
        <v>1</v>
      </c>
      <c r="AI43" s="36"/>
      <c r="AJ43" s="36"/>
      <c r="AK43" s="38">
        <v>4</v>
      </c>
      <c r="AL43" s="38">
        <v>10.75</v>
      </c>
      <c r="AM43" s="36"/>
      <c r="AN43" s="36"/>
      <c r="AO43" s="38">
        <v>1</v>
      </c>
      <c r="AP43" s="38">
        <v>0</v>
      </c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59">
        <v>4.75</v>
      </c>
      <c r="BH43" s="59"/>
      <c r="BI43" s="59">
        <v>8.4287106054842589E-2</v>
      </c>
      <c r="BJ43" s="59"/>
      <c r="BK43" s="36"/>
      <c r="BL43" s="36"/>
      <c r="BM43" s="36"/>
      <c r="BN43" s="38">
        <v>21.6</v>
      </c>
      <c r="BO43" s="36"/>
      <c r="BP43" s="39">
        <f t="shared" si="0"/>
        <v>1.3318287037037038</v>
      </c>
      <c r="BQ43" s="37"/>
      <c r="BR43" s="39">
        <f t="shared" si="1"/>
        <v>0.31771624497727624</v>
      </c>
      <c r="BS43" s="37"/>
      <c r="BT43" s="37"/>
      <c r="BU43" s="37"/>
      <c r="BV43" s="39">
        <f t="shared" si="3"/>
        <v>0.26929109239709659</v>
      </c>
      <c r="BW43" s="37"/>
      <c r="BX43" s="39">
        <f t="shared" si="4"/>
        <v>0.16462235987088664</v>
      </c>
      <c r="BY43" s="39">
        <v>4</v>
      </c>
      <c r="BZ43" s="37"/>
      <c r="CA43" s="37"/>
      <c r="CB43" s="39">
        <f t="shared" si="19"/>
        <v>1.4615370639780725</v>
      </c>
      <c r="CC43" s="39">
        <f t="shared" si="17"/>
        <v>8.3239293981481485E-2</v>
      </c>
      <c r="CD43" s="39">
        <f t="shared" si="20"/>
        <v>7.8244936342592594E-2</v>
      </c>
      <c r="CE43" s="37"/>
      <c r="CF43" s="37"/>
      <c r="CG43" s="39">
        <f>BP43*(12*AO43+AP43)/4.55</f>
        <v>3.5125152625152625</v>
      </c>
      <c r="CH43" s="37"/>
      <c r="CI43" s="37"/>
      <c r="CJ43" s="37"/>
      <c r="CK43" s="39">
        <f>BP43*(12*AC43+AD43)/(35.238*8)</f>
        <v>2.3622025648868124E-2</v>
      </c>
      <c r="CL43" s="39">
        <f t="shared" si="24"/>
        <v>0.33295717592592594</v>
      </c>
      <c r="CM43" s="39">
        <f>BP43*(12*$AC43+$AD43)/(35.238*8)/0.283</f>
        <v>8.3470055296353804E-2</v>
      </c>
      <c r="CN43" s="37"/>
      <c r="CO43" s="39">
        <f>0.063495+(0.016949+0.014096)*Wages!P41+1.22592*BR43</f>
        <v>0.61837618746846834</v>
      </c>
      <c r="CP43" s="39"/>
      <c r="CQ43" s="39">
        <f t="shared" si="5"/>
        <v>0.61837618746846834</v>
      </c>
      <c r="CR43" s="39">
        <f t="shared" si="22"/>
        <v>0.26929109239709659</v>
      </c>
      <c r="CS43" s="39">
        <f t="shared" si="7"/>
        <v>1.0530329156612199</v>
      </c>
      <c r="CT43" s="39">
        <f t="shared" si="8"/>
        <v>3.0311007805110464</v>
      </c>
      <c r="CU43" s="39">
        <f t="shared" si="21"/>
        <v>1.4615370639780725</v>
      </c>
      <c r="CV43" s="39">
        <f t="shared" si="18"/>
        <v>8.3239293981481485E-2</v>
      </c>
      <c r="CW43" s="39">
        <f t="shared" si="18"/>
        <v>7.8244936342592594E-2</v>
      </c>
      <c r="CX43" s="39"/>
      <c r="CY43" s="39"/>
      <c r="CZ43" s="39">
        <f t="shared" si="9"/>
        <v>0.16462235987088664</v>
      </c>
      <c r="DA43" s="39">
        <f t="shared" si="10"/>
        <v>6.2857142857142856</v>
      </c>
      <c r="DB43" s="39">
        <v>5</v>
      </c>
      <c r="DC43" s="39">
        <f t="shared" si="11"/>
        <v>4</v>
      </c>
      <c r="DD43" s="39">
        <f>CG43</f>
        <v>3.5125152625152625</v>
      </c>
      <c r="DE43" s="39">
        <f>CK43</f>
        <v>2.3622025648868124E-2</v>
      </c>
      <c r="DF43" s="37"/>
      <c r="DG43" s="39">
        <f t="shared" si="12"/>
        <v>0.33295717592592594</v>
      </c>
      <c r="DH43" s="39">
        <f t="shared" si="13"/>
        <v>2.6739897723418751</v>
      </c>
      <c r="DI43" s="37"/>
      <c r="DJ43" s="37"/>
      <c r="DK43" s="37"/>
      <c r="DL43" s="37"/>
      <c r="DM43" s="39">
        <f t="shared" si="14"/>
        <v>0.6888988420380443</v>
      </c>
      <c r="DN43" s="39"/>
      <c r="DO43" s="39">
        <f t="shared" si="15"/>
        <v>0.6888988420380443</v>
      </c>
      <c r="DP43" s="37"/>
      <c r="DQ43" s="37">
        <f>DO43/'Conversions, Sources &amp; Comments'!E41</f>
        <v>0.5172578426356742</v>
      </c>
    </row>
    <row r="44" spans="1:121">
      <c r="A44" s="42">
        <f t="shared" si="2"/>
        <v>1292</v>
      </c>
      <c r="B44" s="36"/>
      <c r="C44" s="38">
        <v>5</v>
      </c>
      <c r="D44" s="38">
        <v>4.63</v>
      </c>
      <c r="E44" s="38">
        <v>3</v>
      </c>
      <c r="F44" s="38">
        <v>11.63</v>
      </c>
      <c r="G44" s="38">
        <v>2</v>
      </c>
      <c r="H44" s="38">
        <v>4.13</v>
      </c>
      <c r="I44" s="38">
        <v>3</v>
      </c>
      <c r="J44" s="38">
        <v>11</v>
      </c>
      <c r="K44" s="36"/>
      <c r="L44" s="36"/>
      <c r="M44" s="38">
        <v>3</v>
      </c>
      <c r="N44" s="38">
        <v>6</v>
      </c>
      <c r="O44" s="38">
        <v>9</v>
      </c>
      <c r="P44" s="38">
        <v>2.25</v>
      </c>
      <c r="Q44" s="36"/>
      <c r="R44" s="36"/>
      <c r="S44" s="36"/>
      <c r="T44" s="36"/>
      <c r="U44" s="38">
        <v>3.625</v>
      </c>
      <c r="V44" s="36"/>
      <c r="W44" s="38">
        <v>6</v>
      </c>
      <c r="X44" s="36"/>
      <c r="Y44" s="36"/>
      <c r="Z44" s="36"/>
      <c r="AA44" s="36"/>
      <c r="AB44" s="36"/>
      <c r="AC44" s="38">
        <v>0</v>
      </c>
      <c r="AD44" s="38">
        <v>6</v>
      </c>
      <c r="AE44" s="36"/>
      <c r="AF44" s="36"/>
      <c r="AG44" s="38">
        <v>2</v>
      </c>
      <c r="AH44" s="38">
        <v>3</v>
      </c>
      <c r="AI44" s="36"/>
      <c r="AJ44" s="36"/>
      <c r="AK44" s="38">
        <v>5</v>
      </c>
      <c r="AL44" s="38">
        <v>11.75</v>
      </c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59">
        <v>5</v>
      </c>
      <c r="BH44" s="59"/>
      <c r="BI44" s="59">
        <v>7.3233059359125469E-2</v>
      </c>
      <c r="BJ44" s="59"/>
      <c r="BK44" s="36"/>
      <c r="BL44" s="36"/>
      <c r="BM44" s="36"/>
      <c r="BN44" s="38">
        <v>21.6</v>
      </c>
      <c r="BO44" s="36"/>
      <c r="BP44" s="39">
        <f t="shared" si="0"/>
        <v>1.3318287037037038</v>
      </c>
      <c r="BQ44" s="37"/>
      <c r="BR44" s="39">
        <f t="shared" si="1"/>
        <v>0.30533830353726932</v>
      </c>
      <c r="BS44" s="37"/>
      <c r="BT44" s="37"/>
      <c r="BU44" s="37"/>
      <c r="BV44" s="39">
        <f t="shared" si="3"/>
        <v>0.28346430778641746</v>
      </c>
      <c r="BW44" s="37"/>
      <c r="BX44" s="39">
        <f t="shared" si="4"/>
        <v>0.1430325421829014</v>
      </c>
      <c r="BY44" s="39">
        <v>4</v>
      </c>
      <c r="BZ44" s="37"/>
      <c r="CA44" s="37"/>
      <c r="CB44" s="39">
        <f t="shared" si="19"/>
        <v>1.445152119314641</v>
      </c>
      <c r="CC44" s="39">
        <f t="shared" si="17"/>
        <v>8.0464650848765432E-2</v>
      </c>
      <c r="CD44" s="39">
        <f t="shared" si="20"/>
        <v>9.5558709490740745E-2</v>
      </c>
      <c r="CE44" s="37"/>
      <c r="CF44" s="37"/>
      <c r="CG44" s="37"/>
      <c r="CH44" s="37"/>
      <c r="CI44" s="37"/>
      <c r="CJ44" s="37"/>
      <c r="CK44" s="39">
        <f>BP44*(12*AC44+AD44)/(35.238*8)</f>
        <v>2.8346430778641744E-2</v>
      </c>
      <c r="CL44" s="39">
        <f t="shared" si="24"/>
        <v>0.35959374999999999</v>
      </c>
      <c r="CM44" s="39">
        <f>BP44*(12*$AC44+$AD44)/(35.238*8)/0.283</f>
        <v>0.10016406635562454</v>
      </c>
      <c r="CN44" s="37"/>
      <c r="CO44" s="39">
        <f>0.063495+(0.016949+0.014096)*Wages!P42+1.22592*BR44</f>
        <v>0.60320182149833512</v>
      </c>
      <c r="CP44" s="39"/>
      <c r="CQ44" s="39">
        <f t="shared" si="5"/>
        <v>0.60320182149833512</v>
      </c>
      <c r="CR44" s="39">
        <f t="shared" si="22"/>
        <v>0.28346430778641746</v>
      </c>
      <c r="CS44" s="39">
        <f t="shared" si="7"/>
        <v>1.0412276139161389</v>
      </c>
      <c r="CT44" s="39">
        <f t="shared" si="8"/>
        <v>2.9971198300568864</v>
      </c>
      <c r="CU44" s="39">
        <f t="shared" si="21"/>
        <v>1.445152119314641</v>
      </c>
      <c r="CV44" s="39">
        <f t="shared" si="18"/>
        <v>8.0464650848765432E-2</v>
      </c>
      <c r="CW44" s="39">
        <f t="shared" si="18"/>
        <v>9.5558709490740745E-2</v>
      </c>
      <c r="CX44" s="39"/>
      <c r="CY44" s="39"/>
      <c r="CZ44" s="39">
        <f t="shared" si="9"/>
        <v>0.1430325421829014</v>
      </c>
      <c r="DA44" s="39">
        <f t="shared" si="10"/>
        <v>6.2857142857142856</v>
      </c>
      <c r="DB44" s="39">
        <v>5</v>
      </c>
      <c r="DC44" s="39">
        <f t="shared" si="11"/>
        <v>4</v>
      </c>
      <c r="DD44" s="39">
        <v>4.3</v>
      </c>
      <c r="DE44" s="39">
        <f>CK44</f>
        <v>2.8346430778641744E-2</v>
      </c>
      <c r="DF44" s="37"/>
      <c r="DG44" s="39">
        <f t="shared" si="12"/>
        <v>0.35959374999999999</v>
      </c>
      <c r="DH44" s="39">
        <f t="shared" si="13"/>
        <v>3.2087877268102494</v>
      </c>
      <c r="DI44" s="37"/>
      <c r="DJ44" s="37"/>
      <c r="DK44" s="37"/>
      <c r="DL44" s="37"/>
      <c r="DM44" s="39">
        <f t="shared" si="14"/>
        <v>0.68420915253403902</v>
      </c>
      <c r="DN44" s="39"/>
      <c r="DO44" s="39">
        <f t="shared" si="15"/>
        <v>0.68420915253403902</v>
      </c>
      <c r="DP44" s="37"/>
      <c r="DQ44" s="37">
        <f>DO44/'Conversions, Sources &amp; Comments'!E42</f>
        <v>0.51373660188529569</v>
      </c>
    </row>
    <row r="45" spans="1:121">
      <c r="A45" s="42">
        <f t="shared" si="2"/>
        <v>1293</v>
      </c>
      <c r="B45" s="36"/>
      <c r="C45" s="38">
        <v>8</v>
      </c>
      <c r="D45" s="38">
        <v>3.13</v>
      </c>
      <c r="E45" s="38">
        <v>5</v>
      </c>
      <c r="F45" s="38">
        <v>1</v>
      </c>
      <c r="G45" s="38">
        <v>2</v>
      </c>
      <c r="H45" s="38">
        <v>9.5</v>
      </c>
      <c r="I45" s="38">
        <v>6</v>
      </c>
      <c r="J45" s="38">
        <v>10.88</v>
      </c>
      <c r="K45" s="36"/>
      <c r="L45" s="36"/>
      <c r="M45" s="38">
        <v>5</v>
      </c>
      <c r="N45" s="38">
        <v>2.375</v>
      </c>
      <c r="O45" s="38">
        <v>9</v>
      </c>
      <c r="P45" s="38">
        <v>8</v>
      </c>
      <c r="Q45" s="36"/>
      <c r="R45" s="36"/>
      <c r="S45" s="36"/>
      <c r="T45" s="36"/>
      <c r="U45" s="38">
        <v>3.75</v>
      </c>
      <c r="V45" s="36"/>
      <c r="W45" s="38">
        <v>7</v>
      </c>
      <c r="X45" s="36"/>
      <c r="Y45" s="36"/>
      <c r="Z45" s="36"/>
      <c r="AA45" s="36"/>
      <c r="AB45" s="36"/>
      <c r="AC45" s="36"/>
      <c r="AD45" s="36"/>
      <c r="AE45" s="36"/>
      <c r="AF45" s="36"/>
      <c r="AG45" s="38">
        <v>2</v>
      </c>
      <c r="AH45" s="38">
        <v>4</v>
      </c>
      <c r="AI45" s="36"/>
      <c r="AJ45" s="36"/>
      <c r="AK45" s="38">
        <v>7</v>
      </c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59">
        <v>4.916666666666667</v>
      </c>
      <c r="BH45" s="59"/>
      <c r="BI45" s="59">
        <v>8.9814129402701143E-2</v>
      </c>
      <c r="BJ45" s="59"/>
      <c r="BK45" s="36"/>
      <c r="BL45" s="36"/>
      <c r="BM45" s="36"/>
      <c r="BN45" s="38">
        <v>21.6</v>
      </c>
      <c r="BO45" s="36"/>
      <c r="BP45" s="39">
        <f t="shared" si="0"/>
        <v>1.3318287037037038</v>
      </c>
      <c r="BQ45" s="37"/>
      <c r="BR45" s="39">
        <f t="shared" si="1"/>
        <v>0.4683302805144593</v>
      </c>
      <c r="BS45" s="37"/>
      <c r="BT45" s="37"/>
      <c r="BU45" s="37"/>
      <c r="BV45" s="39">
        <f t="shared" si="3"/>
        <v>0.27873990265664383</v>
      </c>
      <c r="BW45" s="37"/>
      <c r="BX45" s="39">
        <f t="shared" si="4"/>
        <v>0.17541726871487925</v>
      </c>
      <c r="BY45" s="39">
        <v>4</v>
      </c>
      <c r="BZ45" s="37"/>
      <c r="CA45" s="37"/>
      <c r="CB45" s="39">
        <f t="shared" si="19"/>
        <v>1.5205228647664251</v>
      </c>
      <c r="CC45" s="39">
        <f t="shared" si="17"/>
        <v>8.3239293981481485E-2</v>
      </c>
      <c r="CD45" s="39">
        <f t="shared" si="20"/>
        <v>0.11187361111111112</v>
      </c>
      <c r="CE45" s="37"/>
      <c r="CF45" s="37"/>
      <c r="CG45" s="37"/>
      <c r="CH45" s="37"/>
      <c r="CI45" s="37"/>
      <c r="CJ45" s="37"/>
      <c r="CK45" s="37"/>
      <c r="CL45" s="39">
        <f t="shared" si="24"/>
        <v>0.37291203703703707</v>
      </c>
      <c r="CM45" s="37"/>
      <c r="CN45" s="37"/>
      <c r="CO45" s="39">
        <f>0.063495+(0.016949+0.014096)*Wages!P43+1.22592*BR45</f>
        <v>0.8030169459142118</v>
      </c>
      <c r="CP45" s="39"/>
      <c r="CQ45" s="39">
        <f t="shared" si="5"/>
        <v>0.8030169459142118</v>
      </c>
      <c r="CR45" s="39">
        <f t="shared" si="22"/>
        <v>0.27873990265664383</v>
      </c>
      <c r="CS45" s="39">
        <f t="shared" si="7"/>
        <v>1.0955320019435111</v>
      </c>
      <c r="CT45" s="39">
        <f t="shared" si="8"/>
        <v>3.1534322021460208</v>
      </c>
      <c r="CU45" s="39">
        <f t="shared" si="21"/>
        <v>1.5205228647664251</v>
      </c>
      <c r="CV45" s="39">
        <f t="shared" si="18"/>
        <v>8.3239293981481485E-2</v>
      </c>
      <c r="CW45" s="39">
        <f t="shared" si="18"/>
        <v>0.11187361111111112</v>
      </c>
      <c r="CX45" s="39"/>
      <c r="CY45" s="39"/>
      <c r="CZ45" s="39">
        <f t="shared" si="9"/>
        <v>0.17541726871487925</v>
      </c>
      <c r="DA45" s="39">
        <f t="shared" si="10"/>
        <v>6.2857142857142856</v>
      </c>
      <c r="DB45" s="39">
        <v>5</v>
      </c>
      <c r="DC45" s="39">
        <f t="shared" si="11"/>
        <v>4</v>
      </c>
      <c r="DD45" s="39">
        <v>4.3</v>
      </c>
      <c r="DE45" s="39">
        <v>2.5000000000000001E-2</v>
      </c>
      <c r="DF45" s="37"/>
      <c r="DG45" s="39">
        <f t="shared" si="12"/>
        <v>0.37291203703703707</v>
      </c>
      <c r="DH45" s="39">
        <f t="shared" si="13"/>
        <v>2.8299750962191532</v>
      </c>
      <c r="DI45" s="37"/>
      <c r="DJ45" s="37"/>
      <c r="DK45" s="37"/>
      <c r="DL45" s="37"/>
      <c r="DM45" s="39">
        <f t="shared" si="14"/>
        <v>0.78756350962320676</v>
      </c>
      <c r="DN45" s="39"/>
      <c r="DO45" s="39">
        <f t="shared" si="15"/>
        <v>0.78756350962320676</v>
      </c>
      <c r="DP45" s="37"/>
      <c r="DQ45" s="37">
        <f>DO45/'Conversions, Sources &amp; Comments'!E43</f>
        <v>0.59133994291687719</v>
      </c>
    </row>
    <row r="46" spans="1:121">
      <c r="A46" s="42">
        <f t="shared" si="2"/>
        <v>1294</v>
      </c>
      <c r="B46" s="36"/>
      <c r="C46" s="38">
        <v>9</v>
      </c>
      <c r="D46" s="38">
        <v>1.1299999999999999</v>
      </c>
      <c r="E46" s="38">
        <v>6</v>
      </c>
      <c r="F46" s="38">
        <v>1.38</v>
      </c>
      <c r="G46" s="38">
        <v>2</v>
      </c>
      <c r="H46" s="38">
        <v>10.25</v>
      </c>
      <c r="I46" s="38">
        <v>7</v>
      </c>
      <c r="J46" s="38">
        <v>11.63</v>
      </c>
      <c r="K46" s="36"/>
      <c r="L46" s="36"/>
      <c r="M46" s="38">
        <v>7</v>
      </c>
      <c r="N46" s="38">
        <v>8.75</v>
      </c>
      <c r="O46" s="38">
        <v>9</v>
      </c>
      <c r="P46" s="38">
        <v>10</v>
      </c>
      <c r="Q46" s="36"/>
      <c r="R46" s="36"/>
      <c r="S46" s="36"/>
      <c r="T46" s="36"/>
      <c r="U46" s="38">
        <v>3.75</v>
      </c>
      <c r="V46" s="36"/>
      <c r="W46" s="36"/>
      <c r="X46" s="36"/>
      <c r="Y46" s="36"/>
      <c r="Z46" s="36"/>
      <c r="AA46" s="36"/>
      <c r="AB46" s="36"/>
      <c r="AC46" s="38">
        <v>0</v>
      </c>
      <c r="AD46" s="38">
        <v>4.5</v>
      </c>
      <c r="AE46" s="36"/>
      <c r="AF46" s="36"/>
      <c r="AG46" s="38">
        <v>2</v>
      </c>
      <c r="AH46" s="38">
        <v>3.5</v>
      </c>
      <c r="AI46" s="36"/>
      <c r="AJ46" s="36"/>
      <c r="AK46" s="38">
        <v>7</v>
      </c>
      <c r="AL46" s="38">
        <v>2.75</v>
      </c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59">
        <v>6.333333333333333</v>
      </c>
      <c r="BH46" s="59"/>
      <c r="BI46" s="59">
        <v>0.11744924614199394</v>
      </c>
      <c r="BJ46" s="59"/>
      <c r="BK46" s="36"/>
      <c r="BL46" s="36"/>
      <c r="BM46" s="36"/>
      <c r="BN46" s="38">
        <v>21.6</v>
      </c>
      <c r="BO46" s="36"/>
      <c r="BP46" s="39">
        <f t="shared" si="0"/>
        <v>1.3318287037037038</v>
      </c>
      <c r="BQ46" s="37"/>
      <c r="BR46" s="39">
        <f t="shared" si="1"/>
        <v>0.51557433181219559</v>
      </c>
      <c r="BS46" s="37"/>
      <c r="BT46" s="37"/>
      <c r="BU46" s="37"/>
      <c r="BV46" s="39">
        <f t="shared" si="3"/>
        <v>0.35905478986279543</v>
      </c>
      <c r="BW46" s="37"/>
      <c r="BX46" s="39">
        <f t="shared" si="4"/>
        <v>0.22939181293484237</v>
      </c>
      <c r="BY46" s="39">
        <v>4</v>
      </c>
      <c r="BZ46" s="37"/>
      <c r="CA46" s="37"/>
      <c r="CB46" s="39">
        <f t="shared" si="19"/>
        <v>1.5467387762279152</v>
      </c>
      <c r="CC46" s="39">
        <f t="shared" si="17"/>
        <v>8.3239293981481485E-2</v>
      </c>
      <c r="CD46" s="39">
        <f t="shared" si="20"/>
        <v>0.1155361400462963</v>
      </c>
      <c r="CE46" s="37"/>
      <c r="CF46" s="37"/>
      <c r="CG46" s="37"/>
      <c r="CH46" s="37"/>
      <c r="CI46" s="37"/>
      <c r="CJ46" s="37"/>
      <c r="CK46" s="39">
        <f>BP46*(12*AC46+AD46)/(35.238*8)</f>
        <v>2.1259823083981309E-2</v>
      </c>
      <c r="CL46" s="39">
        <f t="shared" si="24"/>
        <v>0.36625289351851853</v>
      </c>
      <c r="CM46" s="39">
        <f>BP46*(12*$AC46+$AD46)/(35.238*8)/0.283</f>
        <v>7.5123049766718408E-2</v>
      </c>
      <c r="CN46" s="37"/>
      <c r="CO46" s="39">
        <f>0.063495+(0.016949+0.014096)*Wages!P44+1.22592*BR46</f>
        <v>0.86093437328113265</v>
      </c>
      <c r="CP46" s="39"/>
      <c r="CQ46" s="39">
        <f t="shared" si="5"/>
        <v>0.86093437328113265</v>
      </c>
      <c r="CR46" s="39">
        <f t="shared" si="22"/>
        <v>0.35905478986279543</v>
      </c>
      <c r="CS46" s="39">
        <f t="shared" si="7"/>
        <v>1.1144204847356407</v>
      </c>
      <c r="CT46" s="39">
        <f t="shared" si="8"/>
        <v>3.2078017228726763</v>
      </c>
      <c r="CU46" s="39">
        <f t="shared" si="21"/>
        <v>1.5467387762279152</v>
      </c>
      <c r="CV46" s="39">
        <f t="shared" si="18"/>
        <v>8.3239293981481485E-2</v>
      </c>
      <c r="CW46" s="39">
        <f t="shared" si="18"/>
        <v>0.1155361400462963</v>
      </c>
      <c r="CX46" s="39"/>
      <c r="CY46" s="39"/>
      <c r="CZ46" s="39">
        <f t="shared" si="9"/>
        <v>0.22939181293484237</v>
      </c>
      <c r="DA46" s="39">
        <f t="shared" si="10"/>
        <v>6.2857142857142856</v>
      </c>
      <c r="DB46" s="39">
        <v>5</v>
      </c>
      <c r="DC46" s="39">
        <f t="shared" si="11"/>
        <v>4</v>
      </c>
      <c r="DD46" s="39">
        <v>4.3</v>
      </c>
      <c r="DE46" s="39">
        <f>CK46</f>
        <v>2.1259823083981309E-2</v>
      </c>
      <c r="DF46" s="37"/>
      <c r="DG46" s="39">
        <f t="shared" si="12"/>
        <v>0.36625289351851853</v>
      </c>
      <c r="DH46" s="39">
        <f t="shared" si="13"/>
        <v>2.4065907951076873</v>
      </c>
      <c r="DI46" s="37"/>
      <c r="DJ46" s="37"/>
      <c r="DK46" s="37"/>
      <c r="DL46" s="37"/>
      <c r="DM46" s="39">
        <f t="shared" si="14"/>
        <v>0.84380359005235528</v>
      </c>
      <c r="DN46" s="39"/>
      <c r="DO46" s="39">
        <f t="shared" si="15"/>
        <v>0.84380359005235528</v>
      </c>
      <c r="DP46" s="37"/>
      <c r="DQ46" s="37">
        <f>DO46/'Conversions, Sources &amp; Comments'!E44</f>
        <v>0.63356765604000598</v>
      </c>
    </row>
    <row r="47" spans="1:121">
      <c r="A47" s="42">
        <f t="shared" si="2"/>
        <v>1295</v>
      </c>
      <c r="B47" s="36"/>
      <c r="C47" s="38">
        <v>6</v>
      </c>
      <c r="D47" s="38">
        <v>9</v>
      </c>
      <c r="E47" s="38">
        <v>4</v>
      </c>
      <c r="F47" s="38">
        <v>4.63</v>
      </c>
      <c r="G47" s="38">
        <v>2</v>
      </c>
      <c r="H47" s="38">
        <v>4.75</v>
      </c>
      <c r="I47" s="38">
        <v>5</v>
      </c>
      <c r="J47" s="38">
        <v>2</v>
      </c>
      <c r="K47" s="36"/>
      <c r="L47" s="36"/>
      <c r="M47" s="38">
        <v>4</v>
      </c>
      <c r="N47" s="38">
        <v>7.875</v>
      </c>
      <c r="O47" s="38">
        <v>9</v>
      </c>
      <c r="P47" s="38">
        <v>2.5</v>
      </c>
      <c r="Q47" s="36"/>
      <c r="R47" s="36"/>
      <c r="S47" s="36"/>
      <c r="T47" s="36"/>
      <c r="U47" s="38">
        <v>3.875</v>
      </c>
      <c r="V47" s="36"/>
      <c r="W47" s="38">
        <v>8.75</v>
      </c>
      <c r="X47" s="36"/>
      <c r="Y47" s="36"/>
      <c r="Z47" s="36"/>
      <c r="AA47" s="36"/>
      <c r="AB47" s="36"/>
      <c r="AC47" s="38">
        <v>0</v>
      </c>
      <c r="AD47" s="38">
        <v>5.75</v>
      </c>
      <c r="AE47" s="36"/>
      <c r="AF47" s="36"/>
      <c r="AG47" s="38">
        <v>3</v>
      </c>
      <c r="AH47" s="38">
        <v>8</v>
      </c>
      <c r="AI47" s="36"/>
      <c r="AJ47" s="36"/>
      <c r="AK47" s="38">
        <v>6</v>
      </c>
      <c r="AL47" s="38">
        <v>9.25</v>
      </c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59">
        <v>5.166666666666667</v>
      </c>
      <c r="BH47" s="59"/>
      <c r="BI47" s="59">
        <v>8.4287106054842589E-2</v>
      </c>
      <c r="BJ47" s="59"/>
      <c r="BK47" s="36"/>
      <c r="BL47" s="36"/>
      <c r="BM47" s="36"/>
      <c r="BN47" s="38">
        <v>21.6</v>
      </c>
      <c r="BO47" s="36"/>
      <c r="BP47" s="39">
        <f t="shared" si="0"/>
        <v>1.3318287037037038</v>
      </c>
      <c r="BQ47" s="37"/>
      <c r="BR47" s="39">
        <f t="shared" si="1"/>
        <v>0.3826768155116636</v>
      </c>
      <c r="BS47" s="37"/>
      <c r="BT47" s="37"/>
      <c r="BU47" s="37"/>
      <c r="BV47" s="39">
        <f t="shared" si="3"/>
        <v>0.2929131180459647</v>
      </c>
      <c r="BW47" s="37"/>
      <c r="BX47" s="39">
        <f t="shared" si="4"/>
        <v>0.16462235987088664</v>
      </c>
      <c r="BY47" s="39">
        <v>4</v>
      </c>
      <c r="BZ47" s="37"/>
      <c r="CA47" s="37"/>
      <c r="CB47" s="39">
        <f t="shared" si="19"/>
        <v>1.4484291082473275</v>
      </c>
      <c r="CC47" s="39">
        <f t="shared" si="17"/>
        <v>8.6013937114197525E-2</v>
      </c>
      <c r="CD47" s="39">
        <f t="shared" si="20"/>
        <v>0.10821108217592593</v>
      </c>
      <c r="CE47" s="37"/>
      <c r="CF47" s="37"/>
      <c r="CG47" s="37"/>
      <c r="CH47" s="37"/>
      <c r="CI47" s="37"/>
      <c r="CJ47" s="37"/>
      <c r="CK47" s="39">
        <f>BP47*(12*AC47+AD47)/(35.238*8)</f>
        <v>2.7165329496198338E-2</v>
      </c>
      <c r="CL47" s="39">
        <f t="shared" si="24"/>
        <v>0.58600462962962963</v>
      </c>
      <c r="CM47" s="39">
        <f>BP47*(12*$AC47+$AD47)/(35.238*8)/0.283</f>
        <v>9.5990563590806863E-2</v>
      </c>
      <c r="CN47" s="37"/>
      <c r="CO47" s="39">
        <f>0.063495+(0.016949+0.014096)*Wages!P45+1.22592*BR47</f>
        <v>0.69801265009798452</v>
      </c>
      <c r="CP47" s="39"/>
      <c r="CQ47" s="39">
        <f t="shared" si="5"/>
        <v>0.69801265009798452</v>
      </c>
      <c r="CR47" s="39">
        <f t="shared" si="22"/>
        <v>0.2929131180459647</v>
      </c>
      <c r="CS47" s="39">
        <f t="shared" si="7"/>
        <v>1.0435886742651552</v>
      </c>
      <c r="CT47" s="39">
        <f t="shared" si="8"/>
        <v>3.0039160201477184</v>
      </c>
      <c r="CU47" s="39">
        <f t="shared" si="21"/>
        <v>1.4484291082473275</v>
      </c>
      <c r="CV47" s="39">
        <f t="shared" si="18"/>
        <v>8.6013937114197525E-2</v>
      </c>
      <c r="CW47" s="39">
        <f t="shared" si="18"/>
        <v>0.10821108217592593</v>
      </c>
      <c r="CX47" s="39"/>
      <c r="CY47" s="39"/>
      <c r="CZ47" s="39">
        <f t="shared" si="9"/>
        <v>0.16462235987088664</v>
      </c>
      <c r="DA47" s="39">
        <f t="shared" si="10"/>
        <v>6.2857142857142856</v>
      </c>
      <c r="DB47" s="39">
        <v>5</v>
      </c>
      <c r="DC47" s="39">
        <f t="shared" si="11"/>
        <v>4</v>
      </c>
      <c r="DD47" s="39">
        <v>4.3</v>
      </c>
      <c r="DE47" s="39">
        <f>CK47</f>
        <v>2.7165329496198338E-2</v>
      </c>
      <c r="DF47" s="37"/>
      <c r="DG47" s="39">
        <f t="shared" si="12"/>
        <v>0.58600462962962963</v>
      </c>
      <c r="DH47" s="39">
        <f t="shared" si="13"/>
        <v>3.0750882381931559</v>
      </c>
      <c r="DI47" s="37"/>
      <c r="DJ47" s="37"/>
      <c r="DK47" s="37"/>
      <c r="DL47" s="37"/>
      <c r="DM47" s="39">
        <f t="shared" si="14"/>
        <v>0.73581232530985063</v>
      </c>
      <c r="DN47" s="39"/>
      <c r="DO47" s="39">
        <f t="shared" si="15"/>
        <v>0.73581232530985063</v>
      </c>
      <c r="DP47" s="37"/>
      <c r="DQ47" s="37">
        <f>DO47/'Conversions, Sources &amp; Comments'!E45</f>
        <v>0.55248270536865463</v>
      </c>
    </row>
    <row r="48" spans="1:121">
      <c r="A48" s="42">
        <f t="shared" si="2"/>
        <v>1296</v>
      </c>
      <c r="B48" s="36"/>
      <c r="C48" s="38">
        <v>4</v>
      </c>
      <c r="D48" s="38">
        <v>9.25</v>
      </c>
      <c r="E48" s="38">
        <v>3</v>
      </c>
      <c r="F48" s="38">
        <v>9.1300000000000008</v>
      </c>
      <c r="G48" s="38">
        <v>2</v>
      </c>
      <c r="H48" s="38">
        <v>3.25</v>
      </c>
      <c r="I48" s="38">
        <v>3</v>
      </c>
      <c r="J48" s="38">
        <v>9.6300000000000008</v>
      </c>
      <c r="K48" s="36"/>
      <c r="L48" s="36"/>
      <c r="M48" s="38">
        <v>3</v>
      </c>
      <c r="N48" s="38">
        <v>7.375</v>
      </c>
      <c r="O48" s="38">
        <v>8</v>
      </c>
      <c r="P48" s="38">
        <v>7</v>
      </c>
      <c r="Q48" s="36"/>
      <c r="R48" s="36"/>
      <c r="S48" s="36"/>
      <c r="T48" s="36"/>
      <c r="U48" s="38">
        <v>3.875</v>
      </c>
      <c r="V48" s="36"/>
      <c r="W48" s="38">
        <v>7</v>
      </c>
      <c r="X48" s="36"/>
      <c r="Y48" s="36"/>
      <c r="Z48" s="36"/>
      <c r="AA48" s="36"/>
      <c r="AB48" s="36"/>
      <c r="AC48" s="38">
        <v>0</v>
      </c>
      <c r="AD48" s="38">
        <v>4</v>
      </c>
      <c r="AE48" s="36"/>
      <c r="AF48" s="36"/>
      <c r="AG48" s="38">
        <v>2</v>
      </c>
      <c r="AH48" s="38">
        <v>10</v>
      </c>
      <c r="AI48" s="36"/>
      <c r="AJ48" s="36"/>
      <c r="AK48" s="38">
        <v>7</v>
      </c>
      <c r="AL48" s="38">
        <v>10.75</v>
      </c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59">
        <v>3.6666666666666665</v>
      </c>
      <c r="BH48" s="59"/>
      <c r="BI48" s="59">
        <v>7.7378326870019817E-2</v>
      </c>
      <c r="BJ48" s="59"/>
      <c r="BK48" s="36"/>
      <c r="BL48" s="36"/>
      <c r="BM48" s="36"/>
      <c r="BN48" s="38">
        <v>21.6</v>
      </c>
      <c r="BO48" s="36"/>
      <c r="BP48" s="39">
        <f t="shared" si="0"/>
        <v>1.3318287037037038</v>
      </c>
      <c r="BQ48" s="37"/>
      <c r="BR48" s="39">
        <f t="shared" si="1"/>
        <v>0.27047219367953995</v>
      </c>
      <c r="BS48" s="37"/>
      <c r="BT48" s="37"/>
      <c r="BU48" s="37"/>
      <c r="BV48" s="39">
        <f t="shared" si="3"/>
        <v>0.20787382571003943</v>
      </c>
      <c r="BW48" s="37"/>
      <c r="BX48" s="39">
        <f t="shared" si="4"/>
        <v>0.1511287238158967</v>
      </c>
      <c r="BY48" s="39">
        <v>4</v>
      </c>
      <c r="BZ48" s="37"/>
      <c r="CA48" s="37"/>
      <c r="CB48" s="39">
        <f t="shared" si="19"/>
        <v>1.3501194402667398</v>
      </c>
      <c r="CC48" s="39">
        <f t="shared" si="17"/>
        <v>8.6013937114197525E-2</v>
      </c>
      <c r="CD48" s="39">
        <f t="shared" si="20"/>
        <v>0.12619076967592593</v>
      </c>
      <c r="CE48" s="37"/>
      <c r="CF48" s="37"/>
      <c r="CG48" s="37"/>
      <c r="CH48" s="37"/>
      <c r="CI48" s="37"/>
      <c r="CJ48" s="37"/>
      <c r="CK48" s="39">
        <f>BP48*(12*AC48+AD48)/(35.238*8)</f>
        <v>1.8897620519094497E-2</v>
      </c>
      <c r="CL48" s="39">
        <f t="shared" si="24"/>
        <v>0.45282175925925927</v>
      </c>
      <c r="CM48" s="39">
        <f>BP48*(12*$AC48+$AD48)/(35.238*8)/0.283</f>
        <v>6.677604423708304E-2</v>
      </c>
      <c r="CN48" s="37"/>
      <c r="CO48" s="39">
        <f>0.063495+(0.016949+0.014096)*Wages!P46+1.22592*BR48</f>
        <v>0.56045876010154749</v>
      </c>
      <c r="CP48" s="39"/>
      <c r="CQ48" s="39">
        <f t="shared" si="5"/>
        <v>0.56045876010154749</v>
      </c>
      <c r="CR48" s="39">
        <f t="shared" si="22"/>
        <v>0.20787382571003943</v>
      </c>
      <c r="CS48" s="39">
        <f t="shared" si="7"/>
        <v>0.97275686379466975</v>
      </c>
      <c r="CT48" s="39">
        <f t="shared" si="8"/>
        <v>2.800030317422761</v>
      </c>
      <c r="CU48" s="39">
        <f t="shared" si="21"/>
        <v>1.3501194402667398</v>
      </c>
      <c r="CV48" s="39">
        <f t="shared" si="18"/>
        <v>8.6013937114197525E-2</v>
      </c>
      <c r="CW48" s="39">
        <f t="shared" si="18"/>
        <v>0.12619076967592593</v>
      </c>
      <c r="CX48" s="39"/>
      <c r="CY48" s="39"/>
      <c r="CZ48" s="39">
        <f t="shared" si="9"/>
        <v>0.1511287238158967</v>
      </c>
      <c r="DA48" s="39">
        <f t="shared" si="10"/>
        <v>6.2857142857142856</v>
      </c>
      <c r="DB48" s="39">
        <v>5</v>
      </c>
      <c r="DC48" s="39">
        <f t="shared" si="11"/>
        <v>4</v>
      </c>
      <c r="DD48" s="39">
        <v>4.3</v>
      </c>
      <c r="DE48" s="39">
        <f>CK48</f>
        <v>1.8897620519094497E-2</v>
      </c>
      <c r="DF48" s="37"/>
      <c r="DG48" s="39">
        <f t="shared" si="12"/>
        <v>0.45282175925925927</v>
      </c>
      <c r="DH48" s="39">
        <f t="shared" si="13"/>
        <v>2.1391918178734999</v>
      </c>
      <c r="DI48" s="37"/>
      <c r="DJ48" s="37"/>
      <c r="DK48" s="37"/>
      <c r="DL48" s="37"/>
      <c r="DM48" s="39">
        <f t="shared" si="14"/>
        <v>0.63939067336365885</v>
      </c>
      <c r="DN48" s="39"/>
      <c r="DO48" s="39">
        <f t="shared" si="15"/>
        <v>0.63939067336365885</v>
      </c>
      <c r="DP48" s="37"/>
      <c r="DQ48" s="37">
        <f>DO48/'Conversions, Sources &amp; Comments'!E46</f>
        <v>0.48008476734700722</v>
      </c>
    </row>
    <row r="49" spans="1:121">
      <c r="A49" s="42">
        <f t="shared" si="2"/>
        <v>1297</v>
      </c>
      <c r="B49" s="36"/>
      <c r="C49" s="38">
        <v>5</v>
      </c>
      <c r="D49" s="38">
        <v>2.5</v>
      </c>
      <c r="E49" s="38">
        <v>4</v>
      </c>
      <c r="F49" s="38">
        <v>2.88</v>
      </c>
      <c r="G49" s="38">
        <v>2</v>
      </c>
      <c r="H49" s="38">
        <v>4.75</v>
      </c>
      <c r="I49" s="38">
        <v>3</v>
      </c>
      <c r="J49" s="38">
        <v>0.75</v>
      </c>
      <c r="K49" s="36"/>
      <c r="L49" s="36"/>
      <c r="M49" s="38">
        <v>4</v>
      </c>
      <c r="N49" s="38">
        <v>0.5</v>
      </c>
      <c r="O49" s="38">
        <v>9</v>
      </c>
      <c r="P49" s="38">
        <v>4.5</v>
      </c>
      <c r="Q49" s="36"/>
      <c r="R49" s="36"/>
      <c r="S49" s="36"/>
      <c r="T49" s="36"/>
      <c r="U49" s="38">
        <v>3.875</v>
      </c>
      <c r="V49" s="36"/>
      <c r="W49" s="38">
        <v>9</v>
      </c>
      <c r="X49" s="36"/>
      <c r="Y49" s="36"/>
      <c r="Z49" s="36"/>
      <c r="AA49" s="36"/>
      <c r="AB49" s="36"/>
      <c r="AC49" s="38">
        <v>0</v>
      </c>
      <c r="AD49" s="38">
        <v>5</v>
      </c>
      <c r="AE49" s="36"/>
      <c r="AF49" s="36"/>
      <c r="AG49" s="38">
        <v>3</v>
      </c>
      <c r="AH49" s="38">
        <v>4</v>
      </c>
      <c r="AI49" s="36"/>
      <c r="AJ49" s="36"/>
      <c r="AK49" s="38">
        <v>5</v>
      </c>
      <c r="AL49" s="38">
        <v>10</v>
      </c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59">
        <v>3.9166666666666665</v>
      </c>
      <c r="BH49" s="59"/>
      <c r="BI49" s="59">
        <v>9.6722908587523915E-2</v>
      </c>
      <c r="BJ49" s="59"/>
      <c r="BK49" s="36"/>
      <c r="BL49" s="36"/>
      <c r="BM49" s="36"/>
      <c r="BN49" s="38">
        <v>21.6</v>
      </c>
      <c r="BO49" s="36"/>
      <c r="BP49" s="39">
        <f t="shared" si="0"/>
        <v>1.3318287037037038</v>
      </c>
      <c r="BQ49" s="37"/>
      <c r="BR49" s="39">
        <f t="shared" si="1"/>
        <v>0.29527532061085149</v>
      </c>
      <c r="BS49" s="37"/>
      <c r="BT49" s="37"/>
      <c r="BU49" s="37"/>
      <c r="BV49" s="39">
        <f t="shared" si="3"/>
        <v>0.22204704109936033</v>
      </c>
      <c r="BW49" s="37"/>
      <c r="BX49" s="39">
        <f t="shared" si="4"/>
        <v>0.18891090476986921</v>
      </c>
      <c r="BY49" s="39">
        <v>4</v>
      </c>
      <c r="BZ49" s="37"/>
      <c r="CA49" s="37"/>
      <c r="CB49" s="39">
        <f t="shared" si="19"/>
        <v>1.4746450197088177</v>
      </c>
      <c r="CC49" s="39">
        <f t="shared" si="17"/>
        <v>8.6013937114197525E-2</v>
      </c>
      <c r="CD49" s="39">
        <f t="shared" si="20"/>
        <v>9.3228009259259267E-2</v>
      </c>
      <c r="CE49" s="37"/>
      <c r="CF49" s="37"/>
      <c r="CG49" s="37"/>
      <c r="CH49" s="37"/>
      <c r="CI49" s="37"/>
      <c r="CJ49" s="37"/>
      <c r="CK49" s="39">
        <f>BP49*(12*AC49+AD49)/(35.238*8)</f>
        <v>2.3622025648868124E-2</v>
      </c>
      <c r="CL49" s="39">
        <f t="shared" si="24"/>
        <v>0.53273148148148153</v>
      </c>
      <c r="CM49" s="39">
        <f>BP49*(12*$AC49+$AD49)/(35.238*8)/0.283</f>
        <v>8.3470055296353804E-2</v>
      </c>
      <c r="CN49" s="37"/>
      <c r="CO49" s="39">
        <f>0.063495+(0.016949+0.014096)*Wages!P47+1.22592*BR49</f>
        <v>0.59086540946918098</v>
      </c>
      <c r="CP49" s="39"/>
      <c r="CQ49" s="39">
        <f t="shared" si="5"/>
        <v>0.59086540946918098</v>
      </c>
      <c r="CR49" s="39">
        <f t="shared" si="22"/>
        <v>0.22204704109936033</v>
      </c>
      <c r="CS49" s="39">
        <f t="shared" si="7"/>
        <v>1.0624771570572846</v>
      </c>
      <c r="CT49" s="39">
        <f t="shared" si="8"/>
        <v>3.0582855408743743</v>
      </c>
      <c r="CU49" s="39">
        <f t="shared" si="21"/>
        <v>1.4746450197088177</v>
      </c>
      <c r="CV49" s="39">
        <f t="shared" si="18"/>
        <v>8.6013937114197525E-2</v>
      </c>
      <c r="CW49" s="39">
        <f t="shared" si="18"/>
        <v>9.3228009259259267E-2</v>
      </c>
      <c r="CX49" s="39"/>
      <c r="CY49" s="39"/>
      <c r="CZ49" s="39">
        <f t="shared" si="9"/>
        <v>0.18891090476986921</v>
      </c>
      <c r="DA49" s="39">
        <f t="shared" si="10"/>
        <v>6.2857142857142856</v>
      </c>
      <c r="DB49" s="39">
        <v>5</v>
      </c>
      <c r="DC49" s="39">
        <f t="shared" si="11"/>
        <v>4</v>
      </c>
      <c r="DD49" s="39">
        <v>4.3</v>
      </c>
      <c r="DE49" s="39">
        <f>CK49</f>
        <v>2.3622025648868124E-2</v>
      </c>
      <c r="DF49" s="37"/>
      <c r="DG49" s="39">
        <f t="shared" si="12"/>
        <v>0.53273148148148153</v>
      </c>
      <c r="DH49" s="39">
        <f t="shared" si="13"/>
        <v>2.6739897723418751</v>
      </c>
      <c r="DI49" s="37"/>
      <c r="DJ49" s="37"/>
      <c r="DK49" s="37"/>
      <c r="DL49" s="37"/>
      <c r="DM49" s="39">
        <f t="shared" si="14"/>
        <v>0.68794361385490155</v>
      </c>
      <c r="DN49" s="39"/>
      <c r="DO49" s="39">
        <f t="shared" si="15"/>
        <v>0.68794361385490155</v>
      </c>
      <c r="DP49" s="37"/>
      <c r="DQ49" s="37">
        <f>DO49/'Conversions, Sources &amp; Comments'!E47</f>
        <v>0.51654061212360725</v>
      </c>
    </row>
    <row r="50" spans="1:121">
      <c r="A50" s="42">
        <f t="shared" si="2"/>
        <v>1298</v>
      </c>
      <c r="B50" s="36"/>
      <c r="C50" s="38">
        <v>5</v>
      </c>
      <c r="D50" s="38">
        <v>2.13</v>
      </c>
      <c r="E50" s="38">
        <v>4</v>
      </c>
      <c r="F50" s="38">
        <v>3.63</v>
      </c>
      <c r="G50" s="38">
        <v>2</v>
      </c>
      <c r="H50" s="38">
        <v>5.5</v>
      </c>
      <c r="I50" s="38">
        <v>4</v>
      </c>
      <c r="J50" s="38">
        <v>0.5</v>
      </c>
      <c r="K50" s="36"/>
      <c r="L50" s="36"/>
      <c r="M50" s="38">
        <v>3</v>
      </c>
      <c r="N50" s="38">
        <v>5.25</v>
      </c>
      <c r="O50" s="38">
        <v>10</v>
      </c>
      <c r="P50" s="38">
        <v>4.75</v>
      </c>
      <c r="Q50" s="36"/>
      <c r="R50" s="36"/>
      <c r="S50" s="36"/>
      <c r="T50" s="36"/>
      <c r="U50" s="38">
        <v>4</v>
      </c>
      <c r="V50" s="36"/>
      <c r="W50" s="38">
        <v>8</v>
      </c>
      <c r="X50" s="36"/>
      <c r="Y50" s="36"/>
      <c r="Z50" s="36"/>
      <c r="AA50" s="36"/>
      <c r="AB50" s="36"/>
      <c r="AC50" s="38">
        <v>0</v>
      </c>
      <c r="AD50" s="38">
        <v>4.5</v>
      </c>
      <c r="AE50" s="36"/>
      <c r="AF50" s="36"/>
      <c r="AG50" s="38">
        <v>1</v>
      </c>
      <c r="AH50" s="38">
        <v>5</v>
      </c>
      <c r="AI50" s="36"/>
      <c r="AJ50" s="36"/>
      <c r="AK50" s="38">
        <v>5</v>
      </c>
      <c r="AL50" s="38">
        <v>8.5</v>
      </c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59">
        <v>4.333333333333333</v>
      </c>
      <c r="BH50" s="59"/>
      <c r="BI50" s="59">
        <v>6.9087791848231134E-2</v>
      </c>
      <c r="BJ50" s="59"/>
      <c r="BK50" s="36"/>
      <c r="BL50" s="36"/>
      <c r="BM50" s="36"/>
      <c r="BN50" s="38">
        <v>21.6</v>
      </c>
      <c r="BO50" s="36"/>
      <c r="BP50" s="39">
        <f t="shared" si="0"/>
        <v>1.3318287037037038</v>
      </c>
      <c r="BQ50" s="37"/>
      <c r="BR50" s="39">
        <f t="shared" si="1"/>
        <v>0.29352729071283529</v>
      </c>
      <c r="BS50" s="37"/>
      <c r="BT50" s="37"/>
      <c r="BU50" s="37"/>
      <c r="BV50" s="39">
        <f t="shared" si="3"/>
        <v>0.24566906674822844</v>
      </c>
      <c r="BW50" s="37"/>
      <c r="BX50" s="39">
        <f t="shared" si="4"/>
        <v>0.13493636054990613</v>
      </c>
      <c r="BY50" s="39">
        <v>4</v>
      </c>
      <c r="BZ50" s="37"/>
      <c r="CA50" s="37"/>
      <c r="CB50" s="39">
        <f t="shared" si="19"/>
        <v>1.6352174774104444</v>
      </c>
      <c r="CC50" s="39">
        <f t="shared" si="17"/>
        <v>8.8788580246913579E-2</v>
      </c>
      <c r="CD50" s="39">
        <f t="shared" si="20"/>
        <v>9.1230266203703711E-2</v>
      </c>
      <c r="CE50" s="37"/>
      <c r="CF50" s="37"/>
      <c r="CG50" s="37"/>
      <c r="CH50" s="37"/>
      <c r="CI50" s="37"/>
      <c r="CJ50" s="37"/>
      <c r="CK50" s="39">
        <f>BP50*(12*AC50+AD50)/(35.238*8)</f>
        <v>2.1259823083981309E-2</v>
      </c>
      <c r="CL50" s="39">
        <f t="shared" si="24"/>
        <v>0.22641087962962964</v>
      </c>
      <c r="CM50" s="39">
        <f>BP50*(12*$AC50+$AD50)/(35.238*8)/0.283</f>
        <v>7.5123049766718408E-2</v>
      </c>
      <c r="CN50" s="37"/>
      <c r="CO50" s="39">
        <f>0.063495+(0.016949+0.014096)*Wages!P48+1.22592*BR50</f>
        <v>0.58872246465660494</v>
      </c>
      <c r="CP50" s="39"/>
      <c r="CQ50" s="39">
        <f t="shared" si="5"/>
        <v>0.58872246465660494</v>
      </c>
      <c r="CR50" s="39">
        <f t="shared" si="22"/>
        <v>0.24566906674822844</v>
      </c>
      <c r="CS50" s="39">
        <f t="shared" si="7"/>
        <v>1.1781691141590778</v>
      </c>
      <c r="CT50" s="39">
        <f t="shared" si="8"/>
        <v>3.3912988553251391</v>
      </c>
      <c r="CU50" s="39">
        <f t="shared" si="21"/>
        <v>1.6352174774104444</v>
      </c>
      <c r="CV50" s="39">
        <f t="shared" si="18"/>
        <v>8.8788580246913579E-2</v>
      </c>
      <c r="CW50" s="39">
        <f t="shared" si="18"/>
        <v>9.1230266203703711E-2</v>
      </c>
      <c r="CX50" s="39"/>
      <c r="CY50" s="39"/>
      <c r="CZ50" s="39">
        <f t="shared" si="9"/>
        <v>0.13493636054990613</v>
      </c>
      <c r="DA50" s="39">
        <f t="shared" si="10"/>
        <v>6.2857142857142856</v>
      </c>
      <c r="DB50" s="39">
        <v>5</v>
      </c>
      <c r="DC50" s="39">
        <f t="shared" si="11"/>
        <v>4</v>
      </c>
      <c r="DD50" s="39">
        <v>4.3</v>
      </c>
      <c r="DE50" s="39">
        <f>CK50</f>
        <v>2.1259823083981309E-2</v>
      </c>
      <c r="DF50" s="37"/>
      <c r="DG50" s="39">
        <f t="shared" si="12"/>
        <v>0.22641087962962964</v>
      </c>
      <c r="DH50" s="39">
        <f t="shared" si="13"/>
        <v>2.4065907951076873</v>
      </c>
      <c r="DI50" s="37"/>
      <c r="DJ50" s="37"/>
      <c r="DK50" s="37"/>
      <c r="DL50" s="37"/>
      <c r="DM50" s="39">
        <f t="shared" si="14"/>
        <v>0.6768490642368582</v>
      </c>
      <c r="DN50" s="39"/>
      <c r="DO50" s="39">
        <f t="shared" si="15"/>
        <v>0.6768490642368582</v>
      </c>
      <c r="DP50" s="37"/>
      <c r="DQ50" s="37">
        <f>DO50/'Conversions, Sources &amp; Comments'!E48</f>
        <v>0.50821029938354523</v>
      </c>
    </row>
    <row r="51" spans="1:121">
      <c r="A51" s="42">
        <f t="shared" si="2"/>
        <v>1299</v>
      </c>
      <c r="B51" s="36"/>
      <c r="C51" s="38">
        <v>6</v>
      </c>
      <c r="D51" s="38">
        <v>0.75</v>
      </c>
      <c r="E51" s="38">
        <v>4</v>
      </c>
      <c r="F51" s="38">
        <v>4.5</v>
      </c>
      <c r="G51" s="38">
        <v>2</v>
      </c>
      <c r="H51" s="38">
        <v>9.1300000000000008</v>
      </c>
      <c r="I51" s="38">
        <v>4</v>
      </c>
      <c r="J51" s="38">
        <v>1.63</v>
      </c>
      <c r="K51" s="36"/>
      <c r="L51" s="36"/>
      <c r="M51" s="38">
        <v>2</v>
      </c>
      <c r="N51" s="38">
        <v>7.75</v>
      </c>
      <c r="O51" s="38">
        <v>10</v>
      </c>
      <c r="P51" s="38">
        <v>5</v>
      </c>
      <c r="Q51" s="36"/>
      <c r="R51" s="36"/>
      <c r="S51" s="36"/>
      <c r="T51" s="36"/>
      <c r="U51" s="38">
        <v>4</v>
      </c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8">
        <v>1</v>
      </c>
      <c r="AH51" s="38">
        <v>8.75</v>
      </c>
      <c r="AI51" s="36"/>
      <c r="AJ51" s="36"/>
      <c r="AK51" s="38">
        <v>11</v>
      </c>
      <c r="AL51" s="38">
        <v>7.25</v>
      </c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59">
        <v>4.25</v>
      </c>
      <c r="BH51" s="59"/>
      <c r="BI51" s="59">
        <v>8.5668861891806808E-2</v>
      </c>
      <c r="BJ51" s="59"/>
      <c r="BK51" s="36"/>
      <c r="BL51" s="36"/>
      <c r="BM51" s="36"/>
      <c r="BN51" s="38">
        <v>21.6</v>
      </c>
      <c r="BO51" s="36"/>
      <c r="BP51" s="39">
        <f t="shared" si="0"/>
        <v>1.3318287037037038</v>
      </c>
      <c r="BQ51" s="37"/>
      <c r="BR51" s="39">
        <f t="shared" si="1"/>
        <v>0.34370047319103114</v>
      </c>
      <c r="BS51" s="37"/>
      <c r="BT51" s="37"/>
      <c r="BU51" s="37"/>
      <c r="BV51" s="39">
        <f t="shared" si="3"/>
        <v>0.24094466161845482</v>
      </c>
      <c r="BW51" s="37"/>
      <c r="BX51" s="39">
        <f t="shared" si="4"/>
        <v>0.16732108708188398</v>
      </c>
      <c r="BY51" s="39">
        <v>4</v>
      </c>
      <c r="BZ51" s="37"/>
      <c r="CA51" s="37"/>
      <c r="CB51" s="39">
        <f t="shared" si="19"/>
        <v>1.6384944663431305</v>
      </c>
      <c r="CC51" s="39">
        <f t="shared" si="17"/>
        <v>8.8788580246913579E-2</v>
      </c>
      <c r="CD51" s="39">
        <f t="shared" si="20"/>
        <v>0.18545714699074073</v>
      </c>
      <c r="CE51" s="37"/>
      <c r="CF51" s="37"/>
      <c r="CG51" s="37"/>
      <c r="CH51" s="37"/>
      <c r="CI51" s="37"/>
      <c r="CJ51" s="37"/>
      <c r="CK51" s="37"/>
      <c r="CL51" s="39">
        <f t="shared" si="24"/>
        <v>0.27635445601851855</v>
      </c>
      <c r="CM51" s="37"/>
      <c r="CN51" s="37"/>
      <c r="CO51" s="39">
        <f>0.063495+(0.016949+0.014096)*Wages!P49+1.22592*BR51</f>
        <v>0.65023077252027472</v>
      </c>
      <c r="CP51" s="39"/>
      <c r="CQ51" s="39">
        <f t="shared" si="5"/>
        <v>0.65023077252027472</v>
      </c>
      <c r="CR51" s="39">
        <f t="shared" si="22"/>
        <v>0.24094466161845482</v>
      </c>
      <c r="CS51" s="39">
        <f t="shared" si="7"/>
        <v>1.1805301745080938</v>
      </c>
      <c r="CT51" s="39">
        <f t="shared" si="8"/>
        <v>3.3980950454159706</v>
      </c>
      <c r="CU51" s="39">
        <f t="shared" si="21"/>
        <v>1.6384944663431305</v>
      </c>
      <c r="CV51" s="39">
        <f t="shared" si="18"/>
        <v>8.8788580246913579E-2</v>
      </c>
      <c r="CW51" s="39">
        <f t="shared" si="18"/>
        <v>0.18545714699074073</v>
      </c>
      <c r="CX51" s="39"/>
      <c r="CY51" s="39"/>
      <c r="CZ51" s="39">
        <f t="shared" si="9"/>
        <v>0.16732108708188398</v>
      </c>
      <c r="DA51" s="39">
        <f t="shared" si="10"/>
        <v>6.2857142857142856</v>
      </c>
      <c r="DB51" s="39">
        <v>5</v>
      </c>
      <c r="DC51" s="39">
        <f t="shared" si="11"/>
        <v>4</v>
      </c>
      <c r="DD51" s="39">
        <v>4.3</v>
      </c>
      <c r="DE51" s="39">
        <v>2.5000000000000001E-2</v>
      </c>
      <c r="DF51" s="37"/>
      <c r="DG51" s="39">
        <f t="shared" si="12"/>
        <v>0.27635445601851855</v>
      </c>
      <c r="DH51" s="39">
        <f t="shared" si="13"/>
        <v>2.8299750962191532</v>
      </c>
      <c r="DI51" s="37"/>
      <c r="DJ51" s="37"/>
      <c r="DK51" s="37"/>
      <c r="DL51" s="37"/>
      <c r="DM51" s="39">
        <f t="shared" si="14"/>
        <v>0.72282065392565142</v>
      </c>
      <c r="DN51" s="39"/>
      <c r="DO51" s="39">
        <f t="shared" si="15"/>
        <v>0.72282065392565142</v>
      </c>
      <c r="DP51" s="37"/>
      <c r="DQ51" s="37">
        <f>DO51/'Conversions, Sources &amp; Comments'!E49</f>
        <v>0.54272794385310053</v>
      </c>
    </row>
    <row r="52" spans="1:121">
      <c r="A52" s="42">
        <f t="shared" si="2"/>
        <v>1300</v>
      </c>
      <c r="B52" s="36"/>
      <c r="C52" s="38">
        <v>4</v>
      </c>
      <c r="D52" s="38">
        <v>9</v>
      </c>
      <c r="E52" s="38">
        <v>3</v>
      </c>
      <c r="F52" s="38">
        <v>8.5</v>
      </c>
      <c r="G52" s="38">
        <v>1</v>
      </c>
      <c r="H52" s="38">
        <v>11.38</v>
      </c>
      <c r="I52" s="38">
        <v>3</v>
      </c>
      <c r="J52" s="38">
        <v>6.63</v>
      </c>
      <c r="K52" s="36"/>
      <c r="L52" s="36"/>
      <c r="M52" s="38">
        <v>2</v>
      </c>
      <c r="N52" s="38">
        <v>4.25</v>
      </c>
      <c r="O52" s="38">
        <v>10</v>
      </c>
      <c r="P52" s="38">
        <v>3.5</v>
      </c>
      <c r="Q52" s="36"/>
      <c r="R52" s="36"/>
      <c r="S52" s="36"/>
      <c r="T52" s="36"/>
      <c r="U52" s="38">
        <v>4</v>
      </c>
      <c r="V52" s="36"/>
      <c r="W52" s="38">
        <v>6</v>
      </c>
      <c r="X52" s="36"/>
      <c r="Y52" s="36"/>
      <c r="Z52" s="38">
        <v>2</v>
      </c>
      <c r="AA52" s="38">
        <v>0</v>
      </c>
      <c r="AB52" s="36"/>
      <c r="AC52" s="38">
        <v>0</v>
      </c>
      <c r="AD52" s="38">
        <v>6.5</v>
      </c>
      <c r="AE52" s="36"/>
      <c r="AF52" s="36"/>
      <c r="AG52" s="38">
        <v>2</v>
      </c>
      <c r="AH52" s="38">
        <v>4</v>
      </c>
      <c r="AI52" s="36"/>
      <c r="AJ52" s="36"/>
      <c r="AK52" s="38">
        <v>4</v>
      </c>
      <c r="AL52" s="38">
        <v>6</v>
      </c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59">
        <v>2.3333333333333335</v>
      </c>
      <c r="BH52" s="59"/>
      <c r="BI52" s="59">
        <v>7.4614815196089687E-2</v>
      </c>
      <c r="BJ52" s="59"/>
      <c r="BK52" s="36"/>
      <c r="BL52" s="36"/>
      <c r="BM52" s="36"/>
      <c r="BN52" s="38">
        <v>21.6</v>
      </c>
      <c r="BO52" s="36"/>
      <c r="BP52" s="39">
        <f t="shared" si="0"/>
        <v>1.3318287037037038</v>
      </c>
      <c r="BQ52" s="37"/>
      <c r="BR52" s="39">
        <f t="shared" si="1"/>
        <v>0.26929109239709659</v>
      </c>
      <c r="BS52" s="37"/>
      <c r="BT52" s="37"/>
      <c r="BU52" s="37"/>
      <c r="BV52" s="39">
        <f t="shared" si="3"/>
        <v>0.13228334363366148</v>
      </c>
      <c r="BW52" s="37"/>
      <c r="BX52" s="39">
        <f t="shared" si="4"/>
        <v>0.14573126939389872</v>
      </c>
      <c r="BY52" s="39">
        <f>$BP52*(12*Z52+AA52)/(12*0.453592)</f>
        <v>5.8723641673737799</v>
      </c>
      <c r="BZ52" s="37"/>
      <c r="CA52" s="37"/>
      <c r="CB52" s="39">
        <f t="shared" si="19"/>
        <v>1.6188325327470128</v>
      </c>
      <c r="CC52" s="39">
        <f t="shared" si="17"/>
        <v>8.8788580246913579E-2</v>
      </c>
      <c r="CD52" s="39">
        <f t="shared" si="20"/>
        <v>7.1918750000000004E-2</v>
      </c>
      <c r="CE52" s="37"/>
      <c r="CF52" s="37"/>
      <c r="CG52" s="37"/>
      <c r="CH52" s="37"/>
      <c r="CI52" s="37"/>
      <c r="CJ52" s="37"/>
      <c r="CK52" s="39">
        <f>BP52*(12*AC52+AD52)/(35.238*8)</f>
        <v>3.0708633343528555E-2</v>
      </c>
      <c r="CL52" s="39">
        <f t="shared" si="24"/>
        <v>0.37291203703703707</v>
      </c>
      <c r="CM52" s="39">
        <f>BP52*(12*$AC52+$AD52)/(35.238*8)/0.283</f>
        <v>0.10851107188525992</v>
      </c>
      <c r="CN52" s="37"/>
      <c r="CO52" s="39">
        <f>0.063495+(0.016949+0.014096)*Wages!P50+1.22592*BR52</f>
        <v>0.55901082441737449</v>
      </c>
      <c r="CP52" s="39"/>
      <c r="CQ52" s="39">
        <f t="shared" si="5"/>
        <v>0.55901082441737449</v>
      </c>
      <c r="CR52" s="39">
        <f t="shared" si="22"/>
        <v>0.13228334363366148</v>
      </c>
      <c r="CS52" s="39">
        <f t="shared" si="7"/>
        <v>1.1663638124139968</v>
      </c>
      <c r="CT52" s="39">
        <f t="shared" si="8"/>
        <v>3.3573179048709796</v>
      </c>
      <c r="CU52" s="39">
        <f t="shared" si="21"/>
        <v>1.6188325327470128</v>
      </c>
      <c r="CV52" s="39">
        <f t="shared" si="18"/>
        <v>8.8788580246913579E-2</v>
      </c>
      <c r="CW52" s="39">
        <f t="shared" si="18"/>
        <v>7.1918750000000004E-2</v>
      </c>
      <c r="CX52" s="39"/>
      <c r="CY52" s="39"/>
      <c r="CZ52" s="39">
        <f t="shared" si="9"/>
        <v>0.14573126939389872</v>
      </c>
      <c r="DA52" s="39">
        <f t="shared" si="10"/>
        <v>9.2280008344445115</v>
      </c>
      <c r="DB52" s="39">
        <v>5</v>
      </c>
      <c r="DC52" s="39">
        <f t="shared" si="11"/>
        <v>5.8723641673737799</v>
      </c>
      <c r="DD52" s="39">
        <v>4.3</v>
      </c>
      <c r="DE52" s="39">
        <f>CK52</f>
        <v>3.0708633343528555E-2</v>
      </c>
      <c r="DF52" s="37"/>
      <c r="DG52" s="39">
        <f t="shared" si="12"/>
        <v>0.37291203703703707</v>
      </c>
      <c r="DH52" s="39">
        <f t="shared" si="13"/>
        <v>3.4761867040444367</v>
      </c>
      <c r="DI52" s="37"/>
      <c r="DJ52" s="37"/>
      <c r="DK52" s="37"/>
      <c r="DL52" s="37"/>
      <c r="DM52" s="39">
        <f t="shared" si="14"/>
        <v>0.69603044077691456</v>
      </c>
      <c r="DN52" s="39"/>
      <c r="DO52" s="39">
        <f t="shared" si="15"/>
        <v>0.69603044077691456</v>
      </c>
      <c r="DP52" s="37"/>
      <c r="DQ52" s="37">
        <f>DO52/'Conversions, Sources &amp; Comments'!E50</f>
        <v>0.52261258436712799</v>
      </c>
    </row>
    <row r="53" spans="1:121">
      <c r="A53" s="42">
        <f t="shared" si="2"/>
        <v>1301</v>
      </c>
      <c r="B53" s="36"/>
      <c r="C53" s="38">
        <v>5</v>
      </c>
      <c r="D53" s="38">
        <v>0.13</v>
      </c>
      <c r="E53" s="38">
        <v>3</v>
      </c>
      <c r="F53" s="38">
        <v>7.63</v>
      </c>
      <c r="G53" s="38">
        <v>2</v>
      </c>
      <c r="H53" s="38">
        <v>0.63</v>
      </c>
      <c r="I53" s="38">
        <v>3</v>
      </c>
      <c r="J53" s="38">
        <v>7.75</v>
      </c>
      <c r="K53" s="36"/>
      <c r="L53" s="36"/>
      <c r="M53" s="38">
        <v>2</v>
      </c>
      <c r="N53" s="38">
        <v>4.375</v>
      </c>
      <c r="O53" s="38">
        <v>8</v>
      </c>
      <c r="P53" s="38">
        <v>9</v>
      </c>
      <c r="Q53" s="36"/>
      <c r="R53" s="36"/>
      <c r="S53" s="36"/>
      <c r="T53" s="36"/>
      <c r="U53" s="38">
        <v>4</v>
      </c>
      <c r="V53" s="36"/>
      <c r="W53" s="38">
        <v>6</v>
      </c>
      <c r="X53" s="36"/>
      <c r="Y53" s="36"/>
      <c r="Z53" s="36"/>
      <c r="AA53" s="36"/>
      <c r="AB53" s="36"/>
      <c r="AC53" s="36"/>
      <c r="AD53" s="36"/>
      <c r="AE53" s="36"/>
      <c r="AF53" s="36"/>
      <c r="AG53" s="38">
        <v>2</v>
      </c>
      <c r="AH53" s="38">
        <v>0</v>
      </c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59">
        <v>2.1666666666666665</v>
      </c>
      <c r="BH53" s="59"/>
      <c r="BI53" s="59">
        <v>6.9087791848231134E-2</v>
      </c>
      <c r="BJ53" s="59"/>
      <c r="BK53" s="36"/>
      <c r="BL53" s="36"/>
      <c r="BM53" s="36"/>
      <c r="BN53" s="38">
        <v>21.6</v>
      </c>
      <c r="BO53" s="36"/>
      <c r="BP53" s="39">
        <f t="shared" si="0"/>
        <v>1.3318287037037038</v>
      </c>
      <c r="BQ53" s="37"/>
      <c r="BR53" s="39">
        <f t="shared" si="1"/>
        <v>0.28407848045328804</v>
      </c>
      <c r="BS53" s="37"/>
      <c r="BT53" s="37"/>
      <c r="BU53" s="37"/>
      <c r="BV53" s="39">
        <f t="shared" si="3"/>
        <v>0.12283453337411422</v>
      </c>
      <c r="BW53" s="37"/>
      <c r="BX53" s="39">
        <f t="shared" si="4"/>
        <v>0.13493636054990613</v>
      </c>
      <c r="BY53" s="39">
        <v>5.8723641673737799</v>
      </c>
      <c r="BZ53" s="37"/>
      <c r="CA53" s="37"/>
      <c r="CB53" s="39">
        <f t="shared" si="19"/>
        <v>1.3763353517282295</v>
      </c>
      <c r="CC53" s="39">
        <f t="shared" si="17"/>
        <v>8.8788580246913579E-2</v>
      </c>
      <c r="CD53" s="37"/>
      <c r="CE53" s="37"/>
      <c r="CF53" s="37"/>
      <c r="CG53" s="37"/>
      <c r="CH53" s="37"/>
      <c r="CI53" s="37"/>
      <c r="CJ53" s="37"/>
      <c r="CK53" s="37"/>
      <c r="CL53" s="39">
        <f t="shared" si="24"/>
        <v>0.31963888888888886</v>
      </c>
      <c r="CM53" s="37"/>
      <c r="CN53" s="37"/>
      <c r="CO53" s="39">
        <f>0.063495+(0.016949+0.014096)*Wages!P51+1.22592*BR53</f>
        <v>0.59092118655204784</v>
      </c>
      <c r="CP53" s="39"/>
      <c r="CQ53" s="39">
        <f t="shared" si="5"/>
        <v>0.59092118655204784</v>
      </c>
      <c r="CR53" s="39">
        <f t="shared" si="22"/>
        <v>0.12283453337411422</v>
      </c>
      <c r="CS53" s="39">
        <f t="shared" si="7"/>
        <v>0.99164534658679893</v>
      </c>
      <c r="CT53" s="39">
        <f t="shared" si="8"/>
        <v>2.8543998381494156</v>
      </c>
      <c r="CU53" s="39">
        <f t="shared" si="21"/>
        <v>1.3763353517282295</v>
      </c>
      <c r="CV53" s="39">
        <f t="shared" si="18"/>
        <v>8.8788580246913579E-2</v>
      </c>
      <c r="CW53" s="39">
        <v>0.09</v>
      </c>
      <c r="CX53" s="39"/>
      <c r="CY53" s="39"/>
      <c r="CZ53" s="39">
        <f t="shared" si="9"/>
        <v>0.13493636054990613</v>
      </c>
      <c r="DA53" s="39">
        <f t="shared" si="10"/>
        <v>9.2280008344445115</v>
      </c>
      <c r="DB53" s="39">
        <v>5</v>
      </c>
      <c r="DC53" s="39">
        <f t="shared" si="11"/>
        <v>5.8723641673737799</v>
      </c>
      <c r="DD53" s="39">
        <v>4.3</v>
      </c>
      <c r="DE53" s="39">
        <v>2.9000000000000001E-2</v>
      </c>
      <c r="DF53" s="37"/>
      <c r="DG53" s="39">
        <f t="shared" si="12"/>
        <v>0.31963888888888886</v>
      </c>
      <c r="DH53" s="39">
        <f t="shared" si="13"/>
        <v>3.2827711116142178</v>
      </c>
      <c r="DI53" s="37"/>
      <c r="DJ53" s="37"/>
      <c r="DK53" s="37"/>
      <c r="DL53" s="37"/>
      <c r="DM53" s="39">
        <f t="shared" si="14"/>
        <v>0.68148654609490988</v>
      </c>
      <c r="DN53" s="39"/>
      <c r="DO53" s="39">
        <f t="shared" si="15"/>
        <v>0.68148654609490988</v>
      </c>
      <c r="DP53" s="37"/>
      <c r="DQ53" s="37">
        <f>DO53/'Conversions, Sources &amp; Comments'!E51</f>
        <v>0.51169234016338061</v>
      </c>
    </row>
    <row r="54" spans="1:121">
      <c r="A54" s="42">
        <f t="shared" si="2"/>
        <v>1302</v>
      </c>
      <c r="B54" s="36"/>
      <c r="C54" s="38">
        <v>4</v>
      </c>
      <c r="D54" s="38">
        <v>11.88</v>
      </c>
      <c r="E54" s="38">
        <v>3</v>
      </c>
      <c r="F54" s="38">
        <v>4.88</v>
      </c>
      <c r="G54" s="38">
        <v>2</v>
      </c>
      <c r="H54" s="38">
        <v>1.38</v>
      </c>
      <c r="I54" s="38">
        <v>4</v>
      </c>
      <c r="J54" s="38">
        <v>1.25</v>
      </c>
      <c r="K54" s="36"/>
      <c r="L54" s="36"/>
      <c r="M54" s="38">
        <v>3</v>
      </c>
      <c r="N54" s="38">
        <v>0.75</v>
      </c>
      <c r="O54" s="38">
        <v>10</v>
      </c>
      <c r="P54" s="38">
        <v>5.25</v>
      </c>
      <c r="Q54" s="36"/>
      <c r="R54" s="36"/>
      <c r="S54" s="36"/>
      <c r="T54" s="36"/>
      <c r="U54" s="38">
        <v>3.875</v>
      </c>
      <c r="V54" s="36"/>
      <c r="W54" s="36"/>
      <c r="X54" s="36"/>
      <c r="Y54" s="36"/>
      <c r="Z54" s="36"/>
      <c r="AA54" s="36"/>
      <c r="AB54" s="36"/>
      <c r="AC54" s="38">
        <v>0</v>
      </c>
      <c r="AD54" s="38">
        <v>6</v>
      </c>
      <c r="AE54" s="36"/>
      <c r="AF54" s="36"/>
      <c r="AG54" s="38">
        <v>1</v>
      </c>
      <c r="AH54" s="38">
        <v>8</v>
      </c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59">
        <v>2.6666666666666665</v>
      </c>
      <c r="BH54" s="59"/>
      <c r="BI54" s="59">
        <v>6.0797256826444136E-2</v>
      </c>
      <c r="BJ54" s="59"/>
      <c r="BK54" s="36"/>
      <c r="BL54" s="36"/>
      <c r="BM54" s="36"/>
      <c r="BN54" s="38">
        <v>21.6</v>
      </c>
      <c r="BO54" s="36"/>
      <c r="BP54" s="39">
        <f t="shared" si="0"/>
        <v>1.3318287037037038</v>
      </c>
      <c r="BQ54" s="37"/>
      <c r="BR54" s="39">
        <f t="shared" si="1"/>
        <v>0.28289737917084468</v>
      </c>
      <c r="BS54" s="37"/>
      <c r="BT54" s="37"/>
      <c r="BU54" s="37"/>
      <c r="BV54" s="39">
        <f t="shared" si="3"/>
        <v>0.15118096415275595</v>
      </c>
      <c r="BW54" s="37"/>
      <c r="BX54" s="39">
        <f t="shared" si="4"/>
        <v>0.11874399728391882</v>
      </c>
      <c r="BY54" s="39">
        <v>5.8723641673737799</v>
      </c>
      <c r="BZ54" s="37"/>
      <c r="CA54" s="37"/>
      <c r="CB54" s="39">
        <f t="shared" si="19"/>
        <v>1.6417714552758169</v>
      </c>
      <c r="CC54" s="39">
        <f t="shared" ref="CC54:CC85" si="25">2*BP54*U54/120</f>
        <v>8.6013937114197525E-2</v>
      </c>
      <c r="CD54" s="37"/>
      <c r="CE54" s="37"/>
      <c r="CF54" s="37"/>
      <c r="CG54" s="37"/>
      <c r="CH54" s="37"/>
      <c r="CI54" s="37"/>
      <c r="CJ54" s="37"/>
      <c r="CK54" s="39">
        <f>BP54*(12*AC54+AD54)/(35.238*8)</f>
        <v>2.8346430778641744E-2</v>
      </c>
      <c r="CL54" s="39">
        <f t="shared" si="24"/>
        <v>0.26636574074074076</v>
      </c>
      <c r="CM54" s="39">
        <f>BP54*(12*$AC54+$AD54)/(35.238*8)/0.283</f>
        <v>0.10016406635562454</v>
      </c>
      <c r="CN54" s="37"/>
      <c r="CO54" s="39">
        <f>0.063495+(0.016949+0.014096)*Wages!P52+1.22592*BR54</f>
        <v>0.58947325086787494</v>
      </c>
      <c r="CP54" s="39"/>
      <c r="CQ54" s="39">
        <f t="shared" si="5"/>
        <v>0.58947325086787494</v>
      </c>
      <c r="CR54" s="39">
        <f t="shared" si="22"/>
        <v>0.15118096415275595</v>
      </c>
      <c r="CS54" s="39">
        <f t="shared" si="7"/>
        <v>1.1828912348571103</v>
      </c>
      <c r="CT54" s="39">
        <f t="shared" si="8"/>
        <v>3.4048912355068035</v>
      </c>
      <c r="CU54" s="39">
        <f t="shared" si="21"/>
        <v>1.6417714552758169</v>
      </c>
      <c r="CV54" s="39">
        <f t="shared" si="21"/>
        <v>8.6013937114197525E-2</v>
      </c>
      <c r="CW54" s="39">
        <v>0.09</v>
      </c>
      <c r="CX54" s="39"/>
      <c r="CY54" s="39"/>
      <c r="CZ54" s="39">
        <f t="shared" si="9"/>
        <v>0.11874399728391882</v>
      </c>
      <c r="DA54" s="39">
        <f t="shared" si="10"/>
        <v>9.2280008344445115</v>
      </c>
      <c r="DB54" s="39">
        <v>5</v>
      </c>
      <c r="DC54" s="39">
        <f t="shared" si="11"/>
        <v>5.8723641673737799</v>
      </c>
      <c r="DD54" s="39">
        <v>4.3</v>
      </c>
      <c r="DE54" s="39">
        <f>CK54</f>
        <v>2.8346430778641744E-2</v>
      </c>
      <c r="DF54" s="37"/>
      <c r="DG54" s="39">
        <f t="shared" si="12"/>
        <v>0.26636574074074076</v>
      </c>
      <c r="DH54" s="39">
        <f t="shared" si="13"/>
        <v>3.2087877268102494</v>
      </c>
      <c r="DI54" s="37"/>
      <c r="DJ54" s="37"/>
      <c r="DK54" s="37"/>
      <c r="DL54" s="37"/>
      <c r="DM54" s="39">
        <f t="shared" si="14"/>
        <v>0.6982725657290354</v>
      </c>
      <c r="DN54" s="39"/>
      <c r="DO54" s="39">
        <f t="shared" si="15"/>
        <v>0.6982725657290354</v>
      </c>
      <c r="DP54" s="37"/>
      <c r="DQ54" s="37">
        <f>DO54/'Conversions, Sources &amp; Comments'!E52</f>
        <v>0.52429607785685806</v>
      </c>
    </row>
    <row r="55" spans="1:121">
      <c r="A55" s="42">
        <f t="shared" si="2"/>
        <v>1303</v>
      </c>
      <c r="B55" s="36"/>
      <c r="C55" s="38">
        <v>4</v>
      </c>
      <c r="D55" s="38">
        <v>1.25</v>
      </c>
      <c r="E55" s="38">
        <v>2</v>
      </c>
      <c r="F55" s="38">
        <v>10.38</v>
      </c>
      <c r="G55" s="38">
        <v>2</v>
      </c>
      <c r="H55" s="38">
        <v>1.88</v>
      </c>
      <c r="I55" s="38">
        <v>2</v>
      </c>
      <c r="J55" s="38">
        <v>10</v>
      </c>
      <c r="K55" s="36"/>
      <c r="L55" s="36"/>
      <c r="M55" s="38">
        <v>3</v>
      </c>
      <c r="N55" s="38">
        <v>1.125</v>
      </c>
      <c r="O55" s="38">
        <v>9</v>
      </c>
      <c r="P55" s="36"/>
      <c r="Q55" s="36"/>
      <c r="R55" s="36"/>
      <c r="S55" s="36"/>
      <c r="T55" s="36"/>
      <c r="U55" s="38">
        <v>4</v>
      </c>
      <c r="V55" s="36"/>
      <c r="W55" s="38">
        <v>5.25</v>
      </c>
      <c r="X55" s="36"/>
      <c r="Y55" s="36"/>
      <c r="Z55" s="36"/>
      <c r="AA55" s="36"/>
      <c r="AB55" s="36"/>
      <c r="AC55" s="38">
        <v>0</v>
      </c>
      <c r="AD55" s="38">
        <v>6</v>
      </c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59">
        <v>2.6666666666666665</v>
      </c>
      <c r="BH55" s="59"/>
      <c r="BI55" s="59">
        <v>7.185130352216125E-2</v>
      </c>
      <c r="BJ55" s="59"/>
      <c r="BK55" s="36"/>
      <c r="BL55" s="36"/>
      <c r="BM55" s="36"/>
      <c r="BN55" s="38">
        <v>21.6</v>
      </c>
      <c r="BO55" s="36"/>
      <c r="BP55" s="39">
        <f t="shared" si="0"/>
        <v>1.3318287037037038</v>
      </c>
      <c r="BQ55" s="37"/>
      <c r="BR55" s="39">
        <f t="shared" si="1"/>
        <v>0.23267695264135099</v>
      </c>
      <c r="BS55" s="37"/>
      <c r="BT55" s="37"/>
      <c r="BU55" s="37"/>
      <c r="BV55" s="39">
        <f t="shared" si="3"/>
        <v>0.15118096415275595</v>
      </c>
      <c r="BW55" s="37"/>
      <c r="BX55" s="39">
        <f t="shared" si="4"/>
        <v>0.14033381497190406</v>
      </c>
      <c r="BY55" s="39">
        <v>5.8723641673737799</v>
      </c>
      <c r="BZ55" s="37"/>
      <c r="CA55" s="37"/>
      <c r="CB55" s="39">
        <f t="shared" si="19"/>
        <v>1.4156592189204649</v>
      </c>
      <c r="CC55" s="39">
        <f t="shared" si="25"/>
        <v>8.8788580246913579E-2</v>
      </c>
      <c r="CD55" s="37"/>
      <c r="CE55" s="37"/>
      <c r="CF55" s="37"/>
      <c r="CG55" s="37"/>
      <c r="CH55" s="37"/>
      <c r="CI55" s="37"/>
      <c r="CJ55" s="37"/>
      <c r="CK55" s="39">
        <f>BP55*(12*AC55+AD55)/(35.238*8)</f>
        <v>2.8346430778641744E-2</v>
      </c>
      <c r="CL55" s="37"/>
      <c r="CM55" s="39">
        <f>BP55*(12*$AC55+$AD55)/(35.238*8)/0.283</f>
        <v>0.10016406635562454</v>
      </c>
      <c r="CN55" s="37"/>
      <c r="CO55" s="39">
        <f>0.063495+(0.016949+0.014096)*Wages!P53+1.22592*BR55</f>
        <v>0.52790702557683811</v>
      </c>
      <c r="CP55" s="39"/>
      <c r="CQ55" s="39">
        <f t="shared" si="5"/>
        <v>0.52790702557683811</v>
      </c>
      <c r="CR55" s="39">
        <f t="shared" si="22"/>
        <v>0.15118096415275595</v>
      </c>
      <c r="CS55" s="39">
        <f t="shared" si="7"/>
        <v>1.0199780707749933</v>
      </c>
      <c r="CT55" s="39">
        <f t="shared" si="8"/>
        <v>2.935954119239399</v>
      </c>
      <c r="CU55" s="39">
        <f t="shared" si="21"/>
        <v>1.4156592189204649</v>
      </c>
      <c r="CV55" s="39">
        <f t="shared" si="21"/>
        <v>8.8788580246913579E-2</v>
      </c>
      <c r="CW55" s="39">
        <v>0.09</v>
      </c>
      <c r="CX55" s="39"/>
      <c r="CY55" s="39"/>
      <c r="CZ55" s="39">
        <f t="shared" si="9"/>
        <v>0.14033381497190406</v>
      </c>
      <c r="DA55" s="39">
        <f t="shared" si="10"/>
        <v>9.2280008344445115</v>
      </c>
      <c r="DB55" s="39">
        <v>5</v>
      </c>
      <c r="DC55" s="39">
        <f t="shared" si="11"/>
        <v>5.8723641673737799</v>
      </c>
      <c r="DD55" s="39">
        <v>4.3</v>
      </c>
      <c r="DE55" s="39">
        <f>CK55</f>
        <v>2.8346430778641744E-2</v>
      </c>
      <c r="DF55" s="37"/>
      <c r="DG55" s="39">
        <f t="shared" si="12"/>
        <v>0</v>
      </c>
      <c r="DH55" s="39">
        <f t="shared" si="13"/>
        <v>3.2087877268102494</v>
      </c>
      <c r="DI55" s="37"/>
      <c r="DJ55" s="37"/>
      <c r="DK55" s="37"/>
      <c r="DL55" s="37"/>
      <c r="DM55" s="39">
        <f t="shared" si="14"/>
        <v>0.66216393574145638</v>
      </c>
      <c r="DN55" s="39"/>
      <c r="DO55" s="39">
        <f t="shared" si="15"/>
        <v>0.66216393574145638</v>
      </c>
      <c r="DP55" s="37"/>
      <c r="DQ55" s="37">
        <f>DO55/'Conversions, Sources &amp; Comments'!E53</f>
        <v>0.4971840101508806</v>
      </c>
    </row>
    <row r="56" spans="1:121">
      <c r="A56" s="42">
        <f t="shared" si="2"/>
        <v>1304</v>
      </c>
      <c r="B56" s="36"/>
      <c r="C56" s="38">
        <v>5</v>
      </c>
      <c r="D56" s="38">
        <v>9.8800000000000008</v>
      </c>
      <c r="E56" s="38">
        <v>4</v>
      </c>
      <c r="F56" s="38">
        <v>1.25</v>
      </c>
      <c r="G56" s="38">
        <v>2</v>
      </c>
      <c r="H56" s="38">
        <v>4.75</v>
      </c>
      <c r="I56" s="38">
        <v>4</v>
      </c>
      <c r="J56" s="38">
        <v>7.63</v>
      </c>
      <c r="K56" s="36"/>
      <c r="L56" s="36"/>
      <c r="M56" s="38">
        <v>3</v>
      </c>
      <c r="N56" s="38">
        <v>10.875</v>
      </c>
      <c r="O56" s="38">
        <v>8</v>
      </c>
      <c r="P56" s="36"/>
      <c r="Q56" s="36"/>
      <c r="R56" s="36"/>
      <c r="S56" s="36"/>
      <c r="T56" s="36"/>
      <c r="U56" s="38">
        <v>4.125</v>
      </c>
      <c r="V56" s="36"/>
      <c r="W56" s="38">
        <v>7</v>
      </c>
      <c r="X56" s="36"/>
      <c r="Y56" s="36"/>
      <c r="Z56" s="36"/>
      <c r="AA56" s="36"/>
      <c r="AB56" s="36"/>
      <c r="AC56" s="36"/>
      <c r="AD56" s="36"/>
      <c r="AE56" s="36"/>
      <c r="AF56" s="36"/>
      <c r="AG56" s="38">
        <v>2</v>
      </c>
      <c r="AH56" s="38">
        <v>4</v>
      </c>
      <c r="AI56" s="36"/>
      <c r="AJ56" s="36"/>
      <c r="AK56" s="38">
        <v>6</v>
      </c>
      <c r="AL56" s="38">
        <v>9</v>
      </c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59">
        <v>4</v>
      </c>
      <c r="BH56" s="59"/>
      <c r="BI56" s="59">
        <v>7.8760082706984036E-2</v>
      </c>
      <c r="BJ56" s="59"/>
      <c r="BK56" s="36"/>
      <c r="BL56" s="36"/>
      <c r="BM56" s="36"/>
      <c r="BN56" s="38">
        <v>21.6</v>
      </c>
      <c r="BO56" s="36"/>
      <c r="BP56" s="39">
        <f t="shared" si="0"/>
        <v>1.3318287037037038</v>
      </c>
      <c r="BQ56" s="37"/>
      <c r="BR56" s="39">
        <f t="shared" si="1"/>
        <v>0.33014143046858085</v>
      </c>
      <c r="BS56" s="37"/>
      <c r="BT56" s="37"/>
      <c r="BU56" s="37"/>
      <c r="BV56" s="39">
        <f t="shared" si="3"/>
        <v>0.22677144622913395</v>
      </c>
      <c r="BW56" s="37"/>
      <c r="BX56" s="39">
        <f t="shared" si="4"/>
        <v>0.15382745102689405</v>
      </c>
      <c r="BY56" s="39">
        <v>5.8723641673737799</v>
      </c>
      <c r="BZ56" s="37"/>
      <c r="CA56" s="37"/>
      <c r="CB56" s="39">
        <f t="shared" si="19"/>
        <v>1.2583637501515241</v>
      </c>
      <c r="CC56" s="39">
        <f t="shared" si="25"/>
        <v>9.1563223379629646E-2</v>
      </c>
      <c r="CD56" s="39">
        <f>BP56*(12*AK56+AL56)/1000</f>
        <v>0.10787812500000001</v>
      </c>
      <c r="CE56" s="37"/>
      <c r="CF56" s="37"/>
      <c r="CG56" s="37"/>
      <c r="CH56" s="37"/>
      <c r="CI56" s="37"/>
      <c r="CJ56" s="37"/>
      <c r="CK56" s="37"/>
      <c r="CL56" s="39">
        <f>BP56*(12*AG56+AH56)/100</f>
        <v>0.37291203703703707</v>
      </c>
      <c r="CM56" s="37"/>
      <c r="CN56" s="37"/>
      <c r="CO56" s="39">
        <f>0.063495+(0.016949+0.014096)*Wages!P54+1.22592*BR56</f>
        <v>0.64739067823479568</v>
      </c>
      <c r="CP56" s="39"/>
      <c r="CQ56" s="39">
        <f t="shared" si="5"/>
        <v>0.64739067823479568</v>
      </c>
      <c r="CR56" s="39">
        <f t="shared" si="22"/>
        <v>0.22677144622913395</v>
      </c>
      <c r="CS56" s="39">
        <f t="shared" si="7"/>
        <v>0.90664717402221617</v>
      </c>
      <c r="CT56" s="39">
        <f t="shared" si="8"/>
        <v>2.6097369948794658</v>
      </c>
      <c r="CU56" s="39">
        <f t="shared" si="21"/>
        <v>1.2583637501515241</v>
      </c>
      <c r="CV56" s="39">
        <f t="shared" si="21"/>
        <v>9.1563223379629646E-2</v>
      </c>
      <c r="CW56" s="39">
        <f>CD56</f>
        <v>0.10787812500000001</v>
      </c>
      <c r="CX56" s="39"/>
      <c r="CY56" s="39"/>
      <c r="CZ56" s="39">
        <f t="shared" si="9"/>
        <v>0.15382745102689405</v>
      </c>
      <c r="DA56" s="39">
        <f t="shared" si="10"/>
        <v>9.2280008344445115</v>
      </c>
      <c r="DB56" s="39">
        <v>5</v>
      </c>
      <c r="DC56" s="39">
        <f t="shared" si="11"/>
        <v>5.8723641673737799</v>
      </c>
      <c r="DD56" s="39">
        <v>4.3</v>
      </c>
      <c r="DE56" s="39">
        <v>3.4000000000000002E-2</v>
      </c>
      <c r="DF56" s="37"/>
      <c r="DG56" s="39">
        <f t="shared" si="12"/>
        <v>0.37291203703703707</v>
      </c>
      <c r="DH56" s="39">
        <f t="shared" si="13"/>
        <v>3.8487661308580488</v>
      </c>
      <c r="DI56" s="37"/>
      <c r="DJ56" s="37"/>
      <c r="DK56" s="37"/>
      <c r="DL56" s="37"/>
      <c r="DM56" s="39">
        <f t="shared" si="14"/>
        <v>0.72486810010019265</v>
      </c>
      <c r="DN56" s="39"/>
      <c r="DO56" s="39">
        <f t="shared" si="15"/>
        <v>0.72486810010019265</v>
      </c>
      <c r="DP56" s="37"/>
      <c r="DQ56" s="37">
        <f>DO56/'Conversions, Sources &amp; Comments'!E54</f>
        <v>0.54426526330630609</v>
      </c>
    </row>
    <row r="57" spans="1:121">
      <c r="A57" s="42">
        <f t="shared" si="2"/>
        <v>1305</v>
      </c>
      <c r="B57" s="36"/>
      <c r="C57" s="38">
        <v>4</v>
      </c>
      <c r="D57" s="38">
        <v>10.88</v>
      </c>
      <c r="E57" s="38">
        <v>3</v>
      </c>
      <c r="F57" s="38">
        <v>10.38</v>
      </c>
      <c r="G57" s="38">
        <v>2</v>
      </c>
      <c r="H57" s="38">
        <v>9.75</v>
      </c>
      <c r="I57" s="38">
        <v>4</v>
      </c>
      <c r="J57" s="38">
        <v>0.25</v>
      </c>
      <c r="K57" s="36"/>
      <c r="L57" s="36"/>
      <c r="M57" s="38">
        <v>4</v>
      </c>
      <c r="N57" s="38">
        <v>6</v>
      </c>
      <c r="O57" s="36"/>
      <c r="P57" s="36"/>
      <c r="Q57" s="36"/>
      <c r="R57" s="36"/>
      <c r="S57" s="36"/>
      <c r="T57" s="36"/>
      <c r="U57" s="38">
        <v>4</v>
      </c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8">
        <v>2</v>
      </c>
      <c r="AH57" s="38">
        <v>4</v>
      </c>
      <c r="AI57" s="36"/>
      <c r="AJ57" s="36"/>
      <c r="AK57" s="38">
        <v>6</v>
      </c>
      <c r="AL57" s="38">
        <v>3.5</v>
      </c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59">
        <v>6.25</v>
      </c>
      <c r="BH57" s="59"/>
      <c r="BI57" s="59">
        <v>8.0141838543948241E-2</v>
      </c>
      <c r="BJ57" s="59"/>
      <c r="BK57" s="36"/>
      <c r="BL57" s="36"/>
      <c r="BM57" s="36"/>
      <c r="BN57" s="38">
        <v>21.6</v>
      </c>
      <c r="BO57" s="36"/>
      <c r="BP57" s="39">
        <f t="shared" si="0"/>
        <v>1.3318287037037038</v>
      </c>
      <c r="BQ57" s="37"/>
      <c r="BR57" s="39">
        <f t="shared" si="1"/>
        <v>0.278172974041071</v>
      </c>
      <c r="BS57" s="37"/>
      <c r="BT57" s="37"/>
      <c r="BU57" s="37"/>
      <c r="BV57" s="39">
        <f t="shared" si="3"/>
        <v>0.35433038473302181</v>
      </c>
      <c r="BW57" s="37"/>
      <c r="BX57" s="39">
        <f t="shared" si="4"/>
        <v>0.15652617823789133</v>
      </c>
      <c r="BY57" s="39">
        <v>5.8723641673737799</v>
      </c>
      <c r="BZ57" s="37"/>
      <c r="CA57" s="37"/>
      <c r="CB57" s="37"/>
      <c r="CC57" s="39">
        <f t="shared" si="25"/>
        <v>8.8788580246913579E-2</v>
      </c>
      <c r="CD57" s="39">
        <f>BP57*(12*AK57+AL57)/1000</f>
        <v>0.10055306712962964</v>
      </c>
      <c r="CE57" s="37"/>
      <c r="CF57" s="37"/>
      <c r="CG57" s="37"/>
      <c r="CH57" s="37"/>
      <c r="CI57" s="37"/>
      <c r="CJ57" s="37"/>
      <c r="CK57" s="37"/>
      <c r="CL57" s="39">
        <f>BP57*(12*AG57+AH57)/100</f>
        <v>0.37291203703703707</v>
      </c>
      <c r="CM57" s="37"/>
      <c r="CN57" s="37"/>
      <c r="CO57" s="39">
        <f>0.063495+(0.016949+0.014096)*Wages!P55+1.22592*BR57</f>
        <v>0.59746371550000998</v>
      </c>
      <c r="CP57" s="39"/>
      <c r="CQ57" s="39">
        <f t="shared" si="5"/>
        <v>0.59746371550000998</v>
      </c>
      <c r="CR57" s="39">
        <f t="shared" si="22"/>
        <v>0.35433038473302181</v>
      </c>
      <c r="CS57" s="39">
        <f t="shared" si="7"/>
        <v>0.93664596273291933</v>
      </c>
      <c r="CT57" s="39">
        <f t="shared" si="8"/>
        <v>2.6960869565217394</v>
      </c>
      <c r="CU57" s="39">
        <v>1.3</v>
      </c>
      <c r="CV57" s="39">
        <f t="shared" ref="CV57:CW88" si="26">CC57</f>
        <v>8.8788580246913579E-2</v>
      </c>
      <c r="CW57" s="39">
        <f>CD57</f>
        <v>0.10055306712962964</v>
      </c>
      <c r="CX57" s="39"/>
      <c r="CY57" s="39"/>
      <c r="CZ57" s="39">
        <f t="shared" si="9"/>
        <v>0.15652617823789133</v>
      </c>
      <c r="DA57" s="39">
        <f t="shared" si="10"/>
        <v>9.2280008344445115</v>
      </c>
      <c r="DB57" s="39">
        <v>5</v>
      </c>
      <c r="DC57" s="39">
        <f t="shared" si="11"/>
        <v>5.8723641673737799</v>
      </c>
      <c r="DD57" s="39">
        <v>4.3</v>
      </c>
      <c r="DE57" s="39">
        <v>3.4000000000000002E-2</v>
      </c>
      <c r="DF57" s="37"/>
      <c r="DG57" s="39">
        <f t="shared" si="12"/>
        <v>0.37291203703703707</v>
      </c>
      <c r="DH57" s="39">
        <f t="shared" si="13"/>
        <v>3.8487661308580488</v>
      </c>
      <c r="DI57" s="37"/>
      <c r="DJ57" s="37"/>
      <c r="DK57" s="37"/>
      <c r="DL57" s="37"/>
      <c r="DM57" s="39">
        <f t="shared" si="14"/>
        <v>0.7232743166060569</v>
      </c>
      <c r="DN57" s="39"/>
      <c r="DO57" s="39">
        <f t="shared" si="15"/>
        <v>0.7232743166060569</v>
      </c>
      <c r="DP57" s="37"/>
      <c r="DQ57" s="37">
        <f>DO57/'Conversions, Sources &amp; Comments'!E55</f>
        <v>0.54306857525648133</v>
      </c>
    </row>
    <row r="58" spans="1:121">
      <c r="A58" s="42">
        <f t="shared" si="2"/>
        <v>1306</v>
      </c>
      <c r="B58" s="36"/>
      <c r="C58" s="38">
        <v>3</v>
      </c>
      <c r="D58" s="38">
        <v>11.38</v>
      </c>
      <c r="E58" s="38">
        <v>3</v>
      </c>
      <c r="F58" s="38">
        <v>5.5</v>
      </c>
      <c r="G58" s="38">
        <v>2</v>
      </c>
      <c r="H58" s="38">
        <v>1.38</v>
      </c>
      <c r="I58" s="38">
        <v>3</v>
      </c>
      <c r="J58" s="38">
        <v>0.75</v>
      </c>
      <c r="K58" s="36"/>
      <c r="L58" s="36"/>
      <c r="M58" s="38">
        <v>4</v>
      </c>
      <c r="N58" s="38">
        <v>5.375</v>
      </c>
      <c r="O58" s="38">
        <v>9</v>
      </c>
      <c r="P58" s="36"/>
      <c r="Q58" s="36"/>
      <c r="R58" s="36"/>
      <c r="S58" s="36"/>
      <c r="T58" s="36"/>
      <c r="U58" s="38">
        <v>6.25</v>
      </c>
      <c r="V58" s="36"/>
      <c r="W58" s="36"/>
      <c r="X58" s="36"/>
      <c r="Y58" s="36"/>
      <c r="Z58" s="38">
        <v>2</v>
      </c>
      <c r="AA58" s="38">
        <v>0</v>
      </c>
      <c r="AB58" s="36"/>
      <c r="AC58" s="36"/>
      <c r="AD58" s="36"/>
      <c r="AE58" s="36"/>
      <c r="AF58" s="36"/>
      <c r="AG58" s="38">
        <v>2</v>
      </c>
      <c r="AH58" s="38">
        <v>4</v>
      </c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59">
        <v>3</v>
      </c>
      <c r="BH58" s="59"/>
      <c r="BI58" s="59">
        <v>6.6324280174302697E-2</v>
      </c>
      <c r="BJ58" s="59"/>
      <c r="BK58" s="36"/>
      <c r="BL58" s="36"/>
      <c r="BM58" s="36"/>
      <c r="BN58" s="38">
        <v>21.6</v>
      </c>
      <c r="BO58" s="36"/>
      <c r="BP58" s="39">
        <f t="shared" si="0"/>
        <v>1.3318287037037038</v>
      </c>
      <c r="BQ58" s="37"/>
      <c r="BR58" s="39">
        <f t="shared" si="1"/>
        <v>0.22384231504867433</v>
      </c>
      <c r="BS58" s="37"/>
      <c r="BT58" s="37"/>
      <c r="BU58" s="37"/>
      <c r="BV58" s="39">
        <f t="shared" si="3"/>
        <v>0.17007858467185047</v>
      </c>
      <c r="BW58" s="37"/>
      <c r="BX58" s="39">
        <f t="shared" si="4"/>
        <v>0.12953890612791147</v>
      </c>
      <c r="BY58" s="39">
        <f>$BP58*(12*Z58+AA58)/(12*0.453592)</f>
        <v>5.8723641673737799</v>
      </c>
      <c r="BZ58" s="37"/>
      <c r="CA58" s="37"/>
      <c r="CB58" s="39">
        <f>$BP58*(12*O58+P58)/(224*0.453592)</f>
        <v>1.4156592189204649</v>
      </c>
      <c r="CC58" s="39">
        <f t="shared" si="25"/>
        <v>0.13873215663580249</v>
      </c>
      <c r="CD58" s="37"/>
      <c r="CE58" s="37"/>
      <c r="CF58" s="37"/>
      <c r="CG58" s="37"/>
      <c r="CH58" s="37"/>
      <c r="CI58" s="37"/>
      <c r="CJ58" s="37"/>
      <c r="CK58" s="37"/>
      <c r="CL58" s="39">
        <f>BP58*(12*AG58+AH58)/100</f>
        <v>0.37291203703703707</v>
      </c>
      <c r="CM58" s="37"/>
      <c r="CN58" s="37"/>
      <c r="CO58" s="39">
        <f>0.063495+(0.016949+0.014096)*Wages!P56+1.22592*BR58</f>
        <v>0.53085867402805098</v>
      </c>
      <c r="CP58" s="39"/>
      <c r="CQ58" s="39">
        <f t="shared" si="5"/>
        <v>0.53085867402805098</v>
      </c>
      <c r="CR58" s="39">
        <f t="shared" si="22"/>
        <v>0.17007858467185047</v>
      </c>
      <c r="CS58" s="39">
        <f t="shared" si="7"/>
        <v>1.0199780707749933</v>
      </c>
      <c r="CT58" s="39">
        <f t="shared" si="8"/>
        <v>2.935954119239399</v>
      </c>
      <c r="CU58" s="39">
        <f>CB58</f>
        <v>1.4156592189204649</v>
      </c>
      <c r="CV58" s="39">
        <f t="shared" si="26"/>
        <v>0.13873215663580249</v>
      </c>
      <c r="CW58" s="39">
        <v>0.11</v>
      </c>
      <c r="CX58" s="39"/>
      <c r="CY58" s="39"/>
      <c r="CZ58" s="39">
        <f t="shared" si="9"/>
        <v>0.12953890612791147</v>
      </c>
      <c r="DA58" s="39">
        <f t="shared" si="10"/>
        <v>9.2280008344445115</v>
      </c>
      <c r="DB58" s="39">
        <v>5</v>
      </c>
      <c r="DC58" s="39">
        <f t="shared" si="11"/>
        <v>5.8723641673737799</v>
      </c>
      <c r="DD58" s="39">
        <v>4.3</v>
      </c>
      <c r="DE58" s="39">
        <v>3.4000000000000002E-2</v>
      </c>
      <c r="DF58" s="37"/>
      <c r="DG58" s="39">
        <f t="shared" si="12"/>
        <v>0.37291203703703707</v>
      </c>
      <c r="DH58" s="39">
        <f t="shared" si="13"/>
        <v>3.8487661308580488</v>
      </c>
      <c r="DI58" s="37"/>
      <c r="DJ58" s="37"/>
      <c r="DK58" s="37"/>
      <c r="DL58" s="37"/>
      <c r="DM58" s="39">
        <f t="shared" si="14"/>
        <v>0.67506385774161748</v>
      </c>
      <c r="DN58" s="39"/>
      <c r="DO58" s="39">
        <f t="shared" si="15"/>
        <v>0.67506385774161748</v>
      </c>
      <c r="DP58" s="37"/>
      <c r="DQ58" s="37">
        <f>DO58/'Conversions, Sources &amp; Comments'!E56</f>
        <v>0.50686988188820503</v>
      </c>
    </row>
    <row r="59" spans="1:121">
      <c r="A59" s="42">
        <f t="shared" si="2"/>
        <v>1307</v>
      </c>
      <c r="B59" s="36"/>
      <c r="C59" s="38">
        <v>5</v>
      </c>
      <c r="D59" s="38">
        <v>6.5</v>
      </c>
      <c r="E59" s="38">
        <v>3</v>
      </c>
      <c r="F59" s="38">
        <v>8.75</v>
      </c>
      <c r="G59" s="38">
        <v>2</v>
      </c>
      <c r="H59" s="38">
        <v>4.13</v>
      </c>
      <c r="I59" s="38">
        <v>4</v>
      </c>
      <c r="J59" s="38">
        <v>1.75</v>
      </c>
      <c r="K59" s="36"/>
      <c r="L59" s="36"/>
      <c r="M59" s="38">
        <v>3</v>
      </c>
      <c r="N59" s="38">
        <v>0.25</v>
      </c>
      <c r="O59" s="36"/>
      <c r="P59" s="36"/>
      <c r="Q59" s="36"/>
      <c r="R59" s="36"/>
      <c r="S59" s="36"/>
      <c r="T59" s="36"/>
      <c r="U59" s="38">
        <v>1.5</v>
      </c>
      <c r="V59" s="36"/>
      <c r="W59" s="38">
        <v>7.75</v>
      </c>
      <c r="X59" s="36"/>
      <c r="Y59" s="36"/>
      <c r="Z59" s="36"/>
      <c r="AA59" s="36"/>
      <c r="AB59" s="36"/>
      <c r="AC59" s="36"/>
      <c r="AD59" s="36"/>
      <c r="AE59" s="36"/>
      <c r="AF59" s="36"/>
      <c r="AG59" s="38">
        <v>3</v>
      </c>
      <c r="AH59" s="38">
        <v>0</v>
      </c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59">
        <v>3.75</v>
      </c>
      <c r="BH59" s="59"/>
      <c r="BI59" s="59">
        <v>5.5270233478585583E-2</v>
      </c>
      <c r="BJ59" s="59"/>
      <c r="BK59" s="36"/>
      <c r="BL59" s="36"/>
      <c r="BM59" s="36"/>
      <c r="BN59" s="38">
        <v>21.6</v>
      </c>
      <c r="BO59" s="36"/>
      <c r="BP59" s="39">
        <f t="shared" si="0"/>
        <v>1.3318287037037038</v>
      </c>
      <c r="BQ59" s="37"/>
      <c r="BR59" s="39">
        <f t="shared" si="1"/>
        <v>0.31417294112994598</v>
      </c>
      <c r="BS59" s="37"/>
      <c r="BT59" s="37"/>
      <c r="BU59" s="37"/>
      <c r="BV59" s="39">
        <f t="shared" si="3"/>
        <v>0.21259823083981308</v>
      </c>
      <c r="BW59" s="37"/>
      <c r="BX59" s="39">
        <f t="shared" si="4"/>
        <v>0.10794908843992621</v>
      </c>
      <c r="BY59" s="39">
        <v>6</v>
      </c>
      <c r="BZ59" s="37"/>
      <c r="CA59" s="37"/>
      <c r="CB59" s="37"/>
      <c r="CC59" s="39">
        <f t="shared" si="25"/>
        <v>3.3295717592592596E-2</v>
      </c>
      <c r="CD59" s="37"/>
      <c r="CE59" s="37"/>
      <c r="CF59" s="37"/>
      <c r="CG59" s="37"/>
      <c r="CH59" s="37"/>
      <c r="CI59" s="37"/>
      <c r="CJ59" s="37"/>
      <c r="CK59" s="37"/>
      <c r="CL59" s="39">
        <f>BP59*(12*AG59+AH59)/100</f>
        <v>0.47945833333333332</v>
      </c>
      <c r="CM59" s="37"/>
      <c r="CN59" s="37"/>
      <c r="CO59" s="39">
        <f>0.063495+(0.016949+0.014096)*Wages!P57+1.22592*BR59</f>
        <v>0.64159679515360346</v>
      </c>
      <c r="CP59" s="39"/>
      <c r="CQ59" s="39">
        <f t="shared" si="5"/>
        <v>0.64159679515360346</v>
      </c>
      <c r="CR59" s="39">
        <f t="shared" si="22"/>
        <v>0.21259823083981308</v>
      </c>
      <c r="CS59" s="39">
        <f t="shared" si="7"/>
        <v>1.0807453416149069</v>
      </c>
      <c r="CT59" s="39">
        <f t="shared" si="8"/>
        <v>3.1108695652173921</v>
      </c>
      <c r="CU59" s="39">
        <v>1.5</v>
      </c>
      <c r="CV59" s="39">
        <f t="shared" si="26"/>
        <v>3.3295717592592596E-2</v>
      </c>
      <c r="CW59" s="39">
        <v>0.11</v>
      </c>
      <c r="CX59" s="39"/>
      <c r="CY59" s="39"/>
      <c r="CZ59" s="39">
        <f t="shared" si="9"/>
        <v>0.10794908843992621</v>
      </c>
      <c r="DA59" s="39">
        <f t="shared" si="10"/>
        <v>9.4285714285714288</v>
      </c>
      <c r="DB59" s="39">
        <v>5</v>
      </c>
      <c r="DC59" s="39">
        <f t="shared" si="11"/>
        <v>6</v>
      </c>
      <c r="DD59" s="39">
        <v>4.3</v>
      </c>
      <c r="DE59" s="39">
        <v>3.4000000000000002E-2</v>
      </c>
      <c r="DF59" s="37"/>
      <c r="DG59" s="39">
        <f t="shared" si="12"/>
        <v>0.47945833333333332</v>
      </c>
      <c r="DH59" s="39">
        <f t="shared" si="13"/>
        <v>3.8487661308580488</v>
      </c>
      <c r="DI59" s="37"/>
      <c r="DJ59" s="37"/>
      <c r="DK59" s="37"/>
      <c r="DL59" s="37"/>
      <c r="DM59" s="39">
        <f t="shared" si="14"/>
        <v>0.71539836861913886</v>
      </c>
      <c r="DN59" s="39"/>
      <c r="DO59" s="39">
        <f t="shared" si="15"/>
        <v>0.71539836861913886</v>
      </c>
      <c r="DP59" s="37"/>
      <c r="DQ59" s="37">
        <f>DO59/'Conversions, Sources &amp; Comments'!E57</f>
        <v>0.53715494089418259</v>
      </c>
    </row>
    <row r="60" spans="1:121">
      <c r="A60" s="42">
        <f t="shared" si="2"/>
        <v>1308</v>
      </c>
      <c r="B60" s="36"/>
      <c r="C60" s="38">
        <v>6</v>
      </c>
      <c r="D60" s="38">
        <v>11.25</v>
      </c>
      <c r="E60" s="38">
        <v>4</v>
      </c>
      <c r="F60" s="38">
        <v>4.88</v>
      </c>
      <c r="G60" s="38">
        <v>2</v>
      </c>
      <c r="H60" s="38">
        <v>8.75</v>
      </c>
      <c r="I60" s="38">
        <v>5</v>
      </c>
      <c r="J60" s="38">
        <v>8.5</v>
      </c>
      <c r="K60" s="36"/>
      <c r="L60" s="36"/>
      <c r="M60" s="38">
        <v>4</v>
      </c>
      <c r="N60" s="38">
        <v>4.25</v>
      </c>
      <c r="O60" s="38">
        <v>10</v>
      </c>
      <c r="P60" s="38">
        <v>3</v>
      </c>
      <c r="Q60" s="36"/>
      <c r="R60" s="36"/>
      <c r="S60" s="36"/>
      <c r="T60" s="36"/>
      <c r="U60" s="38">
        <v>5</v>
      </c>
      <c r="V60" s="36"/>
      <c r="W60" s="38">
        <v>7.5</v>
      </c>
      <c r="X60" s="36"/>
      <c r="Y60" s="36"/>
      <c r="Z60" s="38">
        <v>2</v>
      </c>
      <c r="AA60" s="38">
        <v>1.25</v>
      </c>
      <c r="AB60" s="36"/>
      <c r="AC60" s="36"/>
      <c r="AD60" s="36"/>
      <c r="AE60" s="36"/>
      <c r="AF60" s="36"/>
      <c r="AG60" s="36"/>
      <c r="AH60" s="36"/>
      <c r="AI60" s="36"/>
      <c r="AJ60" s="36"/>
      <c r="AK60" s="38">
        <v>8</v>
      </c>
      <c r="AL60" s="38">
        <v>4</v>
      </c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59">
        <v>4.916666666666667</v>
      </c>
      <c r="BH60" s="59"/>
      <c r="BI60" s="59">
        <v>9.8104664424489826E-2</v>
      </c>
      <c r="BJ60" s="59"/>
      <c r="BK60" s="36"/>
      <c r="BL60" s="36"/>
      <c r="BM60" s="36"/>
      <c r="BN60" s="38">
        <v>21.6</v>
      </c>
      <c r="BO60" s="36"/>
      <c r="BP60" s="39">
        <f t="shared" si="0"/>
        <v>1.3318287037037038</v>
      </c>
      <c r="BQ60" s="37"/>
      <c r="BR60" s="39">
        <f t="shared" si="1"/>
        <v>0.39330672705365421</v>
      </c>
      <c r="BS60" s="37"/>
      <c r="BT60" s="37"/>
      <c r="BU60" s="37"/>
      <c r="BV60" s="39">
        <f t="shared" si="3"/>
        <v>0.27873990265664383</v>
      </c>
      <c r="BW60" s="37"/>
      <c r="BX60" s="39">
        <f t="shared" si="4"/>
        <v>0.19160963198086986</v>
      </c>
      <c r="BY60" s="39">
        <f>$BP60*(12*Z60+AA60)/(12*0.453592)</f>
        <v>6.1782164677578315</v>
      </c>
      <c r="BZ60" s="37"/>
      <c r="CA60" s="37"/>
      <c r="CB60" s="39">
        <f>$BP60*(12*O60+P60)/(224*0.453592)</f>
        <v>1.6122785548816405</v>
      </c>
      <c r="CC60" s="39">
        <f t="shared" si="25"/>
        <v>0.11098572530864198</v>
      </c>
      <c r="CD60" s="39">
        <f>BP60*(12*AK60+AL60)/1000</f>
        <v>0.13318287037037038</v>
      </c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9">
        <f>0.063495+(0.016949+0.014096)*Wages!P58+1.22592*BR60</f>
        <v>0.73860848599319584</v>
      </c>
      <c r="CP60" s="39"/>
      <c r="CQ60" s="39">
        <f t="shared" si="5"/>
        <v>0.73860848599319584</v>
      </c>
      <c r="CR60" s="39">
        <f t="shared" si="22"/>
        <v>0.27873990265664383</v>
      </c>
      <c r="CS60" s="39">
        <f t="shared" si="7"/>
        <v>1.1616416917159647</v>
      </c>
      <c r="CT60" s="39">
        <f t="shared" si="8"/>
        <v>3.3437255246893156</v>
      </c>
      <c r="CU60" s="39">
        <f>CB60</f>
        <v>1.6122785548816405</v>
      </c>
      <c r="CV60" s="39">
        <f t="shared" si="26"/>
        <v>0.11098572530864198</v>
      </c>
      <c r="CW60" s="39">
        <f>CD60</f>
        <v>0.13318287037037038</v>
      </c>
      <c r="CX60" s="39"/>
      <c r="CY60" s="39"/>
      <c r="CZ60" s="39">
        <f t="shared" si="9"/>
        <v>0.19160963198086986</v>
      </c>
      <c r="DA60" s="39">
        <f t="shared" si="10"/>
        <v>9.7086258779051633</v>
      </c>
      <c r="DB60" s="39">
        <v>5</v>
      </c>
      <c r="DC60" s="39">
        <f t="shared" si="11"/>
        <v>6.1782164677578315</v>
      </c>
      <c r="DD60" s="39">
        <v>4.3</v>
      </c>
      <c r="DE60" s="39">
        <v>3.4000000000000002E-2</v>
      </c>
      <c r="DF60" s="37"/>
      <c r="DG60" s="39">
        <f t="shared" si="12"/>
        <v>0</v>
      </c>
      <c r="DH60" s="39">
        <f t="shared" si="13"/>
        <v>3.8487661308580488</v>
      </c>
      <c r="DI60" s="37"/>
      <c r="DJ60" s="37"/>
      <c r="DK60" s="37"/>
      <c r="DL60" s="37"/>
      <c r="DM60" s="39">
        <f t="shared" si="14"/>
        <v>0.82494583877190486</v>
      </c>
      <c r="DN60" s="39"/>
      <c r="DO60" s="39">
        <f t="shared" si="15"/>
        <v>0.82494583877190486</v>
      </c>
      <c r="DP60" s="37"/>
      <c r="DQ60" s="37">
        <f>DO60/'Conversions, Sources &amp; Comments'!E58</f>
        <v>0.61940836421215417</v>
      </c>
    </row>
    <row r="61" spans="1:121">
      <c r="A61" s="42">
        <f t="shared" si="2"/>
        <v>1309</v>
      </c>
      <c r="B61" s="36"/>
      <c r="C61" s="38">
        <v>7</v>
      </c>
      <c r="D61" s="38">
        <v>9.3800000000000008</v>
      </c>
      <c r="E61" s="38">
        <v>5</v>
      </c>
      <c r="F61" s="38">
        <v>2</v>
      </c>
      <c r="G61" s="38">
        <v>3</v>
      </c>
      <c r="H61" s="38">
        <v>3</v>
      </c>
      <c r="I61" s="38">
        <v>5</v>
      </c>
      <c r="J61" s="38">
        <v>8</v>
      </c>
      <c r="K61" s="36"/>
      <c r="L61" s="36"/>
      <c r="M61" s="38">
        <v>5</v>
      </c>
      <c r="N61" s="38">
        <v>2.625</v>
      </c>
      <c r="O61" s="38">
        <v>13</v>
      </c>
      <c r="P61" s="38">
        <v>7</v>
      </c>
      <c r="Q61" s="36"/>
      <c r="R61" s="36"/>
      <c r="S61" s="36"/>
      <c r="T61" s="36"/>
      <c r="U61" s="38">
        <v>6.25</v>
      </c>
      <c r="V61" s="36"/>
      <c r="W61" s="38">
        <v>8</v>
      </c>
      <c r="X61" s="36"/>
      <c r="Y61" s="36"/>
      <c r="Z61" s="36"/>
      <c r="AA61" s="36"/>
      <c r="AB61" s="36"/>
      <c r="AC61" s="36"/>
      <c r="AD61" s="36"/>
      <c r="AE61" s="36"/>
      <c r="AF61" s="36"/>
      <c r="AG61" s="38">
        <v>5</v>
      </c>
      <c r="AH61" s="38">
        <v>4.75</v>
      </c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59">
        <v>7.333333333333333</v>
      </c>
      <c r="BH61" s="59"/>
      <c r="BI61" s="59">
        <v>0.10086817609841826</v>
      </c>
      <c r="BJ61" s="59"/>
      <c r="BK61" s="36"/>
      <c r="BL61" s="36"/>
      <c r="BM61" s="36"/>
      <c r="BN61" s="38">
        <v>21.6</v>
      </c>
      <c r="BO61" s="36"/>
      <c r="BP61" s="39">
        <f t="shared" si="0"/>
        <v>1.3318287037037038</v>
      </c>
      <c r="BQ61" s="37"/>
      <c r="BR61" s="39">
        <f t="shared" si="1"/>
        <v>0.44116495101826103</v>
      </c>
      <c r="BS61" s="37"/>
      <c r="BT61" s="37"/>
      <c r="BU61" s="37"/>
      <c r="BV61" s="39">
        <f t="shared" si="3"/>
        <v>0.41574765142007886</v>
      </c>
      <c r="BW61" s="37"/>
      <c r="BX61" s="39">
        <f t="shared" si="4"/>
        <v>0.19700708640286452</v>
      </c>
      <c r="BY61" s="39">
        <v>6.2</v>
      </c>
      <c r="BZ61" s="37"/>
      <c r="CA61" s="37"/>
      <c r="CB61" s="39">
        <f>$BP61*(12*O61+P61)/(224*0.453592)</f>
        <v>2.1365967841114419</v>
      </c>
      <c r="CC61" s="39">
        <f t="shared" si="25"/>
        <v>0.13873215663580249</v>
      </c>
      <c r="CD61" s="37"/>
      <c r="CE61" s="37"/>
      <c r="CF61" s="37"/>
      <c r="CG61" s="37"/>
      <c r="CH61" s="37"/>
      <c r="CI61" s="37"/>
      <c r="CJ61" s="37"/>
      <c r="CK61" s="37"/>
      <c r="CL61" s="39">
        <f>BP61*(12*AG61+AH61)/100</f>
        <v>0.86235908564814823</v>
      </c>
      <c r="CM61" s="37"/>
      <c r="CN61" s="37"/>
      <c r="CO61" s="39">
        <f>0.063495+(0.016949+0.014096)*Wages!P59+1.22592*BR61</f>
        <v>0.81106104728471384</v>
      </c>
      <c r="CP61" s="39"/>
      <c r="CQ61" s="39">
        <f t="shared" si="5"/>
        <v>0.81106104728471384</v>
      </c>
      <c r="CR61" s="39">
        <f t="shared" si="22"/>
        <v>0.41574765142007886</v>
      </c>
      <c r="CS61" s="39">
        <f t="shared" si="7"/>
        <v>1.5394113475585545</v>
      </c>
      <c r="CT61" s="39">
        <f t="shared" si="8"/>
        <v>4.4311159392224262</v>
      </c>
      <c r="CU61" s="39">
        <f>CB61</f>
        <v>2.1365967841114419</v>
      </c>
      <c r="CV61" s="39">
        <f t="shared" si="26"/>
        <v>0.13873215663580249</v>
      </c>
      <c r="CW61" s="39">
        <v>0.12</v>
      </c>
      <c r="CX61" s="39"/>
      <c r="CY61" s="39"/>
      <c r="CZ61" s="39">
        <f t="shared" si="9"/>
        <v>0.19700708640286452</v>
      </c>
      <c r="DA61" s="39">
        <f t="shared" si="10"/>
        <v>9.7428571428571438</v>
      </c>
      <c r="DB61" s="39">
        <v>5</v>
      </c>
      <c r="DC61" s="39">
        <f t="shared" si="11"/>
        <v>6.2</v>
      </c>
      <c r="DD61" s="39">
        <v>4.3</v>
      </c>
      <c r="DE61" s="39">
        <v>3.4000000000000002E-2</v>
      </c>
      <c r="DF61" s="37"/>
      <c r="DG61" s="39">
        <f t="shared" si="12"/>
        <v>0.86235908564814823</v>
      </c>
      <c r="DH61" s="39">
        <f t="shared" si="13"/>
        <v>3.8487661308580488</v>
      </c>
      <c r="DI61" s="37"/>
      <c r="DJ61" s="37"/>
      <c r="DK61" s="37"/>
      <c r="DL61" s="37"/>
      <c r="DM61" s="39">
        <f t="shared" si="14"/>
        <v>0.92396869590968211</v>
      </c>
      <c r="DN61" s="39"/>
      <c r="DO61" s="39">
        <f t="shared" si="15"/>
        <v>0.92396869590968211</v>
      </c>
      <c r="DP61" s="37"/>
      <c r="DQ61" s="37">
        <f>DO61/'Conversions, Sources &amp; Comments'!E59</f>
        <v>0.69375941015552733</v>
      </c>
    </row>
    <row r="62" spans="1:121">
      <c r="A62" s="42">
        <f t="shared" si="2"/>
        <v>1310</v>
      </c>
      <c r="B62" s="36"/>
      <c r="C62" s="38">
        <v>7</v>
      </c>
      <c r="D62" s="38">
        <v>0.5</v>
      </c>
      <c r="E62" s="38">
        <v>5</v>
      </c>
      <c r="F62" s="38">
        <v>1</v>
      </c>
      <c r="G62" s="38">
        <v>2</v>
      </c>
      <c r="H62" s="38">
        <v>7.88</v>
      </c>
      <c r="I62" s="38">
        <v>5</v>
      </c>
      <c r="J62" s="38">
        <v>11.25</v>
      </c>
      <c r="K62" s="36"/>
      <c r="L62" s="36"/>
      <c r="M62" s="38">
        <v>3</v>
      </c>
      <c r="N62" s="38">
        <v>7.5</v>
      </c>
      <c r="O62" s="36"/>
      <c r="P62" s="36"/>
      <c r="Q62" s="36"/>
      <c r="R62" s="36"/>
      <c r="S62" s="36"/>
      <c r="T62" s="36"/>
      <c r="U62" s="38">
        <v>4.5</v>
      </c>
      <c r="V62" s="36"/>
      <c r="W62" s="38">
        <v>7</v>
      </c>
      <c r="X62" s="36"/>
      <c r="Y62" s="36"/>
      <c r="Z62" s="38">
        <v>2</v>
      </c>
      <c r="AA62" s="38">
        <v>1.5</v>
      </c>
      <c r="AB62" s="36"/>
      <c r="AC62" s="36"/>
      <c r="AD62" s="36"/>
      <c r="AE62" s="36"/>
      <c r="AF62" s="36"/>
      <c r="AG62" s="38">
        <v>1</v>
      </c>
      <c r="AH62" s="38">
        <v>6</v>
      </c>
      <c r="AI62" s="36"/>
      <c r="AJ62" s="36"/>
      <c r="AK62" s="38">
        <v>6</v>
      </c>
      <c r="AL62" s="38">
        <v>9</v>
      </c>
      <c r="AM62" s="36"/>
      <c r="AN62" s="36"/>
      <c r="AO62" s="38">
        <v>1</v>
      </c>
      <c r="AP62" s="38">
        <v>6</v>
      </c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59">
        <v>4.333333333333333</v>
      </c>
      <c r="BH62" s="59"/>
      <c r="BI62" s="59">
        <v>8.2905350217878371E-2</v>
      </c>
      <c r="BJ62" s="59"/>
      <c r="BK62" s="36"/>
      <c r="BL62" s="36"/>
      <c r="BM62" s="36"/>
      <c r="BN62" s="38">
        <v>21.6</v>
      </c>
      <c r="BO62" s="36"/>
      <c r="BP62" s="39">
        <f t="shared" si="0"/>
        <v>1.3318287037037038</v>
      </c>
      <c r="BQ62" s="37"/>
      <c r="BR62" s="39">
        <f t="shared" si="1"/>
        <v>0.39921223346587126</v>
      </c>
      <c r="BS62" s="37"/>
      <c r="BT62" s="37"/>
      <c r="BU62" s="37"/>
      <c r="BV62" s="39">
        <f t="shared" si="3"/>
        <v>0.24566906674822844</v>
      </c>
      <c r="BW62" s="37"/>
      <c r="BX62" s="39">
        <f t="shared" si="4"/>
        <v>0.16192363265988932</v>
      </c>
      <c r="BY62" s="39">
        <f>$BP62*(12*Z62+AA62)/(12*0.453592)</f>
        <v>6.2393869278346417</v>
      </c>
      <c r="BZ62" s="37"/>
      <c r="CA62" s="37"/>
      <c r="CB62" s="37"/>
      <c r="CC62" s="39">
        <f t="shared" si="25"/>
        <v>9.988715277777778E-2</v>
      </c>
      <c r="CD62" s="39">
        <f>BP62*(12*AK62+AL62)/1000</f>
        <v>0.10787812500000001</v>
      </c>
      <c r="CE62" s="37"/>
      <c r="CF62" s="37"/>
      <c r="CG62" s="39">
        <f>BP62*(12*AO62+AP62)/4.55</f>
        <v>5.2687728937728942</v>
      </c>
      <c r="CH62" s="37"/>
      <c r="CI62" s="37"/>
      <c r="CJ62" s="37"/>
      <c r="CK62" s="37"/>
      <c r="CL62" s="39">
        <f>BP62*(12*AG62+AH62)/100</f>
        <v>0.23972916666666666</v>
      </c>
      <c r="CM62" s="37"/>
      <c r="CN62" s="37"/>
      <c r="CO62" s="39">
        <f>0.063495+(0.016949+0.014096)*Wages!P60+1.22592*BR62</f>
        <v>0.75963037178288828</v>
      </c>
      <c r="CP62" s="39"/>
      <c r="CQ62" s="39">
        <f t="shared" si="5"/>
        <v>0.75963037178288828</v>
      </c>
      <c r="CR62" s="39">
        <f t="shared" si="22"/>
        <v>0.24566906674822844</v>
      </c>
      <c r="CS62" s="39">
        <f t="shared" si="7"/>
        <v>1.4409937888198758</v>
      </c>
      <c r="CT62" s="39">
        <f t="shared" si="8"/>
        <v>4.1478260869565222</v>
      </c>
      <c r="CU62" s="39">
        <v>2</v>
      </c>
      <c r="CV62" s="39">
        <f t="shared" si="26"/>
        <v>9.988715277777778E-2</v>
      </c>
      <c r="CW62" s="39">
        <f>CD62</f>
        <v>0.10787812500000001</v>
      </c>
      <c r="CX62" s="39"/>
      <c r="CY62" s="39"/>
      <c r="CZ62" s="39">
        <f t="shared" si="9"/>
        <v>0.16192363265988932</v>
      </c>
      <c r="DA62" s="39">
        <f t="shared" si="10"/>
        <v>9.8047508865972937</v>
      </c>
      <c r="DB62" s="39">
        <v>5</v>
      </c>
      <c r="DC62" s="39">
        <f t="shared" si="11"/>
        <v>6.2393869278346417</v>
      </c>
      <c r="DD62" s="39">
        <f>CG62</f>
        <v>5.2687728937728942</v>
      </c>
      <c r="DE62" s="39">
        <v>3.4000000000000002E-2</v>
      </c>
      <c r="DF62" s="37"/>
      <c r="DG62" s="39">
        <f t="shared" si="12"/>
        <v>0.23972916666666666</v>
      </c>
      <c r="DH62" s="39">
        <f t="shared" si="13"/>
        <v>3.8487661308580488</v>
      </c>
      <c r="DI62" s="37"/>
      <c r="DJ62" s="37"/>
      <c r="DK62" s="37"/>
      <c r="DL62" s="37"/>
      <c r="DM62" s="39">
        <f t="shared" si="14"/>
        <v>0.85510917455526225</v>
      </c>
      <c r="DN62" s="39"/>
      <c r="DO62" s="39">
        <f t="shared" si="15"/>
        <v>0.85510917455526225</v>
      </c>
      <c r="DP62" s="37"/>
      <c r="DQ62" s="37">
        <f>DO62/'Conversions, Sources &amp; Comments'!E60</f>
        <v>0.64205642375575434</v>
      </c>
    </row>
    <row r="63" spans="1:121">
      <c r="A63" s="42">
        <f t="shared" si="2"/>
        <v>1311</v>
      </c>
      <c r="B63" s="36"/>
      <c r="C63" s="38">
        <v>4</v>
      </c>
      <c r="D63" s="38">
        <v>5.25</v>
      </c>
      <c r="E63" s="38">
        <v>3</v>
      </c>
      <c r="F63" s="38">
        <v>9</v>
      </c>
      <c r="G63" s="38">
        <v>2</v>
      </c>
      <c r="H63" s="38">
        <v>5.63</v>
      </c>
      <c r="I63" s="38">
        <v>3</v>
      </c>
      <c r="J63" s="38">
        <v>10</v>
      </c>
      <c r="K63" s="36"/>
      <c r="L63" s="36"/>
      <c r="M63" s="38">
        <v>2</v>
      </c>
      <c r="N63" s="38">
        <v>10.125</v>
      </c>
      <c r="O63" s="38">
        <v>11</v>
      </c>
      <c r="P63" s="38">
        <v>8.25</v>
      </c>
      <c r="Q63" s="36"/>
      <c r="R63" s="36"/>
      <c r="S63" s="36"/>
      <c r="T63" s="36"/>
      <c r="U63" s="38">
        <v>4.75</v>
      </c>
      <c r="V63" s="36"/>
      <c r="W63" s="38">
        <v>6.5</v>
      </c>
      <c r="X63" s="36"/>
      <c r="Y63" s="36"/>
      <c r="Z63" s="38">
        <v>2</v>
      </c>
      <c r="AA63" s="38">
        <v>0</v>
      </c>
      <c r="AB63" s="36"/>
      <c r="AC63" s="36"/>
      <c r="AD63" s="36"/>
      <c r="AE63" s="36"/>
      <c r="AF63" s="36"/>
      <c r="AG63" s="36"/>
      <c r="AH63" s="36"/>
      <c r="AI63" s="36"/>
      <c r="AJ63" s="36"/>
      <c r="AK63" s="38">
        <v>9</v>
      </c>
      <c r="AL63" s="38">
        <v>9</v>
      </c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59">
        <v>3.1666666666666665</v>
      </c>
      <c r="BH63" s="59"/>
      <c r="BI63" s="59">
        <v>6.0797256826444136E-2</v>
      </c>
      <c r="BJ63" s="59"/>
      <c r="BK63" s="36"/>
      <c r="BL63" s="36"/>
      <c r="BM63" s="36"/>
      <c r="BN63" s="38">
        <v>21.6</v>
      </c>
      <c r="BO63" s="36"/>
      <c r="BP63" s="39">
        <f t="shared" si="0"/>
        <v>1.3318287037037038</v>
      </c>
      <c r="BQ63" s="37"/>
      <c r="BR63" s="39">
        <f t="shared" si="1"/>
        <v>0.25157457316044546</v>
      </c>
      <c r="BS63" s="37"/>
      <c r="BT63" s="37"/>
      <c r="BU63" s="37"/>
      <c r="BV63" s="39">
        <f t="shared" si="3"/>
        <v>0.17952739493139772</v>
      </c>
      <c r="BW63" s="37"/>
      <c r="BX63" s="39">
        <f t="shared" si="4"/>
        <v>0.11874399728391882</v>
      </c>
      <c r="BY63" s="39">
        <f>$BP63*(12*Z63+AA63)/(12*0.453592)</f>
        <v>5.8723641673737799</v>
      </c>
      <c r="BZ63" s="37"/>
      <c r="CA63" s="37"/>
      <c r="CB63" s="39">
        <f>$BP63*(12*O63+P63)/(224*0.453592)</f>
        <v>1.8383907912369923</v>
      </c>
      <c r="CC63" s="39">
        <f t="shared" si="25"/>
        <v>0.10543643904320989</v>
      </c>
      <c r="CD63" s="39">
        <f>BP63*(12*AK63+AL63)/1000</f>
        <v>0.15582395833333335</v>
      </c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9">
        <f>0.063495+(0.016949+0.014096)*Wages!P61+1.22592*BR63</f>
        <v>0.57863841126126059</v>
      </c>
      <c r="CP63" s="39"/>
      <c r="CQ63" s="39">
        <f t="shared" si="5"/>
        <v>0.57863841126126059</v>
      </c>
      <c r="CR63" s="39">
        <f t="shared" si="22"/>
        <v>0.17952739493139772</v>
      </c>
      <c r="CS63" s="39">
        <f t="shared" si="7"/>
        <v>1.3245548557980813</v>
      </c>
      <c r="CT63" s="39">
        <f t="shared" si="8"/>
        <v>3.8126626409567193</v>
      </c>
      <c r="CU63" s="39">
        <f>CB63</f>
        <v>1.8383907912369923</v>
      </c>
      <c r="CV63" s="39">
        <f t="shared" si="26"/>
        <v>0.10543643904320989</v>
      </c>
      <c r="CW63" s="39">
        <f>CD63</f>
        <v>0.15582395833333335</v>
      </c>
      <c r="CX63" s="39"/>
      <c r="CY63" s="39"/>
      <c r="CZ63" s="39">
        <f t="shared" si="9"/>
        <v>0.11874399728391882</v>
      </c>
      <c r="DA63" s="39">
        <f t="shared" si="10"/>
        <v>9.2280008344445115</v>
      </c>
      <c r="DB63" s="39">
        <v>5</v>
      </c>
      <c r="DC63" s="39">
        <f t="shared" si="11"/>
        <v>5.8723641673737799</v>
      </c>
      <c r="DD63" s="39">
        <v>4.3</v>
      </c>
      <c r="DE63" s="39">
        <v>3.4000000000000002E-2</v>
      </c>
      <c r="DF63" s="37"/>
      <c r="DG63" s="39">
        <f t="shared" si="12"/>
        <v>0</v>
      </c>
      <c r="DH63" s="39">
        <f t="shared" si="13"/>
        <v>3.8487661308580488</v>
      </c>
      <c r="DI63" s="37"/>
      <c r="DJ63" s="37"/>
      <c r="DK63" s="37"/>
      <c r="DL63" s="37"/>
      <c r="DM63" s="39">
        <f t="shared" si="14"/>
        <v>0.72367158894225847</v>
      </c>
      <c r="DN63" s="39"/>
      <c r="DO63" s="39">
        <f t="shared" si="15"/>
        <v>0.72367158894225847</v>
      </c>
      <c r="DP63" s="37"/>
      <c r="DQ63" s="37">
        <f>DO63/'Conversions, Sources &amp; Comments'!E61</f>
        <v>0.54336686612158802</v>
      </c>
    </row>
    <row r="64" spans="1:121">
      <c r="A64" s="42">
        <f t="shared" si="2"/>
        <v>1312</v>
      </c>
      <c r="B64" s="36"/>
      <c r="C64" s="38">
        <v>4</v>
      </c>
      <c r="D64" s="38">
        <v>11.38</v>
      </c>
      <c r="E64" s="38">
        <v>3</v>
      </c>
      <c r="F64" s="38">
        <v>11</v>
      </c>
      <c r="G64" s="38">
        <v>2</v>
      </c>
      <c r="H64" s="38">
        <v>4</v>
      </c>
      <c r="I64" s="38">
        <v>3</v>
      </c>
      <c r="J64" s="38">
        <v>6</v>
      </c>
      <c r="K64" s="36"/>
      <c r="L64" s="36"/>
      <c r="M64" s="38">
        <v>2</v>
      </c>
      <c r="N64" s="38">
        <v>9</v>
      </c>
      <c r="O64" s="38">
        <v>13</v>
      </c>
      <c r="P64" s="38">
        <v>4.25</v>
      </c>
      <c r="Q64" s="36"/>
      <c r="R64" s="36"/>
      <c r="S64" s="36"/>
      <c r="T64" s="36"/>
      <c r="U64" s="38">
        <v>4.5</v>
      </c>
      <c r="V64" s="36"/>
      <c r="W64" s="38">
        <v>6</v>
      </c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59">
        <v>2.9166666666666665</v>
      </c>
      <c r="BH64" s="59"/>
      <c r="BI64" s="59">
        <v>5.6651989315549794E-2</v>
      </c>
      <c r="BJ64" s="59"/>
      <c r="BK64" s="36"/>
      <c r="BL64" s="36"/>
      <c r="BM64" s="36"/>
      <c r="BN64" s="38">
        <v>21.6</v>
      </c>
      <c r="BO64" s="36"/>
      <c r="BP64" s="39">
        <f t="shared" si="0"/>
        <v>1.3318287037037038</v>
      </c>
      <c r="BQ64" s="37"/>
      <c r="BR64" s="39">
        <f t="shared" si="1"/>
        <v>0.28053517660595784</v>
      </c>
      <c r="BS64" s="37"/>
      <c r="BT64" s="37"/>
      <c r="BU64" s="37"/>
      <c r="BV64" s="39">
        <f t="shared" si="3"/>
        <v>0.16535417954207682</v>
      </c>
      <c r="BW64" s="37"/>
      <c r="BX64" s="39">
        <f t="shared" si="4"/>
        <v>0.11064781565092353</v>
      </c>
      <c r="BY64" s="39">
        <v>5.8723641673737799</v>
      </c>
      <c r="BZ64" s="37"/>
      <c r="CA64" s="37"/>
      <c r="CB64" s="39">
        <f>$BP64*(12*O64+P64)/(224*0.453592)</f>
        <v>2.1005499058518935</v>
      </c>
      <c r="CC64" s="39">
        <f t="shared" si="25"/>
        <v>9.988715277777778E-2</v>
      </c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9">
        <f>0.063495+(0.016949+0.014096)*Wages!P62+1.22592*BR64</f>
        <v>0.62792400160601036</v>
      </c>
      <c r="CP64" s="39"/>
      <c r="CQ64" s="39">
        <f t="shared" si="5"/>
        <v>0.62792400160601036</v>
      </c>
      <c r="CR64" s="39">
        <f t="shared" si="22"/>
        <v>0.16535417954207682</v>
      </c>
      <c r="CS64" s="39">
        <f t="shared" si="7"/>
        <v>1.5134396837193766</v>
      </c>
      <c r="CT64" s="39">
        <f t="shared" si="8"/>
        <v>4.3563578482232757</v>
      </c>
      <c r="CU64" s="39">
        <f>CB64</f>
        <v>2.1005499058518935</v>
      </c>
      <c r="CV64" s="39">
        <f t="shared" si="26"/>
        <v>9.988715277777778E-2</v>
      </c>
      <c r="CW64" s="39">
        <v>0.16</v>
      </c>
      <c r="CX64" s="39"/>
      <c r="CY64" s="39"/>
      <c r="CZ64" s="39">
        <f t="shared" si="9"/>
        <v>0.11064781565092353</v>
      </c>
      <c r="DA64" s="39">
        <f t="shared" si="10"/>
        <v>9.2280008344445115</v>
      </c>
      <c r="DB64" s="39">
        <v>5</v>
      </c>
      <c r="DC64" s="39">
        <f t="shared" si="11"/>
        <v>5.8723641673737799</v>
      </c>
      <c r="DD64" s="39">
        <v>4.3</v>
      </c>
      <c r="DE64" s="39">
        <v>3.4000000000000002E-2</v>
      </c>
      <c r="DF64" s="37"/>
      <c r="DG64" s="39">
        <f t="shared" si="12"/>
        <v>0</v>
      </c>
      <c r="DH64" s="39">
        <f t="shared" si="13"/>
        <v>3.8487661308580488</v>
      </c>
      <c r="DI64" s="37"/>
      <c r="DJ64" s="37"/>
      <c r="DK64" s="37"/>
      <c r="DL64" s="37"/>
      <c r="DM64" s="39">
        <f t="shared" si="14"/>
        <v>0.76120448624762349</v>
      </c>
      <c r="DN64" s="39"/>
      <c r="DO64" s="39">
        <f t="shared" si="15"/>
        <v>0.76120448624762349</v>
      </c>
      <c r="DP64" s="37"/>
      <c r="DQ64" s="37">
        <f>DO64/'Conversions, Sources &amp; Comments'!E62</f>
        <v>0.57154834111232</v>
      </c>
    </row>
    <row r="65" spans="1:121">
      <c r="A65" s="42">
        <f t="shared" si="2"/>
        <v>1313</v>
      </c>
      <c r="B65" s="36"/>
      <c r="C65" s="38">
        <v>5</v>
      </c>
      <c r="D65" s="38">
        <v>6.38</v>
      </c>
      <c r="E65" s="38">
        <v>4</v>
      </c>
      <c r="F65" s="38">
        <v>0.38</v>
      </c>
      <c r="G65" s="38">
        <v>2</v>
      </c>
      <c r="H65" s="38">
        <v>8.25</v>
      </c>
      <c r="I65" s="38">
        <v>4</v>
      </c>
      <c r="J65" s="38">
        <v>3.5</v>
      </c>
      <c r="K65" s="36"/>
      <c r="L65" s="36"/>
      <c r="M65" s="38">
        <v>3</v>
      </c>
      <c r="N65" s="38">
        <v>3.125</v>
      </c>
      <c r="O65" s="38">
        <v>12</v>
      </c>
      <c r="P65" s="38">
        <v>3.25</v>
      </c>
      <c r="Q65" s="36"/>
      <c r="R65" s="36"/>
      <c r="S65" s="36"/>
      <c r="T65" s="36"/>
      <c r="U65" s="38">
        <v>5</v>
      </c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8">
        <v>2</v>
      </c>
      <c r="AH65" s="38">
        <v>8</v>
      </c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59">
        <v>3.4166666666666665</v>
      </c>
      <c r="BH65" s="59"/>
      <c r="BI65" s="59">
        <v>7.8760082706984036E-2</v>
      </c>
      <c r="BJ65" s="59"/>
      <c r="BK65" s="36"/>
      <c r="BL65" s="36"/>
      <c r="BM65" s="36"/>
      <c r="BN65" s="38">
        <v>21.6</v>
      </c>
      <c r="BO65" s="36"/>
      <c r="BP65" s="39">
        <f t="shared" si="0"/>
        <v>1.3318287037037038</v>
      </c>
      <c r="BQ65" s="37"/>
      <c r="BR65" s="39">
        <f t="shared" si="1"/>
        <v>0.3136060125143732</v>
      </c>
      <c r="BS65" s="37"/>
      <c r="BT65" s="37"/>
      <c r="BU65" s="37"/>
      <c r="BV65" s="39">
        <f t="shared" si="3"/>
        <v>0.19370061032071859</v>
      </c>
      <c r="BW65" s="37"/>
      <c r="BX65" s="39">
        <f t="shared" si="4"/>
        <v>0.15382745102689405</v>
      </c>
      <c r="BY65" s="39">
        <v>5.8723641673737799</v>
      </c>
      <c r="BZ65" s="37"/>
      <c r="CA65" s="37"/>
      <c r="CB65" s="39">
        <f>$BP65*(12*O65+P65)/(224*0.453592)</f>
        <v>1.930146481352208</v>
      </c>
      <c r="CC65" s="39">
        <f t="shared" si="25"/>
        <v>0.11098572530864198</v>
      </c>
      <c r="CD65" s="37"/>
      <c r="CE65" s="37"/>
      <c r="CF65" s="37"/>
      <c r="CG65" s="37"/>
      <c r="CH65" s="37"/>
      <c r="CI65" s="37"/>
      <c r="CJ65" s="37"/>
      <c r="CK65" s="37"/>
      <c r="CL65" s="39">
        <f>BP65*(12*AG65+AH65)/100</f>
        <v>0.42618518518518522</v>
      </c>
      <c r="CM65" s="37"/>
      <c r="CN65" s="37"/>
      <c r="CO65" s="39">
        <f>0.063495+(0.016949+0.014096)*Wages!P63+1.22592*BR65</f>
        <v>0.6684662007628549</v>
      </c>
      <c r="CP65" s="39"/>
      <c r="CQ65" s="39">
        <f t="shared" si="5"/>
        <v>0.6684662007628549</v>
      </c>
      <c r="CR65" s="39">
        <f t="shared" si="22"/>
        <v>0.19370061032071859</v>
      </c>
      <c r="CS65" s="39">
        <f t="shared" si="7"/>
        <v>1.3906645455705349</v>
      </c>
      <c r="CT65" s="39">
        <f t="shared" si="8"/>
        <v>4.0029559635000149</v>
      </c>
      <c r="CU65" s="39">
        <f>CB65</f>
        <v>1.930146481352208</v>
      </c>
      <c r="CV65" s="39">
        <f t="shared" si="26"/>
        <v>0.11098572530864198</v>
      </c>
      <c r="CW65" s="39">
        <v>0.16</v>
      </c>
      <c r="CX65" s="39"/>
      <c r="CY65" s="39"/>
      <c r="CZ65" s="39">
        <f t="shared" si="9"/>
        <v>0.15382745102689405</v>
      </c>
      <c r="DA65" s="39">
        <f t="shared" si="10"/>
        <v>9.2280008344445115</v>
      </c>
      <c r="DB65" s="39">
        <v>5</v>
      </c>
      <c r="DC65" s="39">
        <f t="shared" si="11"/>
        <v>5.8723641673737799</v>
      </c>
      <c r="DD65" s="39">
        <v>4.3</v>
      </c>
      <c r="DE65" s="39">
        <v>3.4000000000000002E-2</v>
      </c>
      <c r="DF65" s="37"/>
      <c r="DG65" s="39">
        <f t="shared" si="12"/>
        <v>0.42618518518518522</v>
      </c>
      <c r="DH65" s="39">
        <f t="shared" si="13"/>
        <v>3.8487661308580488</v>
      </c>
      <c r="DI65" s="37"/>
      <c r="DJ65" s="37"/>
      <c r="DK65" s="37"/>
      <c r="DL65" s="37"/>
      <c r="DM65" s="39">
        <f t="shared" si="14"/>
        <v>0.78861496706435652</v>
      </c>
      <c r="DN65" s="39"/>
      <c r="DO65" s="39">
        <f t="shared" si="15"/>
        <v>0.78861496706435652</v>
      </c>
      <c r="DP65" s="37"/>
      <c r="DQ65" s="37">
        <f>DO65/'Conversions, Sources &amp; Comments'!E63</f>
        <v>0.59212942690849402</v>
      </c>
    </row>
    <row r="66" spans="1:121">
      <c r="A66" s="42">
        <f t="shared" si="2"/>
        <v>1314</v>
      </c>
      <c r="B66" s="36"/>
      <c r="C66" s="38">
        <v>8</v>
      </c>
      <c r="D66" s="38">
        <v>4.38</v>
      </c>
      <c r="E66" s="38">
        <v>5</v>
      </c>
      <c r="F66" s="38">
        <v>4</v>
      </c>
      <c r="G66" s="38">
        <v>2</v>
      </c>
      <c r="H66" s="38">
        <v>8.75</v>
      </c>
      <c r="I66" s="38">
        <v>7</v>
      </c>
      <c r="J66" s="38">
        <v>5</v>
      </c>
      <c r="K66" s="36"/>
      <c r="L66" s="36"/>
      <c r="M66" s="38">
        <v>4</v>
      </c>
      <c r="N66" s="38">
        <v>1.25</v>
      </c>
      <c r="O66" s="38">
        <v>12</v>
      </c>
      <c r="P66" s="38">
        <v>8.5</v>
      </c>
      <c r="Q66" s="36"/>
      <c r="R66" s="36"/>
      <c r="S66" s="36"/>
      <c r="T66" s="36"/>
      <c r="U66" s="38">
        <v>4.75</v>
      </c>
      <c r="V66" s="36"/>
      <c r="W66" s="36"/>
      <c r="X66" s="36"/>
      <c r="Y66" s="36"/>
      <c r="Z66" s="38">
        <v>2</v>
      </c>
      <c r="AA66" s="38">
        <v>0</v>
      </c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59">
        <v>5.333333333333333</v>
      </c>
      <c r="BH66" s="59"/>
      <c r="BI66" s="59">
        <v>9.9486420261454045E-2</v>
      </c>
      <c r="BJ66" s="59"/>
      <c r="BK66" s="36"/>
      <c r="BL66" s="36"/>
      <c r="BM66" s="36"/>
      <c r="BN66" s="38">
        <v>21.6</v>
      </c>
      <c r="BO66" s="36"/>
      <c r="BP66" s="39">
        <f t="shared" si="0"/>
        <v>1.3318287037037038</v>
      </c>
      <c r="BQ66" s="37"/>
      <c r="BR66" s="39">
        <f t="shared" si="1"/>
        <v>0.47423578692667639</v>
      </c>
      <c r="BS66" s="37"/>
      <c r="BT66" s="37"/>
      <c r="BU66" s="37"/>
      <c r="BV66" s="39">
        <f t="shared" si="3"/>
        <v>0.3023619283055119</v>
      </c>
      <c r="BW66" s="37"/>
      <c r="BX66" s="39">
        <f t="shared" si="4"/>
        <v>0.19430835919186717</v>
      </c>
      <c r="BY66" s="39">
        <f>$BP66*(12*Z66+AA66)/(12*0.453592)</f>
        <v>5.8723641673737799</v>
      </c>
      <c r="BZ66" s="37"/>
      <c r="CA66" s="37"/>
      <c r="CB66" s="39">
        <f>$BP66*(12*O66+P66)/(224*0.453592)</f>
        <v>1.9989632489386193</v>
      </c>
      <c r="CC66" s="39">
        <f t="shared" si="25"/>
        <v>0.10543643904320989</v>
      </c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9">
        <f>0.063495+(0.016949+0.014096)*Wages!P64+1.22592*BR66</f>
        <v>0.86538545381038567</v>
      </c>
      <c r="CP66" s="39"/>
      <c r="CQ66" s="39">
        <f t="shared" si="5"/>
        <v>0.86538545381038567</v>
      </c>
      <c r="CR66" s="39">
        <f t="shared" si="22"/>
        <v>0.3023619283055119</v>
      </c>
      <c r="CS66" s="39">
        <f t="shared" si="7"/>
        <v>1.4402468128998747</v>
      </c>
      <c r="CT66" s="39">
        <f t="shared" si="8"/>
        <v>4.1456759554074845</v>
      </c>
      <c r="CU66" s="39">
        <f>CB66</f>
        <v>1.9989632489386193</v>
      </c>
      <c r="CV66" s="39">
        <f t="shared" si="26"/>
        <v>0.10543643904320989</v>
      </c>
      <c r="CW66" s="39">
        <v>0.16</v>
      </c>
      <c r="CX66" s="39"/>
      <c r="CY66" s="39"/>
      <c r="CZ66" s="39">
        <f t="shared" si="9"/>
        <v>0.19430835919186717</v>
      </c>
      <c r="DA66" s="39">
        <f t="shared" si="10"/>
        <v>9.2280008344445115</v>
      </c>
      <c r="DB66" s="39">
        <v>5</v>
      </c>
      <c r="DC66" s="39">
        <f t="shared" si="11"/>
        <v>5.8723641673737799</v>
      </c>
      <c r="DD66" s="39">
        <v>4.3</v>
      </c>
      <c r="DE66" s="39">
        <v>3.4000000000000002E-2</v>
      </c>
      <c r="DF66" s="37"/>
      <c r="DG66" s="39">
        <f t="shared" si="12"/>
        <v>0</v>
      </c>
      <c r="DH66" s="39">
        <f t="shared" si="13"/>
        <v>3.8487661308580488</v>
      </c>
      <c r="DI66" s="37"/>
      <c r="DJ66" s="37"/>
      <c r="DK66" s="37"/>
      <c r="DL66" s="37"/>
      <c r="DM66" s="39">
        <f t="shared" si="14"/>
        <v>0.91143479052973131</v>
      </c>
      <c r="DN66" s="39"/>
      <c r="DO66" s="39">
        <f t="shared" si="15"/>
        <v>0.91143479052973131</v>
      </c>
      <c r="DP66" s="37"/>
      <c r="DQ66" s="37">
        <f>DO66/'Conversions, Sources &amp; Comments'!E64</f>
        <v>0.68434836101302499</v>
      </c>
    </row>
    <row r="67" spans="1:121">
      <c r="A67" s="42">
        <f t="shared" si="2"/>
        <v>1315</v>
      </c>
      <c r="B67" s="36"/>
      <c r="C67" s="38">
        <v>14</v>
      </c>
      <c r="D67" s="38">
        <v>10.88</v>
      </c>
      <c r="E67" s="38">
        <v>13</v>
      </c>
      <c r="F67" s="38">
        <v>1</v>
      </c>
      <c r="G67" s="38">
        <v>4</v>
      </c>
      <c r="H67" s="38">
        <v>10.5</v>
      </c>
      <c r="I67" s="38">
        <v>11</v>
      </c>
      <c r="J67" s="38">
        <v>11.63</v>
      </c>
      <c r="K67" s="36"/>
      <c r="L67" s="36"/>
      <c r="M67" s="38">
        <v>11</v>
      </c>
      <c r="N67" s="38">
        <v>2.5</v>
      </c>
      <c r="O67" s="38">
        <v>15</v>
      </c>
      <c r="P67" s="38">
        <v>2</v>
      </c>
      <c r="Q67" s="36"/>
      <c r="R67" s="36"/>
      <c r="S67" s="36"/>
      <c r="T67" s="36"/>
      <c r="U67" s="38">
        <v>4.875</v>
      </c>
      <c r="V67" s="36"/>
      <c r="W67" s="38">
        <v>6.75</v>
      </c>
      <c r="X67" s="36"/>
      <c r="Y67" s="36"/>
      <c r="Z67" s="36"/>
      <c r="AA67" s="36"/>
      <c r="AB67" s="36"/>
      <c r="AC67" s="36"/>
      <c r="AD67" s="36"/>
      <c r="AE67" s="36"/>
      <c r="AF67" s="36"/>
      <c r="AG67" s="38">
        <v>1</v>
      </c>
      <c r="AH67" s="38">
        <v>6</v>
      </c>
      <c r="AI67" s="36"/>
      <c r="AJ67" s="36"/>
      <c r="AK67" s="36"/>
      <c r="AL67" s="36"/>
      <c r="AM67" s="36"/>
      <c r="AN67" s="36"/>
      <c r="AO67" s="38">
        <v>0</v>
      </c>
      <c r="AP67" s="38">
        <v>11.5</v>
      </c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59">
        <v>12.666666666666666</v>
      </c>
      <c r="BH67" s="59"/>
      <c r="BI67" s="59">
        <v>0.21555391056648207</v>
      </c>
      <c r="BJ67" s="59"/>
      <c r="BK67" s="36"/>
      <c r="BL67" s="36"/>
      <c r="BM67" s="36"/>
      <c r="BN67" s="38">
        <v>21.6</v>
      </c>
      <c r="BO67" s="36"/>
      <c r="BP67" s="39">
        <f t="shared" si="0"/>
        <v>1.3318287037037038</v>
      </c>
      <c r="BQ67" s="37"/>
      <c r="BR67" s="39">
        <f t="shared" si="1"/>
        <v>0.84510158961390591</v>
      </c>
      <c r="BS67" s="37"/>
      <c r="BT67" s="37"/>
      <c r="BU67" s="37"/>
      <c r="BV67" s="39">
        <f t="shared" si="3"/>
        <v>0.71810957972559086</v>
      </c>
      <c r="BW67" s="37"/>
      <c r="BX67" s="39">
        <f t="shared" si="4"/>
        <v>0.42100144491570896</v>
      </c>
      <c r="BY67" s="39">
        <v>5.8723641673737799</v>
      </c>
      <c r="BZ67" s="37"/>
      <c r="CA67" s="37"/>
      <c r="CB67" s="39">
        <f>$BP67*(12*O67+P67)/(224*0.453592)</f>
        <v>2.3856479429955981</v>
      </c>
      <c r="CC67" s="39">
        <f t="shared" si="25"/>
        <v>0.10821108217592593</v>
      </c>
      <c r="CD67" s="37"/>
      <c r="CE67" s="37"/>
      <c r="CF67" s="37"/>
      <c r="CG67" s="39">
        <f>BP67*(12*AO67+AP67)/4.55</f>
        <v>3.3661604599104602</v>
      </c>
      <c r="CH67" s="37"/>
      <c r="CI67" s="37"/>
      <c r="CJ67" s="37"/>
      <c r="CK67" s="37"/>
      <c r="CL67" s="39">
        <f t="shared" ref="CL67:CL74" si="27">BP67*(12*AG67+AH67)/100</f>
        <v>0.23972916666666666</v>
      </c>
      <c r="CM67" s="37"/>
      <c r="CN67" s="37"/>
      <c r="CO67" s="39">
        <f>0.063495+(0.016949+0.014096)*Wages!P65+1.22592*BR67</f>
        <v>1.3200372586407141</v>
      </c>
      <c r="CP67" s="39"/>
      <c r="CQ67" s="39">
        <f t="shared" si="5"/>
        <v>1.3200372586407141</v>
      </c>
      <c r="CR67" s="39">
        <f t="shared" si="22"/>
        <v>0.71810957972559086</v>
      </c>
      <c r="CS67" s="39">
        <f t="shared" si="7"/>
        <v>1.7188519340837851</v>
      </c>
      <c r="CT67" s="39">
        <f t="shared" si="8"/>
        <v>4.9476263861256546</v>
      </c>
      <c r="CU67" s="39">
        <f>CB67</f>
        <v>2.3856479429955981</v>
      </c>
      <c r="CV67" s="39">
        <f t="shared" si="26"/>
        <v>0.10821108217592593</v>
      </c>
      <c r="CW67" s="39">
        <v>0.16</v>
      </c>
      <c r="CX67" s="39"/>
      <c r="CY67" s="39"/>
      <c r="CZ67" s="39">
        <f t="shared" si="9"/>
        <v>0.42100144491570896</v>
      </c>
      <c r="DA67" s="39">
        <f t="shared" si="10"/>
        <v>9.2280008344445115</v>
      </c>
      <c r="DB67" s="39">
        <v>5</v>
      </c>
      <c r="DC67" s="39">
        <f t="shared" si="11"/>
        <v>5.8723641673737799</v>
      </c>
      <c r="DD67" s="39">
        <f>CG67</f>
        <v>3.3661604599104602</v>
      </c>
      <c r="DE67" s="39">
        <v>3.4000000000000002E-2</v>
      </c>
      <c r="DF67" s="37"/>
      <c r="DG67" s="39">
        <f t="shared" si="12"/>
        <v>0.23972916666666666</v>
      </c>
      <c r="DH67" s="39">
        <f t="shared" si="13"/>
        <v>3.8487661308580488</v>
      </c>
      <c r="DI67" s="37"/>
      <c r="DJ67" s="37"/>
      <c r="DK67" s="37"/>
      <c r="DL67" s="37"/>
      <c r="DM67" s="39">
        <f t="shared" si="14"/>
        <v>1.2892730011411022</v>
      </c>
      <c r="DN67" s="39"/>
      <c r="DO67" s="39">
        <f t="shared" si="15"/>
        <v>1.2892730011411022</v>
      </c>
      <c r="DP67" s="37"/>
      <c r="DQ67" s="37">
        <f>DO67/'Conversions, Sources &amp; Comments'!E65</f>
        <v>0.96804716519154621</v>
      </c>
    </row>
    <row r="68" spans="1:121">
      <c r="A68" s="42">
        <f t="shared" si="2"/>
        <v>1316</v>
      </c>
      <c r="B68" s="36"/>
      <c r="C68" s="38">
        <v>15</v>
      </c>
      <c r="D68" s="38">
        <v>11.88</v>
      </c>
      <c r="E68" s="38">
        <v>8</v>
      </c>
      <c r="F68" s="38">
        <v>9.6300000000000008</v>
      </c>
      <c r="G68" s="38">
        <v>5</v>
      </c>
      <c r="H68" s="38">
        <v>4.88</v>
      </c>
      <c r="I68" s="38">
        <v>14</v>
      </c>
      <c r="J68" s="38">
        <v>3.25</v>
      </c>
      <c r="K68" s="36"/>
      <c r="L68" s="36"/>
      <c r="M68" s="38">
        <v>11</v>
      </c>
      <c r="N68" s="38">
        <v>7.25</v>
      </c>
      <c r="O68" s="36"/>
      <c r="P68" s="36"/>
      <c r="Q68" s="36"/>
      <c r="R68" s="36"/>
      <c r="S68" s="36"/>
      <c r="T68" s="36"/>
      <c r="U68" s="38">
        <v>6.75</v>
      </c>
      <c r="V68" s="36"/>
      <c r="W68" s="38">
        <v>7</v>
      </c>
      <c r="X68" s="36"/>
      <c r="Y68" s="36"/>
      <c r="Z68" s="36"/>
      <c r="AA68" s="36"/>
      <c r="AB68" s="36"/>
      <c r="AC68" s="36"/>
      <c r="AD68" s="36"/>
      <c r="AE68" s="36"/>
      <c r="AF68" s="36"/>
      <c r="AG68" s="38">
        <v>2</v>
      </c>
      <c r="AH68" s="38">
        <v>9.5</v>
      </c>
      <c r="AI68" s="36"/>
      <c r="AJ68" s="36"/>
      <c r="AK68" s="38">
        <v>10</v>
      </c>
      <c r="AL68" s="38">
        <v>6</v>
      </c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59">
        <v>13.083333333333334</v>
      </c>
      <c r="BH68" s="59"/>
      <c r="BI68" s="59">
        <v>0.20449986387076496</v>
      </c>
      <c r="BJ68" s="59"/>
      <c r="BK68" s="36"/>
      <c r="BL68" s="36"/>
      <c r="BM68" s="36"/>
      <c r="BN68" s="38">
        <v>21.6</v>
      </c>
      <c r="BO68" s="36"/>
      <c r="BP68" s="39">
        <f t="shared" si="0"/>
        <v>1.3318287037037038</v>
      </c>
      <c r="BQ68" s="37"/>
      <c r="BR68" s="39">
        <f t="shared" si="1"/>
        <v>0.90651885630096307</v>
      </c>
      <c r="BS68" s="37"/>
      <c r="BT68" s="37"/>
      <c r="BU68" s="37"/>
      <c r="BV68" s="39">
        <f t="shared" si="3"/>
        <v>0.74173160537445904</v>
      </c>
      <c r="BW68" s="37"/>
      <c r="BX68" s="39">
        <f t="shared" si="4"/>
        <v>0.39941162722772366</v>
      </c>
      <c r="BY68" s="39">
        <v>5.8723641673737799</v>
      </c>
      <c r="BZ68" s="37"/>
      <c r="CA68" s="37"/>
      <c r="CB68" s="37"/>
      <c r="CC68" s="39">
        <f t="shared" si="25"/>
        <v>0.14983072916666668</v>
      </c>
      <c r="CD68" s="39">
        <f>BP68*(12*AK68+AL68)/1000</f>
        <v>0.16781041666666666</v>
      </c>
      <c r="CE68" s="37"/>
      <c r="CF68" s="37"/>
      <c r="CG68" s="37"/>
      <c r="CH68" s="37"/>
      <c r="CI68" s="37"/>
      <c r="CJ68" s="37"/>
      <c r="CK68" s="37"/>
      <c r="CL68" s="39">
        <f t="shared" si="27"/>
        <v>0.44616261574074073</v>
      </c>
      <c r="CM68" s="37"/>
      <c r="CN68" s="37"/>
      <c r="CO68" s="39">
        <f>0.063495+(0.016949+0.014096)*Wages!P66+1.22592*BR68</f>
        <v>1.3953299142177111</v>
      </c>
      <c r="CP68" s="39"/>
      <c r="CQ68" s="39">
        <f t="shared" si="5"/>
        <v>1.3953299142177111</v>
      </c>
      <c r="CR68" s="39">
        <f t="shared" si="22"/>
        <v>0.74173160537445904</v>
      </c>
      <c r="CS68" s="39">
        <f t="shared" si="7"/>
        <v>1.5130434782608697</v>
      </c>
      <c r="CT68" s="39">
        <f t="shared" si="8"/>
        <v>4.3552173913043486</v>
      </c>
      <c r="CU68" s="39">
        <v>2.1</v>
      </c>
      <c r="CV68" s="39">
        <f t="shared" si="26"/>
        <v>0.14983072916666668</v>
      </c>
      <c r="CW68" s="39">
        <f>CD68</f>
        <v>0.16781041666666666</v>
      </c>
      <c r="CX68" s="39"/>
      <c r="CY68" s="39"/>
      <c r="CZ68" s="39">
        <f t="shared" si="9"/>
        <v>0.39941162722772366</v>
      </c>
      <c r="DA68" s="39">
        <f t="shared" si="10"/>
        <v>9.2280008344445115</v>
      </c>
      <c r="DB68" s="39">
        <v>5</v>
      </c>
      <c r="DC68" s="39">
        <f t="shared" si="11"/>
        <v>5.8723641673737799</v>
      </c>
      <c r="DD68" s="39">
        <v>3.1</v>
      </c>
      <c r="DE68" s="39">
        <v>3.4000000000000002E-2</v>
      </c>
      <c r="DF68" s="37"/>
      <c r="DG68" s="39">
        <f t="shared" si="12"/>
        <v>0.44616261574074073</v>
      </c>
      <c r="DH68" s="39">
        <f t="shared" si="13"/>
        <v>3.8487661308580488</v>
      </c>
      <c r="DI68" s="37"/>
      <c r="DJ68" s="37"/>
      <c r="DK68" s="37"/>
      <c r="DL68" s="37"/>
      <c r="DM68" s="39">
        <f t="shared" si="14"/>
        <v>1.2954372777446412</v>
      </c>
      <c r="DN68" s="39"/>
      <c r="DO68" s="39">
        <f t="shared" si="15"/>
        <v>1.2954372777446412</v>
      </c>
      <c r="DP68" s="37"/>
      <c r="DQ68" s="37">
        <f>DO68/'Conversions, Sources &amp; Comments'!E66</f>
        <v>0.97267559569946116</v>
      </c>
    </row>
    <row r="69" spans="1:121">
      <c r="A69" s="42">
        <f t="shared" si="2"/>
        <v>1317</v>
      </c>
      <c r="B69" s="36"/>
      <c r="C69" s="38">
        <v>8</v>
      </c>
      <c r="D69" s="38">
        <v>3.5</v>
      </c>
      <c r="E69" s="38">
        <v>5</v>
      </c>
      <c r="F69" s="38">
        <v>7.13</v>
      </c>
      <c r="G69" s="38">
        <v>3</v>
      </c>
      <c r="H69" s="38">
        <v>9.5</v>
      </c>
      <c r="I69" s="38">
        <v>5</v>
      </c>
      <c r="J69" s="38">
        <v>8.6300000000000008</v>
      </c>
      <c r="K69" s="36"/>
      <c r="L69" s="36"/>
      <c r="M69" s="38">
        <v>5</v>
      </c>
      <c r="N69" s="38">
        <v>8</v>
      </c>
      <c r="O69" s="38">
        <v>12</v>
      </c>
      <c r="P69" s="38">
        <v>2.25</v>
      </c>
      <c r="Q69" s="36"/>
      <c r="R69" s="36"/>
      <c r="S69" s="36"/>
      <c r="T69" s="36"/>
      <c r="U69" s="38">
        <v>4.5</v>
      </c>
      <c r="V69" s="36"/>
      <c r="W69" s="38">
        <v>7.25</v>
      </c>
      <c r="X69" s="36"/>
      <c r="Y69" s="36"/>
      <c r="Z69" s="38">
        <v>2</v>
      </c>
      <c r="AA69" s="38">
        <v>0</v>
      </c>
      <c r="AB69" s="36"/>
      <c r="AC69" s="36"/>
      <c r="AD69" s="36"/>
      <c r="AE69" s="36"/>
      <c r="AF69" s="36"/>
      <c r="AG69" s="38">
        <v>2</v>
      </c>
      <c r="AH69" s="38">
        <v>8</v>
      </c>
      <c r="AI69" s="36"/>
      <c r="AJ69" s="36"/>
      <c r="AK69" s="38">
        <v>11</v>
      </c>
      <c r="AL69" s="38">
        <v>3</v>
      </c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59">
        <v>5.916666666666667</v>
      </c>
      <c r="BH69" s="59"/>
      <c r="BI69" s="59">
        <v>0.15613840957700384</v>
      </c>
      <c r="BJ69" s="59"/>
      <c r="BK69" s="36"/>
      <c r="BL69" s="36"/>
      <c r="BM69" s="36"/>
      <c r="BN69" s="38">
        <v>21.6</v>
      </c>
      <c r="BO69" s="36"/>
      <c r="BP69" s="39">
        <f t="shared" si="0"/>
        <v>1.3318287037037038</v>
      </c>
      <c r="BQ69" s="37"/>
      <c r="BR69" s="39">
        <f t="shared" si="1"/>
        <v>0.47007831041247561</v>
      </c>
      <c r="BS69" s="37"/>
      <c r="BT69" s="37"/>
      <c r="BU69" s="37"/>
      <c r="BV69" s="39">
        <f t="shared" si="3"/>
        <v>0.33543276421392737</v>
      </c>
      <c r="BW69" s="37"/>
      <c r="BX69" s="39">
        <f t="shared" si="4"/>
        <v>0.30495617484279069</v>
      </c>
      <c r="BY69" s="39">
        <f>$BP69*(12*Z69+AA69)/(12*0.453592)</f>
        <v>5.8723641673737799</v>
      </c>
      <c r="BZ69" s="37"/>
      <c r="CA69" s="37"/>
      <c r="CB69" s="39">
        <f t="shared" ref="CB69:CB74" si="28">$BP69*(12*O69+P69)/(224*0.453592)</f>
        <v>1.9170385256214628</v>
      </c>
      <c r="CC69" s="39">
        <f t="shared" si="25"/>
        <v>9.988715277777778E-2</v>
      </c>
      <c r="CD69" s="39">
        <f>BP69*(12*AK69+AL69)/1000</f>
        <v>0.17979687499999999</v>
      </c>
      <c r="CE69" s="37"/>
      <c r="CF69" s="37"/>
      <c r="CG69" s="37"/>
      <c r="CH69" s="37"/>
      <c r="CI69" s="37"/>
      <c r="CJ69" s="37"/>
      <c r="CK69" s="37"/>
      <c r="CL69" s="39">
        <f t="shared" si="27"/>
        <v>0.42618518518518522</v>
      </c>
      <c r="CM69" s="37"/>
      <c r="CN69" s="37"/>
      <c r="CO69" s="39">
        <f>0.063495+(0.016949+0.014096)*Wages!P67+1.22592*BR69</f>
        <v>0.86028872020209657</v>
      </c>
      <c r="CP69" s="39"/>
      <c r="CQ69" s="39">
        <f t="shared" si="5"/>
        <v>0.86028872020209657</v>
      </c>
      <c r="CR69" s="39">
        <f t="shared" si="22"/>
        <v>0.33543276421392737</v>
      </c>
      <c r="CS69" s="39">
        <f t="shared" si="7"/>
        <v>1.3812203041744699</v>
      </c>
      <c r="CT69" s="39">
        <f t="shared" si="8"/>
        <v>3.9757712031366861</v>
      </c>
      <c r="CU69" s="39">
        <f t="shared" ref="CU69:CU74" si="29">CB69</f>
        <v>1.9170385256214628</v>
      </c>
      <c r="CV69" s="39">
        <f t="shared" si="26"/>
        <v>9.988715277777778E-2</v>
      </c>
      <c r="CW69" s="39">
        <f>CD69</f>
        <v>0.17979687499999999</v>
      </c>
      <c r="CX69" s="39"/>
      <c r="CY69" s="39"/>
      <c r="CZ69" s="39">
        <f t="shared" si="9"/>
        <v>0.30495617484279069</v>
      </c>
      <c r="DA69" s="39">
        <f t="shared" si="10"/>
        <v>9.2280008344445115</v>
      </c>
      <c r="DB69" s="39">
        <v>5</v>
      </c>
      <c r="DC69" s="39">
        <f t="shared" si="11"/>
        <v>5.8723641673737799</v>
      </c>
      <c r="DD69" s="39">
        <v>3.1</v>
      </c>
      <c r="DE69" s="39">
        <v>3.4000000000000002E-2</v>
      </c>
      <c r="DF69" s="37"/>
      <c r="DG69" s="39">
        <f t="shared" si="12"/>
        <v>0.42618518518518522</v>
      </c>
      <c r="DH69" s="39">
        <f t="shared" si="13"/>
        <v>3.8487661308580488</v>
      </c>
      <c r="DI69" s="37"/>
      <c r="DJ69" s="37"/>
      <c r="DK69" s="37"/>
      <c r="DL69" s="37"/>
      <c r="DM69" s="39">
        <f t="shared" si="14"/>
        <v>0.94681020870596744</v>
      </c>
      <c r="DN69" s="39"/>
      <c r="DO69" s="39">
        <f t="shared" si="15"/>
        <v>0.94681020870596744</v>
      </c>
      <c r="DP69" s="37"/>
      <c r="DQ69" s="37">
        <f>DO69/'Conversions, Sources &amp; Comments'!E67</f>
        <v>0.71090989860255138</v>
      </c>
    </row>
    <row r="70" spans="1:121">
      <c r="A70" s="42">
        <f t="shared" si="2"/>
        <v>1318</v>
      </c>
      <c r="B70" s="36"/>
      <c r="C70" s="38">
        <v>4</v>
      </c>
      <c r="D70" s="38">
        <v>6.5</v>
      </c>
      <c r="E70" s="38">
        <v>3</v>
      </c>
      <c r="F70" s="38">
        <v>5.5</v>
      </c>
      <c r="G70" s="38">
        <v>2</v>
      </c>
      <c r="H70" s="38">
        <v>1</v>
      </c>
      <c r="I70" s="38">
        <v>3</v>
      </c>
      <c r="J70" s="38">
        <v>7.13</v>
      </c>
      <c r="K70" s="36"/>
      <c r="L70" s="36"/>
      <c r="M70" s="38">
        <v>3</v>
      </c>
      <c r="N70" s="38">
        <v>6.375</v>
      </c>
      <c r="O70" s="38">
        <v>15</v>
      </c>
      <c r="P70" s="38">
        <v>0.5</v>
      </c>
      <c r="Q70" s="36"/>
      <c r="R70" s="36"/>
      <c r="S70" s="36"/>
      <c r="T70" s="36"/>
      <c r="U70" s="38">
        <v>4</v>
      </c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8">
        <v>2</v>
      </c>
      <c r="AH70" s="38">
        <v>3.25</v>
      </c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59">
        <v>3.9166666666666665</v>
      </c>
      <c r="BH70" s="59"/>
      <c r="BI70" s="59">
        <v>7.4614815196089687E-2</v>
      </c>
      <c r="BJ70" s="59"/>
      <c r="BK70" s="36"/>
      <c r="BL70" s="36"/>
      <c r="BM70" s="36"/>
      <c r="BN70" s="38">
        <v>21.6</v>
      </c>
      <c r="BO70" s="36"/>
      <c r="BP70" s="39">
        <f t="shared" si="0"/>
        <v>1.3318287037037038</v>
      </c>
      <c r="BQ70" s="37"/>
      <c r="BR70" s="39">
        <f t="shared" si="1"/>
        <v>0.2574800795726625</v>
      </c>
      <c r="BS70" s="37"/>
      <c r="BT70" s="37"/>
      <c r="BU70" s="37"/>
      <c r="BV70" s="39">
        <f t="shared" si="3"/>
        <v>0.22204704109936033</v>
      </c>
      <c r="BW70" s="37"/>
      <c r="BX70" s="39">
        <f t="shared" si="4"/>
        <v>0.14573126939389872</v>
      </c>
      <c r="BY70" s="39">
        <v>5.8723641673737799</v>
      </c>
      <c r="BZ70" s="37"/>
      <c r="CA70" s="37"/>
      <c r="CB70" s="39">
        <f t="shared" si="28"/>
        <v>2.3659860093994807</v>
      </c>
      <c r="CC70" s="39">
        <f t="shared" si="25"/>
        <v>8.8788580246913579E-2</v>
      </c>
      <c r="CD70" s="37"/>
      <c r="CE70" s="37"/>
      <c r="CF70" s="37"/>
      <c r="CG70" s="37"/>
      <c r="CH70" s="37"/>
      <c r="CI70" s="37"/>
      <c r="CJ70" s="37"/>
      <c r="CK70" s="37"/>
      <c r="CL70" s="39">
        <f t="shared" si="27"/>
        <v>0.36292332175925929</v>
      </c>
      <c r="CM70" s="37"/>
      <c r="CN70" s="37"/>
      <c r="CO70" s="39">
        <f>0.063495+(0.016949+0.014096)*Wages!P68+1.22592*BR70</f>
        <v>0.59966029705095292</v>
      </c>
      <c r="CP70" s="39"/>
      <c r="CQ70" s="39">
        <f t="shared" si="5"/>
        <v>0.59966029705095292</v>
      </c>
      <c r="CR70" s="39">
        <f t="shared" si="22"/>
        <v>0.22204704109936033</v>
      </c>
      <c r="CS70" s="39">
        <f t="shared" si="7"/>
        <v>1.7046855719896878</v>
      </c>
      <c r="CT70" s="39">
        <f t="shared" si="8"/>
        <v>4.9068492455806627</v>
      </c>
      <c r="CU70" s="39">
        <f t="shared" si="29"/>
        <v>2.3659860093994807</v>
      </c>
      <c r="CV70" s="39">
        <f t="shared" si="26"/>
        <v>8.8788580246913579E-2</v>
      </c>
      <c r="CW70" s="39">
        <v>0.17499999999999999</v>
      </c>
      <c r="CX70" s="39"/>
      <c r="CY70" s="39"/>
      <c r="CZ70" s="39">
        <f t="shared" si="9"/>
        <v>0.14573126939389872</v>
      </c>
      <c r="DA70" s="39">
        <f t="shared" si="10"/>
        <v>9.2280008344445115</v>
      </c>
      <c r="DB70" s="39">
        <v>5</v>
      </c>
      <c r="DC70" s="39">
        <f t="shared" si="11"/>
        <v>5.8723641673737799</v>
      </c>
      <c r="DD70" s="39">
        <v>3.1</v>
      </c>
      <c r="DE70" s="39">
        <v>3.4000000000000002E-2</v>
      </c>
      <c r="DF70" s="37"/>
      <c r="DG70" s="39">
        <f t="shared" si="12"/>
        <v>0.36292332175925929</v>
      </c>
      <c r="DH70" s="39">
        <f t="shared" si="13"/>
        <v>3.8487661308580488</v>
      </c>
      <c r="DI70" s="37"/>
      <c r="DJ70" s="37"/>
      <c r="DK70" s="37"/>
      <c r="DL70" s="37"/>
      <c r="DM70" s="39">
        <f t="shared" si="14"/>
        <v>0.78460131415117873</v>
      </c>
      <c r="DN70" s="39"/>
      <c r="DO70" s="39">
        <f t="shared" si="15"/>
        <v>0.78460131415117873</v>
      </c>
      <c r="DP70" s="37"/>
      <c r="DQ70" s="37">
        <f>DO70/'Conversions, Sources &amp; Comments'!E68</f>
        <v>0.58911578641402484</v>
      </c>
    </row>
    <row r="71" spans="1:121">
      <c r="A71" s="42">
        <f t="shared" si="2"/>
        <v>1319</v>
      </c>
      <c r="B71" s="36"/>
      <c r="C71" s="38">
        <v>5</v>
      </c>
      <c r="D71" s="38">
        <v>9.6300000000000008</v>
      </c>
      <c r="E71" s="38">
        <v>3</v>
      </c>
      <c r="F71" s="38">
        <v>5.38</v>
      </c>
      <c r="G71" s="38">
        <v>2</v>
      </c>
      <c r="H71" s="38">
        <v>2.75</v>
      </c>
      <c r="I71" s="38">
        <v>4</v>
      </c>
      <c r="J71" s="38">
        <v>3.5</v>
      </c>
      <c r="K71" s="36"/>
      <c r="L71" s="36"/>
      <c r="M71" s="38">
        <v>3</v>
      </c>
      <c r="N71" s="38">
        <v>4.25</v>
      </c>
      <c r="O71" s="38">
        <v>11</v>
      </c>
      <c r="P71" s="36"/>
      <c r="Q71" s="36"/>
      <c r="R71" s="36"/>
      <c r="S71" s="36"/>
      <c r="T71" s="36"/>
      <c r="U71" s="38">
        <v>4.625</v>
      </c>
      <c r="V71" s="36"/>
      <c r="W71" s="38">
        <v>6.75</v>
      </c>
      <c r="X71" s="36"/>
      <c r="Y71" s="36"/>
      <c r="Z71" s="36"/>
      <c r="AA71" s="36"/>
      <c r="AB71" s="36"/>
      <c r="AC71" s="36"/>
      <c r="AD71" s="36"/>
      <c r="AE71" s="36"/>
      <c r="AF71" s="36"/>
      <c r="AG71" s="38">
        <v>3</v>
      </c>
      <c r="AH71" s="38">
        <v>0</v>
      </c>
      <c r="AI71" s="36"/>
      <c r="AJ71" s="36"/>
      <c r="AK71" s="38">
        <v>10</v>
      </c>
      <c r="AL71" s="38">
        <v>10</v>
      </c>
      <c r="AM71" s="36"/>
      <c r="AN71" s="36"/>
      <c r="AO71" s="38">
        <v>0</v>
      </c>
      <c r="AP71" s="38">
        <v>10.5</v>
      </c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59">
        <v>3.3333333333333335</v>
      </c>
      <c r="BH71" s="59"/>
      <c r="BI71" s="59">
        <v>6.0797256826444136E-2</v>
      </c>
      <c r="BJ71" s="59"/>
      <c r="BK71" s="36"/>
      <c r="BL71" s="36"/>
      <c r="BM71" s="36"/>
      <c r="BN71" s="38">
        <v>21.6</v>
      </c>
      <c r="BO71" s="36"/>
      <c r="BP71" s="39">
        <f t="shared" si="0"/>
        <v>1.3318287037037038</v>
      </c>
      <c r="BQ71" s="37"/>
      <c r="BR71" s="39">
        <f t="shared" si="1"/>
        <v>0.32896032918613743</v>
      </c>
      <c r="BS71" s="37"/>
      <c r="BT71" s="37"/>
      <c r="BU71" s="37"/>
      <c r="BV71" s="39">
        <f t="shared" si="3"/>
        <v>0.18897620519094499</v>
      </c>
      <c r="BW71" s="37"/>
      <c r="BX71" s="39">
        <f t="shared" si="4"/>
        <v>0.11874399728391882</v>
      </c>
      <c r="BY71" s="39">
        <v>5.8723641673737799</v>
      </c>
      <c r="BZ71" s="37"/>
      <c r="CA71" s="37"/>
      <c r="CB71" s="39">
        <f t="shared" si="28"/>
        <v>1.7302501564583459</v>
      </c>
      <c r="CC71" s="39">
        <f t="shared" si="25"/>
        <v>0.10266179591049383</v>
      </c>
      <c r="CD71" s="39">
        <f>BP71*(12*AK71+AL71)/1000</f>
        <v>0.17313773148148148</v>
      </c>
      <c r="CE71" s="37"/>
      <c r="CF71" s="37"/>
      <c r="CG71" s="39">
        <f>BP71*(12*AO71+AP71)/4.55</f>
        <v>3.0734508547008548</v>
      </c>
      <c r="CH71" s="37"/>
      <c r="CI71" s="37"/>
      <c r="CJ71" s="37"/>
      <c r="CK71" s="37"/>
      <c r="CL71" s="39">
        <f t="shared" si="27"/>
        <v>0.47945833333333332</v>
      </c>
      <c r="CM71" s="37"/>
      <c r="CN71" s="37"/>
      <c r="CO71" s="39">
        <f>0.063495+(0.016949+0.014096)*Wages!P69+1.22592*BR71</f>
        <v>0.68728936465710411</v>
      </c>
      <c r="CP71" s="39"/>
      <c r="CQ71" s="39">
        <f t="shared" si="5"/>
        <v>0.68728936465710411</v>
      </c>
      <c r="CR71" s="39">
        <f t="shared" si="22"/>
        <v>0.18897620519094499</v>
      </c>
      <c r="CS71" s="39">
        <f t="shared" si="7"/>
        <v>1.2466398642805474</v>
      </c>
      <c r="CT71" s="39">
        <f t="shared" si="8"/>
        <v>3.5883883679592654</v>
      </c>
      <c r="CU71" s="39">
        <f t="shared" si="29"/>
        <v>1.7302501564583459</v>
      </c>
      <c r="CV71" s="39">
        <f t="shared" si="26"/>
        <v>0.10266179591049383</v>
      </c>
      <c r="CW71" s="39">
        <f>CD71</f>
        <v>0.17313773148148148</v>
      </c>
      <c r="CX71" s="39"/>
      <c r="CY71" s="39"/>
      <c r="CZ71" s="39">
        <f t="shared" si="9"/>
        <v>0.11874399728391882</v>
      </c>
      <c r="DA71" s="39">
        <f t="shared" si="10"/>
        <v>9.2280008344445115</v>
      </c>
      <c r="DB71" s="39">
        <v>5</v>
      </c>
      <c r="DC71" s="39">
        <f t="shared" si="11"/>
        <v>5.8723641673737799</v>
      </c>
      <c r="DD71" s="39">
        <f>CG71</f>
        <v>3.0734508547008548</v>
      </c>
      <c r="DE71" s="39">
        <v>3.4000000000000002E-2</v>
      </c>
      <c r="DF71" s="37"/>
      <c r="DG71" s="39">
        <f t="shared" si="12"/>
        <v>0.47945833333333332</v>
      </c>
      <c r="DH71" s="39">
        <f t="shared" si="13"/>
        <v>3.8487661308580488</v>
      </c>
      <c r="DI71" s="37"/>
      <c r="DJ71" s="37"/>
      <c r="DK71" s="37"/>
      <c r="DL71" s="37"/>
      <c r="DM71" s="39">
        <f t="shared" si="14"/>
        <v>0.75543393269259895</v>
      </c>
      <c r="DN71" s="39"/>
      <c r="DO71" s="39">
        <f t="shared" si="15"/>
        <v>0.75543393269259895</v>
      </c>
      <c r="DP71" s="37"/>
      <c r="DQ71" s="37">
        <f>DO71/'Conversions, Sources &amp; Comments'!E69</f>
        <v>0.56721553649639822</v>
      </c>
    </row>
    <row r="72" spans="1:121">
      <c r="A72" s="42">
        <f t="shared" si="2"/>
        <v>1320</v>
      </c>
      <c r="B72" s="36"/>
      <c r="C72" s="38">
        <v>6</v>
      </c>
      <c r="D72" s="38">
        <v>5</v>
      </c>
      <c r="E72" s="38">
        <v>4</v>
      </c>
      <c r="F72" s="38">
        <v>1.75</v>
      </c>
      <c r="G72" s="38">
        <v>2</v>
      </c>
      <c r="H72" s="38">
        <v>5</v>
      </c>
      <c r="I72" s="38">
        <v>5</v>
      </c>
      <c r="J72" s="38">
        <v>5</v>
      </c>
      <c r="K72" s="36"/>
      <c r="L72" s="36"/>
      <c r="M72" s="38">
        <v>3</v>
      </c>
      <c r="N72" s="38">
        <v>9.25</v>
      </c>
      <c r="O72" s="38">
        <v>12</v>
      </c>
      <c r="P72" s="38">
        <v>10</v>
      </c>
      <c r="Q72" s="36"/>
      <c r="R72" s="36"/>
      <c r="S72" s="36"/>
      <c r="T72" s="36"/>
      <c r="U72" s="38">
        <v>4.5</v>
      </c>
      <c r="V72" s="36"/>
      <c r="W72" s="38">
        <v>6</v>
      </c>
      <c r="X72" s="36"/>
      <c r="Y72" s="36"/>
      <c r="Z72" s="38">
        <v>2</v>
      </c>
      <c r="AA72" s="38">
        <v>3</v>
      </c>
      <c r="AB72" s="36"/>
      <c r="AC72" s="36"/>
      <c r="AD72" s="36"/>
      <c r="AE72" s="36"/>
      <c r="AF72" s="36"/>
      <c r="AG72" s="38">
        <v>3</v>
      </c>
      <c r="AH72" s="38">
        <v>6</v>
      </c>
      <c r="AI72" s="36"/>
      <c r="AJ72" s="36"/>
      <c r="AK72" s="38">
        <v>8</v>
      </c>
      <c r="AL72" s="38">
        <v>9</v>
      </c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59">
        <v>4.166666666666667</v>
      </c>
      <c r="BH72" s="59"/>
      <c r="BI72" s="59">
        <v>7.8760082706984036E-2</v>
      </c>
      <c r="BJ72" s="59"/>
      <c r="BK72" s="36"/>
      <c r="BL72" s="36"/>
      <c r="BM72" s="36"/>
      <c r="BN72" s="38">
        <v>21.6</v>
      </c>
      <c r="BO72" s="36"/>
      <c r="BP72" s="39">
        <f t="shared" si="0"/>
        <v>1.3318287037037038</v>
      </c>
      <c r="BQ72" s="37"/>
      <c r="BR72" s="39">
        <f t="shared" si="1"/>
        <v>0.36377919499256905</v>
      </c>
      <c r="BS72" s="37"/>
      <c r="BT72" s="37"/>
      <c r="BU72" s="37"/>
      <c r="BV72" s="39">
        <f t="shared" si="3"/>
        <v>0.23622025648868122</v>
      </c>
      <c r="BW72" s="37"/>
      <c r="BX72" s="39">
        <f t="shared" si="4"/>
        <v>0.15382745102689405</v>
      </c>
      <c r="BY72" s="39">
        <f>$BP72*(12*Z72+AA72)/(12*0.453592)</f>
        <v>6.6064096882955026</v>
      </c>
      <c r="BZ72" s="37"/>
      <c r="CA72" s="37"/>
      <c r="CB72" s="39">
        <f t="shared" si="28"/>
        <v>2.0186251825347368</v>
      </c>
      <c r="CC72" s="39">
        <f t="shared" si="25"/>
        <v>9.988715277777778E-2</v>
      </c>
      <c r="CD72" s="39">
        <f>BP72*(12*AK72+AL72)/1000</f>
        <v>0.13984201388888889</v>
      </c>
      <c r="CE72" s="37"/>
      <c r="CF72" s="37"/>
      <c r="CG72" s="37"/>
      <c r="CH72" s="37"/>
      <c r="CI72" s="37"/>
      <c r="CJ72" s="37"/>
      <c r="CK72" s="37"/>
      <c r="CL72" s="39">
        <f t="shared" si="27"/>
        <v>0.55936805555555558</v>
      </c>
      <c r="CM72" s="37"/>
      <c r="CN72" s="37"/>
      <c r="CO72" s="39">
        <f>0.063495+(0.016949+0.014096)*Wages!P70+1.22592*BR72</f>
        <v>0.7299745086265248</v>
      </c>
      <c r="CP72" s="39"/>
      <c r="CQ72" s="39">
        <f t="shared" si="5"/>
        <v>0.7299745086265248</v>
      </c>
      <c r="CR72" s="39">
        <f t="shared" si="22"/>
        <v>0.23622025648868122</v>
      </c>
      <c r="CS72" s="39">
        <f t="shared" si="7"/>
        <v>1.4544131749939717</v>
      </c>
      <c r="CT72" s="39">
        <f t="shared" si="8"/>
        <v>4.1864530959524764</v>
      </c>
      <c r="CU72" s="39">
        <f t="shared" si="29"/>
        <v>2.0186251825347368</v>
      </c>
      <c r="CV72" s="39">
        <f t="shared" si="26"/>
        <v>9.988715277777778E-2</v>
      </c>
      <c r="CW72" s="39">
        <f>CD72</f>
        <v>0.13984201388888889</v>
      </c>
      <c r="CX72" s="39"/>
      <c r="CY72" s="39"/>
      <c r="CZ72" s="39">
        <f t="shared" si="9"/>
        <v>0.15382745102689405</v>
      </c>
      <c r="DA72" s="39">
        <f t="shared" si="10"/>
        <v>10.381500938750076</v>
      </c>
      <c r="DB72" s="39">
        <v>5</v>
      </c>
      <c r="DC72" s="39">
        <f t="shared" si="11"/>
        <v>6.6064096882955026</v>
      </c>
      <c r="DD72" s="39">
        <v>3.5</v>
      </c>
      <c r="DE72" s="39">
        <v>3.4000000000000002E-2</v>
      </c>
      <c r="DF72" s="37"/>
      <c r="DG72" s="39">
        <f t="shared" si="12"/>
        <v>0.55936805555555558</v>
      </c>
      <c r="DH72" s="39">
        <f t="shared" si="13"/>
        <v>3.8487661308580488</v>
      </c>
      <c r="DI72" s="37"/>
      <c r="DJ72" s="37"/>
      <c r="DK72" s="37"/>
      <c r="DL72" s="37"/>
      <c r="DM72" s="39">
        <f t="shared" si="14"/>
        <v>0.83375313015288721</v>
      </c>
      <c r="DN72" s="39"/>
      <c r="DO72" s="39">
        <f t="shared" si="15"/>
        <v>0.83375313015288721</v>
      </c>
      <c r="DP72" s="37"/>
      <c r="DQ72" s="37">
        <f>DO72/'Conversions, Sources &amp; Comments'!E70</f>
        <v>0.62602129525688233</v>
      </c>
    </row>
    <row r="73" spans="1:121">
      <c r="A73" s="42">
        <f t="shared" si="2"/>
        <v>1321</v>
      </c>
      <c r="B73" s="36"/>
      <c r="C73" s="38">
        <v>11</v>
      </c>
      <c r="D73" s="38">
        <v>7.75</v>
      </c>
      <c r="E73" s="38">
        <v>8</v>
      </c>
      <c r="F73" s="38">
        <v>5</v>
      </c>
      <c r="G73" s="38">
        <v>4</v>
      </c>
      <c r="H73" s="38">
        <v>0.75</v>
      </c>
      <c r="I73" s="38">
        <v>10</v>
      </c>
      <c r="J73" s="38">
        <v>4.38</v>
      </c>
      <c r="K73" s="36"/>
      <c r="L73" s="36"/>
      <c r="M73" s="38">
        <v>9</v>
      </c>
      <c r="N73" s="38">
        <v>3.625</v>
      </c>
      <c r="O73" s="38">
        <v>16</v>
      </c>
      <c r="P73" s="38">
        <v>6</v>
      </c>
      <c r="Q73" s="36"/>
      <c r="R73" s="36"/>
      <c r="S73" s="36"/>
      <c r="T73" s="36"/>
      <c r="U73" s="38">
        <v>5</v>
      </c>
      <c r="V73" s="36"/>
      <c r="W73" s="38">
        <v>7.5</v>
      </c>
      <c r="X73" s="36"/>
      <c r="Y73" s="36"/>
      <c r="Z73" s="38">
        <v>1</v>
      </c>
      <c r="AA73" s="38">
        <v>6</v>
      </c>
      <c r="AB73" s="36"/>
      <c r="AC73" s="36"/>
      <c r="AD73" s="36"/>
      <c r="AE73" s="36"/>
      <c r="AF73" s="36"/>
      <c r="AG73" s="38">
        <v>2</v>
      </c>
      <c r="AH73" s="38">
        <v>7</v>
      </c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59">
        <v>10</v>
      </c>
      <c r="BH73" s="59"/>
      <c r="BI73" s="59">
        <v>8.2905350217878371E-2</v>
      </c>
      <c r="BJ73" s="59"/>
      <c r="BK73" s="36"/>
      <c r="BL73" s="36"/>
      <c r="BM73" s="36"/>
      <c r="BN73" s="38">
        <v>21.6</v>
      </c>
      <c r="BO73" s="36"/>
      <c r="BP73" s="39">
        <f t="shared" si="0"/>
        <v>1.3318287037037038</v>
      </c>
      <c r="BQ73" s="37"/>
      <c r="BR73" s="39">
        <f t="shared" si="1"/>
        <v>0.66023561688586396</v>
      </c>
      <c r="BS73" s="37"/>
      <c r="BT73" s="37"/>
      <c r="BU73" s="37"/>
      <c r="BV73" s="39">
        <f t="shared" si="3"/>
        <v>0.56692861557283492</v>
      </c>
      <c r="BW73" s="37"/>
      <c r="BX73" s="39">
        <f t="shared" si="4"/>
        <v>0.16192363265988932</v>
      </c>
      <c r="BY73" s="39">
        <f>$BP73*(12*Z73+AA73)/(12*0.453592)</f>
        <v>4.4042731255303345</v>
      </c>
      <c r="BZ73" s="37"/>
      <c r="CA73" s="37"/>
      <c r="CB73" s="39">
        <f t="shared" si="28"/>
        <v>2.595375234687519</v>
      </c>
      <c r="CC73" s="39">
        <f t="shared" si="25"/>
        <v>0.11098572530864198</v>
      </c>
      <c r="CD73" s="37"/>
      <c r="CE73" s="37"/>
      <c r="CF73" s="37"/>
      <c r="CG73" s="37"/>
      <c r="CH73" s="37"/>
      <c r="CI73" s="37"/>
      <c r="CJ73" s="37"/>
      <c r="CK73" s="37"/>
      <c r="CL73" s="39">
        <f t="shared" si="27"/>
        <v>0.41286689814814814</v>
      </c>
      <c r="CM73" s="37"/>
      <c r="CN73" s="37"/>
      <c r="CO73" s="39">
        <f>0.063495+(0.016949+0.014096)*Wages!P71+1.22592*BR73</f>
        <v>1.0934063653539527</v>
      </c>
      <c r="CP73" s="39"/>
      <c r="CQ73" s="39">
        <f t="shared" si="5"/>
        <v>1.0934063653539527</v>
      </c>
      <c r="CR73" s="39">
        <f t="shared" si="22"/>
        <v>0.56692861557283492</v>
      </c>
      <c r="CS73" s="39">
        <f t="shared" si="7"/>
        <v>1.869959796420821</v>
      </c>
      <c r="CT73" s="39">
        <f t="shared" si="8"/>
        <v>5.3825825519388983</v>
      </c>
      <c r="CU73" s="39">
        <f t="shared" si="29"/>
        <v>2.595375234687519</v>
      </c>
      <c r="CV73" s="39">
        <f t="shared" si="26"/>
        <v>0.11098572530864198</v>
      </c>
      <c r="CW73" s="39">
        <v>0.16</v>
      </c>
      <c r="CX73" s="39"/>
      <c r="CY73" s="39"/>
      <c r="CZ73" s="39">
        <f t="shared" si="9"/>
        <v>0.16192363265988932</v>
      </c>
      <c r="DA73" s="39">
        <f t="shared" si="10"/>
        <v>6.9210006258333818</v>
      </c>
      <c r="DB73" s="39">
        <v>5</v>
      </c>
      <c r="DC73" s="39">
        <f t="shared" si="11"/>
        <v>4.4042731255303345</v>
      </c>
      <c r="DD73" s="39">
        <v>3.5</v>
      </c>
      <c r="DE73" s="39">
        <v>3.4000000000000002E-2</v>
      </c>
      <c r="DF73" s="37"/>
      <c r="DG73" s="39">
        <f t="shared" si="12"/>
        <v>0.41286689814814814</v>
      </c>
      <c r="DH73" s="39">
        <f t="shared" si="13"/>
        <v>3.8487661308580488</v>
      </c>
      <c r="DI73" s="37"/>
      <c r="DJ73" s="37"/>
      <c r="DK73" s="37"/>
      <c r="DL73" s="37"/>
      <c r="DM73" s="39">
        <f t="shared" si="14"/>
        <v>1.0523423741014148</v>
      </c>
      <c r="DN73" s="39"/>
      <c r="DO73" s="39">
        <f t="shared" si="15"/>
        <v>1.0523423741014148</v>
      </c>
      <c r="DP73" s="37"/>
      <c r="DQ73" s="37">
        <f>DO73/'Conversions, Sources &amp; Comments'!E71</f>
        <v>0.7901484411433235</v>
      </c>
    </row>
    <row r="74" spans="1:121">
      <c r="A74" s="42">
        <f t="shared" si="2"/>
        <v>1322</v>
      </c>
      <c r="B74" s="36"/>
      <c r="C74" s="38">
        <v>8</v>
      </c>
      <c r="D74" s="38">
        <v>11.88</v>
      </c>
      <c r="E74" s="38">
        <v>6</v>
      </c>
      <c r="F74" s="38">
        <v>6</v>
      </c>
      <c r="G74" s="38">
        <v>3</v>
      </c>
      <c r="H74" s="38">
        <v>2.5</v>
      </c>
      <c r="I74" s="38">
        <v>7</v>
      </c>
      <c r="J74" s="38">
        <v>0</v>
      </c>
      <c r="K74" s="36"/>
      <c r="L74" s="36"/>
      <c r="M74" s="38">
        <v>6</v>
      </c>
      <c r="N74" s="38">
        <v>4.75</v>
      </c>
      <c r="O74" s="38">
        <v>12</v>
      </c>
      <c r="P74" s="36"/>
      <c r="Q74" s="36"/>
      <c r="R74" s="36"/>
      <c r="S74" s="36"/>
      <c r="T74" s="36"/>
      <c r="U74" s="38">
        <v>5.25</v>
      </c>
      <c r="V74" s="36"/>
      <c r="W74" s="36"/>
      <c r="X74" s="36"/>
      <c r="Y74" s="36"/>
      <c r="Z74" s="38">
        <v>2</v>
      </c>
      <c r="AA74" s="38">
        <v>0</v>
      </c>
      <c r="AB74" s="36"/>
      <c r="AC74" s="36"/>
      <c r="AD74" s="36"/>
      <c r="AE74" s="36"/>
      <c r="AF74" s="36"/>
      <c r="AG74" s="38">
        <v>2</v>
      </c>
      <c r="AH74" s="38">
        <v>6</v>
      </c>
      <c r="AI74" s="36"/>
      <c r="AJ74" s="36"/>
      <c r="AK74" s="38">
        <v>11</v>
      </c>
      <c r="AL74" s="38">
        <v>8</v>
      </c>
      <c r="AM74" s="36"/>
      <c r="AN74" s="36"/>
      <c r="AO74" s="38">
        <v>1</v>
      </c>
      <c r="AP74" s="38">
        <v>2</v>
      </c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59">
        <v>7.666666666666667</v>
      </c>
      <c r="BH74" s="59"/>
      <c r="BI74" s="59">
        <v>0.16028367708789817</v>
      </c>
      <c r="BJ74" s="59"/>
      <c r="BK74" s="36"/>
      <c r="BL74" s="36"/>
      <c r="BM74" s="36"/>
      <c r="BN74" s="38">
        <v>21.6</v>
      </c>
      <c r="BO74" s="36"/>
      <c r="BP74" s="39">
        <f t="shared" si="0"/>
        <v>1.3318287037037038</v>
      </c>
      <c r="BQ74" s="37"/>
      <c r="BR74" s="39">
        <f t="shared" si="1"/>
        <v>0.5096688253999786</v>
      </c>
      <c r="BS74" s="37"/>
      <c r="BT74" s="37"/>
      <c r="BU74" s="37"/>
      <c r="BV74" s="39">
        <f t="shared" si="3"/>
        <v>0.43464527193917341</v>
      </c>
      <c r="BW74" s="37"/>
      <c r="BX74" s="39">
        <f t="shared" si="4"/>
        <v>0.313052356475786</v>
      </c>
      <c r="BY74" s="39">
        <f>$BP74*(12*Z74+AA74)/(12*0.453592)</f>
        <v>5.8723641673737799</v>
      </c>
      <c r="BZ74" s="37"/>
      <c r="CA74" s="37"/>
      <c r="CB74" s="39">
        <f t="shared" si="28"/>
        <v>1.8875456252272862</v>
      </c>
      <c r="CC74" s="39">
        <f t="shared" si="25"/>
        <v>0.11653501157407407</v>
      </c>
      <c r="CD74" s="39">
        <f>BP74*(12*AK74+AL74)/1000</f>
        <v>0.18645601851851853</v>
      </c>
      <c r="CE74" s="37"/>
      <c r="CF74" s="37"/>
      <c r="CG74" s="39">
        <f>BP74*(12*AO74+AP74)/4.55</f>
        <v>4.0979344729344733</v>
      </c>
      <c r="CH74" s="37"/>
      <c r="CI74" s="37"/>
      <c r="CJ74" s="37"/>
      <c r="CK74" s="37"/>
      <c r="CL74" s="39">
        <f t="shared" si="27"/>
        <v>0.39954861111111112</v>
      </c>
      <c r="CM74" s="37"/>
      <c r="CN74" s="37"/>
      <c r="CO74" s="39">
        <f>0.063495+(0.016949+0.014096)*Wages!P72+1.22592*BR74</f>
        <v>0.90882352433557623</v>
      </c>
      <c r="CP74" s="39"/>
      <c r="CQ74" s="39">
        <f t="shared" si="5"/>
        <v>0.90882352433557623</v>
      </c>
      <c r="CR74" s="39">
        <f t="shared" si="22"/>
        <v>0.43464527193917341</v>
      </c>
      <c r="CS74" s="39">
        <f t="shared" si="7"/>
        <v>1.3599707610333243</v>
      </c>
      <c r="CT74" s="39">
        <f t="shared" si="8"/>
        <v>3.9146054923191986</v>
      </c>
      <c r="CU74" s="39">
        <f t="shared" si="29"/>
        <v>1.8875456252272862</v>
      </c>
      <c r="CV74" s="39">
        <f t="shared" si="26"/>
        <v>0.11653501157407407</v>
      </c>
      <c r="CW74" s="39">
        <f>CD74</f>
        <v>0.18645601851851853</v>
      </c>
      <c r="CX74" s="39"/>
      <c r="CY74" s="39"/>
      <c r="CZ74" s="39">
        <f t="shared" si="9"/>
        <v>0.313052356475786</v>
      </c>
      <c r="DA74" s="39">
        <f t="shared" si="10"/>
        <v>9.2280008344445115</v>
      </c>
      <c r="DB74" s="39">
        <v>5</v>
      </c>
      <c r="DC74" s="39">
        <f t="shared" si="11"/>
        <v>5.8723641673737799</v>
      </c>
      <c r="DD74" s="39">
        <f>CG74</f>
        <v>4.0979344729344733</v>
      </c>
      <c r="DE74" s="39">
        <v>3.4000000000000002E-2</v>
      </c>
      <c r="DF74" s="37"/>
      <c r="DG74" s="39">
        <f t="shared" si="12"/>
        <v>0.39954861111111112</v>
      </c>
      <c r="DH74" s="39">
        <f t="shared" si="13"/>
        <v>3.8487661308580488</v>
      </c>
      <c r="DI74" s="37"/>
      <c r="DJ74" s="37"/>
      <c r="DK74" s="37"/>
      <c r="DL74" s="37"/>
      <c r="DM74" s="39">
        <f t="shared" si="14"/>
        <v>0.98995880184033447</v>
      </c>
      <c r="DN74" s="39"/>
      <c r="DO74" s="39">
        <f t="shared" si="15"/>
        <v>0.98995880184033447</v>
      </c>
      <c r="DP74" s="37"/>
      <c r="DQ74" s="37">
        <f>DO74/'Conversions, Sources &amp; Comments'!E72</f>
        <v>0.74330790370213695</v>
      </c>
    </row>
    <row r="75" spans="1:121">
      <c r="A75" s="42">
        <f t="shared" si="2"/>
        <v>1323</v>
      </c>
      <c r="B75" s="36"/>
      <c r="C75" s="38">
        <v>7</v>
      </c>
      <c r="D75" s="38">
        <v>5.38</v>
      </c>
      <c r="E75" s="38">
        <v>4</v>
      </c>
      <c r="F75" s="38">
        <v>4.13</v>
      </c>
      <c r="G75" s="38">
        <v>2</v>
      </c>
      <c r="H75" s="38">
        <v>7.25</v>
      </c>
      <c r="I75" s="38">
        <v>5</v>
      </c>
      <c r="J75" s="38">
        <v>7</v>
      </c>
      <c r="K75" s="36"/>
      <c r="L75" s="36"/>
      <c r="M75" s="38">
        <v>5</v>
      </c>
      <c r="N75" s="38">
        <v>1.25</v>
      </c>
      <c r="O75" s="36"/>
      <c r="P75" s="36"/>
      <c r="Q75" s="36"/>
      <c r="R75" s="36"/>
      <c r="S75" s="36"/>
      <c r="T75" s="36"/>
      <c r="U75" s="38">
        <v>4.375</v>
      </c>
      <c r="V75" s="36"/>
      <c r="W75" s="36"/>
      <c r="X75" s="36"/>
      <c r="Y75" s="36"/>
      <c r="Z75" s="38">
        <v>2</v>
      </c>
      <c r="AA75" s="38">
        <v>3</v>
      </c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59">
        <v>5.25</v>
      </c>
      <c r="BH75" s="59"/>
      <c r="BI75" s="59">
        <v>0.10777695528324104</v>
      </c>
      <c r="BJ75" s="59"/>
      <c r="BK75" s="36"/>
      <c r="BL75" s="36"/>
      <c r="BM75" s="36"/>
      <c r="BN75" s="38">
        <v>21.6</v>
      </c>
      <c r="BO75" s="36"/>
      <c r="BP75" s="39">
        <f t="shared" ref="BP75:BP138" si="30">(31.1*0.925/$BN75)</f>
        <v>1.3318287037037038</v>
      </c>
      <c r="BQ75" s="37"/>
      <c r="BR75" s="39">
        <f t="shared" ref="BR75:BR138" si="31">(31.1*0.925/$BN75)*(12*C75+D75)/35.238/8</f>
        <v>0.42226733049916654</v>
      </c>
      <c r="BS75" s="37"/>
      <c r="BT75" s="37"/>
      <c r="BU75" s="37"/>
      <c r="BV75" s="39">
        <f t="shared" si="3"/>
        <v>0.29763752317573833</v>
      </c>
      <c r="BW75" s="37"/>
      <c r="BX75" s="39">
        <f t="shared" si="4"/>
        <v>0.21050072245785448</v>
      </c>
      <c r="BY75" s="39">
        <f>$BP75*(12*Z75+AA75)/(12*0.453592)</f>
        <v>6.6064096882955026</v>
      </c>
      <c r="BZ75" s="37"/>
      <c r="CA75" s="37"/>
      <c r="CB75" s="37"/>
      <c r="CC75" s="39">
        <f t="shared" si="25"/>
        <v>9.711250964506174E-2</v>
      </c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9">
        <f>0.063495+(0.016949+0.014096)*Wages!P73+1.22592*BR75</f>
        <v>0.8016762837067728</v>
      </c>
      <c r="CP75" s="39"/>
      <c r="CQ75" s="39">
        <f t="shared" si="5"/>
        <v>0.8016762837067728</v>
      </c>
      <c r="CR75" s="39">
        <f t="shared" si="22"/>
        <v>0.29763752317573833</v>
      </c>
      <c r="CS75" s="39">
        <f t="shared" si="7"/>
        <v>1.2608695652173914</v>
      </c>
      <c r="CT75" s="39">
        <f t="shared" si="8"/>
        <v>3.6293478260869572</v>
      </c>
      <c r="CU75" s="39">
        <v>1.75</v>
      </c>
      <c r="CV75" s="39">
        <f t="shared" si="26"/>
        <v>9.711250964506174E-2</v>
      </c>
      <c r="CW75" s="39">
        <v>0.15</v>
      </c>
      <c r="CX75" s="39"/>
      <c r="CY75" s="39"/>
      <c r="CZ75" s="39">
        <f t="shared" ref="CZ75:CZ138" si="32">BX75</f>
        <v>0.21050072245785448</v>
      </c>
      <c r="DA75" s="39">
        <f t="shared" si="10"/>
        <v>10.381500938750076</v>
      </c>
      <c r="DB75" s="39">
        <v>5</v>
      </c>
      <c r="DC75" s="39">
        <f t="shared" ref="DC75:DC138" si="33">BY75</f>
        <v>6.6064096882955026</v>
      </c>
      <c r="DD75" s="39">
        <v>3.9</v>
      </c>
      <c r="DE75" s="39">
        <v>3.4000000000000002E-2</v>
      </c>
      <c r="DF75" s="37"/>
      <c r="DG75" s="39">
        <f t="shared" ref="DG75:DG138" si="34">CL75</f>
        <v>0</v>
      </c>
      <c r="DH75" s="39">
        <f t="shared" ref="DH75:DH138" si="35">1000*DE75/8.834</f>
        <v>3.8487661308580488</v>
      </c>
      <c r="DI75" s="37"/>
      <c r="DJ75" s="37"/>
      <c r="DK75" s="37"/>
      <c r="DL75" s="37"/>
      <c r="DM75" s="39">
        <f t="shared" si="14"/>
        <v>0.8774451028758512</v>
      </c>
      <c r="DN75" s="39"/>
      <c r="DO75" s="39">
        <f t="shared" si="15"/>
        <v>0.8774451028758512</v>
      </c>
      <c r="DP75" s="37"/>
      <c r="DQ75" s="37">
        <f>DO75/'Conversions, Sources &amp; Comments'!E73</f>
        <v>0.65882729545905572</v>
      </c>
    </row>
    <row r="76" spans="1:121">
      <c r="A76" s="42">
        <f t="shared" ref="A76:A139" si="36">A75+1</f>
        <v>1324</v>
      </c>
      <c r="B76" s="36"/>
      <c r="C76" s="38">
        <v>7</v>
      </c>
      <c r="D76" s="38">
        <v>4.63</v>
      </c>
      <c r="E76" s="38">
        <v>5</v>
      </c>
      <c r="F76" s="38">
        <v>4.75</v>
      </c>
      <c r="G76" s="38">
        <v>2</v>
      </c>
      <c r="H76" s="38">
        <v>6.5</v>
      </c>
      <c r="I76" s="38">
        <v>6</v>
      </c>
      <c r="J76" s="38">
        <v>2</v>
      </c>
      <c r="K76" s="36"/>
      <c r="L76" s="36"/>
      <c r="M76" s="38">
        <v>5</v>
      </c>
      <c r="N76" s="38">
        <v>1.625</v>
      </c>
      <c r="O76" s="38">
        <v>10</v>
      </c>
      <c r="P76" s="38">
        <v>6</v>
      </c>
      <c r="Q76" s="36"/>
      <c r="R76" s="36"/>
      <c r="S76" s="36"/>
      <c r="T76" s="36"/>
      <c r="U76" s="38">
        <v>5</v>
      </c>
      <c r="V76" s="36"/>
      <c r="W76" s="38">
        <v>6</v>
      </c>
      <c r="X76" s="36"/>
      <c r="Y76" s="36"/>
      <c r="Z76" s="38">
        <v>2</v>
      </c>
      <c r="AA76" s="38">
        <v>4</v>
      </c>
      <c r="AB76" s="36"/>
      <c r="AC76" s="36"/>
      <c r="AD76" s="36"/>
      <c r="AE76" s="36"/>
      <c r="AF76" s="36"/>
      <c r="AG76" s="38">
        <v>1</v>
      </c>
      <c r="AH76" s="38">
        <v>8</v>
      </c>
      <c r="AI76" s="36"/>
      <c r="AJ76" s="36"/>
      <c r="AK76" s="38">
        <v>7</v>
      </c>
      <c r="AL76" s="38">
        <v>6</v>
      </c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59">
        <v>5.416666666666667</v>
      </c>
      <c r="BH76" s="59"/>
      <c r="BI76" s="59">
        <v>9.1195885239665361E-2</v>
      </c>
      <c r="BJ76" s="59"/>
      <c r="BK76" s="36"/>
      <c r="BL76" s="36"/>
      <c r="BM76" s="36"/>
      <c r="BN76" s="38">
        <v>21.6</v>
      </c>
      <c r="BO76" s="36"/>
      <c r="BP76" s="39">
        <f t="shared" si="30"/>
        <v>1.3318287037037038</v>
      </c>
      <c r="BQ76" s="37"/>
      <c r="BR76" s="39">
        <f t="shared" si="31"/>
        <v>0.41872402665183628</v>
      </c>
      <c r="BS76" s="37"/>
      <c r="BT76" s="37"/>
      <c r="BU76" s="37"/>
      <c r="BV76" s="39">
        <f t="shared" si="3"/>
        <v>0.30708633343528557</v>
      </c>
      <c r="BW76" s="37"/>
      <c r="BX76" s="39">
        <f t="shared" si="4"/>
        <v>0.1781159959258766</v>
      </c>
      <c r="BY76" s="39">
        <f>$BP76*(12*Z76+AA76)/(12*0.453592)</f>
        <v>6.8510915286027441</v>
      </c>
      <c r="BZ76" s="37"/>
      <c r="CA76" s="37"/>
      <c r="CB76" s="39">
        <f>$BP76*(12*O76+P76)/(224*0.453592)</f>
        <v>1.6516024220738754</v>
      </c>
      <c r="CC76" s="39">
        <f t="shared" si="25"/>
        <v>0.11098572530864198</v>
      </c>
      <c r="CD76" s="39">
        <f>BP76*(12*AK76+AL76)/1000</f>
        <v>0.11986458333333334</v>
      </c>
      <c r="CE76" s="37"/>
      <c r="CF76" s="37"/>
      <c r="CG76" s="37"/>
      <c r="CH76" s="37"/>
      <c r="CI76" s="37"/>
      <c r="CJ76" s="37"/>
      <c r="CK76" s="37"/>
      <c r="CL76" s="39">
        <f>BP76*(12*AG76+AH76)/100</f>
        <v>0.26636574074074076</v>
      </c>
      <c r="CM76" s="37"/>
      <c r="CN76" s="37"/>
      <c r="CO76" s="39">
        <f>0.063495+(0.016949+0.014096)*Wages!P74+1.22592*BR76</f>
        <v>0.79733247665425366</v>
      </c>
      <c r="CP76" s="39"/>
      <c r="CQ76" s="39">
        <f t="shared" si="5"/>
        <v>0.79733247665425366</v>
      </c>
      <c r="CR76" s="39">
        <f t="shared" si="22"/>
        <v>0.30708633343528557</v>
      </c>
      <c r="CS76" s="39">
        <f t="shared" si="7"/>
        <v>1.1899744159041585</v>
      </c>
      <c r="CT76" s="39">
        <f t="shared" si="8"/>
        <v>3.4252798057792986</v>
      </c>
      <c r="CU76" s="39">
        <f>CB76</f>
        <v>1.6516024220738754</v>
      </c>
      <c r="CV76" s="39">
        <f t="shared" si="26"/>
        <v>0.11098572530864198</v>
      </c>
      <c r="CW76" s="39">
        <f>CD76</f>
        <v>0.11986458333333334</v>
      </c>
      <c r="CX76" s="39"/>
      <c r="CY76" s="39"/>
      <c r="CZ76" s="39">
        <f t="shared" si="32"/>
        <v>0.1781159959258766</v>
      </c>
      <c r="DA76" s="39">
        <f t="shared" si="10"/>
        <v>10.766000973518597</v>
      </c>
      <c r="DB76" s="39">
        <v>5</v>
      </c>
      <c r="DC76" s="39">
        <f t="shared" si="33"/>
        <v>6.8510915286027441</v>
      </c>
      <c r="DD76" s="39">
        <v>3.9</v>
      </c>
      <c r="DE76" s="39">
        <v>3.4000000000000002E-2</v>
      </c>
      <c r="DF76" s="37"/>
      <c r="DG76" s="39">
        <f t="shared" si="34"/>
        <v>0.26636574074074076</v>
      </c>
      <c r="DH76" s="39">
        <f t="shared" si="35"/>
        <v>3.8487661308580488</v>
      </c>
      <c r="DI76" s="37"/>
      <c r="DJ76" s="37"/>
      <c r="DK76" s="37"/>
      <c r="DL76" s="37"/>
      <c r="DM76" s="39">
        <f t="shared" si="14"/>
        <v>0.85996596909659695</v>
      </c>
      <c r="DN76" s="39"/>
      <c r="DO76" s="39">
        <f t="shared" si="15"/>
        <v>0.85996596909659695</v>
      </c>
      <c r="DP76" s="37"/>
      <c r="DQ76" s="37">
        <f>DO76/'Conversions, Sources &amp; Comments'!E74</f>
        <v>0.6457031348739547</v>
      </c>
    </row>
    <row r="77" spans="1:121">
      <c r="A77" s="42">
        <f t="shared" si="36"/>
        <v>1325</v>
      </c>
      <c r="B77" s="36"/>
      <c r="C77" s="38">
        <v>5</v>
      </c>
      <c r="D77" s="38">
        <v>8.3800000000000008</v>
      </c>
      <c r="E77" s="38">
        <v>3</v>
      </c>
      <c r="F77" s="38">
        <v>8.5</v>
      </c>
      <c r="G77" s="38">
        <v>2</v>
      </c>
      <c r="H77" s="38">
        <v>1</v>
      </c>
      <c r="I77" s="38">
        <v>3</v>
      </c>
      <c r="J77" s="38">
        <v>9</v>
      </c>
      <c r="K77" s="36"/>
      <c r="L77" s="36"/>
      <c r="M77" s="38">
        <v>3</v>
      </c>
      <c r="N77" s="38">
        <v>7</v>
      </c>
      <c r="O77" s="36"/>
      <c r="P77" s="36"/>
      <c r="Q77" s="36"/>
      <c r="R77" s="36"/>
      <c r="S77" s="36"/>
      <c r="T77" s="36"/>
      <c r="U77" s="38">
        <v>5</v>
      </c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8">
        <v>2</v>
      </c>
      <c r="AH77" s="38">
        <v>5.5</v>
      </c>
      <c r="AI77" s="36"/>
      <c r="AJ77" s="36"/>
      <c r="AK77" s="38">
        <v>8</v>
      </c>
      <c r="AL77" s="38">
        <v>4</v>
      </c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59">
        <v>3.9166666666666665</v>
      </c>
      <c r="BH77" s="59"/>
      <c r="BI77" s="59">
        <v>9.3959396913595492E-2</v>
      </c>
      <c r="BJ77" s="59"/>
      <c r="BK77" s="36"/>
      <c r="BL77" s="36"/>
      <c r="BM77" s="36"/>
      <c r="BN77" s="38">
        <v>21.6</v>
      </c>
      <c r="BO77" s="36"/>
      <c r="BP77" s="39">
        <f t="shared" si="30"/>
        <v>1.3318287037037038</v>
      </c>
      <c r="BQ77" s="37"/>
      <c r="BR77" s="39">
        <f t="shared" si="31"/>
        <v>0.32305482277392039</v>
      </c>
      <c r="BS77" s="37"/>
      <c r="BT77" s="37"/>
      <c r="BU77" s="37"/>
      <c r="BV77" s="39">
        <f t="shared" si="3"/>
        <v>0.22204704109936033</v>
      </c>
      <c r="BW77" s="37"/>
      <c r="BX77" s="39">
        <f t="shared" si="4"/>
        <v>0.18351345034787458</v>
      </c>
      <c r="BY77" s="39">
        <v>5.8</v>
      </c>
      <c r="BZ77" s="37"/>
      <c r="CA77" s="37"/>
      <c r="CB77" s="37"/>
      <c r="CC77" s="39">
        <f t="shared" si="25"/>
        <v>0.11098572530864198</v>
      </c>
      <c r="CD77" s="39">
        <f>BP77*(12*AK77+AL77)/1000</f>
        <v>0.13318287037037038</v>
      </c>
      <c r="CE77" s="37"/>
      <c r="CF77" s="37"/>
      <c r="CG77" s="37"/>
      <c r="CH77" s="37"/>
      <c r="CI77" s="37"/>
      <c r="CJ77" s="37"/>
      <c r="CK77" s="37"/>
      <c r="CL77" s="39">
        <f>BP77*(12*AG77+AH77)/100</f>
        <v>0.39288946759259263</v>
      </c>
      <c r="CM77" s="37"/>
      <c r="CN77" s="37"/>
      <c r="CO77" s="39">
        <f>0.063495+(0.016949+0.014096)*Wages!P75+1.22592*BR77</f>
        <v>0.68004968623623907</v>
      </c>
      <c r="CP77" s="39"/>
      <c r="CQ77" s="39">
        <f t="shared" si="5"/>
        <v>0.68004968623623907</v>
      </c>
      <c r="CR77" s="39">
        <f t="shared" si="22"/>
        <v>0.22204704109936033</v>
      </c>
      <c r="CS77" s="39">
        <f t="shared" si="7"/>
        <v>1.1527950310559008</v>
      </c>
      <c r="CT77" s="39">
        <f t="shared" si="8"/>
        <v>3.3182608695652185</v>
      </c>
      <c r="CU77" s="39">
        <v>1.6</v>
      </c>
      <c r="CV77" s="39">
        <f t="shared" si="26"/>
        <v>0.11098572530864198</v>
      </c>
      <c r="CW77" s="39">
        <f>CD77</f>
        <v>0.13318287037037038</v>
      </c>
      <c r="CX77" s="39"/>
      <c r="CY77" s="39"/>
      <c r="CZ77" s="39">
        <f t="shared" si="32"/>
        <v>0.18351345034787458</v>
      </c>
      <c r="DA77" s="39">
        <f t="shared" si="10"/>
        <v>9.1142857142857139</v>
      </c>
      <c r="DB77" s="39">
        <v>5</v>
      </c>
      <c r="DC77" s="39">
        <f t="shared" si="33"/>
        <v>5.8</v>
      </c>
      <c r="DD77" s="39">
        <v>3.9</v>
      </c>
      <c r="DE77" s="39">
        <v>3.4000000000000002E-2</v>
      </c>
      <c r="DF77" s="37"/>
      <c r="DG77" s="39">
        <f t="shared" si="34"/>
        <v>0.39288946759259263</v>
      </c>
      <c r="DH77" s="39">
        <f t="shared" si="35"/>
        <v>3.8487661308580488</v>
      </c>
      <c r="DI77" s="37"/>
      <c r="DJ77" s="37"/>
      <c r="DK77" s="37"/>
      <c r="DL77" s="37"/>
      <c r="DM77" s="39">
        <f t="shared" si="14"/>
        <v>0.77897278432578942</v>
      </c>
      <c r="DN77" s="39"/>
      <c r="DO77" s="39">
        <f t="shared" si="15"/>
        <v>0.77897278432578942</v>
      </c>
      <c r="DP77" s="37"/>
      <c r="DQ77" s="37">
        <f>DO77/'Conversions, Sources &amp; Comments'!E75</f>
        <v>0.58488961993350308</v>
      </c>
    </row>
    <row r="78" spans="1:121">
      <c r="A78" s="42">
        <f t="shared" si="36"/>
        <v>1326</v>
      </c>
      <c r="B78" s="36"/>
      <c r="C78" s="38">
        <v>3</v>
      </c>
      <c r="D78" s="38">
        <v>7.88</v>
      </c>
      <c r="E78" s="38">
        <v>3</v>
      </c>
      <c r="F78" s="38">
        <v>0.5</v>
      </c>
      <c r="G78" s="38">
        <v>1</v>
      </c>
      <c r="H78" s="38">
        <v>11.38</v>
      </c>
      <c r="I78" s="38">
        <v>2</v>
      </c>
      <c r="J78" s="38">
        <v>11.38</v>
      </c>
      <c r="K78" s="36"/>
      <c r="L78" s="36"/>
      <c r="M78" s="38">
        <v>2</v>
      </c>
      <c r="N78" s="38">
        <v>9.5</v>
      </c>
      <c r="O78" s="38">
        <v>9</v>
      </c>
      <c r="P78" s="38">
        <v>11</v>
      </c>
      <c r="Q78" s="36"/>
      <c r="R78" s="36"/>
      <c r="S78" s="36"/>
      <c r="T78" s="36"/>
      <c r="U78" s="38">
        <v>4.25</v>
      </c>
      <c r="V78" s="36"/>
      <c r="W78" s="38">
        <v>6</v>
      </c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8">
        <v>6</v>
      </c>
      <c r="AL78" s="38">
        <v>8</v>
      </c>
      <c r="AM78" s="36"/>
      <c r="AN78" s="36"/>
      <c r="AO78" s="38">
        <v>1</v>
      </c>
      <c r="AP78" s="38">
        <v>0.75</v>
      </c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59">
        <v>4</v>
      </c>
      <c r="BH78" s="59"/>
      <c r="BI78" s="59">
        <v>6.3560768500372566E-2</v>
      </c>
      <c r="BJ78" s="59"/>
      <c r="BK78" s="36"/>
      <c r="BL78" s="36"/>
      <c r="BM78" s="36"/>
      <c r="BN78" s="38">
        <v>21.6</v>
      </c>
      <c r="BO78" s="36"/>
      <c r="BP78" s="39">
        <f t="shared" si="30"/>
        <v>1.3318287037037038</v>
      </c>
      <c r="BQ78" s="37"/>
      <c r="BR78" s="39">
        <f t="shared" si="31"/>
        <v>0.20730689709446665</v>
      </c>
      <c r="BS78" s="37"/>
      <c r="BT78" s="37"/>
      <c r="BU78" s="37"/>
      <c r="BV78" s="39">
        <f t="shared" si="3"/>
        <v>0.22677144622913395</v>
      </c>
      <c r="BW78" s="37"/>
      <c r="BX78" s="39">
        <f t="shared" si="4"/>
        <v>0.12414145170591347</v>
      </c>
      <c r="BY78" s="39">
        <v>5.8</v>
      </c>
      <c r="BZ78" s="37"/>
      <c r="CA78" s="37"/>
      <c r="CB78" s="39">
        <f t="shared" ref="CB78:CB91" si="37">$BP78*(12*O78+P78)/(224*0.453592)</f>
        <v>1.5598467319586602</v>
      </c>
      <c r="CC78" s="39">
        <f t="shared" si="25"/>
        <v>9.4337866512345686E-2</v>
      </c>
      <c r="CD78" s="39">
        <f>BP78*(12*AK78+AL78)/1000</f>
        <v>0.10654629629629631</v>
      </c>
      <c r="CE78" s="37"/>
      <c r="CF78" s="37"/>
      <c r="CG78" s="39">
        <f>BP78*(12*AO78+AP78)/4.55</f>
        <v>3.732047466422467</v>
      </c>
      <c r="CH78" s="37"/>
      <c r="CI78" s="37"/>
      <c r="CJ78" s="37"/>
      <c r="CK78" s="37"/>
      <c r="CL78" s="37"/>
      <c r="CM78" s="37"/>
      <c r="CN78" s="37"/>
      <c r="CO78" s="39">
        <f>0.063495+(0.016949+0.014096)*Wages!P76+1.22592*BR78</f>
        <v>0.53815198918728302</v>
      </c>
      <c r="CP78" s="39"/>
      <c r="CQ78" s="39">
        <f t="shared" si="5"/>
        <v>0.53815198918728302</v>
      </c>
      <c r="CR78" s="39">
        <f t="shared" si="22"/>
        <v>0.22677144622913395</v>
      </c>
      <c r="CS78" s="39">
        <f t="shared" si="7"/>
        <v>1.1238647261317054</v>
      </c>
      <c r="CT78" s="39">
        <f t="shared" si="8"/>
        <v>3.2349864832360042</v>
      </c>
      <c r="CU78" s="39">
        <f t="shared" ref="CU78:CU91" si="38">CB78</f>
        <v>1.5598467319586602</v>
      </c>
      <c r="CV78" s="39">
        <f t="shared" si="26"/>
        <v>9.4337866512345686E-2</v>
      </c>
      <c r="CW78" s="39">
        <f>CD78</f>
        <v>0.10654629629629631</v>
      </c>
      <c r="CX78" s="39"/>
      <c r="CY78" s="39"/>
      <c r="CZ78" s="39">
        <f t="shared" si="32"/>
        <v>0.12414145170591347</v>
      </c>
      <c r="DA78" s="39">
        <f t="shared" si="10"/>
        <v>9.1142857142857139</v>
      </c>
      <c r="DB78" s="39">
        <v>5</v>
      </c>
      <c r="DC78" s="39">
        <f t="shared" si="33"/>
        <v>5.8</v>
      </c>
      <c r="DD78" s="39">
        <f>CG78</f>
        <v>3.732047466422467</v>
      </c>
      <c r="DE78" s="39">
        <v>3.4000000000000002E-2</v>
      </c>
      <c r="DF78" s="37"/>
      <c r="DG78" s="39">
        <f t="shared" si="34"/>
        <v>0</v>
      </c>
      <c r="DH78" s="39">
        <f t="shared" si="35"/>
        <v>3.8487661308580488</v>
      </c>
      <c r="DI78" s="37"/>
      <c r="DJ78" s="37"/>
      <c r="DK78" s="37"/>
      <c r="DL78" s="37"/>
      <c r="DM78" s="39">
        <f t="shared" si="14"/>
        <v>0.68477679739099417</v>
      </c>
      <c r="DN78" s="39"/>
      <c r="DO78" s="39">
        <f t="shared" si="15"/>
        <v>0.68477679739099417</v>
      </c>
      <c r="DP78" s="37"/>
      <c r="DQ78" s="37">
        <f>DO78/'Conversions, Sources &amp; Comments'!E76</f>
        <v>0.51416281649936468</v>
      </c>
    </row>
    <row r="79" spans="1:121">
      <c r="A79" s="42">
        <f t="shared" si="36"/>
        <v>1327</v>
      </c>
      <c r="B79" s="36"/>
      <c r="C79" s="38">
        <v>3</v>
      </c>
      <c r="D79" s="38">
        <v>11</v>
      </c>
      <c r="E79" s="38">
        <v>2</v>
      </c>
      <c r="F79" s="38">
        <v>10.63</v>
      </c>
      <c r="G79" s="38">
        <v>2</v>
      </c>
      <c r="H79" s="38">
        <v>0.88</v>
      </c>
      <c r="I79" s="38">
        <v>3</v>
      </c>
      <c r="J79" s="38">
        <v>6.88</v>
      </c>
      <c r="K79" s="36"/>
      <c r="L79" s="36"/>
      <c r="M79" s="38">
        <v>2</v>
      </c>
      <c r="N79" s="38">
        <v>6.75</v>
      </c>
      <c r="O79" s="38">
        <v>9</v>
      </c>
      <c r="P79" s="38">
        <v>1</v>
      </c>
      <c r="Q79" s="36"/>
      <c r="R79" s="36"/>
      <c r="S79" s="36"/>
      <c r="T79" s="36"/>
      <c r="U79" s="38">
        <v>6.25</v>
      </c>
      <c r="V79" s="36"/>
      <c r="W79" s="38">
        <v>6.25</v>
      </c>
      <c r="X79" s="36"/>
      <c r="Y79" s="36"/>
      <c r="Z79" s="38">
        <v>1</v>
      </c>
      <c r="AA79" s="38">
        <v>7.5</v>
      </c>
      <c r="AB79" s="36"/>
      <c r="AC79" s="38">
        <v>0</v>
      </c>
      <c r="AD79" s="38">
        <v>8.5</v>
      </c>
      <c r="AE79" s="36"/>
      <c r="AF79" s="36"/>
      <c r="AG79" s="38">
        <v>6</v>
      </c>
      <c r="AH79" s="38">
        <v>0</v>
      </c>
      <c r="AI79" s="36"/>
      <c r="AJ79" s="36"/>
      <c r="AK79" s="36"/>
      <c r="AL79" s="36"/>
      <c r="AM79" s="36"/>
      <c r="AN79" s="36"/>
      <c r="AO79" s="38">
        <v>1</v>
      </c>
      <c r="AP79" s="38">
        <v>0</v>
      </c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59">
        <v>3.75</v>
      </c>
      <c r="BH79" s="59"/>
      <c r="BI79" s="59">
        <v>5.8033745152514013E-2</v>
      </c>
      <c r="BJ79" s="59"/>
      <c r="BK79" s="36"/>
      <c r="BL79" s="36"/>
      <c r="BM79" s="36"/>
      <c r="BN79" s="38">
        <v>21.6</v>
      </c>
      <c r="BO79" s="36"/>
      <c r="BP79" s="39">
        <f t="shared" si="30"/>
        <v>1.3318287037037038</v>
      </c>
      <c r="BQ79" s="37"/>
      <c r="BR79" s="39">
        <f t="shared" si="31"/>
        <v>0.22204704109936035</v>
      </c>
      <c r="BS79" s="37"/>
      <c r="BT79" s="37"/>
      <c r="BU79" s="37"/>
      <c r="BV79" s="39">
        <f t="shared" si="3"/>
        <v>0.21259823083981308</v>
      </c>
      <c r="BW79" s="37"/>
      <c r="BX79" s="39">
        <f t="shared" si="4"/>
        <v>0.11334654286192086</v>
      </c>
      <c r="BY79" s="39">
        <f>$BP79*(12*Z79+AA79)/(12*0.453592)</f>
        <v>4.7712958859911963</v>
      </c>
      <c r="BZ79" s="37"/>
      <c r="CA79" s="37"/>
      <c r="CB79" s="39">
        <f t="shared" si="37"/>
        <v>1.4287671746512098</v>
      </c>
      <c r="CC79" s="39">
        <f t="shared" si="25"/>
        <v>0.13873215663580249</v>
      </c>
      <c r="CD79" s="37"/>
      <c r="CE79" s="37"/>
      <c r="CF79" s="37"/>
      <c r="CG79" s="39">
        <f>BP79*(12*AO79+AP79)/4.55</f>
        <v>3.5125152625152625</v>
      </c>
      <c r="CH79" s="37"/>
      <c r="CI79" s="37"/>
      <c r="CJ79" s="37"/>
      <c r="CK79" s="39">
        <f>BP79*(12*AC79+AD79)/(35.238*8)</f>
        <v>4.0157443603075806E-2</v>
      </c>
      <c r="CL79" s="39">
        <f>BP79*(12*AG79+AH79)/100</f>
        <v>0.95891666666666664</v>
      </c>
      <c r="CM79" s="39">
        <f>BP79*(12*$AC79+$AD79)/(35.238*8)/0.283</f>
        <v>0.14189909400380143</v>
      </c>
      <c r="CN79" s="37"/>
      <c r="CO79" s="39">
        <f>0.063495+(0.016949+0.014096)*Wages!P77+1.22592*BR79</f>
        <v>0.55622222652576236</v>
      </c>
      <c r="CP79" s="39"/>
      <c r="CQ79" s="39">
        <f t="shared" si="5"/>
        <v>0.55622222652576236</v>
      </c>
      <c r="CR79" s="39">
        <f t="shared" si="22"/>
        <v>0.21259823083981308</v>
      </c>
      <c r="CS79" s="39">
        <f t="shared" si="7"/>
        <v>1.029422312171058</v>
      </c>
      <c r="CT79" s="39">
        <f t="shared" si="8"/>
        <v>2.9631388796027265</v>
      </c>
      <c r="CU79" s="39">
        <f t="shared" si="38"/>
        <v>1.4287671746512098</v>
      </c>
      <c r="CV79" s="39">
        <f t="shared" si="26"/>
        <v>0.13873215663580249</v>
      </c>
      <c r="CW79" s="39">
        <v>0.11</v>
      </c>
      <c r="CX79" s="39"/>
      <c r="CY79" s="39"/>
      <c r="CZ79" s="39">
        <f t="shared" si="32"/>
        <v>0.11334654286192086</v>
      </c>
      <c r="DA79" s="39">
        <f t="shared" si="10"/>
        <v>7.4977506779861658</v>
      </c>
      <c r="DB79" s="39">
        <v>5</v>
      </c>
      <c r="DC79" s="39">
        <f t="shared" si="33"/>
        <v>4.7712958859911963</v>
      </c>
      <c r="DD79" s="39">
        <f>CG79</f>
        <v>3.5125152625152625</v>
      </c>
      <c r="DE79" s="39">
        <f>CK79</f>
        <v>4.0157443603075806E-2</v>
      </c>
      <c r="DF79" s="37"/>
      <c r="DG79" s="39">
        <f t="shared" si="34"/>
        <v>0.95891666666666664</v>
      </c>
      <c r="DH79" s="39">
        <f t="shared" si="35"/>
        <v>4.5457826129811867</v>
      </c>
      <c r="DI79" s="37"/>
      <c r="DJ79" s="37"/>
      <c r="DK79" s="37"/>
      <c r="DL79" s="37"/>
      <c r="DM79" s="39">
        <f t="shared" si="14"/>
        <v>0.6712350788027176</v>
      </c>
      <c r="DN79" s="39"/>
      <c r="DO79" s="39">
        <f t="shared" si="15"/>
        <v>0.6712350788027176</v>
      </c>
      <c r="DP79" s="37"/>
      <c r="DQ79" s="37">
        <f>DO79/'Conversions, Sources &amp; Comments'!E77</f>
        <v>0.50399505352007301</v>
      </c>
    </row>
    <row r="80" spans="1:121">
      <c r="A80" s="42">
        <f t="shared" si="36"/>
        <v>1328</v>
      </c>
      <c r="B80" s="36"/>
      <c r="C80" s="38">
        <v>6</v>
      </c>
      <c r="D80" s="38">
        <v>5.5</v>
      </c>
      <c r="E80" s="38">
        <v>4</v>
      </c>
      <c r="F80" s="38">
        <v>5.75</v>
      </c>
      <c r="G80" s="38">
        <v>3</v>
      </c>
      <c r="H80" s="38">
        <v>1</v>
      </c>
      <c r="I80" s="38">
        <v>4</v>
      </c>
      <c r="J80" s="38">
        <v>5.13</v>
      </c>
      <c r="K80" s="36"/>
      <c r="L80" s="36"/>
      <c r="M80" s="38">
        <v>4</v>
      </c>
      <c r="N80" s="38">
        <v>11.625</v>
      </c>
      <c r="O80" s="38">
        <v>10</v>
      </c>
      <c r="P80" s="38">
        <v>0.25</v>
      </c>
      <c r="Q80" s="36"/>
      <c r="R80" s="36"/>
      <c r="S80" s="36"/>
      <c r="T80" s="36"/>
      <c r="U80" s="38">
        <v>4.5</v>
      </c>
      <c r="V80" s="36"/>
      <c r="W80" s="36"/>
      <c r="X80" s="36"/>
      <c r="Y80" s="36"/>
      <c r="Z80" s="38">
        <v>2</v>
      </c>
      <c r="AA80" s="38">
        <v>0</v>
      </c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8">
        <v>1</v>
      </c>
      <c r="AP80" s="38">
        <v>0</v>
      </c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59">
        <v>5.583333333333333</v>
      </c>
      <c r="BH80" s="59"/>
      <c r="BI80" s="59">
        <v>7.5996571033055599E-2</v>
      </c>
      <c r="BJ80" s="59"/>
      <c r="BK80" s="36"/>
      <c r="BL80" s="36"/>
      <c r="BM80" s="36"/>
      <c r="BN80" s="38">
        <v>21.6</v>
      </c>
      <c r="BO80" s="36"/>
      <c r="BP80" s="39">
        <f t="shared" si="30"/>
        <v>1.3318287037037038</v>
      </c>
      <c r="BQ80" s="37"/>
      <c r="BR80" s="39">
        <f t="shared" si="31"/>
        <v>0.36614139755745589</v>
      </c>
      <c r="BS80" s="37"/>
      <c r="BT80" s="37"/>
      <c r="BU80" s="37"/>
      <c r="BV80" s="39">
        <f t="shared" ref="BV80:BV143" si="39">$BP80*12*$BG80/(8*35.238)</f>
        <v>0.31653514369483282</v>
      </c>
      <c r="BW80" s="37"/>
      <c r="BX80" s="39">
        <f t="shared" ref="BX80:BX143" si="40">$BP80*240*$BI80/(36*4.546)</f>
        <v>0.14842999660489936</v>
      </c>
      <c r="BY80" s="39">
        <f>$BP80*(12*Z80+AA80)/(12*0.453592)</f>
        <v>5.8723641673737799</v>
      </c>
      <c r="BZ80" s="37"/>
      <c r="CA80" s="37"/>
      <c r="CB80" s="39">
        <f t="shared" si="37"/>
        <v>1.5762316766220914</v>
      </c>
      <c r="CC80" s="39">
        <f t="shared" si="25"/>
        <v>9.988715277777778E-2</v>
      </c>
      <c r="CD80" s="37"/>
      <c r="CE80" s="37"/>
      <c r="CF80" s="37"/>
      <c r="CG80" s="39">
        <f>BP80*(12*AO80+AP80)/4.55</f>
        <v>3.5125152625152625</v>
      </c>
      <c r="CH80" s="37"/>
      <c r="CI80" s="37"/>
      <c r="CJ80" s="37"/>
      <c r="CK80" s="37"/>
      <c r="CL80" s="37"/>
      <c r="CM80" s="37"/>
      <c r="CN80" s="37"/>
      <c r="CO80" s="39">
        <f>0.063495+(0.016949+0.014096)*Wages!P78+1.22592*BR80</f>
        <v>0.73287037999487081</v>
      </c>
      <c r="CP80" s="39"/>
      <c r="CQ80" s="39">
        <f t="shared" ref="CQ80:CQ143" si="41">CO80</f>
        <v>0.73287037999487081</v>
      </c>
      <c r="CR80" s="39">
        <f t="shared" si="22"/>
        <v>0.31653514369483282</v>
      </c>
      <c r="CS80" s="39">
        <f t="shared" ref="CS80:CS143" si="42">CS$202*(CU80/CU$202)</f>
        <v>1.1356700278767864</v>
      </c>
      <c r="CT80" s="39">
        <f t="shared" ref="CT80:CT143" si="43">CT$202*(CU80/CU$202)</f>
        <v>3.2689674336901642</v>
      </c>
      <c r="CU80" s="39">
        <f t="shared" si="38"/>
        <v>1.5762316766220914</v>
      </c>
      <c r="CV80" s="39">
        <f t="shared" si="26"/>
        <v>9.988715277777778E-2</v>
      </c>
      <c r="CW80" s="39">
        <v>0.11</v>
      </c>
      <c r="CX80" s="39"/>
      <c r="CY80" s="39"/>
      <c r="CZ80" s="39">
        <f t="shared" si="32"/>
        <v>0.14842999660489936</v>
      </c>
      <c r="DA80" s="39">
        <f t="shared" ref="DA80:DA143" si="44">DC80*5.5/3.5</f>
        <v>9.2280008344445115</v>
      </c>
      <c r="DB80" s="39">
        <v>5</v>
      </c>
      <c r="DC80" s="39">
        <f t="shared" si="33"/>
        <v>5.8723641673737799</v>
      </c>
      <c r="DD80" s="39">
        <f>CG80</f>
        <v>3.5125152625152625</v>
      </c>
      <c r="DE80" s="39">
        <v>3.7999999999999999E-2</v>
      </c>
      <c r="DF80" s="37"/>
      <c r="DG80" s="39">
        <f t="shared" si="34"/>
        <v>0</v>
      </c>
      <c r="DH80" s="39">
        <f t="shared" si="35"/>
        <v>4.3015621462531133</v>
      </c>
      <c r="DI80" s="37"/>
      <c r="DJ80" s="37"/>
      <c r="DK80" s="37"/>
      <c r="DL80" s="37"/>
      <c r="DM80" s="39">
        <f t="shared" ref="DM80:DM143" si="45">($CQ$6*$CQ80+$CR$6*$CR80+$CS$6*$CS80+$CT$6*$CT80+$CU$6*$CU80+$CV$6*$CV80+$CZ$6*$CZ80+$DA$6*$DA80+$DB$6*$DB80+$DC$6*$DC80+$DD$6*$DD80+$DH$6*$DH80)/414.8987</f>
        <v>0.79941051508401195</v>
      </c>
      <c r="DN80" s="39"/>
      <c r="DO80" s="39">
        <f t="shared" ref="DO80:DO143" si="46">($CQ$6*$CQ80+$CR$6*$CR80+$CS$6*$CS80+$CT$6*$CT80+$CU$6*$CU80+$CV$6*$CV80+$CZ$6*$CZ80+$DA$6*$DA80+$DB$6*$DB80+$DC$6*$DC80+$DD$6*$DD80+$DH$6*$DH80)/414.8987</f>
        <v>0.79941051508401195</v>
      </c>
      <c r="DP80" s="37"/>
      <c r="DQ80" s="37">
        <f>DO80/'Conversions, Sources &amp; Comments'!E78</f>
        <v>0.60023523510262122</v>
      </c>
    </row>
    <row r="81" spans="1:121">
      <c r="A81" s="42">
        <f t="shared" si="36"/>
        <v>1329</v>
      </c>
      <c r="B81" s="36"/>
      <c r="C81" s="38">
        <v>6</v>
      </c>
      <c r="D81" s="38">
        <v>6.63</v>
      </c>
      <c r="E81" s="38">
        <v>4</v>
      </c>
      <c r="F81" s="38">
        <v>6.13</v>
      </c>
      <c r="G81" s="38">
        <v>2</v>
      </c>
      <c r="H81" s="38">
        <v>5.75</v>
      </c>
      <c r="I81" s="38">
        <v>4</v>
      </c>
      <c r="J81" s="38">
        <v>1.88</v>
      </c>
      <c r="K81" s="36"/>
      <c r="L81" s="36"/>
      <c r="M81" s="38">
        <v>3</v>
      </c>
      <c r="N81" s="38">
        <v>6.375</v>
      </c>
      <c r="O81" s="38">
        <v>9</v>
      </c>
      <c r="P81" s="38">
        <v>9</v>
      </c>
      <c r="Q81" s="36"/>
      <c r="R81" s="36"/>
      <c r="S81" s="36"/>
      <c r="T81" s="36"/>
      <c r="U81" s="38">
        <v>4.75</v>
      </c>
      <c r="V81" s="36"/>
      <c r="W81" s="38">
        <v>6.5</v>
      </c>
      <c r="X81" s="36"/>
      <c r="Y81" s="36"/>
      <c r="Z81" s="38">
        <v>2</v>
      </c>
      <c r="AA81" s="38">
        <v>0</v>
      </c>
      <c r="AB81" s="36"/>
      <c r="AC81" s="36"/>
      <c r="AD81" s="36"/>
      <c r="AE81" s="36"/>
      <c r="AF81" s="36"/>
      <c r="AG81" s="38">
        <v>6</v>
      </c>
      <c r="AH81" s="38">
        <v>0</v>
      </c>
      <c r="AI81" s="36"/>
      <c r="AJ81" s="36"/>
      <c r="AK81" s="38">
        <v>7</v>
      </c>
      <c r="AL81" s="38">
        <v>2.25</v>
      </c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59">
        <v>4</v>
      </c>
      <c r="BH81" s="59"/>
      <c r="BI81" s="59">
        <v>0.10639519944627682</v>
      </c>
      <c r="BJ81" s="59"/>
      <c r="BK81" s="36"/>
      <c r="BL81" s="36"/>
      <c r="BM81" s="36"/>
      <c r="BN81" s="38">
        <v>21.6</v>
      </c>
      <c r="BO81" s="36"/>
      <c r="BP81" s="39">
        <f t="shared" si="30"/>
        <v>1.3318287037037038</v>
      </c>
      <c r="BQ81" s="37"/>
      <c r="BR81" s="39">
        <f t="shared" si="31"/>
        <v>0.37147997535410004</v>
      </c>
      <c r="BS81" s="37"/>
      <c r="BT81" s="37"/>
      <c r="BU81" s="37"/>
      <c r="BV81" s="39">
        <f t="shared" si="39"/>
        <v>0.22677144622913395</v>
      </c>
      <c r="BW81" s="37"/>
      <c r="BX81" s="39">
        <f t="shared" si="40"/>
        <v>0.20780199524685711</v>
      </c>
      <c r="BY81" s="39">
        <f>$BP81*(12*Z81+AA81)/(12*0.453592)</f>
        <v>5.8723641673737799</v>
      </c>
      <c r="BZ81" s="37"/>
      <c r="CA81" s="37"/>
      <c r="CB81" s="39">
        <f t="shared" si="37"/>
        <v>1.5336308204971703</v>
      </c>
      <c r="CC81" s="39">
        <f t="shared" si="25"/>
        <v>0.10543643904320989</v>
      </c>
      <c r="CD81" s="39">
        <f>BP81*(12*AK81+AL81)/1000</f>
        <v>0.11487022569444444</v>
      </c>
      <c r="CE81" s="37"/>
      <c r="CF81" s="37"/>
      <c r="CG81" s="37"/>
      <c r="CH81" s="37"/>
      <c r="CI81" s="37"/>
      <c r="CJ81" s="37"/>
      <c r="CK81" s="37"/>
      <c r="CL81" s="39">
        <f>BP81*(12*AG81+AH81)/100</f>
        <v>0.95891666666666664</v>
      </c>
      <c r="CM81" s="37"/>
      <c r="CN81" s="37"/>
      <c r="CO81" s="39">
        <f>0.063495+(0.016949+0.014096)*Wages!P79+1.22592*BR81</f>
        <v>0.73941504928733282</v>
      </c>
      <c r="CP81" s="39"/>
      <c r="CQ81" s="39">
        <f t="shared" si="41"/>
        <v>0.73941504928733282</v>
      </c>
      <c r="CR81" s="39">
        <f t="shared" si="22"/>
        <v>0.22677144622913395</v>
      </c>
      <c r="CS81" s="39">
        <f t="shared" si="42"/>
        <v>1.1049762433395762</v>
      </c>
      <c r="CT81" s="39">
        <f t="shared" si="43"/>
        <v>3.1806169625093492</v>
      </c>
      <c r="CU81" s="39">
        <f t="shared" si="38"/>
        <v>1.5336308204971703</v>
      </c>
      <c r="CV81" s="39">
        <f t="shared" si="26"/>
        <v>0.10543643904320989</v>
      </c>
      <c r="CW81" s="39">
        <f>CD81</f>
        <v>0.11487022569444444</v>
      </c>
      <c r="CX81" s="39"/>
      <c r="CY81" s="39"/>
      <c r="CZ81" s="39">
        <f t="shared" si="32"/>
        <v>0.20780199524685711</v>
      </c>
      <c r="DA81" s="39">
        <f t="shared" si="44"/>
        <v>9.2280008344445115</v>
      </c>
      <c r="DB81" s="39">
        <v>5</v>
      </c>
      <c r="DC81" s="39">
        <f t="shared" si="33"/>
        <v>5.8723641673737799</v>
      </c>
      <c r="DD81" s="39">
        <v>3.5125152625152629</v>
      </c>
      <c r="DE81" s="39">
        <v>3.7999999999999999E-2</v>
      </c>
      <c r="DF81" s="37"/>
      <c r="DG81" s="39">
        <f t="shared" si="34"/>
        <v>0.95891666666666664</v>
      </c>
      <c r="DH81" s="39">
        <f t="shared" si="35"/>
        <v>4.3015621462531133</v>
      </c>
      <c r="DI81" s="37"/>
      <c r="DJ81" s="37"/>
      <c r="DK81" s="37"/>
      <c r="DL81" s="37"/>
      <c r="DM81" s="39">
        <f t="shared" si="45"/>
        <v>0.81420617214847901</v>
      </c>
      <c r="DN81" s="39"/>
      <c r="DO81" s="39">
        <f t="shared" si="46"/>
        <v>0.81420617214847901</v>
      </c>
      <c r="DP81" s="37"/>
      <c r="DQ81" s="37">
        <f>DO81/'Conversions, Sources &amp; Comments'!E79</f>
        <v>0.61134451441408344</v>
      </c>
    </row>
    <row r="82" spans="1:121">
      <c r="A82" s="42">
        <f t="shared" si="36"/>
        <v>1330</v>
      </c>
      <c r="B82" s="36"/>
      <c r="C82" s="38">
        <v>7</v>
      </c>
      <c r="D82" s="38">
        <v>2.25</v>
      </c>
      <c r="E82" s="38">
        <v>5</v>
      </c>
      <c r="F82" s="38">
        <v>2.75</v>
      </c>
      <c r="G82" s="38">
        <v>2</v>
      </c>
      <c r="H82" s="38">
        <v>11.13</v>
      </c>
      <c r="I82" s="38">
        <v>5</v>
      </c>
      <c r="J82" s="38">
        <v>2.5</v>
      </c>
      <c r="K82" s="36"/>
      <c r="L82" s="36"/>
      <c r="M82" s="38">
        <v>3</v>
      </c>
      <c r="N82" s="38">
        <v>10.25</v>
      </c>
      <c r="O82" s="38">
        <v>12</v>
      </c>
      <c r="P82" s="38">
        <v>8</v>
      </c>
      <c r="Q82" s="36"/>
      <c r="R82" s="36"/>
      <c r="S82" s="36"/>
      <c r="T82" s="36"/>
      <c r="U82" s="38">
        <v>4.5</v>
      </c>
      <c r="V82" s="36"/>
      <c r="W82" s="38">
        <v>6</v>
      </c>
      <c r="X82" s="36"/>
      <c r="Y82" s="36"/>
      <c r="Z82" s="38">
        <v>2</v>
      </c>
      <c r="AA82" s="38">
        <v>0</v>
      </c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59">
        <v>6</v>
      </c>
      <c r="BH82" s="59"/>
      <c r="BI82" s="59">
        <v>0.1340303161855696</v>
      </c>
      <c r="BJ82" s="59"/>
      <c r="BK82" s="36"/>
      <c r="BL82" s="36"/>
      <c r="BM82" s="36"/>
      <c r="BN82" s="38">
        <v>21.6</v>
      </c>
      <c r="BO82" s="36"/>
      <c r="BP82" s="39">
        <f t="shared" si="30"/>
        <v>1.3318287037037038</v>
      </c>
      <c r="BQ82" s="37"/>
      <c r="BR82" s="39">
        <f t="shared" si="31"/>
        <v>0.40747994244297508</v>
      </c>
      <c r="BS82" s="37"/>
      <c r="BT82" s="37"/>
      <c r="BU82" s="37"/>
      <c r="BV82" s="39">
        <f t="shared" si="39"/>
        <v>0.34015716934370094</v>
      </c>
      <c r="BW82" s="37"/>
      <c r="BX82" s="39">
        <f t="shared" si="40"/>
        <v>0.26177653946682022</v>
      </c>
      <c r="BY82" s="39">
        <f>$BP82*(12*Z82+AA82)/(12*0.453592)</f>
        <v>5.8723641673737799</v>
      </c>
      <c r="BZ82" s="37"/>
      <c r="CA82" s="37"/>
      <c r="CB82" s="39">
        <f t="shared" si="37"/>
        <v>1.9924092710732468</v>
      </c>
      <c r="CC82" s="39">
        <f t="shared" si="25"/>
        <v>9.988715277777778E-2</v>
      </c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9">
        <f>0.063495+(0.016949+0.014096)*Wages!P80+1.22592*BR82</f>
        <v>0.78354812894092651</v>
      </c>
      <c r="CP82" s="39"/>
      <c r="CQ82" s="39">
        <f t="shared" si="41"/>
        <v>0.78354812894092651</v>
      </c>
      <c r="CR82" s="39">
        <f t="shared" si="22"/>
        <v>0.34015716934370094</v>
      </c>
      <c r="CS82" s="39">
        <f t="shared" si="42"/>
        <v>1.4355246922018425</v>
      </c>
      <c r="CT82" s="39">
        <f t="shared" si="43"/>
        <v>4.1320835752258214</v>
      </c>
      <c r="CU82" s="39">
        <f t="shared" si="38"/>
        <v>1.9924092710732468</v>
      </c>
      <c r="CV82" s="39">
        <f t="shared" si="26"/>
        <v>9.988715277777778E-2</v>
      </c>
      <c r="CW82" s="39">
        <v>0.12</v>
      </c>
      <c r="CX82" s="39"/>
      <c r="CY82" s="39"/>
      <c r="CZ82" s="39">
        <f t="shared" si="32"/>
        <v>0.26177653946682022</v>
      </c>
      <c r="DA82" s="39">
        <f t="shared" si="44"/>
        <v>9.2280008344445115</v>
      </c>
      <c r="DB82" s="39">
        <v>5</v>
      </c>
      <c r="DC82" s="39">
        <f t="shared" si="33"/>
        <v>5.8723641673737799</v>
      </c>
      <c r="DD82" s="39">
        <v>3.5125152625152629</v>
      </c>
      <c r="DE82" s="39">
        <v>3.7999999999999999E-2</v>
      </c>
      <c r="DF82" s="37"/>
      <c r="DG82" s="39">
        <f t="shared" si="34"/>
        <v>0</v>
      </c>
      <c r="DH82" s="39">
        <f t="shared" si="35"/>
        <v>4.3015621462531133</v>
      </c>
      <c r="DI82" s="37"/>
      <c r="DJ82" s="37"/>
      <c r="DK82" s="37"/>
      <c r="DL82" s="37"/>
      <c r="DM82" s="39">
        <f t="shared" si="45"/>
        <v>0.90914649435407402</v>
      </c>
      <c r="DN82" s="39"/>
      <c r="DO82" s="39">
        <f t="shared" si="46"/>
        <v>0.90914649435407402</v>
      </c>
      <c r="DP82" s="37"/>
      <c r="DQ82" s="37">
        <f>DO82/'Conversions, Sources &amp; Comments'!E80</f>
        <v>0.68263019998428776</v>
      </c>
    </row>
    <row r="83" spans="1:121">
      <c r="A83" s="42">
        <f t="shared" si="36"/>
        <v>1331</v>
      </c>
      <c r="B83" s="36"/>
      <c r="C83" s="38">
        <v>7</v>
      </c>
      <c r="D83" s="38">
        <v>11.25</v>
      </c>
      <c r="E83" s="38">
        <v>6</v>
      </c>
      <c r="F83" s="38">
        <v>3.88</v>
      </c>
      <c r="G83" s="38">
        <v>3</v>
      </c>
      <c r="H83" s="38">
        <v>3.5</v>
      </c>
      <c r="I83" s="38">
        <v>5</v>
      </c>
      <c r="J83" s="38">
        <v>9.5</v>
      </c>
      <c r="K83" s="36"/>
      <c r="L83" s="36"/>
      <c r="M83" s="38">
        <v>5</v>
      </c>
      <c r="N83" s="38">
        <v>5.75</v>
      </c>
      <c r="O83" s="38">
        <v>9</v>
      </c>
      <c r="P83" s="38">
        <v>6</v>
      </c>
      <c r="Q83" s="36"/>
      <c r="R83" s="36"/>
      <c r="S83" s="36"/>
      <c r="T83" s="36"/>
      <c r="U83" s="38">
        <v>4</v>
      </c>
      <c r="V83" s="36"/>
      <c r="W83" s="38">
        <v>7.5</v>
      </c>
      <c r="X83" s="36"/>
      <c r="Y83" s="36"/>
      <c r="Z83" s="36"/>
      <c r="AA83" s="36"/>
      <c r="AB83" s="36"/>
      <c r="AC83" s="36"/>
      <c r="AD83" s="36"/>
      <c r="AE83" s="36"/>
      <c r="AF83" s="36"/>
      <c r="AG83" s="38">
        <v>2</v>
      </c>
      <c r="AH83" s="38">
        <v>0</v>
      </c>
      <c r="AI83" s="36"/>
      <c r="AJ83" s="36"/>
      <c r="AK83" s="38">
        <v>7</v>
      </c>
      <c r="AL83" s="38">
        <v>6.25</v>
      </c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59">
        <v>6.333333333333333</v>
      </c>
      <c r="BH83" s="59"/>
      <c r="BI83" s="59">
        <v>0.1036316877723467</v>
      </c>
      <c r="BJ83" s="59"/>
      <c r="BK83" s="36"/>
      <c r="BL83" s="36"/>
      <c r="BM83" s="36"/>
      <c r="BN83" s="38">
        <v>21.6</v>
      </c>
      <c r="BO83" s="36"/>
      <c r="BP83" s="39">
        <f t="shared" si="30"/>
        <v>1.3318287037037038</v>
      </c>
      <c r="BQ83" s="37"/>
      <c r="BR83" s="39">
        <f t="shared" si="31"/>
        <v>0.44999958861093775</v>
      </c>
      <c r="BS83" s="37"/>
      <c r="BT83" s="37"/>
      <c r="BU83" s="37"/>
      <c r="BV83" s="39">
        <f t="shared" si="39"/>
        <v>0.35905478986279543</v>
      </c>
      <c r="BW83" s="37"/>
      <c r="BX83" s="39">
        <f t="shared" si="40"/>
        <v>0.20240454082485917</v>
      </c>
      <c r="BY83" s="39">
        <v>5.0999999999999996</v>
      </c>
      <c r="BZ83" s="37"/>
      <c r="CA83" s="37"/>
      <c r="CB83" s="39">
        <f t="shared" si="37"/>
        <v>1.4943069533049349</v>
      </c>
      <c r="CC83" s="39">
        <f t="shared" si="25"/>
        <v>8.8788580246913579E-2</v>
      </c>
      <c r="CD83" s="39">
        <f>BP83*(12*AK83+AL83)/1000</f>
        <v>0.12019754050925927</v>
      </c>
      <c r="CE83" s="37"/>
      <c r="CF83" s="37"/>
      <c r="CG83" s="37"/>
      <c r="CH83" s="37"/>
      <c r="CI83" s="37"/>
      <c r="CJ83" s="37"/>
      <c r="CK83" s="37"/>
      <c r="CL83" s="39">
        <f t="shared" ref="CL83:CL91" si="47">BP83*(12*AG83+AH83)/100</f>
        <v>0.31963888888888886</v>
      </c>
      <c r="CM83" s="37"/>
      <c r="CN83" s="37"/>
      <c r="CO83" s="39">
        <f>0.063495+(0.016949+0.014096)*Wages!P81+1.22592*BR83</f>
        <v>0.83567381357115533</v>
      </c>
      <c r="CP83" s="39"/>
      <c r="CQ83" s="39">
        <f t="shared" si="41"/>
        <v>0.83567381357115533</v>
      </c>
      <c r="CR83" s="39">
        <f t="shared" si="22"/>
        <v>0.35905478986279543</v>
      </c>
      <c r="CS83" s="39">
        <f t="shared" si="42"/>
        <v>1.0766435191513817</v>
      </c>
      <c r="CT83" s="39">
        <f t="shared" si="43"/>
        <v>3.0990626814193654</v>
      </c>
      <c r="CU83" s="39">
        <f t="shared" si="38"/>
        <v>1.4943069533049349</v>
      </c>
      <c r="CV83" s="39">
        <f t="shared" si="26"/>
        <v>8.8788580246913579E-2</v>
      </c>
      <c r="CW83" s="39">
        <f>CD83</f>
        <v>0.12019754050925927</v>
      </c>
      <c r="CX83" s="39"/>
      <c r="CY83" s="39"/>
      <c r="CZ83" s="39">
        <f t="shared" si="32"/>
        <v>0.20240454082485917</v>
      </c>
      <c r="DA83" s="39">
        <f t="shared" si="44"/>
        <v>8.0142857142857142</v>
      </c>
      <c r="DB83" s="39">
        <v>5</v>
      </c>
      <c r="DC83" s="39">
        <f t="shared" si="33"/>
        <v>5.0999999999999996</v>
      </c>
      <c r="DD83" s="39">
        <v>3.5125152625152629</v>
      </c>
      <c r="DE83" s="39">
        <v>3.7999999999999999E-2</v>
      </c>
      <c r="DF83" s="37"/>
      <c r="DG83" s="39">
        <f t="shared" si="34"/>
        <v>0.31963888888888886</v>
      </c>
      <c r="DH83" s="39">
        <f t="shared" si="35"/>
        <v>4.3015621462531133</v>
      </c>
      <c r="DI83" s="37"/>
      <c r="DJ83" s="37"/>
      <c r="DK83" s="37"/>
      <c r="DL83" s="37"/>
      <c r="DM83" s="39">
        <f t="shared" si="45"/>
        <v>0.8528198873971643</v>
      </c>
      <c r="DN83" s="39"/>
      <c r="DO83" s="39">
        <f t="shared" si="46"/>
        <v>0.8528198873971643</v>
      </c>
      <c r="DP83" s="37"/>
      <c r="DQ83" s="37">
        <f>DO83/'Conversions, Sources &amp; Comments'!E81</f>
        <v>0.64033751865051702</v>
      </c>
    </row>
    <row r="84" spans="1:121">
      <c r="A84" s="42">
        <f t="shared" si="36"/>
        <v>1332</v>
      </c>
      <c r="B84" s="36"/>
      <c r="C84" s="38">
        <v>4</v>
      </c>
      <c r="D84" s="38">
        <v>8.6300000000000008</v>
      </c>
      <c r="E84" s="38">
        <v>3</v>
      </c>
      <c r="F84" s="38">
        <v>6</v>
      </c>
      <c r="G84" s="38">
        <v>2</v>
      </c>
      <c r="H84" s="38">
        <v>2</v>
      </c>
      <c r="I84" s="38">
        <v>3</v>
      </c>
      <c r="J84" s="38">
        <v>5.75</v>
      </c>
      <c r="K84" s="36"/>
      <c r="L84" s="36"/>
      <c r="M84" s="38">
        <v>3</v>
      </c>
      <c r="N84" s="38">
        <v>5.5</v>
      </c>
      <c r="O84" s="38">
        <v>9</v>
      </c>
      <c r="P84" s="38">
        <v>3.5</v>
      </c>
      <c r="Q84" s="36"/>
      <c r="R84" s="36"/>
      <c r="S84" s="36"/>
      <c r="T84" s="36"/>
      <c r="U84" s="38">
        <v>4.75</v>
      </c>
      <c r="V84" s="36"/>
      <c r="W84" s="38">
        <v>8</v>
      </c>
      <c r="X84" s="36"/>
      <c r="Y84" s="36"/>
      <c r="Z84" s="38">
        <v>1</v>
      </c>
      <c r="AA84" s="38">
        <v>6</v>
      </c>
      <c r="AB84" s="36"/>
      <c r="AC84" s="36"/>
      <c r="AD84" s="36"/>
      <c r="AE84" s="36"/>
      <c r="AF84" s="36"/>
      <c r="AG84" s="38">
        <v>2</v>
      </c>
      <c r="AH84" s="38">
        <v>7.25</v>
      </c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59">
        <v>3.9166666666666665</v>
      </c>
      <c r="BH84" s="59"/>
      <c r="BI84" s="59">
        <v>8.0141838543948241E-2</v>
      </c>
      <c r="BJ84" s="59"/>
      <c r="BK84" s="36"/>
      <c r="BL84" s="36"/>
      <c r="BM84" s="36"/>
      <c r="BN84" s="38">
        <v>21.6</v>
      </c>
      <c r="BO84" s="36"/>
      <c r="BP84" s="39">
        <f t="shared" si="30"/>
        <v>1.3318287037037038</v>
      </c>
      <c r="BQ84" s="37"/>
      <c r="BR84" s="39">
        <f t="shared" si="31"/>
        <v>0.26754306249908033</v>
      </c>
      <c r="BS84" s="37"/>
      <c r="BT84" s="37"/>
      <c r="BU84" s="37"/>
      <c r="BV84" s="39">
        <f t="shared" si="39"/>
        <v>0.22204704109936033</v>
      </c>
      <c r="BW84" s="37"/>
      <c r="BX84" s="39">
        <f t="shared" si="40"/>
        <v>0.15652617823789133</v>
      </c>
      <c r="BY84" s="39">
        <f>$BP84*(12*Z84+AA84)/(12*0.453592)</f>
        <v>4.4042731255303345</v>
      </c>
      <c r="BZ84" s="37"/>
      <c r="CA84" s="37"/>
      <c r="CB84" s="39">
        <f t="shared" si="37"/>
        <v>1.4615370639780725</v>
      </c>
      <c r="CC84" s="39">
        <f t="shared" si="25"/>
        <v>0.10543643904320989</v>
      </c>
      <c r="CD84" s="37"/>
      <c r="CE84" s="37"/>
      <c r="CF84" s="37"/>
      <c r="CG84" s="37"/>
      <c r="CH84" s="37"/>
      <c r="CI84" s="37"/>
      <c r="CJ84" s="37"/>
      <c r="CK84" s="37"/>
      <c r="CL84" s="39">
        <f t="shared" si="47"/>
        <v>0.41619646990740738</v>
      </c>
      <c r="CM84" s="37"/>
      <c r="CN84" s="37"/>
      <c r="CO84" s="39">
        <f>0.063495+(0.016949+0.014096)*Wages!P82+1.22592*BR84</f>
        <v>0.61199670908010706</v>
      </c>
      <c r="CP84" s="39"/>
      <c r="CQ84" s="39">
        <f t="shared" si="41"/>
        <v>0.61199670908010706</v>
      </c>
      <c r="CR84" s="39">
        <f t="shared" si="22"/>
        <v>0.22204704109936033</v>
      </c>
      <c r="CS84" s="39">
        <f t="shared" si="42"/>
        <v>1.0530329156612199</v>
      </c>
      <c r="CT84" s="39">
        <f t="shared" si="43"/>
        <v>3.0311007805110464</v>
      </c>
      <c r="CU84" s="39">
        <f t="shared" si="38"/>
        <v>1.4615370639780725</v>
      </c>
      <c r="CV84" s="39">
        <f t="shared" si="26"/>
        <v>0.10543643904320989</v>
      </c>
      <c r="CW84" s="39">
        <v>0.14000000000000001</v>
      </c>
      <c r="CX84" s="39"/>
      <c r="CY84" s="39"/>
      <c r="CZ84" s="39">
        <f t="shared" si="32"/>
        <v>0.15652617823789133</v>
      </c>
      <c r="DA84" s="39">
        <f t="shared" si="44"/>
        <v>6.9210006258333818</v>
      </c>
      <c r="DB84" s="39">
        <v>5</v>
      </c>
      <c r="DC84" s="39">
        <f t="shared" si="33"/>
        <v>4.4042731255303345</v>
      </c>
      <c r="DD84" s="39">
        <v>3.5125152625152629</v>
      </c>
      <c r="DE84" s="39">
        <v>3.7999999999999999E-2</v>
      </c>
      <c r="DF84" s="37"/>
      <c r="DG84" s="39">
        <f t="shared" si="34"/>
        <v>0.41619646990740738</v>
      </c>
      <c r="DH84" s="39">
        <f t="shared" si="35"/>
        <v>4.3015621462531133</v>
      </c>
      <c r="DI84" s="37"/>
      <c r="DJ84" s="37"/>
      <c r="DK84" s="37"/>
      <c r="DL84" s="37"/>
      <c r="DM84" s="39">
        <f t="shared" si="45"/>
        <v>0.70553834279349492</v>
      </c>
      <c r="DN84" s="39"/>
      <c r="DO84" s="39">
        <f t="shared" si="46"/>
        <v>0.70553834279349492</v>
      </c>
      <c r="DP84" s="37"/>
      <c r="DQ84" s="37">
        <f>DO84/'Conversions, Sources &amp; Comments'!E82</f>
        <v>0.52975156702318549</v>
      </c>
    </row>
    <row r="85" spans="1:121">
      <c r="A85" s="42">
        <f t="shared" si="36"/>
        <v>1333</v>
      </c>
      <c r="B85" s="36"/>
      <c r="C85" s="38">
        <v>4</v>
      </c>
      <c r="D85" s="38">
        <v>2.38</v>
      </c>
      <c r="E85" s="38">
        <v>3</v>
      </c>
      <c r="F85" s="38">
        <v>3.63</v>
      </c>
      <c r="G85" s="38">
        <v>2</v>
      </c>
      <c r="H85" s="38">
        <v>2.13</v>
      </c>
      <c r="I85" s="38">
        <v>2</v>
      </c>
      <c r="J85" s="38">
        <v>5.13</v>
      </c>
      <c r="K85" s="36"/>
      <c r="L85" s="36"/>
      <c r="M85" s="38">
        <v>3</v>
      </c>
      <c r="N85" s="38">
        <v>0.625</v>
      </c>
      <c r="O85" s="38">
        <v>10</v>
      </c>
      <c r="P85" s="38">
        <v>4</v>
      </c>
      <c r="Q85" s="36"/>
      <c r="R85" s="36"/>
      <c r="S85" s="36"/>
      <c r="T85" s="36"/>
      <c r="U85" s="38">
        <v>4.75</v>
      </c>
      <c r="V85" s="36"/>
      <c r="W85" s="38">
        <v>7</v>
      </c>
      <c r="X85" s="36"/>
      <c r="Y85" s="36"/>
      <c r="Z85" s="38">
        <v>2</v>
      </c>
      <c r="AA85" s="38">
        <v>0</v>
      </c>
      <c r="AB85" s="36"/>
      <c r="AC85" s="36"/>
      <c r="AD85" s="36"/>
      <c r="AE85" s="36"/>
      <c r="AF85" s="36"/>
      <c r="AG85" s="38">
        <v>3</v>
      </c>
      <c r="AH85" s="38">
        <v>0</v>
      </c>
      <c r="AI85" s="36"/>
      <c r="AJ85" s="36"/>
      <c r="AK85" s="38">
        <v>10</v>
      </c>
      <c r="AL85" s="38">
        <v>0</v>
      </c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59">
        <v>3.4166666666666665</v>
      </c>
      <c r="BH85" s="59"/>
      <c r="BI85" s="59">
        <v>6.4942524337338478E-2</v>
      </c>
      <c r="BJ85" s="59"/>
      <c r="BK85" s="36"/>
      <c r="BL85" s="36"/>
      <c r="BM85" s="36"/>
      <c r="BN85" s="38">
        <v>21.6</v>
      </c>
      <c r="BO85" s="36"/>
      <c r="BP85" s="39">
        <f t="shared" si="30"/>
        <v>1.3318287037037038</v>
      </c>
      <c r="BQ85" s="37"/>
      <c r="BR85" s="39">
        <f t="shared" si="31"/>
        <v>0.23801553043799517</v>
      </c>
      <c r="BS85" s="37"/>
      <c r="BT85" s="37"/>
      <c r="BU85" s="37"/>
      <c r="BV85" s="39">
        <f t="shared" si="39"/>
        <v>0.19370061032071859</v>
      </c>
      <c r="BW85" s="37"/>
      <c r="BX85" s="39">
        <f t="shared" si="40"/>
        <v>0.12684017891691413</v>
      </c>
      <c r="BY85" s="39">
        <f>$BP85*(12*Z85+AA85)/(12*0.453592)</f>
        <v>5.8723641673737799</v>
      </c>
      <c r="BZ85" s="37"/>
      <c r="CA85" s="37"/>
      <c r="CB85" s="39">
        <f t="shared" si="37"/>
        <v>1.6253865106123855</v>
      </c>
      <c r="CC85" s="39">
        <f t="shared" si="25"/>
        <v>0.10543643904320989</v>
      </c>
      <c r="CD85" s="39">
        <f t="shared" ref="CD85:CD90" si="48">BP85*(12*AK85+AL85)/1000</f>
        <v>0.15981944444444446</v>
      </c>
      <c r="CE85" s="37"/>
      <c r="CF85" s="37"/>
      <c r="CG85" s="37"/>
      <c r="CH85" s="37"/>
      <c r="CI85" s="37"/>
      <c r="CJ85" s="37"/>
      <c r="CK85" s="37"/>
      <c r="CL85" s="39">
        <f t="shared" si="47"/>
        <v>0.47945833333333332</v>
      </c>
      <c r="CM85" s="37"/>
      <c r="CN85" s="37"/>
      <c r="CO85" s="39">
        <f>0.063495+(0.016949+0.014096)*Wages!P83+1.22592*BR85</f>
        <v>0.57579831697578154</v>
      </c>
      <c r="CP85" s="39"/>
      <c r="CQ85" s="39">
        <f t="shared" si="41"/>
        <v>0.57579831697578154</v>
      </c>
      <c r="CR85" s="39">
        <f t="shared" si="22"/>
        <v>0.19370061032071859</v>
      </c>
      <c r="CS85" s="39">
        <f t="shared" si="42"/>
        <v>1.1710859331120294</v>
      </c>
      <c r="CT85" s="39">
        <f t="shared" si="43"/>
        <v>3.3709102850526436</v>
      </c>
      <c r="CU85" s="39">
        <f t="shared" si="38"/>
        <v>1.6253865106123855</v>
      </c>
      <c r="CV85" s="39">
        <f t="shared" si="26"/>
        <v>0.10543643904320989</v>
      </c>
      <c r="CW85" s="39">
        <f t="shared" si="26"/>
        <v>0.15981944444444446</v>
      </c>
      <c r="CX85" s="39"/>
      <c r="CY85" s="39"/>
      <c r="CZ85" s="39">
        <f t="shared" si="32"/>
        <v>0.12684017891691413</v>
      </c>
      <c r="DA85" s="39">
        <f t="shared" si="44"/>
        <v>9.2280008344445115</v>
      </c>
      <c r="DB85" s="39">
        <v>5</v>
      </c>
      <c r="DC85" s="39">
        <f t="shared" si="33"/>
        <v>5.8723641673737799</v>
      </c>
      <c r="DD85" s="39">
        <v>3.5125152625152629</v>
      </c>
      <c r="DE85" s="39">
        <v>3.7999999999999999E-2</v>
      </c>
      <c r="DF85" s="37"/>
      <c r="DG85" s="39">
        <f t="shared" si="34"/>
        <v>0.47945833333333332</v>
      </c>
      <c r="DH85" s="39">
        <f t="shared" si="35"/>
        <v>4.3015621462531133</v>
      </c>
      <c r="DI85" s="37"/>
      <c r="DJ85" s="37"/>
      <c r="DK85" s="37"/>
      <c r="DL85" s="37"/>
      <c r="DM85" s="39">
        <f t="shared" si="45"/>
        <v>0.7104519966832834</v>
      </c>
      <c r="DN85" s="39"/>
      <c r="DO85" s="39">
        <f t="shared" si="46"/>
        <v>0.7104519966832834</v>
      </c>
      <c r="DP85" s="37"/>
      <c r="DQ85" s="37">
        <f>DO85/'Conversions, Sources &amp; Comments'!E83</f>
        <v>0.53344097083023967</v>
      </c>
    </row>
    <row r="86" spans="1:121">
      <c r="A86" s="42">
        <f t="shared" si="36"/>
        <v>1334</v>
      </c>
      <c r="B86" s="36"/>
      <c r="C86" s="38">
        <v>4</v>
      </c>
      <c r="D86" s="38">
        <v>0.13</v>
      </c>
      <c r="E86" s="38">
        <v>2</v>
      </c>
      <c r="F86" s="38">
        <v>10.75</v>
      </c>
      <c r="G86" s="38">
        <v>1</v>
      </c>
      <c r="H86" s="38">
        <v>10.75</v>
      </c>
      <c r="I86" s="38">
        <v>2</v>
      </c>
      <c r="J86" s="38">
        <v>7.75</v>
      </c>
      <c r="K86" s="36"/>
      <c r="L86" s="36"/>
      <c r="M86" s="38">
        <v>3</v>
      </c>
      <c r="N86" s="38">
        <v>0.875</v>
      </c>
      <c r="O86" s="38">
        <v>11</v>
      </c>
      <c r="P86" s="36"/>
      <c r="Q86" s="36"/>
      <c r="R86" s="36"/>
      <c r="S86" s="36"/>
      <c r="T86" s="36"/>
      <c r="U86" s="38">
        <v>4.75</v>
      </c>
      <c r="V86" s="36"/>
      <c r="W86" s="38">
        <v>6</v>
      </c>
      <c r="X86" s="36"/>
      <c r="Y86" s="36"/>
      <c r="Z86" s="36"/>
      <c r="AA86" s="36"/>
      <c r="AB86" s="36"/>
      <c r="AC86" s="36"/>
      <c r="AD86" s="36"/>
      <c r="AE86" s="36"/>
      <c r="AF86" s="36"/>
      <c r="AG86" s="38">
        <v>3</v>
      </c>
      <c r="AH86" s="38">
        <v>1.5</v>
      </c>
      <c r="AI86" s="36"/>
      <c r="AJ86" s="36"/>
      <c r="AK86" s="38">
        <v>8</v>
      </c>
      <c r="AL86" s="38">
        <v>4</v>
      </c>
      <c r="AM86" s="36"/>
      <c r="AN86" s="36"/>
      <c r="AO86" s="38">
        <v>1</v>
      </c>
      <c r="AP86" s="38">
        <v>0</v>
      </c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59">
        <v>3.5</v>
      </c>
      <c r="BH86" s="59"/>
      <c r="BI86" s="59">
        <v>5.9415500989479925E-2</v>
      </c>
      <c r="BJ86" s="59"/>
      <c r="BK86" s="36"/>
      <c r="BL86" s="36"/>
      <c r="BM86" s="36"/>
      <c r="BN86" s="38">
        <v>21.6</v>
      </c>
      <c r="BO86" s="36"/>
      <c r="BP86" s="39">
        <f t="shared" si="30"/>
        <v>1.3318287037037038</v>
      </c>
      <c r="BQ86" s="37"/>
      <c r="BR86" s="39">
        <f t="shared" si="31"/>
        <v>0.22738561889600456</v>
      </c>
      <c r="BS86" s="37"/>
      <c r="BT86" s="37"/>
      <c r="BU86" s="37"/>
      <c r="BV86" s="39">
        <f t="shared" si="39"/>
        <v>0.19842501545049221</v>
      </c>
      <c r="BW86" s="37"/>
      <c r="BX86" s="39">
        <f t="shared" si="40"/>
        <v>0.11604527007292151</v>
      </c>
      <c r="BY86" s="39">
        <v>5.8723641673737799</v>
      </c>
      <c r="BZ86" s="37"/>
      <c r="CA86" s="37"/>
      <c r="CB86" s="39">
        <f t="shared" si="37"/>
        <v>1.7302501564583459</v>
      </c>
      <c r="CC86" s="39">
        <f t="shared" ref="CC86:CC107" si="49">2*BP86*U86/120</f>
        <v>0.10543643904320989</v>
      </c>
      <c r="CD86" s="39">
        <f t="shared" si="48"/>
        <v>0.13318287037037038</v>
      </c>
      <c r="CE86" s="37"/>
      <c r="CF86" s="37"/>
      <c r="CG86" s="39">
        <f>BP86*(12*AO86+AP86)/4.55</f>
        <v>3.5125152625152625</v>
      </c>
      <c r="CH86" s="37"/>
      <c r="CI86" s="37"/>
      <c r="CJ86" s="37"/>
      <c r="CK86" s="37"/>
      <c r="CL86" s="39">
        <f t="shared" si="47"/>
        <v>0.49943576388888894</v>
      </c>
      <c r="CM86" s="37"/>
      <c r="CN86" s="37"/>
      <c r="CO86" s="39">
        <f>0.063495+(0.016949+0.014096)*Wages!P84+1.22592*BR86</f>
        <v>0.56276689581822437</v>
      </c>
      <c r="CP86" s="39"/>
      <c r="CQ86" s="39">
        <f t="shared" si="41"/>
        <v>0.56276689581822437</v>
      </c>
      <c r="CR86" s="39">
        <f t="shared" si="22"/>
        <v>0.19842501545049221</v>
      </c>
      <c r="CS86" s="39">
        <f t="shared" si="42"/>
        <v>1.2466398642805474</v>
      </c>
      <c r="CT86" s="39">
        <f t="shared" si="43"/>
        <v>3.5883883679592654</v>
      </c>
      <c r="CU86" s="39">
        <f t="shared" si="38"/>
        <v>1.7302501564583459</v>
      </c>
      <c r="CV86" s="39">
        <f t="shared" si="26"/>
        <v>0.10543643904320989</v>
      </c>
      <c r="CW86" s="39">
        <f t="shared" si="26"/>
        <v>0.13318287037037038</v>
      </c>
      <c r="CX86" s="39"/>
      <c r="CY86" s="39"/>
      <c r="CZ86" s="39">
        <f t="shared" si="32"/>
        <v>0.11604527007292151</v>
      </c>
      <c r="DA86" s="39">
        <f t="shared" si="44"/>
        <v>9.2280008344445115</v>
      </c>
      <c r="DB86" s="39">
        <v>5</v>
      </c>
      <c r="DC86" s="39">
        <f t="shared" si="33"/>
        <v>5.8723641673737799</v>
      </c>
      <c r="DD86" s="39">
        <f>CG86</f>
        <v>3.5125152625152625</v>
      </c>
      <c r="DE86" s="39">
        <v>3.7999999999999999E-2</v>
      </c>
      <c r="DF86" s="37"/>
      <c r="DG86" s="39">
        <f t="shared" si="34"/>
        <v>0.49943576388888894</v>
      </c>
      <c r="DH86" s="39">
        <f t="shared" si="35"/>
        <v>4.3015621462531133</v>
      </c>
      <c r="DI86" s="37"/>
      <c r="DJ86" s="37"/>
      <c r="DK86" s="37"/>
      <c r="DL86" s="37"/>
      <c r="DM86" s="39">
        <f t="shared" si="45"/>
        <v>0.70936704801114026</v>
      </c>
      <c r="DN86" s="39"/>
      <c r="DO86" s="39">
        <f t="shared" si="46"/>
        <v>0.70936704801114026</v>
      </c>
      <c r="DP86" s="37"/>
      <c r="DQ86" s="37">
        <f>DO86/'Conversions, Sources &amp; Comments'!E84</f>
        <v>0.53262634003791187</v>
      </c>
    </row>
    <row r="87" spans="1:121">
      <c r="A87" s="42">
        <f t="shared" si="36"/>
        <v>1335</v>
      </c>
      <c r="B87" s="36"/>
      <c r="C87" s="38">
        <v>5</v>
      </c>
      <c r="D87" s="38">
        <v>3.5</v>
      </c>
      <c r="E87" s="38">
        <v>3</v>
      </c>
      <c r="F87" s="38">
        <v>9.8800000000000008</v>
      </c>
      <c r="G87" s="38">
        <v>2</v>
      </c>
      <c r="H87" s="38">
        <v>2.38</v>
      </c>
      <c r="I87" s="38">
        <v>3</v>
      </c>
      <c r="J87" s="38">
        <v>8.5</v>
      </c>
      <c r="K87" s="36"/>
      <c r="L87" s="36"/>
      <c r="M87" s="38">
        <v>2</v>
      </c>
      <c r="N87" s="38">
        <v>10.25</v>
      </c>
      <c r="O87" s="38">
        <v>12</v>
      </c>
      <c r="P87" s="36"/>
      <c r="Q87" s="36"/>
      <c r="R87" s="36"/>
      <c r="S87" s="36"/>
      <c r="T87" s="36"/>
      <c r="U87" s="38">
        <v>4.75</v>
      </c>
      <c r="V87" s="36"/>
      <c r="W87" s="38">
        <v>6</v>
      </c>
      <c r="X87" s="36"/>
      <c r="Y87" s="36"/>
      <c r="Z87" s="38">
        <v>2</v>
      </c>
      <c r="AA87" s="38">
        <v>0</v>
      </c>
      <c r="AB87" s="36"/>
      <c r="AC87" s="36"/>
      <c r="AD87" s="36"/>
      <c r="AE87" s="36"/>
      <c r="AF87" s="36"/>
      <c r="AG87" s="38">
        <v>3</v>
      </c>
      <c r="AH87" s="38">
        <v>0</v>
      </c>
      <c r="AI87" s="36"/>
      <c r="AJ87" s="36"/>
      <c r="AK87" s="38">
        <v>10</v>
      </c>
      <c r="AL87" s="38">
        <v>0</v>
      </c>
      <c r="AM87" s="36"/>
      <c r="AN87" s="36"/>
      <c r="AO87" s="38">
        <v>0</v>
      </c>
      <c r="AP87" s="38">
        <v>11.75</v>
      </c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59">
        <v>3.4166666666666665</v>
      </c>
      <c r="BH87" s="59"/>
      <c r="BI87" s="59">
        <v>6.6324280174302697E-2</v>
      </c>
      <c r="BJ87" s="59"/>
      <c r="BK87" s="36"/>
      <c r="BL87" s="36"/>
      <c r="BM87" s="36"/>
      <c r="BN87" s="38">
        <v>21.6</v>
      </c>
      <c r="BO87" s="36"/>
      <c r="BP87" s="39">
        <f t="shared" si="30"/>
        <v>1.3318287037037038</v>
      </c>
      <c r="BQ87" s="37"/>
      <c r="BR87" s="39">
        <f t="shared" si="31"/>
        <v>0.29999972574062511</v>
      </c>
      <c r="BS87" s="37"/>
      <c r="BT87" s="37"/>
      <c r="BU87" s="37"/>
      <c r="BV87" s="39">
        <f t="shared" si="39"/>
        <v>0.19370061032071859</v>
      </c>
      <c r="BW87" s="37"/>
      <c r="BX87" s="39">
        <f t="shared" si="40"/>
        <v>0.12953890612791147</v>
      </c>
      <c r="BY87" s="39">
        <f t="shared" ref="BY87:BY107" si="50">$BP87*(12*Z87+AA87)/(12*0.453592)</f>
        <v>5.8723641673737799</v>
      </c>
      <c r="BZ87" s="37"/>
      <c r="CA87" s="37"/>
      <c r="CB87" s="39">
        <f t="shared" si="37"/>
        <v>1.8875456252272862</v>
      </c>
      <c r="CC87" s="39">
        <f t="shared" si="49"/>
        <v>0.10543643904320989</v>
      </c>
      <c r="CD87" s="39">
        <f t="shared" si="48"/>
        <v>0.15981944444444446</v>
      </c>
      <c r="CE87" s="37"/>
      <c r="CF87" s="37"/>
      <c r="CG87" s="39">
        <f>BP87*(12*AO87+AP87)/4.55</f>
        <v>3.4393378612128616</v>
      </c>
      <c r="CH87" s="37"/>
      <c r="CI87" s="37"/>
      <c r="CJ87" s="37"/>
      <c r="CK87" s="37"/>
      <c r="CL87" s="39">
        <f t="shared" si="47"/>
        <v>0.47945833333333332</v>
      </c>
      <c r="CM87" s="37"/>
      <c r="CN87" s="37"/>
      <c r="CO87" s="39">
        <f>0.063495+(0.016949+0.014096)*Wages!P85+1.22592*BR87</f>
        <v>0.65178598168118163</v>
      </c>
      <c r="CP87" s="39"/>
      <c r="CQ87" s="39">
        <f t="shared" si="41"/>
        <v>0.65178598168118163</v>
      </c>
      <c r="CR87" s="39">
        <f t="shared" si="22"/>
        <v>0.19370061032071859</v>
      </c>
      <c r="CS87" s="39">
        <f t="shared" si="42"/>
        <v>1.3599707610333243</v>
      </c>
      <c r="CT87" s="39">
        <f t="shared" si="43"/>
        <v>3.9146054923191986</v>
      </c>
      <c r="CU87" s="39">
        <f t="shared" si="38"/>
        <v>1.8875456252272862</v>
      </c>
      <c r="CV87" s="39">
        <f t="shared" si="26"/>
        <v>0.10543643904320989</v>
      </c>
      <c r="CW87" s="39">
        <f t="shared" si="26"/>
        <v>0.15981944444444446</v>
      </c>
      <c r="CX87" s="39"/>
      <c r="CY87" s="39"/>
      <c r="CZ87" s="39">
        <f t="shared" si="32"/>
        <v>0.12953890612791147</v>
      </c>
      <c r="DA87" s="39">
        <f t="shared" si="44"/>
        <v>9.2280008344445115</v>
      </c>
      <c r="DB87" s="39">
        <v>5</v>
      </c>
      <c r="DC87" s="39">
        <f t="shared" si="33"/>
        <v>5.8723641673737799</v>
      </c>
      <c r="DD87" s="39">
        <f>CG87</f>
        <v>3.4393378612128616</v>
      </c>
      <c r="DE87" s="39">
        <v>3.7999999999999999E-2</v>
      </c>
      <c r="DF87" s="37"/>
      <c r="DG87" s="39">
        <f t="shared" si="34"/>
        <v>0.47945833333333332</v>
      </c>
      <c r="DH87" s="39">
        <f t="shared" si="35"/>
        <v>4.3015621462531133</v>
      </c>
      <c r="DI87" s="37"/>
      <c r="DJ87" s="37"/>
      <c r="DK87" s="37"/>
      <c r="DL87" s="37"/>
      <c r="DM87" s="39">
        <f t="shared" si="45"/>
        <v>0.76644665293343617</v>
      </c>
      <c r="DN87" s="39"/>
      <c r="DO87" s="39">
        <f t="shared" si="46"/>
        <v>0.76644665293343617</v>
      </c>
      <c r="DP87" s="37"/>
      <c r="DQ87" s="37">
        <f>DO87/'Conversions, Sources &amp; Comments'!E85</f>
        <v>0.57548440786867894</v>
      </c>
    </row>
    <row r="88" spans="1:121">
      <c r="A88" s="42">
        <f t="shared" si="36"/>
        <v>1336</v>
      </c>
      <c r="B88" s="36"/>
      <c r="C88" s="38">
        <v>4</v>
      </c>
      <c r="D88" s="38">
        <v>11</v>
      </c>
      <c r="E88" s="38">
        <v>3</v>
      </c>
      <c r="F88" s="38">
        <v>8.5</v>
      </c>
      <c r="G88" s="38">
        <v>2</v>
      </c>
      <c r="H88" s="38">
        <v>1.1299999999999999</v>
      </c>
      <c r="I88" s="38">
        <v>3</v>
      </c>
      <c r="J88" s="38">
        <v>2</v>
      </c>
      <c r="K88" s="36"/>
      <c r="L88" s="36"/>
      <c r="M88" s="38">
        <v>3</v>
      </c>
      <c r="N88" s="38">
        <v>1</v>
      </c>
      <c r="O88" s="38">
        <v>10</v>
      </c>
      <c r="P88" s="36"/>
      <c r="Q88" s="36"/>
      <c r="R88" s="36"/>
      <c r="S88" s="36"/>
      <c r="T88" s="36"/>
      <c r="U88" s="38">
        <v>4.625</v>
      </c>
      <c r="V88" s="36"/>
      <c r="W88" s="38">
        <v>7</v>
      </c>
      <c r="X88" s="36"/>
      <c r="Y88" s="36"/>
      <c r="Z88" s="38">
        <v>1</v>
      </c>
      <c r="AA88" s="38">
        <v>10.5</v>
      </c>
      <c r="AB88" s="36"/>
      <c r="AC88" s="36"/>
      <c r="AD88" s="36"/>
      <c r="AE88" s="36"/>
      <c r="AF88" s="36"/>
      <c r="AG88" s="38">
        <v>3</v>
      </c>
      <c r="AH88" s="38">
        <v>9.5</v>
      </c>
      <c r="AI88" s="36"/>
      <c r="AJ88" s="36"/>
      <c r="AK88" s="38">
        <v>10</v>
      </c>
      <c r="AL88" s="38">
        <v>10</v>
      </c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59">
        <v>2.8333333333333335</v>
      </c>
      <c r="BH88" s="59"/>
      <c r="BI88" s="59">
        <v>7.5996571033055599E-2</v>
      </c>
      <c r="BJ88" s="59"/>
      <c r="BK88" s="36"/>
      <c r="BL88" s="36"/>
      <c r="BM88" s="36"/>
      <c r="BN88" s="38">
        <v>21.6</v>
      </c>
      <c r="BO88" s="36"/>
      <c r="BP88" s="39">
        <f t="shared" si="30"/>
        <v>1.3318287037037038</v>
      </c>
      <c r="BQ88" s="37"/>
      <c r="BR88" s="39">
        <f t="shared" si="31"/>
        <v>0.27873990265664383</v>
      </c>
      <c r="BS88" s="37"/>
      <c r="BT88" s="37"/>
      <c r="BU88" s="37"/>
      <c r="BV88" s="39">
        <f t="shared" si="39"/>
        <v>0.16062977441230322</v>
      </c>
      <c r="BW88" s="37"/>
      <c r="BX88" s="39">
        <f t="shared" si="40"/>
        <v>0.14842999660489936</v>
      </c>
      <c r="BY88" s="39">
        <f t="shared" si="50"/>
        <v>5.505341406912919</v>
      </c>
      <c r="BZ88" s="37"/>
      <c r="CA88" s="37"/>
      <c r="CB88" s="39">
        <f t="shared" si="37"/>
        <v>1.5729546876894054</v>
      </c>
      <c r="CC88" s="39">
        <f t="shared" si="49"/>
        <v>0.10266179591049383</v>
      </c>
      <c r="CD88" s="39">
        <f t="shared" si="48"/>
        <v>0.17313773148148148</v>
      </c>
      <c r="CE88" s="37"/>
      <c r="CF88" s="37"/>
      <c r="CG88" s="37"/>
      <c r="CH88" s="37"/>
      <c r="CI88" s="37"/>
      <c r="CJ88" s="37"/>
      <c r="CK88" s="37"/>
      <c r="CL88" s="39">
        <f t="shared" si="47"/>
        <v>0.6059820601851853</v>
      </c>
      <c r="CM88" s="37"/>
      <c r="CN88" s="37"/>
      <c r="CO88" s="39">
        <f>0.063495+(0.016949+0.014096)*Wages!P86+1.22592*BR88</f>
        <v>0.62572313936606738</v>
      </c>
      <c r="CP88" s="39"/>
      <c r="CQ88" s="39">
        <f t="shared" si="41"/>
        <v>0.62572313936606738</v>
      </c>
      <c r="CR88" s="39">
        <f t="shared" si="22"/>
        <v>0.16062977441230322</v>
      </c>
      <c r="CS88" s="39">
        <f t="shared" si="42"/>
        <v>1.1333089675277703</v>
      </c>
      <c r="CT88" s="39">
        <f t="shared" si="43"/>
        <v>3.2621712435993326</v>
      </c>
      <c r="CU88" s="39">
        <f t="shared" si="38"/>
        <v>1.5729546876894054</v>
      </c>
      <c r="CV88" s="39">
        <f t="shared" si="26"/>
        <v>0.10266179591049383</v>
      </c>
      <c r="CW88" s="39">
        <f t="shared" si="26"/>
        <v>0.17313773148148148</v>
      </c>
      <c r="CX88" s="39"/>
      <c r="CY88" s="39"/>
      <c r="CZ88" s="39">
        <f t="shared" si="32"/>
        <v>0.14842999660489936</v>
      </c>
      <c r="DA88" s="39">
        <f t="shared" si="44"/>
        <v>8.6512507822917293</v>
      </c>
      <c r="DB88" s="39">
        <v>5</v>
      </c>
      <c r="DC88" s="39">
        <f t="shared" si="33"/>
        <v>5.505341406912919</v>
      </c>
      <c r="DD88" s="39">
        <v>3.7</v>
      </c>
      <c r="DE88" s="39">
        <v>3.7999999999999999E-2</v>
      </c>
      <c r="DF88" s="37"/>
      <c r="DG88" s="39">
        <f t="shared" si="34"/>
        <v>0.6059820601851853</v>
      </c>
      <c r="DH88" s="39">
        <f t="shared" si="35"/>
        <v>4.3015621462531133</v>
      </c>
      <c r="DI88" s="37"/>
      <c r="DJ88" s="37"/>
      <c r="DK88" s="37"/>
      <c r="DL88" s="37"/>
      <c r="DM88" s="39">
        <f t="shared" si="45"/>
        <v>0.72820346466528452</v>
      </c>
      <c r="DN88" s="39"/>
      <c r="DO88" s="39">
        <f t="shared" si="46"/>
        <v>0.72820346466528452</v>
      </c>
      <c r="DP88" s="37"/>
      <c r="DQ88" s="37">
        <f>DO88/'Conversions, Sources &amp; Comments'!E86</f>
        <v>0.54676961281898484</v>
      </c>
    </row>
    <row r="89" spans="1:121">
      <c r="A89" s="42">
        <f t="shared" si="36"/>
        <v>1337</v>
      </c>
      <c r="B89" s="36"/>
      <c r="C89" s="38">
        <v>3</v>
      </c>
      <c r="D89" s="38">
        <v>7</v>
      </c>
      <c r="E89" s="38">
        <v>2</v>
      </c>
      <c r="F89" s="38">
        <v>7.38</v>
      </c>
      <c r="G89" s="38">
        <v>1</v>
      </c>
      <c r="H89" s="38">
        <v>7.5</v>
      </c>
      <c r="I89" s="38">
        <v>2</v>
      </c>
      <c r="J89" s="38">
        <v>7</v>
      </c>
      <c r="K89" s="36"/>
      <c r="L89" s="36"/>
      <c r="M89" s="38">
        <v>2</v>
      </c>
      <c r="N89" s="38">
        <v>0.625</v>
      </c>
      <c r="O89" s="38">
        <v>9</v>
      </c>
      <c r="P89" s="38">
        <v>3</v>
      </c>
      <c r="Q89" s="36"/>
      <c r="R89" s="36"/>
      <c r="S89" s="36"/>
      <c r="T89" s="36"/>
      <c r="U89" s="38">
        <v>3.875</v>
      </c>
      <c r="V89" s="36"/>
      <c r="W89" s="36"/>
      <c r="X89" s="36"/>
      <c r="Y89" s="36"/>
      <c r="Z89" s="38">
        <v>2</v>
      </c>
      <c r="AA89" s="38">
        <v>0</v>
      </c>
      <c r="AB89" s="36"/>
      <c r="AC89" s="38">
        <v>0</v>
      </c>
      <c r="AD89" s="38">
        <v>7.5</v>
      </c>
      <c r="AE89" s="36"/>
      <c r="AF89" s="36"/>
      <c r="AG89" s="38">
        <v>2</v>
      </c>
      <c r="AH89" s="38">
        <v>11.5</v>
      </c>
      <c r="AI89" s="36"/>
      <c r="AJ89" s="36"/>
      <c r="AK89" s="38">
        <v>8</v>
      </c>
      <c r="AL89" s="38">
        <v>4</v>
      </c>
      <c r="AM89" s="36"/>
      <c r="AN89" s="36"/>
      <c r="AO89" s="38">
        <v>1</v>
      </c>
      <c r="AP89" s="38">
        <v>0</v>
      </c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59">
        <v>3.3333333333333335</v>
      </c>
      <c r="BH89" s="59"/>
      <c r="BI89" s="59">
        <v>5.1124965967691241E-2</v>
      </c>
      <c r="BJ89" s="59"/>
      <c r="BK89" s="36"/>
      <c r="BL89" s="36"/>
      <c r="BM89" s="36"/>
      <c r="BN89" s="38">
        <v>21.6</v>
      </c>
      <c r="BO89" s="36"/>
      <c r="BP89" s="39">
        <f t="shared" si="30"/>
        <v>1.3318287037037038</v>
      </c>
      <c r="BQ89" s="37"/>
      <c r="BR89" s="39">
        <f t="shared" si="31"/>
        <v>0.20314942058026586</v>
      </c>
      <c r="BS89" s="37"/>
      <c r="BT89" s="37"/>
      <c r="BU89" s="37"/>
      <c r="BV89" s="39">
        <f t="shared" si="39"/>
        <v>0.18897620519094499</v>
      </c>
      <c r="BW89" s="37"/>
      <c r="BX89" s="39">
        <f t="shared" si="40"/>
        <v>9.9852906806930916E-2</v>
      </c>
      <c r="BY89" s="39">
        <f t="shared" si="50"/>
        <v>5.8723641673737799</v>
      </c>
      <c r="BZ89" s="37"/>
      <c r="CA89" s="37"/>
      <c r="CB89" s="39">
        <f t="shared" si="37"/>
        <v>1.4549830861127</v>
      </c>
      <c r="CC89" s="39">
        <f t="shared" si="49"/>
        <v>8.6013937114197525E-2</v>
      </c>
      <c r="CD89" s="39">
        <f t="shared" si="48"/>
        <v>0.13318287037037038</v>
      </c>
      <c r="CE89" s="37"/>
      <c r="CF89" s="37"/>
      <c r="CG89" s="39">
        <f>BP89*(12*AO89+AP89)/4.55</f>
        <v>3.5125152625152625</v>
      </c>
      <c r="CH89" s="37"/>
      <c r="CI89" s="37"/>
      <c r="CJ89" s="37"/>
      <c r="CK89" s="39">
        <f>BP89*(12*AC89+AD89)/(35.238*8)</f>
        <v>3.5433038473302182E-2</v>
      </c>
      <c r="CL89" s="39">
        <f t="shared" si="47"/>
        <v>0.47279918981481489</v>
      </c>
      <c r="CM89" s="39">
        <f>BP89*(12*$AC89+$AD89)/(35.238*8)/0.283</f>
        <v>0.1252050829445307</v>
      </c>
      <c r="CN89" s="37"/>
      <c r="CO89" s="39">
        <f>0.063495+(0.016949+0.014096)*Wages!P87+1.22592*BR89</f>
        <v>0.53305525557899403</v>
      </c>
      <c r="CP89" s="39"/>
      <c r="CQ89" s="39">
        <f t="shared" si="41"/>
        <v>0.53305525557899403</v>
      </c>
      <c r="CR89" s="39">
        <f t="shared" si="22"/>
        <v>0.18897620519094499</v>
      </c>
      <c r="CS89" s="39">
        <f t="shared" si="42"/>
        <v>1.0483107949631876</v>
      </c>
      <c r="CT89" s="39">
        <f t="shared" si="43"/>
        <v>3.0175084003293828</v>
      </c>
      <c r="CU89" s="39">
        <f t="shared" si="38"/>
        <v>1.4549830861127</v>
      </c>
      <c r="CV89" s="39">
        <f>CC89</f>
        <v>8.6013937114197525E-2</v>
      </c>
      <c r="CW89" s="39">
        <f>CD89</f>
        <v>0.13318287037037038</v>
      </c>
      <c r="CX89" s="39"/>
      <c r="CY89" s="39"/>
      <c r="CZ89" s="39">
        <f t="shared" si="32"/>
        <v>9.9852906806930916E-2</v>
      </c>
      <c r="DA89" s="39">
        <f t="shared" si="44"/>
        <v>9.2280008344445115</v>
      </c>
      <c r="DB89" s="39">
        <v>5</v>
      </c>
      <c r="DC89" s="39">
        <f t="shared" si="33"/>
        <v>5.8723641673737799</v>
      </c>
      <c r="DD89" s="39">
        <f>CG89</f>
        <v>3.5125152625152625</v>
      </c>
      <c r="DE89" s="39">
        <f>CK89</f>
        <v>3.5433038473302182E-2</v>
      </c>
      <c r="DF89" s="37"/>
      <c r="DG89" s="39">
        <f t="shared" si="34"/>
        <v>0.47279918981481489</v>
      </c>
      <c r="DH89" s="39">
        <f t="shared" si="35"/>
        <v>4.0109846585128119</v>
      </c>
      <c r="DI89" s="37"/>
      <c r="DJ89" s="37"/>
      <c r="DK89" s="37"/>
      <c r="DL89" s="37"/>
      <c r="DM89" s="39">
        <f t="shared" si="45"/>
        <v>0.65907707431351015</v>
      </c>
      <c r="DN89" s="39"/>
      <c r="DO89" s="39">
        <f t="shared" si="46"/>
        <v>0.65907707431351015</v>
      </c>
      <c r="DP89" s="37"/>
      <c r="DQ89" s="37">
        <f>DO89/'Conversions, Sources &amp; Comments'!E87</f>
        <v>0.49486624855033695</v>
      </c>
    </row>
    <row r="90" spans="1:121">
      <c r="A90" s="42">
        <f t="shared" si="36"/>
        <v>1338</v>
      </c>
      <c r="B90" s="36"/>
      <c r="C90" s="38">
        <v>3</v>
      </c>
      <c r="D90" s="38">
        <v>2.63</v>
      </c>
      <c r="E90" s="38">
        <v>2</v>
      </c>
      <c r="F90" s="38">
        <v>1</v>
      </c>
      <c r="G90" s="38">
        <v>1</v>
      </c>
      <c r="H90" s="38">
        <v>6</v>
      </c>
      <c r="I90" s="38">
        <v>1</v>
      </c>
      <c r="J90" s="38">
        <v>10.88</v>
      </c>
      <c r="K90" s="36"/>
      <c r="L90" s="36"/>
      <c r="M90" s="38">
        <v>1</v>
      </c>
      <c r="N90" s="38">
        <v>8.5</v>
      </c>
      <c r="O90" s="38">
        <v>10</v>
      </c>
      <c r="P90" s="36"/>
      <c r="Q90" s="36"/>
      <c r="R90" s="36"/>
      <c r="S90" s="36"/>
      <c r="T90" s="36"/>
      <c r="U90" s="38">
        <v>4.125</v>
      </c>
      <c r="V90" s="36"/>
      <c r="W90" s="38">
        <v>6</v>
      </c>
      <c r="X90" s="36"/>
      <c r="Y90" s="36"/>
      <c r="Z90" s="38">
        <v>1</v>
      </c>
      <c r="AA90" s="38">
        <v>6</v>
      </c>
      <c r="AB90" s="36"/>
      <c r="AC90" s="38">
        <v>0</v>
      </c>
      <c r="AD90" s="38">
        <v>5</v>
      </c>
      <c r="AE90" s="36"/>
      <c r="AF90" s="36"/>
      <c r="AG90" s="38">
        <v>3</v>
      </c>
      <c r="AH90" s="38">
        <v>6</v>
      </c>
      <c r="AI90" s="36"/>
      <c r="AJ90" s="36"/>
      <c r="AK90" s="38">
        <v>10</v>
      </c>
      <c r="AL90" s="38">
        <v>0</v>
      </c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59">
        <v>1.9166666666666667</v>
      </c>
      <c r="BH90" s="59"/>
      <c r="BI90" s="59">
        <v>4.283443094590425E-2</v>
      </c>
      <c r="BJ90" s="59"/>
      <c r="BK90" s="36"/>
      <c r="BL90" s="36"/>
      <c r="BM90" s="36"/>
      <c r="BN90" s="38">
        <v>21.6</v>
      </c>
      <c r="BO90" s="36"/>
      <c r="BP90" s="39">
        <f t="shared" si="30"/>
        <v>1.3318287037037038</v>
      </c>
      <c r="BQ90" s="37"/>
      <c r="BR90" s="39">
        <f t="shared" si="31"/>
        <v>0.18250377016315514</v>
      </c>
      <c r="BS90" s="37"/>
      <c r="BT90" s="37"/>
      <c r="BU90" s="37"/>
      <c r="BV90" s="39">
        <f t="shared" si="39"/>
        <v>0.10866131798479335</v>
      </c>
      <c r="BW90" s="37"/>
      <c r="BX90" s="39">
        <f t="shared" si="40"/>
        <v>8.3660543540943641E-2</v>
      </c>
      <c r="BY90" s="39">
        <f t="shared" si="50"/>
        <v>4.4042731255303345</v>
      </c>
      <c r="BZ90" s="37"/>
      <c r="CA90" s="37"/>
      <c r="CB90" s="39">
        <f t="shared" si="37"/>
        <v>1.5729546876894054</v>
      </c>
      <c r="CC90" s="39">
        <f t="shared" si="49"/>
        <v>9.1563223379629646E-2</v>
      </c>
      <c r="CD90" s="39">
        <f t="shared" si="48"/>
        <v>0.15981944444444446</v>
      </c>
      <c r="CE90" s="37"/>
      <c r="CF90" s="37"/>
      <c r="CG90" s="37"/>
      <c r="CH90" s="37"/>
      <c r="CI90" s="37"/>
      <c r="CJ90" s="37"/>
      <c r="CK90" s="39">
        <f>BP90*(12*AC90+AD90)/(35.238*8)</f>
        <v>2.3622025648868124E-2</v>
      </c>
      <c r="CL90" s="39">
        <f t="shared" si="47"/>
        <v>0.55936805555555558</v>
      </c>
      <c r="CM90" s="39">
        <f>BP90*(12*$AC90+$AD90)/(35.238*8)/0.283</f>
        <v>8.3470055296353804E-2</v>
      </c>
      <c r="CN90" s="37"/>
      <c r="CO90" s="39">
        <f>0.063495+(0.016949+0.014096)*Wages!P88+1.22592*BR90</f>
        <v>0.48018092508199528</v>
      </c>
      <c r="CP90" s="39"/>
      <c r="CQ90" s="39">
        <f t="shared" si="41"/>
        <v>0.48018092508199528</v>
      </c>
      <c r="CR90" s="39">
        <f t="shared" si="22"/>
        <v>0.10866131798479335</v>
      </c>
      <c r="CS90" s="39">
        <f t="shared" si="42"/>
        <v>1.1333089675277703</v>
      </c>
      <c r="CT90" s="39">
        <f t="shared" si="43"/>
        <v>3.2621712435993326</v>
      </c>
      <c r="CU90" s="39">
        <f t="shared" si="38"/>
        <v>1.5729546876894054</v>
      </c>
      <c r="CV90" s="39">
        <f>CC90</f>
        <v>9.1563223379629646E-2</v>
      </c>
      <c r="CW90" s="39">
        <f>CD90</f>
        <v>0.15981944444444446</v>
      </c>
      <c r="CX90" s="39"/>
      <c r="CY90" s="39"/>
      <c r="CZ90" s="39">
        <f t="shared" si="32"/>
        <v>8.3660543540943641E-2</v>
      </c>
      <c r="DA90" s="39">
        <f t="shared" si="44"/>
        <v>6.9210006258333818</v>
      </c>
      <c r="DB90" s="39">
        <v>5</v>
      </c>
      <c r="DC90" s="39">
        <f t="shared" si="33"/>
        <v>4.4042731255303345</v>
      </c>
      <c r="DD90" s="39">
        <v>3.3</v>
      </c>
      <c r="DE90" s="39">
        <f>CK90</f>
        <v>2.3622025648868124E-2</v>
      </c>
      <c r="DF90" s="37"/>
      <c r="DG90" s="39">
        <f t="shared" si="34"/>
        <v>0.55936805555555558</v>
      </c>
      <c r="DH90" s="39">
        <f t="shared" si="35"/>
        <v>2.6739897723418751</v>
      </c>
      <c r="DI90" s="37"/>
      <c r="DJ90" s="37"/>
      <c r="DK90" s="37"/>
      <c r="DL90" s="37"/>
      <c r="DM90" s="39">
        <f t="shared" si="45"/>
        <v>0.58818013181049589</v>
      </c>
      <c r="DN90" s="39"/>
      <c r="DO90" s="39">
        <f t="shared" si="46"/>
        <v>0.58818013181049589</v>
      </c>
      <c r="DP90" s="37"/>
      <c r="DQ90" s="37">
        <f>DO90/'Conversions, Sources &amp; Comments'!E88</f>
        <v>0.44163346996112662</v>
      </c>
    </row>
    <row r="91" spans="1:121">
      <c r="A91" s="42">
        <f t="shared" si="36"/>
        <v>1339</v>
      </c>
      <c r="B91" s="36"/>
      <c r="C91" s="38">
        <v>5</v>
      </c>
      <c r="D91" s="38">
        <v>10.75</v>
      </c>
      <c r="E91" s="38">
        <v>3</v>
      </c>
      <c r="F91" s="38">
        <v>1.1299999999999999</v>
      </c>
      <c r="G91" s="38">
        <v>1</v>
      </c>
      <c r="H91" s="38">
        <v>8.8800000000000008</v>
      </c>
      <c r="I91" s="38">
        <v>4</v>
      </c>
      <c r="J91" s="38">
        <v>2.38</v>
      </c>
      <c r="K91" s="36"/>
      <c r="L91" s="36"/>
      <c r="M91" s="38">
        <v>2</v>
      </c>
      <c r="N91" s="38">
        <v>9.75</v>
      </c>
      <c r="O91" s="38">
        <v>10</v>
      </c>
      <c r="P91" s="36"/>
      <c r="Q91" s="36"/>
      <c r="R91" s="36"/>
      <c r="S91" s="36"/>
      <c r="T91" s="36"/>
      <c r="U91" s="38">
        <v>4.25</v>
      </c>
      <c r="V91" s="36"/>
      <c r="W91" s="36"/>
      <c r="X91" s="36"/>
      <c r="Y91" s="36"/>
      <c r="Z91" s="38">
        <v>2</v>
      </c>
      <c r="AA91" s="38">
        <v>0</v>
      </c>
      <c r="AB91" s="36"/>
      <c r="AC91" s="36"/>
      <c r="AD91" s="36"/>
      <c r="AE91" s="36"/>
      <c r="AF91" s="36"/>
      <c r="AG91" s="38">
        <v>2</v>
      </c>
      <c r="AH91" s="38">
        <v>7</v>
      </c>
      <c r="AI91" s="36"/>
      <c r="AJ91" s="36"/>
      <c r="AK91" s="36"/>
      <c r="AL91" s="36"/>
      <c r="AM91" s="36"/>
      <c r="AN91" s="36"/>
      <c r="AO91" s="38">
        <v>0</v>
      </c>
      <c r="AP91" s="38">
        <v>10</v>
      </c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59">
        <v>3.0833333333333335</v>
      </c>
      <c r="BH91" s="59"/>
      <c r="BI91" s="59">
        <v>5.2506721804655453E-2</v>
      </c>
      <c r="BJ91" s="59"/>
      <c r="BK91" s="36"/>
      <c r="BL91" s="36"/>
      <c r="BM91" s="36"/>
      <c r="BN91" s="38">
        <v>21.6</v>
      </c>
      <c r="BO91" s="36"/>
      <c r="BP91" s="39">
        <f t="shared" si="30"/>
        <v>1.3318287037037038</v>
      </c>
      <c r="BQ91" s="37"/>
      <c r="BR91" s="39">
        <f t="shared" si="31"/>
        <v>0.33425166293148395</v>
      </c>
      <c r="BS91" s="37"/>
      <c r="BT91" s="37"/>
      <c r="BU91" s="37"/>
      <c r="BV91" s="39">
        <f t="shared" si="39"/>
        <v>0.17480298980162409</v>
      </c>
      <c r="BW91" s="37"/>
      <c r="BX91" s="39">
        <f t="shared" si="40"/>
        <v>0.10255163401792824</v>
      </c>
      <c r="BY91" s="39">
        <f t="shared" si="50"/>
        <v>5.8723641673737799</v>
      </c>
      <c r="BZ91" s="37"/>
      <c r="CA91" s="37"/>
      <c r="CB91" s="39">
        <f t="shared" si="37"/>
        <v>1.5729546876894054</v>
      </c>
      <c r="CC91" s="39">
        <f t="shared" si="49"/>
        <v>9.4337866512345686E-2</v>
      </c>
      <c r="CD91" s="37"/>
      <c r="CE91" s="37"/>
      <c r="CF91" s="37"/>
      <c r="CG91" s="39">
        <f>BP91*(12*AO91+AP91)/4.55</f>
        <v>2.9270960520960525</v>
      </c>
      <c r="CH91" s="37"/>
      <c r="CI91" s="37"/>
      <c r="CJ91" s="37"/>
      <c r="CK91" s="37"/>
      <c r="CL91" s="39">
        <f t="shared" si="47"/>
        <v>0.41286689814814814</v>
      </c>
      <c r="CM91" s="37"/>
      <c r="CN91" s="37"/>
      <c r="CO91" s="39">
        <f>0.063495+(0.016949+0.014096)*Wages!P89+1.22592*BR91</f>
        <v>0.66621170178454503</v>
      </c>
      <c r="CP91" s="39"/>
      <c r="CQ91" s="39">
        <f t="shared" si="41"/>
        <v>0.66621170178454503</v>
      </c>
      <c r="CR91" s="39">
        <f t="shared" ref="CR91:CR154" si="51">BV91</f>
        <v>0.17480298980162409</v>
      </c>
      <c r="CS91" s="39">
        <f t="shared" si="42"/>
        <v>1.1333089675277703</v>
      </c>
      <c r="CT91" s="39">
        <f t="shared" si="43"/>
        <v>3.2621712435993326</v>
      </c>
      <c r="CU91" s="39">
        <f t="shared" si="38"/>
        <v>1.5729546876894054</v>
      </c>
      <c r="CV91" s="39">
        <f>CC91</f>
        <v>9.4337866512345686E-2</v>
      </c>
      <c r="CW91" s="39">
        <v>0.14000000000000001</v>
      </c>
      <c r="CX91" s="39"/>
      <c r="CY91" s="39"/>
      <c r="CZ91" s="39">
        <f t="shared" si="32"/>
        <v>0.10255163401792824</v>
      </c>
      <c r="DA91" s="39">
        <f t="shared" si="44"/>
        <v>9.2280008344445115</v>
      </c>
      <c r="DB91" s="39">
        <v>5</v>
      </c>
      <c r="DC91" s="39">
        <f t="shared" si="33"/>
        <v>5.8723641673737799</v>
      </c>
      <c r="DD91" s="39">
        <f>CG91</f>
        <v>2.9270960520960525</v>
      </c>
      <c r="DE91" s="39">
        <v>2.5000000000000001E-2</v>
      </c>
      <c r="DF91" s="37"/>
      <c r="DG91" s="39">
        <f t="shared" si="34"/>
        <v>0.41286689814814814</v>
      </c>
      <c r="DH91" s="39">
        <f t="shared" si="35"/>
        <v>2.8299750962191532</v>
      </c>
      <c r="DI91" s="37"/>
      <c r="DJ91" s="37"/>
      <c r="DK91" s="37"/>
      <c r="DL91" s="37"/>
      <c r="DM91" s="39">
        <f t="shared" si="45"/>
        <v>0.70990874125195647</v>
      </c>
      <c r="DN91" s="39"/>
      <c r="DO91" s="39">
        <f t="shared" si="46"/>
        <v>0.70990874125195647</v>
      </c>
      <c r="DP91" s="37"/>
      <c r="DQ91" s="37">
        <f>DO91/'Conversions, Sources &amp; Comments'!E89</f>
        <v>0.53303306895080416</v>
      </c>
    </row>
    <row r="92" spans="1:121">
      <c r="A92" s="42">
        <f t="shared" si="36"/>
        <v>1340</v>
      </c>
      <c r="B92" s="36"/>
      <c r="C92" s="38">
        <v>3</v>
      </c>
      <c r="D92" s="38">
        <v>6.5</v>
      </c>
      <c r="E92" s="38">
        <v>2</v>
      </c>
      <c r="F92" s="38">
        <v>9.5</v>
      </c>
      <c r="G92" s="38">
        <v>1</v>
      </c>
      <c r="H92" s="38">
        <v>11</v>
      </c>
      <c r="I92" s="38">
        <v>3</v>
      </c>
      <c r="J92" s="38">
        <v>2</v>
      </c>
      <c r="K92" s="36"/>
      <c r="L92" s="36"/>
      <c r="M92" s="38">
        <v>2</v>
      </c>
      <c r="N92" s="38">
        <v>5.25</v>
      </c>
      <c r="O92" s="36"/>
      <c r="P92" s="36"/>
      <c r="Q92" s="36"/>
      <c r="R92" s="36"/>
      <c r="S92" s="36"/>
      <c r="T92" s="36"/>
      <c r="U92" s="38">
        <v>4.75</v>
      </c>
      <c r="V92" s="36"/>
      <c r="W92" s="38">
        <v>6</v>
      </c>
      <c r="X92" s="36"/>
      <c r="Y92" s="36"/>
      <c r="Z92" s="38">
        <v>1</v>
      </c>
      <c r="AA92" s="38">
        <v>7.5</v>
      </c>
      <c r="AB92" s="36"/>
      <c r="AC92" s="36"/>
      <c r="AD92" s="36"/>
      <c r="AE92" s="36"/>
      <c r="AF92" s="36"/>
      <c r="AG92" s="36"/>
      <c r="AH92" s="36"/>
      <c r="AI92" s="36"/>
      <c r="AJ92" s="36"/>
      <c r="AK92" s="38">
        <v>7</v>
      </c>
      <c r="AL92" s="38">
        <v>9.5</v>
      </c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59">
        <v>2.9166666666666665</v>
      </c>
      <c r="BH92" s="59"/>
      <c r="BI92" s="59">
        <v>5.6651989315549794E-2</v>
      </c>
      <c r="BJ92" s="59"/>
      <c r="BK92" s="36"/>
      <c r="BL92" s="36"/>
      <c r="BM92" s="36"/>
      <c r="BN92" s="38">
        <v>21.6</v>
      </c>
      <c r="BO92" s="36"/>
      <c r="BP92" s="39">
        <f t="shared" si="30"/>
        <v>1.3318287037037038</v>
      </c>
      <c r="BQ92" s="37"/>
      <c r="BR92" s="39">
        <f t="shared" si="31"/>
        <v>0.20078721801537905</v>
      </c>
      <c r="BS92" s="37"/>
      <c r="BT92" s="37"/>
      <c r="BU92" s="37"/>
      <c r="BV92" s="39">
        <f t="shared" si="39"/>
        <v>0.16535417954207682</v>
      </c>
      <c r="BW92" s="37"/>
      <c r="BX92" s="39">
        <f t="shared" si="40"/>
        <v>0.11064781565092353</v>
      </c>
      <c r="BY92" s="39">
        <f t="shared" si="50"/>
        <v>4.7712958859911963</v>
      </c>
      <c r="BZ92" s="37"/>
      <c r="CA92" s="37"/>
      <c r="CB92" s="37"/>
      <c r="CC92" s="39">
        <f t="shared" si="49"/>
        <v>0.10543643904320989</v>
      </c>
      <c r="CD92" s="39">
        <f>BP92*(12*AK92+AL92)/1000</f>
        <v>0.1245259837962963</v>
      </c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9">
        <f>0.063495+(0.016949+0.014096)*Wages!P90+1.22592*BR92</f>
        <v>0.50259496947299365</v>
      </c>
      <c r="CP92" s="39"/>
      <c r="CQ92" s="39">
        <f t="shared" si="41"/>
        <v>0.50259496947299365</v>
      </c>
      <c r="CR92" s="39">
        <f t="shared" si="51"/>
        <v>0.16535417954207682</v>
      </c>
      <c r="CS92" s="39">
        <f t="shared" si="42"/>
        <v>1.008695652173913</v>
      </c>
      <c r="CT92" s="39">
        <f t="shared" si="43"/>
        <v>2.9034782608695657</v>
      </c>
      <c r="CU92" s="39">
        <v>1.4</v>
      </c>
      <c r="CV92" s="39">
        <f>CC92</f>
        <v>0.10543643904320989</v>
      </c>
      <c r="CW92" s="39">
        <f>CD92</f>
        <v>0.1245259837962963</v>
      </c>
      <c r="CX92" s="39"/>
      <c r="CY92" s="39"/>
      <c r="CZ92" s="39">
        <f t="shared" si="32"/>
        <v>0.11064781565092353</v>
      </c>
      <c r="DA92" s="39">
        <f t="shared" si="44"/>
        <v>7.4977506779861658</v>
      </c>
      <c r="DB92" s="39">
        <v>5</v>
      </c>
      <c r="DC92" s="39">
        <f t="shared" si="33"/>
        <v>4.7712958859911963</v>
      </c>
      <c r="DD92" s="39">
        <v>2.8</v>
      </c>
      <c r="DE92" s="39">
        <v>2.5000000000000001E-2</v>
      </c>
      <c r="DF92" s="37"/>
      <c r="DG92" s="39">
        <f t="shared" si="34"/>
        <v>0</v>
      </c>
      <c r="DH92" s="39">
        <f t="shared" si="35"/>
        <v>2.8299750962191532</v>
      </c>
      <c r="DI92" s="37"/>
      <c r="DJ92" s="37"/>
      <c r="DK92" s="37"/>
      <c r="DL92" s="37"/>
      <c r="DM92" s="39">
        <f t="shared" si="45"/>
        <v>0.60888325154903644</v>
      </c>
      <c r="DN92" s="39"/>
      <c r="DO92" s="39">
        <f t="shared" si="46"/>
        <v>0.60888325154903644</v>
      </c>
      <c r="DP92" s="37"/>
      <c r="DQ92" s="37">
        <f>DO92/'Conversions, Sources &amp; Comments'!E90</f>
        <v>0.45717835173230859</v>
      </c>
    </row>
    <row r="93" spans="1:121">
      <c r="A93" s="42">
        <f t="shared" si="36"/>
        <v>1341</v>
      </c>
      <c r="B93" s="36"/>
      <c r="C93" s="38">
        <v>3</v>
      </c>
      <c r="D93" s="38">
        <v>9.6300000000000008</v>
      </c>
      <c r="E93" s="38">
        <v>3</v>
      </c>
      <c r="F93" s="38">
        <v>0.63</v>
      </c>
      <c r="G93" s="38">
        <v>1</v>
      </c>
      <c r="H93" s="38">
        <v>10.38</v>
      </c>
      <c r="I93" s="38">
        <v>2</v>
      </c>
      <c r="J93" s="38">
        <v>10.63</v>
      </c>
      <c r="K93" s="36"/>
      <c r="L93" s="36"/>
      <c r="M93" s="38">
        <v>2</v>
      </c>
      <c r="N93" s="38">
        <v>1.5</v>
      </c>
      <c r="O93" s="36"/>
      <c r="P93" s="36"/>
      <c r="Q93" s="36"/>
      <c r="R93" s="36"/>
      <c r="S93" s="36"/>
      <c r="T93" s="36"/>
      <c r="U93" s="38">
        <v>4.5</v>
      </c>
      <c r="V93" s="36"/>
      <c r="W93" s="36"/>
      <c r="X93" s="36"/>
      <c r="Y93" s="36"/>
      <c r="Z93" s="38">
        <v>1</v>
      </c>
      <c r="AA93" s="38">
        <v>9.75</v>
      </c>
      <c r="AB93" s="36"/>
      <c r="AC93" s="38">
        <v>0</v>
      </c>
      <c r="AD93" s="38">
        <v>6</v>
      </c>
      <c r="AE93" s="36"/>
      <c r="AF93" s="36"/>
      <c r="AG93" s="38">
        <v>3</v>
      </c>
      <c r="AH93" s="38">
        <v>0</v>
      </c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59">
        <v>2.5833333333333335</v>
      </c>
      <c r="BH93" s="59"/>
      <c r="BI93" s="59">
        <v>5.9415500989479925E-2</v>
      </c>
      <c r="BJ93" s="59"/>
      <c r="BK93" s="36"/>
      <c r="BL93" s="36"/>
      <c r="BM93" s="36"/>
      <c r="BN93" s="38">
        <v>21.6</v>
      </c>
      <c r="BO93" s="36"/>
      <c r="BP93" s="39">
        <f t="shared" si="30"/>
        <v>1.3318287037037038</v>
      </c>
      <c r="BQ93" s="37"/>
      <c r="BR93" s="39">
        <f t="shared" si="31"/>
        <v>0.2155746060715705</v>
      </c>
      <c r="BS93" s="37"/>
      <c r="BT93" s="37"/>
      <c r="BU93" s="37"/>
      <c r="BV93" s="39">
        <f t="shared" si="39"/>
        <v>0.14645655902298235</v>
      </c>
      <c r="BW93" s="37"/>
      <c r="BX93" s="39">
        <f t="shared" si="40"/>
        <v>0.11604527007292151</v>
      </c>
      <c r="BY93" s="39">
        <f t="shared" si="50"/>
        <v>5.3218300266824876</v>
      </c>
      <c r="BZ93" s="37"/>
      <c r="CA93" s="37"/>
      <c r="CB93" s="37"/>
      <c r="CC93" s="39">
        <f t="shared" si="49"/>
        <v>9.988715277777778E-2</v>
      </c>
      <c r="CD93" s="37"/>
      <c r="CE93" s="37"/>
      <c r="CF93" s="37"/>
      <c r="CG93" s="37"/>
      <c r="CH93" s="37"/>
      <c r="CI93" s="37"/>
      <c r="CJ93" s="37"/>
      <c r="CK93" s="39">
        <f>BP93*(12*AC93+AD93)/(35.238*8)</f>
        <v>2.8346430778641744E-2</v>
      </c>
      <c r="CL93" s="39">
        <f>BP93*(12*AG93+AH93)/100</f>
        <v>0.47945833333333332</v>
      </c>
      <c r="CM93" s="39">
        <f>BP93*(12*$AC93+$AD93)/(35.238*8)/0.283</f>
        <v>0.10016406635562454</v>
      </c>
      <c r="CN93" s="37"/>
      <c r="CO93" s="39">
        <f>0.063495+(0.016949+0.014096)*Wages!P91+1.22592*BR93</f>
        <v>0.49315870950118557</v>
      </c>
      <c r="CP93" s="39"/>
      <c r="CQ93" s="39">
        <f t="shared" si="41"/>
        <v>0.49315870950118557</v>
      </c>
      <c r="CR93" s="39">
        <f t="shared" si="51"/>
        <v>0.14645655902298235</v>
      </c>
      <c r="CS93" s="39">
        <f t="shared" si="42"/>
        <v>0.93664596273291933</v>
      </c>
      <c r="CT93" s="39">
        <f t="shared" si="43"/>
        <v>2.6960869565217394</v>
      </c>
      <c r="CU93" s="39">
        <v>1.3</v>
      </c>
      <c r="CV93" s="39">
        <f>CC93</f>
        <v>9.988715277777778E-2</v>
      </c>
      <c r="CW93" s="39">
        <v>0.13500000000000001</v>
      </c>
      <c r="CX93" s="39"/>
      <c r="CY93" s="39"/>
      <c r="CZ93" s="39">
        <f t="shared" si="32"/>
        <v>0.11604527007292151</v>
      </c>
      <c r="DA93" s="39">
        <f t="shared" si="44"/>
        <v>8.3628757562153364</v>
      </c>
      <c r="DB93" s="39">
        <v>5</v>
      </c>
      <c r="DC93" s="39">
        <f t="shared" si="33"/>
        <v>5.3218300266824876</v>
      </c>
      <c r="DD93" s="39">
        <v>2.8</v>
      </c>
      <c r="DE93" s="39">
        <f>CK93</f>
        <v>2.8346430778641744E-2</v>
      </c>
      <c r="DF93" s="37"/>
      <c r="DG93" s="39">
        <f t="shared" si="34"/>
        <v>0.47945833333333332</v>
      </c>
      <c r="DH93" s="39">
        <f t="shared" si="35"/>
        <v>3.2087877268102494</v>
      </c>
      <c r="DI93" s="37"/>
      <c r="DJ93" s="37"/>
      <c r="DK93" s="37"/>
      <c r="DL93" s="37"/>
      <c r="DM93" s="39">
        <f t="shared" si="45"/>
        <v>0.60911643774897717</v>
      </c>
      <c r="DN93" s="39"/>
      <c r="DO93" s="39">
        <f t="shared" si="46"/>
        <v>0.60911643774897717</v>
      </c>
      <c r="DP93" s="37"/>
      <c r="DQ93" s="37">
        <f>DO93/'Conversions, Sources &amp; Comments'!E91</f>
        <v>0.4573534389633408</v>
      </c>
    </row>
    <row r="94" spans="1:121">
      <c r="A94" s="42">
        <f t="shared" si="36"/>
        <v>1342</v>
      </c>
      <c r="B94" s="36"/>
      <c r="C94" s="38">
        <v>4</v>
      </c>
      <c r="D94" s="38">
        <v>1.63</v>
      </c>
      <c r="E94" s="38">
        <v>3</v>
      </c>
      <c r="F94" s="38">
        <v>2.38</v>
      </c>
      <c r="G94" s="38">
        <v>2</v>
      </c>
      <c r="H94" s="38">
        <v>0.75</v>
      </c>
      <c r="I94" s="38">
        <v>3</v>
      </c>
      <c r="J94" s="38">
        <v>5.75</v>
      </c>
      <c r="K94" s="36"/>
      <c r="L94" s="36"/>
      <c r="M94" s="38">
        <v>2</v>
      </c>
      <c r="N94" s="38">
        <v>10</v>
      </c>
      <c r="O94" s="38">
        <v>8</v>
      </c>
      <c r="P94" s="36"/>
      <c r="Q94" s="36"/>
      <c r="R94" s="36"/>
      <c r="S94" s="36"/>
      <c r="T94" s="36"/>
      <c r="U94" s="38">
        <v>4.5</v>
      </c>
      <c r="V94" s="36"/>
      <c r="W94" s="36"/>
      <c r="X94" s="36"/>
      <c r="Y94" s="36"/>
      <c r="Z94" s="38">
        <v>1</v>
      </c>
      <c r="AA94" s="38">
        <v>6</v>
      </c>
      <c r="AB94" s="36"/>
      <c r="AC94" s="36"/>
      <c r="AD94" s="36"/>
      <c r="AE94" s="36"/>
      <c r="AF94" s="36"/>
      <c r="AG94" s="38">
        <v>1</v>
      </c>
      <c r="AH94" s="38">
        <v>8.5</v>
      </c>
      <c r="AI94" s="36"/>
      <c r="AJ94" s="36"/>
      <c r="AK94" s="38">
        <v>9</v>
      </c>
      <c r="AL94" s="38">
        <v>2</v>
      </c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59">
        <v>2.75</v>
      </c>
      <c r="BH94" s="59"/>
      <c r="BI94" s="59">
        <v>5.9415500989479925E-2</v>
      </c>
      <c r="BJ94" s="59"/>
      <c r="BK94" s="36"/>
      <c r="BL94" s="36"/>
      <c r="BM94" s="36"/>
      <c r="BN94" s="38">
        <v>21.6</v>
      </c>
      <c r="BO94" s="36"/>
      <c r="BP94" s="39">
        <f t="shared" si="30"/>
        <v>1.3318287037037038</v>
      </c>
      <c r="BQ94" s="37"/>
      <c r="BR94" s="39">
        <f t="shared" si="31"/>
        <v>0.23447222659066499</v>
      </c>
      <c r="BS94" s="37"/>
      <c r="BT94" s="37"/>
      <c r="BU94" s="37"/>
      <c r="BV94" s="39">
        <f t="shared" si="39"/>
        <v>0.1559053692825296</v>
      </c>
      <c r="BW94" s="37"/>
      <c r="BX94" s="39">
        <f t="shared" si="40"/>
        <v>0.11604527007292151</v>
      </c>
      <c r="BY94" s="39">
        <f t="shared" si="50"/>
        <v>4.4042731255303345</v>
      </c>
      <c r="BZ94" s="37"/>
      <c r="CA94" s="37"/>
      <c r="CB94" s="39">
        <f>$BP94*(12*O94+P94)/(224*0.453592)</f>
        <v>1.2583637501515241</v>
      </c>
      <c r="CC94" s="39">
        <f t="shared" si="49"/>
        <v>9.988715277777778E-2</v>
      </c>
      <c r="CD94" s="39">
        <f>BP94*(12*AK94+AL94)/1000</f>
        <v>0.14650115740740741</v>
      </c>
      <c r="CE94" s="37"/>
      <c r="CF94" s="37"/>
      <c r="CG94" s="37"/>
      <c r="CH94" s="37"/>
      <c r="CI94" s="37"/>
      <c r="CJ94" s="37"/>
      <c r="CK94" s="37"/>
      <c r="CL94" s="39">
        <f>BP94*(12*AG94+AH94)/100</f>
        <v>0.27302488425925925</v>
      </c>
      <c r="CM94" s="37"/>
      <c r="CN94" s="37"/>
      <c r="CO94" s="39">
        <f>0.063495+(0.016949+0.014096)*Wages!P92+1.22592*BR94</f>
        <v>0.51632568044795391</v>
      </c>
      <c r="CP94" s="39"/>
      <c r="CQ94" s="39">
        <f t="shared" si="41"/>
        <v>0.51632568044795391</v>
      </c>
      <c r="CR94" s="39">
        <f t="shared" si="51"/>
        <v>0.1559053692825296</v>
      </c>
      <c r="CS94" s="39">
        <f t="shared" si="42"/>
        <v>0.90664717402221617</v>
      </c>
      <c r="CT94" s="39">
        <f t="shared" si="43"/>
        <v>2.6097369948794658</v>
      </c>
      <c r="CU94" s="39">
        <f>CB94</f>
        <v>1.2583637501515241</v>
      </c>
      <c r="CV94" s="39">
        <f t="shared" ref="CV94:CV107" si="52">CC94</f>
        <v>9.988715277777778E-2</v>
      </c>
      <c r="CW94" s="39">
        <f>CD94</f>
        <v>0.14650115740740741</v>
      </c>
      <c r="CX94" s="39"/>
      <c r="CY94" s="39"/>
      <c r="CZ94" s="39">
        <f t="shared" si="32"/>
        <v>0.11604527007292151</v>
      </c>
      <c r="DA94" s="39">
        <f t="shared" si="44"/>
        <v>6.9210006258333818</v>
      </c>
      <c r="DB94" s="39">
        <v>5</v>
      </c>
      <c r="DC94" s="39">
        <f t="shared" si="33"/>
        <v>4.4042731255303345</v>
      </c>
      <c r="DD94" s="39">
        <v>2.8</v>
      </c>
      <c r="DE94" s="39">
        <v>0.03</v>
      </c>
      <c r="DF94" s="37"/>
      <c r="DG94" s="39">
        <f t="shared" si="34"/>
        <v>0.27302488425925925</v>
      </c>
      <c r="DH94" s="39">
        <f t="shared" si="35"/>
        <v>3.3959701154629842</v>
      </c>
      <c r="DI94" s="37"/>
      <c r="DJ94" s="37"/>
      <c r="DK94" s="37"/>
      <c r="DL94" s="37"/>
      <c r="DM94" s="39">
        <f t="shared" si="45"/>
        <v>0.60444931948818981</v>
      </c>
      <c r="DN94" s="39"/>
      <c r="DO94" s="39">
        <f t="shared" si="46"/>
        <v>0.60444931948818981</v>
      </c>
      <c r="DP94" s="37"/>
      <c r="DQ94" s="37">
        <f>DO94/'Conversions, Sources &amp; Comments'!E92</f>
        <v>0.45384914577022334</v>
      </c>
    </row>
    <row r="95" spans="1:121">
      <c r="A95" s="42">
        <f t="shared" si="36"/>
        <v>1343</v>
      </c>
      <c r="B95" s="36"/>
      <c r="C95" s="38">
        <v>5</v>
      </c>
      <c r="D95" s="38">
        <v>7.75</v>
      </c>
      <c r="E95" s="38">
        <v>3</v>
      </c>
      <c r="F95" s="38">
        <v>8.6300000000000008</v>
      </c>
      <c r="G95" s="38">
        <v>2</v>
      </c>
      <c r="H95" s="38">
        <v>1.38</v>
      </c>
      <c r="I95" s="38">
        <v>3</v>
      </c>
      <c r="J95" s="38">
        <v>9.3800000000000008</v>
      </c>
      <c r="K95" s="36"/>
      <c r="L95" s="36"/>
      <c r="M95" s="38">
        <v>3</v>
      </c>
      <c r="N95" s="38">
        <v>1.5</v>
      </c>
      <c r="O95" s="36"/>
      <c r="P95" s="36"/>
      <c r="Q95" s="36"/>
      <c r="R95" s="36"/>
      <c r="S95" s="36"/>
      <c r="T95" s="36"/>
      <c r="U95" s="38">
        <v>4.125</v>
      </c>
      <c r="V95" s="36"/>
      <c r="W95" s="36"/>
      <c r="X95" s="36"/>
      <c r="Y95" s="36"/>
      <c r="Z95" s="38">
        <v>1</v>
      </c>
      <c r="AA95" s="38">
        <v>9.75</v>
      </c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8">
        <v>0</v>
      </c>
      <c r="AP95" s="38">
        <v>10</v>
      </c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59">
        <v>3.8333333333333335</v>
      </c>
      <c r="BH95" s="59"/>
      <c r="BI95" s="59">
        <v>6.0797256826444136E-2</v>
      </c>
      <c r="BJ95" s="59"/>
      <c r="BK95" s="36"/>
      <c r="BL95" s="36"/>
      <c r="BM95" s="36"/>
      <c r="BN95" s="38">
        <v>22.6</v>
      </c>
      <c r="BO95" s="36"/>
      <c r="BP95" s="39">
        <f t="shared" si="30"/>
        <v>1.2728982300884957</v>
      </c>
      <c r="BQ95" s="37"/>
      <c r="BR95" s="39">
        <f t="shared" si="31"/>
        <v>0.30591568437658062</v>
      </c>
      <c r="BS95" s="37"/>
      <c r="BT95" s="37"/>
      <c r="BU95" s="37"/>
      <c r="BV95" s="39">
        <f t="shared" si="39"/>
        <v>0.20770659013022449</v>
      </c>
      <c r="BW95" s="37"/>
      <c r="BX95" s="39">
        <f t="shared" si="40"/>
        <v>0.11348983811206401</v>
      </c>
      <c r="BY95" s="39">
        <f t="shared" si="50"/>
        <v>5.0863508219620241</v>
      </c>
      <c r="BZ95" s="37"/>
      <c r="CA95" s="37"/>
      <c r="CB95" s="37"/>
      <c r="CC95" s="39">
        <f t="shared" si="49"/>
        <v>8.7511753318584073E-2</v>
      </c>
      <c r="CD95" s="37"/>
      <c r="CE95" s="37"/>
      <c r="CF95" s="37"/>
      <c r="CG95" s="39">
        <f>BP95*(12*AO95+AP95)/4.55</f>
        <v>2.7975785276670235</v>
      </c>
      <c r="CH95" s="37"/>
      <c r="CI95" s="37"/>
      <c r="CJ95" s="37"/>
      <c r="CK95" s="37"/>
      <c r="CL95" s="37"/>
      <c r="CM95" s="37"/>
      <c r="CN95" s="37"/>
      <c r="CO95" s="39">
        <f>0.063495+(0.016949+0.014096)*Wages!P93+1.22592*BR95</f>
        <v>0.59659165800332703</v>
      </c>
      <c r="CP95" s="39"/>
      <c r="CQ95" s="39">
        <f t="shared" si="41"/>
        <v>0.59659165800332703</v>
      </c>
      <c r="CR95" s="39">
        <f t="shared" si="51"/>
        <v>0.20770659013022449</v>
      </c>
      <c r="CS95" s="39">
        <f t="shared" si="42"/>
        <v>0.90062111801242239</v>
      </c>
      <c r="CT95" s="39">
        <f t="shared" si="43"/>
        <v>2.5923913043478266</v>
      </c>
      <c r="CU95" s="39">
        <v>1.25</v>
      </c>
      <c r="CV95" s="39">
        <f t="shared" si="52"/>
        <v>8.7511753318584073E-2</v>
      </c>
      <c r="CW95" s="39">
        <v>0.15</v>
      </c>
      <c r="CX95" s="39"/>
      <c r="CY95" s="39"/>
      <c r="CZ95" s="39">
        <f t="shared" si="32"/>
        <v>0.11348983811206401</v>
      </c>
      <c r="DA95" s="39">
        <f t="shared" si="44"/>
        <v>7.9928370059403235</v>
      </c>
      <c r="DB95" s="39">
        <v>5</v>
      </c>
      <c r="DC95" s="39">
        <f t="shared" si="33"/>
        <v>5.0863508219620241</v>
      </c>
      <c r="DD95" s="39">
        <f>CG95</f>
        <v>2.7975785276670235</v>
      </c>
      <c r="DE95" s="39">
        <v>0.03</v>
      </c>
      <c r="DF95" s="37"/>
      <c r="DG95" s="39">
        <f t="shared" si="34"/>
        <v>0</v>
      </c>
      <c r="DH95" s="39">
        <f t="shared" si="35"/>
        <v>3.3959701154629842</v>
      </c>
      <c r="DI95" s="37"/>
      <c r="DJ95" s="37"/>
      <c r="DK95" s="37"/>
      <c r="DL95" s="37"/>
      <c r="DM95" s="39">
        <f t="shared" si="45"/>
        <v>0.65375527352837248</v>
      </c>
      <c r="DN95" s="39"/>
      <c r="DO95" s="39">
        <f t="shared" si="46"/>
        <v>0.65375527352837248</v>
      </c>
      <c r="DP95" s="37"/>
      <c r="DQ95" s="37">
        <f>DO95/'Conversions, Sources &amp; Comments'!E93</f>
        <v>0.51359586970509141</v>
      </c>
    </row>
    <row r="96" spans="1:121">
      <c r="A96" s="42">
        <f t="shared" si="36"/>
        <v>1344</v>
      </c>
      <c r="B96" s="36"/>
      <c r="C96" s="38">
        <v>3</v>
      </c>
      <c r="D96" s="38">
        <v>6</v>
      </c>
      <c r="E96" s="38">
        <v>2</v>
      </c>
      <c r="F96" s="38">
        <v>9.75</v>
      </c>
      <c r="G96" s="38">
        <v>1</v>
      </c>
      <c r="H96" s="38">
        <v>9.5</v>
      </c>
      <c r="I96" s="38">
        <v>2</v>
      </c>
      <c r="J96" s="38">
        <v>8.75</v>
      </c>
      <c r="K96" s="36"/>
      <c r="L96" s="36"/>
      <c r="M96" s="38">
        <v>2</v>
      </c>
      <c r="N96" s="38">
        <v>5</v>
      </c>
      <c r="O96" s="36"/>
      <c r="P96" s="36"/>
      <c r="Q96" s="36"/>
      <c r="R96" s="36"/>
      <c r="S96" s="36"/>
      <c r="T96" s="36"/>
      <c r="U96" s="38">
        <v>4</v>
      </c>
      <c r="V96" s="36"/>
      <c r="W96" s="38">
        <v>5</v>
      </c>
      <c r="X96" s="36"/>
      <c r="Y96" s="36"/>
      <c r="Z96" s="38">
        <v>2</v>
      </c>
      <c r="AA96" s="38">
        <v>0</v>
      </c>
      <c r="AB96" s="36"/>
      <c r="AC96" s="36"/>
      <c r="AD96" s="36"/>
      <c r="AE96" s="36"/>
      <c r="AF96" s="36"/>
      <c r="AG96" s="38">
        <v>2</v>
      </c>
      <c r="AH96" s="38">
        <v>1.25</v>
      </c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59">
        <v>3</v>
      </c>
      <c r="BH96" s="59"/>
      <c r="BI96" s="59">
        <v>5.6651989315549794E-2</v>
      </c>
      <c r="BJ96" s="59"/>
      <c r="BK96" s="36"/>
      <c r="BL96" s="36"/>
      <c r="BM96" s="36"/>
      <c r="BN96" s="38">
        <v>23.6</v>
      </c>
      <c r="BO96" s="36"/>
      <c r="BP96" s="39">
        <f t="shared" si="30"/>
        <v>1.2189618644067797</v>
      </c>
      <c r="BQ96" s="37"/>
      <c r="BR96" s="39">
        <f t="shared" si="31"/>
        <v>0.18160933617502678</v>
      </c>
      <c r="BS96" s="37"/>
      <c r="BT96" s="37"/>
      <c r="BU96" s="37"/>
      <c r="BV96" s="39">
        <f t="shared" si="39"/>
        <v>0.15566514529288009</v>
      </c>
      <c r="BW96" s="37"/>
      <c r="BX96" s="39">
        <f t="shared" si="40"/>
        <v>0.10127088212118424</v>
      </c>
      <c r="BY96" s="39">
        <f t="shared" si="50"/>
        <v>5.3747061870878658</v>
      </c>
      <c r="BZ96" s="37"/>
      <c r="CA96" s="37"/>
      <c r="CB96" s="37"/>
      <c r="CC96" s="39">
        <f t="shared" si="49"/>
        <v>8.1264124293785309E-2</v>
      </c>
      <c r="CD96" s="37"/>
      <c r="CE96" s="37"/>
      <c r="CF96" s="37"/>
      <c r="CG96" s="37"/>
      <c r="CH96" s="37"/>
      <c r="CI96" s="37"/>
      <c r="CJ96" s="37"/>
      <c r="CK96" s="37"/>
      <c r="CL96" s="39">
        <f>BP96*(12*AG96+AH96)/100</f>
        <v>0.30778787076271186</v>
      </c>
      <c r="CM96" s="37"/>
      <c r="CN96" s="37"/>
      <c r="CO96" s="39">
        <f>0.063495+(0.016949+0.014096)*Wages!P94+1.22592*BR96</f>
        <v>0.43750420172572269</v>
      </c>
      <c r="CP96" s="39"/>
      <c r="CQ96" s="39">
        <f t="shared" si="41"/>
        <v>0.43750420172572269</v>
      </c>
      <c r="CR96" s="39">
        <f t="shared" si="51"/>
        <v>0.15566514529288009</v>
      </c>
      <c r="CS96" s="39">
        <f t="shared" si="42"/>
        <v>0.90062111801242239</v>
      </c>
      <c r="CT96" s="39">
        <f t="shared" si="43"/>
        <v>2.5923913043478266</v>
      </c>
      <c r="CU96" s="39">
        <v>1.25</v>
      </c>
      <c r="CV96" s="39">
        <f t="shared" si="52"/>
        <v>8.1264124293785309E-2</v>
      </c>
      <c r="CW96" s="39">
        <v>0.15</v>
      </c>
      <c r="CX96" s="39"/>
      <c r="CY96" s="39"/>
      <c r="CZ96" s="39">
        <f t="shared" si="32"/>
        <v>0.10127088212118424</v>
      </c>
      <c r="DA96" s="39">
        <f t="shared" si="44"/>
        <v>8.4459668654237898</v>
      </c>
      <c r="DB96" s="39">
        <v>5</v>
      </c>
      <c r="DC96" s="39">
        <f t="shared" si="33"/>
        <v>5.3747061870878658</v>
      </c>
      <c r="DD96" s="39">
        <v>3.2</v>
      </c>
      <c r="DE96" s="39">
        <v>0.03</v>
      </c>
      <c r="DF96" s="37"/>
      <c r="DG96" s="39">
        <f t="shared" si="34"/>
        <v>0.30778787076271186</v>
      </c>
      <c r="DH96" s="39">
        <f t="shared" si="35"/>
        <v>3.3959701154629842</v>
      </c>
      <c r="DI96" s="37"/>
      <c r="DJ96" s="37"/>
      <c r="DK96" s="37"/>
      <c r="DL96" s="37"/>
      <c r="DM96" s="39">
        <f t="shared" si="45"/>
        <v>0.57847270103140969</v>
      </c>
      <c r="DN96" s="39"/>
      <c r="DO96" s="39">
        <f t="shared" si="46"/>
        <v>0.57847270103140969</v>
      </c>
      <c r="DP96" s="37"/>
      <c r="DQ96" s="37">
        <f>DO96/'Conversions, Sources &amp; Comments'!E94</f>
        <v>0.47456177089914897</v>
      </c>
    </row>
    <row r="97" spans="1:121">
      <c r="A97" s="42">
        <f t="shared" si="36"/>
        <v>1345</v>
      </c>
      <c r="B97" s="36"/>
      <c r="C97" s="38">
        <v>3</v>
      </c>
      <c r="D97" s="38">
        <v>9.8800000000000008</v>
      </c>
      <c r="E97" s="38">
        <v>2</v>
      </c>
      <c r="F97" s="38">
        <v>9.75</v>
      </c>
      <c r="G97" s="38">
        <v>2</v>
      </c>
      <c r="H97" s="38">
        <v>0.25</v>
      </c>
      <c r="I97" s="38">
        <v>2</v>
      </c>
      <c r="J97" s="38">
        <v>9.75</v>
      </c>
      <c r="K97" s="36"/>
      <c r="L97" s="36"/>
      <c r="M97" s="38">
        <v>2</v>
      </c>
      <c r="N97" s="38">
        <v>3.75</v>
      </c>
      <c r="O97" s="38">
        <v>9</v>
      </c>
      <c r="P97" s="36"/>
      <c r="Q97" s="36"/>
      <c r="R97" s="36"/>
      <c r="S97" s="36"/>
      <c r="T97" s="36"/>
      <c r="U97" s="38">
        <v>4.25</v>
      </c>
      <c r="V97" s="36"/>
      <c r="W97" s="38">
        <v>5</v>
      </c>
      <c r="X97" s="36"/>
      <c r="Y97" s="36"/>
      <c r="Z97" s="38">
        <v>1</v>
      </c>
      <c r="AA97" s="38">
        <v>9</v>
      </c>
      <c r="AB97" s="36"/>
      <c r="AC97" s="36"/>
      <c r="AD97" s="36"/>
      <c r="AE97" s="36"/>
      <c r="AF97" s="36"/>
      <c r="AG97" s="38">
        <v>2</v>
      </c>
      <c r="AH97" s="38">
        <v>10</v>
      </c>
      <c r="AI97" s="36"/>
      <c r="AJ97" s="36"/>
      <c r="AK97" s="38">
        <v>10</v>
      </c>
      <c r="AL97" s="38">
        <v>9.5</v>
      </c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59">
        <v>3</v>
      </c>
      <c r="BH97" s="59"/>
      <c r="BI97" s="59">
        <v>5.6651989315549794E-2</v>
      </c>
      <c r="BJ97" s="59"/>
      <c r="BK97" s="36"/>
      <c r="BL97" s="36"/>
      <c r="BM97" s="36"/>
      <c r="BN97" s="38">
        <v>23.8</v>
      </c>
      <c r="BO97" s="36"/>
      <c r="BP97" s="39">
        <f t="shared" si="30"/>
        <v>1.2087184873949581</v>
      </c>
      <c r="BQ97" s="37"/>
      <c r="BR97" s="39">
        <f t="shared" si="31"/>
        <v>0.19671946549776054</v>
      </c>
      <c r="BS97" s="37"/>
      <c r="BT97" s="37"/>
      <c r="BU97" s="37"/>
      <c r="BV97" s="39">
        <f t="shared" si="39"/>
        <v>0.15435703482823404</v>
      </c>
      <c r="BW97" s="37"/>
      <c r="BX97" s="39">
        <f t="shared" si="40"/>
        <v>0.10041986630503985</v>
      </c>
      <c r="BY97" s="39">
        <f t="shared" si="50"/>
        <v>4.663348015267414</v>
      </c>
      <c r="BZ97" s="37"/>
      <c r="CA97" s="37"/>
      <c r="CB97" s="39">
        <f>$BP97*(12*O97+P97)/(224*0.453592)</f>
        <v>1.2847999633900018</v>
      </c>
      <c r="CC97" s="39">
        <f t="shared" si="49"/>
        <v>8.5617559523809533E-2</v>
      </c>
      <c r="CD97" s="39">
        <f>BP97*(12*AK97+AL97)/1000</f>
        <v>0.15652904411764709</v>
      </c>
      <c r="CE97" s="37"/>
      <c r="CF97" s="37"/>
      <c r="CG97" s="37"/>
      <c r="CH97" s="37"/>
      <c r="CI97" s="37"/>
      <c r="CJ97" s="37"/>
      <c r="CK97" s="37"/>
      <c r="CL97" s="39">
        <f>BP97*(12*AG97+AH97)/100</f>
        <v>0.41096428571428573</v>
      </c>
      <c r="CM97" s="37"/>
      <c r="CN97" s="37"/>
      <c r="CO97" s="39">
        <f>0.063495+(0.016949+0.014096)*Wages!P95+1.22592*BR97</f>
        <v>0.45475598890772045</v>
      </c>
      <c r="CP97" s="39"/>
      <c r="CQ97" s="39">
        <f t="shared" si="41"/>
        <v>0.45475598890772045</v>
      </c>
      <c r="CR97" s="39">
        <f t="shared" si="51"/>
        <v>0.15435703482823404</v>
      </c>
      <c r="CS97" s="39">
        <f t="shared" si="42"/>
        <v>0.92569438356049816</v>
      </c>
      <c r="CT97" s="39">
        <f t="shared" si="43"/>
        <v>2.6645634023349172</v>
      </c>
      <c r="CU97" s="39">
        <f>CB97</f>
        <v>1.2847999633900018</v>
      </c>
      <c r="CV97" s="39">
        <f t="shared" si="52"/>
        <v>8.5617559523809533E-2</v>
      </c>
      <c r="CW97" s="39">
        <f>CD97</f>
        <v>0.15652904411764709</v>
      </c>
      <c r="CX97" s="39"/>
      <c r="CY97" s="39"/>
      <c r="CZ97" s="39">
        <f t="shared" si="32"/>
        <v>0.10041986630503985</v>
      </c>
      <c r="DA97" s="39">
        <f t="shared" si="44"/>
        <v>7.3281183097059364</v>
      </c>
      <c r="DB97" s="39">
        <v>5</v>
      </c>
      <c r="DC97" s="39">
        <f t="shared" si="33"/>
        <v>4.663348015267414</v>
      </c>
      <c r="DD97" s="39">
        <v>3.2</v>
      </c>
      <c r="DE97" s="39">
        <v>0.03</v>
      </c>
      <c r="DF97" s="37"/>
      <c r="DG97" s="39">
        <f t="shared" si="34"/>
        <v>0.41096428571428573</v>
      </c>
      <c r="DH97" s="39">
        <f t="shared" si="35"/>
        <v>3.3959701154629842</v>
      </c>
      <c r="DI97" s="37"/>
      <c r="DJ97" s="37"/>
      <c r="DK97" s="37"/>
      <c r="DL97" s="37"/>
      <c r="DM97" s="39">
        <f t="shared" si="45"/>
        <v>0.57749781103584275</v>
      </c>
      <c r="DN97" s="39"/>
      <c r="DO97" s="39">
        <f t="shared" si="46"/>
        <v>0.57749781103584275</v>
      </c>
      <c r="DP97" s="37"/>
      <c r="DQ97" s="37">
        <f>DO97/'Conversions, Sources &amp; Comments'!E95</f>
        <v>0.47777693239430108</v>
      </c>
    </row>
    <row r="98" spans="1:121">
      <c r="A98" s="42">
        <f t="shared" si="36"/>
        <v>1346</v>
      </c>
      <c r="B98" s="36"/>
      <c r="C98" s="38">
        <v>6</v>
      </c>
      <c r="D98" s="38">
        <v>10.5</v>
      </c>
      <c r="E98" s="38">
        <v>3</v>
      </c>
      <c r="F98" s="38">
        <v>11.88</v>
      </c>
      <c r="G98" s="38">
        <v>2</v>
      </c>
      <c r="H98" s="38">
        <v>7.25</v>
      </c>
      <c r="I98" s="38">
        <v>4</v>
      </c>
      <c r="J98" s="38">
        <v>7.5</v>
      </c>
      <c r="K98" s="36"/>
      <c r="L98" s="36"/>
      <c r="M98" s="38">
        <v>3</v>
      </c>
      <c r="N98" s="38">
        <v>7.875</v>
      </c>
      <c r="O98" s="36"/>
      <c r="P98" s="36"/>
      <c r="Q98" s="36"/>
      <c r="R98" s="36"/>
      <c r="S98" s="36"/>
      <c r="T98" s="36"/>
      <c r="U98" s="38">
        <v>4.125</v>
      </c>
      <c r="V98" s="36"/>
      <c r="W98" s="36"/>
      <c r="X98" s="36"/>
      <c r="Y98" s="36"/>
      <c r="Z98" s="38">
        <v>2</v>
      </c>
      <c r="AA98" s="38">
        <v>0</v>
      </c>
      <c r="AB98" s="36"/>
      <c r="AC98" s="36"/>
      <c r="AD98" s="36"/>
      <c r="AE98" s="36"/>
      <c r="AF98" s="36"/>
      <c r="AG98" s="38">
        <v>3</v>
      </c>
      <c r="AH98" s="38">
        <v>0</v>
      </c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59">
        <v>5.416666666666667</v>
      </c>
      <c r="BH98" s="59"/>
      <c r="BI98" s="59">
        <v>7.4614815196089687E-2</v>
      </c>
      <c r="BJ98" s="59"/>
      <c r="BK98" s="36"/>
      <c r="BL98" s="36"/>
      <c r="BM98" s="36"/>
      <c r="BN98" s="38">
        <v>24</v>
      </c>
      <c r="BO98" s="36"/>
      <c r="BP98" s="39">
        <f t="shared" si="30"/>
        <v>1.1986458333333334</v>
      </c>
      <c r="BQ98" s="37"/>
      <c r="BR98" s="39">
        <f t="shared" si="31"/>
        <v>0.3507870808856916</v>
      </c>
      <c r="BS98" s="37"/>
      <c r="BT98" s="37"/>
      <c r="BU98" s="37"/>
      <c r="BV98" s="39">
        <f t="shared" si="39"/>
        <v>0.27637770009175705</v>
      </c>
      <c r="BW98" s="37"/>
      <c r="BX98" s="39">
        <f t="shared" si="40"/>
        <v>0.13115814245450885</v>
      </c>
      <c r="BY98" s="39">
        <f t="shared" si="50"/>
        <v>5.2851277506364021</v>
      </c>
      <c r="BZ98" s="37"/>
      <c r="CA98" s="37"/>
      <c r="CB98" s="37"/>
      <c r="CC98" s="39">
        <f t="shared" si="49"/>
        <v>8.2406901041666661E-2</v>
      </c>
      <c r="CD98" s="37"/>
      <c r="CE98" s="37"/>
      <c r="CF98" s="37"/>
      <c r="CG98" s="37"/>
      <c r="CH98" s="37"/>
      <c r="CI98" s="37"/>
      <c r="CJ98" s="37"/>
      <c r="CK98" s="37"/>
      <c r="CL98" s="39">
        <f>BP98*(12*AG98+AH98)/100</f>
        <v>0.43151250000000002</v>
      </c>
      <c r="CM98" s="37"/>
      <c r="CN98" s="37"/>
      <c r="CO98" s="39">
        <f>0.063495+(0.016949+0.014096)*Wages!P96+1.22592*BR98</f>
        <v>0.64237973778272028</v>
      </c>
      <c r="CP98" s="39"/>
      <c r="CQ98" s="39">
        <f t="shared" si="41"/>
        <v>0.64237973778272028</v>
      </c>
      <c r="CR98" s="39">
        <f t="shared" si="51"/>
        <v>0.27637770009175705</v>
      </c>
      <c r="CS98" s="39">
        <f t="shared" si="42"/>
        <v>0.90062111801242239</v>
      </c>
      <c r="CT98" s="39">
        <f t="shared" si="43"/>
        <v>2.5923913043478266</v>
      </c>
      <c r="CU98" s="39">
        <v>1.25</v>
      </c>
      <c r="CV98" s="39">
        <f t="shared" si="52"/>
        <v>8.2406901041666661E-2</v>
      </c>
      <c r="CW98" s="39">
        <v>0.125</v>
      </c>
      <c r="CX98" s="39"/>
      <c r="CY98" s="39"/>
      <c r="CZ98" s="39">
        <f t="shared" si="32"/>
        <v>0.13115814245450885</v>
      </c>
      <c r="DA98" s="39">
        <f t="shared" si="44"/>
        <v>8.3052007510000596</v>
      </c>
      <c r="DB98" s="39">
        <v>5</v>
      </c>
      <c r="DC98" s="39">
        <f t="shared" si="33"/>
        <v>5.2851277506364021</v>
      </c>
      <c r="DD98" s="39">
        <v>3.2</v>
      </c>
      <c r="DE98" s="39">
        <v>0.03</v>
      </c>
      <c r="DF98" s="37"/>
      <c r="DG98" s="39">
        <f t="shared" si="34"/>
        <v>0.43151250000000002</v>
      </c>
      <c r="DH98" s="39">
        <f t="shared" si="35"/>
        <v>3.3959701154629842</v>
      </c>
      <c r="DI98" s="37"/>
      <c r="DJ98" s="37"/>
      <c r="DK98" s="37"/>
      <c r="DL98" s="37"/>
      <c r="DM98" s="39">
        <f t="shared" si="45"/>
        <v>0.69528292567466499</v>
      </c>
      <c r="DN98" s="39"/>
      <c r="DO98" s="39">
        <f t="shared" si="46"/>
        <v>0.69528292567466499</v>
      </c>
      <c r="DP98" s="37"/>
      <c r="DQ98" s="37">
        <f>DO98/'Conversions, Sources &amp; Comments'!E96</f>
        <v>0.58005701629241191</v>
      </c>
    </row>
    <row r="99" spans="1:121">
      <c r="A99" s="42">
        <f t="shared" si="36"/>
        <v>1347</v>
      </c>
      <c r="B99" s="36"/>
      <c r="C99" s="38">
        <v>6</v>
      </c>
      <c r="D99" s="38">
        <v>7.38</v>
      </c>
      <c r="E99" s="38">
        <v>4</v>
      </c>
      <c r="F99" s="38">
        <v>9.25</v>
      </c>
      <c r="G99" s="38">
        <v>2</v>
      </c>
      <c r="H99" s="38">
        <v>4.88</v>
      </c>
      <c r="I99" s="38">
        <v>5</v>
      </c>
      <c r="J99" s="38">
        <v>2.38</v>
      </c>
      <c r="K99" s="36"/>
      <c r="L99" s="36"/>
      <c r="M99" s="38">
        <v>3</v>
      </c>
      <c r="N99" s="38">
        <v>2.375</v>
      </c>
      <c r="O99" s="38">
        <v>8</v>
      </c>
      <c r="P99" s="38">
        <v>6</v>
      </c>
      <c r="Q99" s="36"/>
      <c r="R99" s="36"/>
      <c r="S99" s="36"/>
      <c r="T99" s="36"/>
      <c r="U99" s="38">
        <v>5</v>
      </c>
      <c r="V99" s="36"/>
      <c r="W99" s="36"/>
      <c r="X99" s="36"/>
      <c r="Y99" s="36"/>
      <c r="Z99" s="38">
        <v>1</v>
      </c>
      <c r="AA99" s="38">
        <v>6</v>
      </c>
      <c r="AB99" s="36"/>
      <c r="AC99" s="36"/>
      <c r="AD99" s="36"/>
      <c r="AE99" s="36"/>
      <c r="AF99" s="36"/>
      <c r="AG99" s="38">
        <v>2</v>
      </c>
      <c r="AH99" s="38">
        <v>2.5</v>
      </c>
      <c r="AI99" s="36"/>
      <c r="AJ99" s="36"/>
      <c r="AK99" s="38">
        <v>7</v>
      </c>
      <c r="AL99" s="38">
        <v>7.5</v>
      </c>
      <c r="AM99" s="36"/>
      <c r="AN99" s="36"/>
      <c r="AO99" s="38">
        <v>1</v>
      </c>
      <c r="AP99" s="38">
        <v>4</v>
      </c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59">
        <v>3.5</v>
      </c>
      <c r="BH99" s="59"/>
      <c r="BI99" s="59">
        <v>9.1195885239665361E-2</v>
      </c>
      <c r="BJ99" s="59"/>
      <c r="BK99" s="36"/>
      <c r="BL99" s="36"/>
      <c r="BM99" s="36"/>
      <c r="BN99" s="38">
        <v>24</v>
      </c>
      <c r="BO99" s="36"/>
      <c r="BP99" s="39">
        <f t="shared" si="30"/>
        <v>1.1986458333333334</v>
      </c>
      <c r="BQ99" s="37"/>
      <c r="BR99" s="39">
        <f t="shared" si="31"/>
        <v>0.33752095128128723</v>
      </c>
      <c r="BS99" s="37"/>
      <c r="BT99" s="37"/>
      <c r="BU99" s="37"/>
      <c r="BV99" s="39">
        <f t="shared" si="39"/>
        <v>0.178582513905443</v>
      </c>
      <c r="BW99" s="37"/>
      <c r="BX99" s="39">
        <f t="shared" si="40"/>
        <v>0.16030439633328894</v>
      </c>
      <c r="BY99" s="39">
        <f t="shared" si="50"/>
        <v>3.9638458129773015</v>
      </c>
      <c r="BZ99" s="37"/>
      <c r="CA99" s="37"/>
      <c r="CB99" s="39">
        <f>$BP99*(12*O99+P99)/(224*0.453592)</f>
        <v>1.2033103360823951</v>
      </c>
      <c r="CC99" s="39">
        <f t="shared" si="49"/>
        <v>9.9887152777777793E-2</v>
      </c>
      <c r="CD99" s="39">
        <f>BP99*(12*AK99+AL99)/1000</f>
        <v>0.10967609375000001</v>
      </c>
      <c r="CE99" s="37"/>
      <c r="CF99" s="37"/>
      <c r="CG99" s="39">
        <f>BP99*(12*AO99+AP99)/4.55</f>
        <v>4.2150183150183151</v>
      </c>
      <c r="CH99" s="37"/>
      <c r="CI99" s="37"/>
      <c r="CJ99" s="37"/>
      <c r="CK99" s="37"/>
      <c r="CL99" s="39">
        <f>BP99*(12*AG99+AH99)/100</f>
        <v>0.31764114583333336</v>
      </c>
      <c r="CM99" s="37"/>
      <c r="CN99" s="37"/>
      <c r="CO99" s="39">
        <f>0.063495+(0.016949+0.014096)*Wages!P97+1.22592*BR99</f>
        <v>0.62611652417808894</v>
      </c>
      <c r="CP99" s="39"/>
      <c r="CQ99" s="39">
        <f t="shared" si="41"/>
        <v>0.62611652417808894</v>
      </c>
      <c r="CR99" s="39">
        <f t="shared" si="51"/>
        <v>0.178582513905443</v>
      </c>
      <c r="CS99" s="39">
        <f t="shared" si="42"/>
        <v>0.86698136015874427</v>
      </c>
      <c r="CT99" s="39">
        <f t="shared" si="43"/>
        <v>2.4955610013534892</v>
      </c>
      <c r="CU99" s="39">
        <f>CB99</f>
        <v>1.2033103360823951</v>
      </c>
      <c r="CV99" s="39">
        <f t="shared" si="52"/>
        <v>9.9887152777777793E-2</v>
      </c>
      <c r="CW99" s="39">
        <f>CD99</f>
        <v>0.10967609375000001</v>
      </c>
      <c r="CX99" s="39"/>
      <c r="CY99" s="39"/>
      <c r="CZ99" s="39">
        <f t="shared" si="32"/>
        <v>0.16030439633328894</v>
      </c>
      <c r="DA99" s="39">
        <f t="shared" si="44"/>
        <v>6.2289005632500452</v>
      </c>
      <c r="DB99" s="39">
        <v>5</v>
      </c>
      <c r="DC99" s="39">
        <f t="shared" si="33"/>
        <v>3.9638458129773015</v>
      </c>
      <c r="DD99" s="39">
        <f>CG99</f>
        <v>4.2150183150183151</v>
      </c>
      <c r="DE99" s="39">
        <v>0.03</v>
      </c>
      <c r="DF99" s="37"/>
      <c r="DG99" s="39">
        <f t="shared" si="34"/>
        <v>0.31764114583333336</v>
      </c>
      <c r="DH99" s="39">
        <f t="shared" si="35"/>
        <v>3.3959701154629842</v>
      </c>
      <c r="DI99" s="37"/>
      <c r="DJ99" s="37"/>
      <c r="DK99" s="37"/>
      <c r="DL99" s="37"/>
      <c r="DM99" s="39">
        <f t="shared" si="45"/>
        <v>0.67203082413597781</v>
      </c>
      <c r="DN99" s="39"/>
      <c r="DO99" s="39">
        <f t="shared" si="46"/>
        <v>0.67203082413597781</v>
      </c>
      <c r="DP99" s="37"/>
      <c r="DQ99" s="37">
        <f>DO99/'Conversions, Sources &amp; Comments'!E97</f>
        <v>0.56065837418140141</v>
      </c>
    </row>
    <row r="100" spans="1:121">
      <c r="A100" s="42">
        <f t="shared" si="36"/>
        <v>1348</v>
      </c>
      <c r="B100" s="36"/>
      <c r="C100" s="38">
        <v>4</v>
      </c>
      <c r="D100" s="38">
        <v>2</v>
      </c>
      <c r="E100" s="38">
        <v>2</v>
      </c>
      <c r="F100" s="38">
        <v>6.5</v>
      </c>
      <c r="G100" s="38">
        <v>1</v>
      </c>
      <c r="H100" s="38">
        <v>5.63</v>
      </c>
      <c r="I100" s="38">
        <v>2</v>
      </c>
      <c r="J100" s="38">
        <v>9.6300000000000008</v>
      </c>
      <c r="K100" s="36"/>
      <c r="L100" s="36"/>
      <c r="M100" s="38">
        <v>2</v>
      </c>
      <c r="N100" s="38">
        <v>3</v>
      </c>
      <c r="O100" s="36"/>
      <c r="P100" s="36"/>
      <c r="Q100" s="36"/>
      <c r="R100" s="36"/>
      <c r="S100" s="36"/>
      <c r="T100" s="36"/>
      <c r="U100" s="38">
        <v>4.625</v>
      </c>
      <c r="V100" s="36"/>
      <c r="W100" s="36"/>
      <c r="X100" s="36"/>
      <c r="Y100" s="36"/>
      <c r="Z100" s="38">
        <v>2</v>
      </c>
      <c r="AA100" s="38">
        <v>0</v>
      </c>
      <c r="AB100" s="36"/>
      <c r="AC100" s="36"/>
      <c r="AD100" s="36"/>
      <c r="AE100" s="36"/>
      <c r="AF100" s="36"/>
      <c r="AG100" s="38">
        <v>3</v>
      </c>
      <c r="AH100" s="38">
        <v>4</v>
      </c>
      <c r="AI100" s="36"/>
      <c r="AJ100" s="36"/>
      <c r="AK100" s="38">
        <v>9</v>
      </c>
      <c r="AL100" s="38">
        <v>4.5</v>
      </c>
      <c r="AM100" s="36"/>
      <c r="AN100" s="36"/>
      <c r="AO100" s="38">
        <v>1</v>
      </c>
      <c r="AP100" s="38">
        <v>0</v>
      </c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59">
        <v>3.3333333333333335</v>
      </c>
      <c r="BH100" s="59"/>
      <c r="BI100" s="59">
        <v>6.7706036011266915E-2</v>
      </c>
      <c r="BJ100" s="59"/>
      <c r="BK100" s="36"/>
      <c r="BL100" s="36"/>
      <c r="BM100" s="36"/>
      <c r="BN100" s="38">
        <v>24</v>
      </c>
      <c r="BO100" s="36"/>
      <c r="BP100" s="39">
        <f t="shared" si="30"/>
        <v>1.1986458333333334</v>
      </c>
      <c r="BQ100" s="37"/>
      <c r="BR100" s="39">
        <f t="shared" si="31"/>
        <v>0.21259823083981311</v>
      </c>
      <c r="BS100" s="37"/>
      <c r="BT100" s="37"/>
      <c r="BU100" s="37"/>
      <c r="BV100" s="39">
        <f t="shared" si="39"/>
        <v>0.1700785846718505</v>
      </c>
      <c r="BW100" s="37"/>
      <c r="BX100" s="39">
        <f t="shared" si="40"/>
        <v>0.11901387000501791</v>
      </c>
      <c r="BY100" s="39">
        <f t="shared" si="50"/>
        <v>5.2851277506364021</v>
      </c>
      <c r="BZ100" s="37"/>
      <c r="CA100" s="37"/>
      <c r="CB100" s="37"/>
      <c r="CC100" s="39">
        <f t="shared" si="49"/>
        <v>9.2395616319444443E-2</v>
      </c>
      <c r="CD100" s="39">
        <f>BP100*(12*AK100+AL100)/1000</f>
        <v>0.13484765625</v>
      </c>
      <c r="CE100" s="37"/>
      <c r="CF100" s="37"/>
      <c r="CG100" s="39">
        <f>BP100*(12*AO100+AP100)/4.55</f>
        <v>3.1612637362637366</v>
      </c>
      <c r="CH100" s="37"/>
      <c r="CI100" s="37"/>
      <c r="CJ100" s="37"/>
      <c r="CK100" s="37"/>
      <c r="CL100" s="39">
        <f>BP100*(12*AG100+AH100)/100</f>
        <v>0.47945833333333338</v>
      </c>
      <c r="CM100" s="37"/>
      <c r="CN100" s="37"/>
      <c r="CO100" s="39">
        <f>0.063495+(0.016949+0.014096)*Wages!P98+1.22592*BR100</f>
        <v>0.47297126273447698</v>
      </c>
      <c r="CP100" s="39"/>
      <c r="CQ100" s="39">
        <f t="shared" si="41"/>
        <v>0.47297126273447698</v>
      </c>
      <c r="CR100" s="39">
        <f t="shared" si="51"/>
        <v>0.1700785846718505</v>
      </c>
      <c r="CS100" s="39">
        <f t="shared" si="42"/>
        <v>0.90062111801242239</v>
      </c>
      <c r="CT100" s="39">
        <f t="shared" si="43"/>
        <v>2.5923913043478266</v>
      </c>
      <c r="CU100" s="39">
        <v>1.25</v>
      </c>
      <c r="CV100" s="39">
        <f t="shared" si="52"/>
        <v>9.2395616319444443E-2</v>
      </c>
      <c r="CW100" s="39">
        <f>CD100</f>
        <v>0.13484765625</v>
      </c>
      <c r="CX100" s="39"/>
      <c r="CY100" s="39"/>
      <c r="CZ100" s="39">
        <f t="shared" si="32"/>
        <v>0.11901387000501791</v>
      </c>
      <c r="DA100" s="39">
        <f t="shared" si="44"/>
        <v>8.3052007510000596</v>
      </c>
      <c r="DB100" s="39">
        <v>5</v>
      </c>
      <c r="DC100" s="39">
        <f t="shared" si="33"/>
        <v>5.2851277506364021</v>
      </c>
      <c r="DD100" s="39">
        <f>CG100</f>
        <v>3.1612637362637366</v>
      </c>
      <c r="DE100" s="39">
        <v>0.03</v>
      </c>
      <c r="DF100" s="37"/>
      <c r="DG100" s="39">
        <f t="shared" si="34"/>
        <v>0.47945833333333338</v>
      </c>
      <c r="DH100" s="39">
        <f t="shared" si="35"/>
        <v>3.3959701154629842</v>
      </c>
      <c r="DI100" s="37"/>
      <c r="DJ100" s="37"/>
      <c r="DK100" s="37"/>
      <c r="DL100" s="37"/>
      <c r="DM100" s="39">
        <f t="shared" si="45"/>
        <v>0.6033292629186896</v>
      </c>
      <c r="DN100" s="39"/>
      <c r="DO100" s="39">
        <f t="shared" si="46"/>
        <v>0.6033292629186896</v>
      </c>
      <c r="DP100" s="37"/>
      <c r="DQ100" s="37">
        <f>DO100/'Conversions, Sources &amp; Comments'!E98</f>
        <v>0.50334239367510381</v>
      </c>
    </row>
    <row r="101" spans="1:121">
      <c r="A101" s="42">
        <f t="shared" si="36"/>
        <v>1349</v>
      </c>
      <c r="B101" s="36"/>
      <c r="C101" s="38">
        <v>5</v>
      </c>
      <c r="D101" s="38">
        <v>5.88</v>
      </c>
      <c r="E101" s="38">
        <v>3</v>
      </c>
      <c r="F101" s="38">
        <v>10.5</v>
      </c>
      <c r="G101" s="38">
        <v>2</v>
      </c>
      <c r="H101" s="38">
        <v>6.25</v>
      </c>
      <c r="I101" s="38">
        <v>3</v>
      </c>
      <c r="J101" s="38">
        <v>9.1300000000000008</v>
      </c>
      <c r="K101" s="36"/>
      <c r="L101" s="36"/>
      <c r="M101" s="38">
        <v>3</v>
      </c>
      <c r="N101" s="38">
        <v>4.25</v>
      </c>
      <c r="O101" s="36"/>
      <c r="P101" s="36"/>
      <c r="Q101" s="36"/>
      <c r="R101" s="36"/>
      <c r="S101" s="36"/>
      <c r="T101" s="36"/>
      <c r="U101" s="38">
        <v>4.5</v>
      </c>
      <c r="V101" s="36"/>
      <c r="W101" s="38">
        <v>9</v>
      </c>
      <c r="X101" s="36"/>
      <c r="Y101" s="36"/>
      <c r="Z101" s="38">
        <v>2</v>
      </c>
      <c r="AA101" s="38">
        <v>0</v>
      </c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59">
        <v>4.416666666666667</v>
      </c>
      <c r="BH101" s="59"/>
      <c r="BI101" s="59">
        <v>6.9087791848231134E-2</v>
      </c>
      <c r="BJ101" s="59"/>
      <c r="BK101" s="36"/>
      <c r="BL101" s="36"/>
      <c r="BM101" s="36"/>
      <c r="BN101" s="38">
        <v>24</v>
      </c>
      <c r="BO101" s="36"/>
      <c r="BP101" s="39">
        <f t="shared" si="30"/>
        <v>1.1986458333333334</v>
      </c>
      <c r="BQ101" s="37"/>
      <c r="BR101" s="39">
        <f t="shared" si="31"/>
        <v>0.28011942895453767</v>
      </c>
      <c r="BS101" s="37"/>
      <c r="BT101" s="37"/>
      <c r="BU101" s="37"/>
      <c r="BV101" s="39">
        <f t="shared" si="39"/>
        <v>0.22535412469020191</v>
      </c>
      <c r="BW101" s="37"/>
      <c r="BX101" s="39">
        <f t="shared" si="40"/>
        <v>0.1214427244949155</v>
      </c>
      <c r="BY101" s="39">
        <f t="shared" si="50"/>
        <v>5.2851277506364021</v>
      </c>
      <c r="BZ101" s="37"/>
      <c r="CA101" s="37"/>
      <c r="CB101" s="37"/>
      <c r="CC101" s="39">
        <f t="shared" si="49"/>
        <v>8.9898437500000011E-2</v>
      </c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9">
        <f>0.063495+(0.016949+0.014096)*Wages!P99+1.22592*BR101</f>
        <v>0.55574684992728018</v>
      </c>
      <c r="CP101" s="39"/>
      <c r="CQ101" s="39">
        <f t="shared" si="41"/>
        <v>0.55574684992728018</v>
      </c>
      <c r="CR101" s="39">
        <f t="shared" si="51"/>
        <v>0.22535412469020191</v>
      </c>
      <c r="CS101" s="39">
        <f t="shared" si="42"/>
        <v>0.90062111801242239</v>
      </c>
      <c r="CT101" s="39">
        <f t="shared" si="43"/>
        <v>2.5923913043478266</v>
      </c>
      <c r="CU101" s="39">
        <v>1.25</v>
      </c>
      <c r="CV101" s="39">
        <f t="shared" si="52"/>
        <v>8.9898437500000011E-2</v>
      </c>
      <c r="CW101" s="39">
        <v>0.15</v>
      </c>
      <c r="CX101" s="39"/>
      <c r="CY101" s="39"/>
      <c r="CZ101" s="39">
        <f t="shared" si="32"/>
        <v>0.1214427244949155</v>
      </c>
      <c r="DA101" s="39">
        <f t="shared" si="44"/>
        <v>8.3052007510000596</v>
      </c>
      <c r="DB101" s="39">
        <v>5</v>
      </c>
      <c r="DC101" s="39">
        <f t="shared" si="33"/>
        <v>5.2851277506364021</v>
      </c>
      <c r="DD101" s="39">
        <v>3.8</v>
      </c>
      <c r="DE101" s="39">
        <v>0.03</v>
      </c>
      <c r="DF101" s="37"/>
      <c r="DG101" s="39">
        <f t="shared" si="34"/>
        <v>0</v>
      </c>
      <c r="DH101" s="39">
        <f t="shared" si="35"/>
        <v>3.3959701154629842</v>
      </c>
      <c r="DI101" s="37"/>
      <c r="DJ101" s="37"/>
      <c r="DK101" s="37"/>
      <c r="DL101" s="37"/>
      <c r="DM101" s="39">
        <f t="shared" si="45"/>
        <v>0.65132265854588478</v>
      </c>
      <c r="DN101" s="39"/>
      <c r="DO101" s="39">
        <f t="shared" si="46"/>
        <v>0.65132265854588478</v>
      </c>
      <c r="DP101" s="37"/>
      <c r="DQ101" s="37">
        <f>DO101/'Conversions, Sources &amp; Comments'!E99</f>
        <v>0.54338207369779212</v>
      </c>
    </row>
    <row r="102" spans="1:121">
      <c r="A102" s="42">
        <f t="shared" si="36"/>
        <v>1350</v>
      </c>
      <c r="B102" s="36"/>
      <c r="C102" s="38">
        <v>8</v>
      </c>
      <c r="D102" s="38">
        <v>3.13</v>
      </c>
      <c r="E102" s="38">
        <v>6</v>
      </c>
      <c r="F102" s="38">
        <v>4</v>
      </c>
      <c r="G102" s="38">
        <v>3</v>
      </c>
      <c r="H102" s="38">
        <v>8</v>
      </c>
      <c r="I102" s="38">
        <v>5</v>
      </c>
      <c r="J102" s="38">
        <v>3</v>
      </c>
      <c r="K102" s="36"/>
      <c r="L102" s="36"/>
      <c r="M102" s="38">
        <v>4</v>
      </c>
      <c r="N102" s="38">
        <v>5</v>
      </c>
      <c r="O102" s="36"/>
      <c r="P102" s="36"/>
      <c r="Q102" s="36"/>
      <c r="R102" s="36"/>
      <c r="S102" s="36"/>
      <c r="T102" s="36"/>
      <c r="U102" s="38">
        <v>4.75</v>
      </c>
      <c r="V102" s="36"/>
      <c r="W102" s="38">
        <v>7</v>
      </c>
      <c r="X102" s="36"/>
      <c r="Y102" s="36"/>
      <c r="Z102" s="38">
        <v>1</v>
      </c>
      <c r="AA102" s="38">
        <v>10</v>
      </c>
      <c r="AB102" s="36"/>
      <c r="AC102" s="38">
        <v>0</v>
      </c>
      <c r="AD102" s="38">
        <v>7.5</v>
      </c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8">
        <v>1</v>
      </c>
      <c r="AP102" s="38">
        <v>4.75</v>
      </c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59">
        <v>4.916666666666667</v>
      </c>
      <c r="BH102" s="59"/>
      <c r="BI102" s="59">
        <v>0.10915871112020525</v>
      </c>
      <c r="BJ102" s="59"/>
      <c r="BK102" s="36"/>
      <c r="BL102" s="36"/>
      <c r="BM102" s="36"/>
      <c r="BN102" s="38">
        <v>24</v>
      </c>
      <c r="BO102" s="36"/>
      <c r="BP102" s="39">
        <f t="shared" si="30"/>
        <v>1.1986458333333334</v>
      </c>
      <c r="BQ102" s="37"/>
      <c r="BR102" s="39">
        <f t="shared" si="31"/>
        <v>0.42149725246301345</v>
      </c>
      <c r="BS102" s="37"/>
      <c r="BT102" s="37"/>
      <c r="BU102" s="37"/>
      <c r="BV102" s="39">
        <f t="shared" si="39"/>
        <v>0.25086591239097944</v>
      </c>
      <c r="BW102" s="37"/>
      <c r="BX102" s="39">
        <f t="shared" si="40"/>
        <v>0.1918795047019666</v>
      </c>
      <c r="BY102" s="39">
        <f t="shared" si="50"/>
        <v>4.8447004380833683</v>
      </c>
      <c r="BZ102" s="37"/>
      <c r="CA102" s="37"/>
      <c r="CB102" s="37"/>
      <c r="CC102" s="39">
        <f t="shared" si="49"/>
        <v>9.4892795138888902E-2</v>
      </c>
      <c r="CD102" s="37"/>
      <c r="CE102" s="37"/>
      <c r="CF102" s="37"/>
      <c r="CG102" s="39">
        <f>BP102*(12*AO102+AP102)/4.55</f>
        <v>4.4125972985347994</v>
      </c>
      <c r="CH102" s="37"/>
      <c r="CI102" s="37"/>
      <c r="CJ102" s="37"/>
      <c r="CK102" s="39">
        <f>BP102*(12*AC102+AD102)/(35.238*8)</f>
        <v>3.1889734625971965E-2</v>
      </c>
      <c r="CL102" s="37"/>
      <c r="CM102" s="39">
        <f>BP102*(12*$AC102+$AD102)/(35.238*8)/0.283</f>
        <v>0.11268457465007763</v>
      </c>
      <c r="CN102" s="37"/>
      <c r="CO102" s="39">
        <f>0.063495+(0.016949+0.014096)*Wages!P100+1.22592*BR102</f>
        <v>0.72906475132279069</v>
      </c>
      <c r="CP102" s="39"/>
      <c r="CQ102" s="39">
        <f t="shared" si="41"/>
        <v>0.72906475132279069</v>
      </c>
      <c r="CR102" s="39">
        <f t="shared" si="51"/>
        <v>0.25086591239097944</v>
      </c>
      <c r="CS102" s="39">
        <f t="shared" si="42"/>
        <v>0.90062111801242239</v>
      </c>
      <c r="CT102" s="39">
        <f t="shared" si="43"/>
        <v>2.5923913043478266</v>
      </c>
      <c r="CU102" s="39">
        <v>1.25</v>
      </c>
      <c r="CV102" s="39">
        <f t="shared" si="52"/>
        <v>9.4892795138888902E-2</v>
      </c>
      <c r="CW102" s="39">
        <v>0.15</v>
      </c>
      <c r="CX102" s="39"/>
      <c r="CY102" s="39"/>
      <c r="CZ102" s="39">
        <f t="shared" si="32"/>
        <v>0.1918795047019666</v>
      </c>
      <c r="DA102" s="39">
        <f t="shared" si="44"/>
        <v>7.6131006884167221</v>
      </c>
      <c r="DB102" s="39">
        <v>5</v>
      </c>
      <c r="DC102" s="39">
        <f t="shared" si="33"/>
        <v>4.8447004380833683</v>
      </c>
      <c r="DD102" s="39">
        <f>CG102</f>
        <v>4.4125972985347994</v>
      </c>
      <c r="DE102" s="39">
        <f>CK102</f>
        <v>3.1889734625971965E-2</v>
      </c>
      <c r="DF102" s="37"/>
      <c r="DG102" s="39">
        <f t="shared" si="34"/>
        <v>0</v>
      </c>
      <c r="DH102" s="39">
        <f t="shared" si="35"/>
        <v>3.6098861926615311</v>
      </c>
      <c r="DI102" s="37"/>
      <c r="DJ102" s="37"/>
      <c r="DK102" s="37"/>
      <c r="DL102" s="37"/>
      <c r="DM102" s="39">
        <f t="shared" si="45"/>
        <v>0.76139153510818181</v>
      </c>
      <c r="DN102" s="39"/>
      <c r="DO102" s="39">
        <f t="shared" si="46"/>
        <v>0.76139153510818181</v>
      </c>
      <c r="DP102" s="37"/>
      <c r="DQ102" s="37">
        <f>DO102/'Conversions, Sources &amp; Comments'!E100</f>
        <v>0.63520976249574557</v>
      </c>
    </row>
    <row r="103" spans="1:121">
      <c r="A103" s="42">
        <f t="shared" si="36"/>
        <v>1351</v>
      </c>
      <c r="B103" s="36"/>
      <c r="C103" s="38">
        <v>10</v>
      </c>
      <c r="D103" s="38">
        <v>2.5</v>
      </c>
      <c r="E103" s="38">
        <v>6</v>
      </c>
      <c r="F103" s="38">
        <v>10.25</v>
      </c>
      <c r="G103" s="38">
        <v>3</v>
      </c>
      <c r="H103" s="38">
        <v>7.75</v>
      </c>
      <c r="I103" s="38">
        <v>7</v>
      </c>
      <c r="J103" s="38">
        <v>8.5</v>
      </c>
      <c r="K103" s="36"/>
      <c r="L103" s="36"/>
      <c r="M103" s="38">
        <v>6</v>
      </c>
      <c r="N103" s="38">
        <v>0.25</v>
      </c>
      <c r="O103" s="36"/>
      <c r="P103" s="36"/>
      <c r="Q103" s="36"/>
      <c r="R103" s="36"/>
      <c r="S103" s="36"/>
      <c r="T103" s="36"/>
      <c r="U103" s="38">
        <v>5</v>
      </c>
      <c r="V103" s="36"/>
      <c r="W103" s="38">
        <v>6.75</v>
      </c>
      <c r="X103" s="36"/>
      <c r="Y103" s="36"/>
      <c r="Z103" s="38">
        <v>1</v>
      </c>
      <c r="AA103" s="38">
        <v>11</v>
      </c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59">
        <v>6.083333333333333</v>
      </c>
      <c r="BH103" s="59"/>
      <c r="BI103" s="59">
        <v>0.13679382785949804</v>
      </c>
      <c r="BJ103" s="59"/>
      <c r="BK103" s="36"/>
      <c r="BL103" s="36"/>
      <c r="BM103" s="36"/>
      <c r="BN103" s="38">
        <v>26.7</v>
      </c>
      <c r="BO103" s="36"/>
      <c r="BP103" s="39">
        <f t="shared" si="30"/>
        <v>1.077434456928839</v>
      </c>
      <c r="BQ103" s="37"/>
      <c r="BR103" s="39">
        <f t="shared" si="31"/>
        <v>0.46819385668093672</v>
      </c>
      <c r="BS103" s="37"/>
      <c r="BT103" s="37"/>
      <c r="BU103" s="37"/>
      <c r="BV103" s="39">
        <f t="shared" si="39"/>
        <v>0.27900531867517042</v>
      </c>
      <c r="BW103" s="37"/>
      <c r="BX103" s="39">
        <f t="shared" si="40"/>
        <v>0.21614075910106373</v>
      </c>
      <c r="BY103" s="39">
        <f t="shared" si="50"/>
        <v>4.5527317702111327</v>
      </c>
      <c r="BZ103" s="37"/>
      <c r="CA103" s="37"/>
      <c r="CB103" s="37"/>
      <c r="CC103" s="39">
        <f t="shared" si="49"/>
        <v>8.9786204744069911E-2</v>
      </c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9">
        <f>0.063495+(0.016949+0.014096)*Wages!P101+1.22592*BR103</f>
        <v>0.81585762726419153</v>
      </c>
      <c r="CP103" s="39"/>
      <c r="CQ103" s="39">
        <f t="shared" si="41"/>
        <v>0.81585762726419153</v>
      </c>
      <c r="CR103" s="39">
        <f t="shared" si="51"/>
        <v>0.27900531867517042</v>
      </c>
      <c r="CS103" s="39">
        <f t="shared" si="42"/>
        <v>0.90062111801242239</v>
      </c>
      <c r="CT103" s="39">
        <f t="shared" si="43"/>
        <v>2.5923913043478266</v>
      </c>
      <c r="CU103" s="39">
        <v>1.25</v>
      </c>
      <c r="CV103" s="39">
        <f t="shared" si="52"/>
        <v>8.9786204744069911E-2</v>
      </c>
      <c r="CW103" s="39">
        <v>0.15</v>
      </c>
      <c r="CX103" s="39"/>
      <c r="CY103" s="39"/>
      <c r="CZ103" s="39">
        <f t="shared" si="32"/>
        <v>0.21614075910106373</v>
      </c>
      <c r="DA103" s="39">
        <f t="shared" si="44"/>
        <v>7.1542927817603514</v>
      </c>
      <c r="DB103" s="39">
        <v>5</v>
      </c>
      <c r="DC103" s="39">
        <f t="shared" si="33"/>
        <v>4.5527317702111327</v>
      </c>
      <c r="DD103" s="39">
        <v>4.3</v>
      </c>
      <c r="DE103" s="39">
        <v>3.1E-2</v>
      </c>
      <c r="DF103" s="37"/>
      <c r="DG103" s="39">
        <f t="shared" si="34"/>
        <v>0</v>
      </c>
      <c r="DH103" s="39">
        <f t="shared" si="35"/>
        <v>3.5091691193117502</v>
      </c>
      <c r="DI103" s="37"/>
      <c r="DJ103" s="37"/>
      <c r="DK103" s="37"/>
      <c r="DL103" s="37"/>
      <c r="DM103" s="39">
        <f t="shared" si="45"/>
        <v>0.80636926271133968</v>
      </c>
      <c r="DN103" s="39"/>
      <c r="DO103" s="39">
        <f t="shared" si="46"/>
        <v>0.80636926271133968</v>
      </c>
      <c r="DP103" s="37"/>
      <c r="DQ103" s="37">
        <f>DO103/'Conversions, Sources &amp; Comments'!E101</f>
        <v>0.74841607071844163</v>
      </c>
    </row>
    <row r="104" spans="1:121">
      <c r="A104" s="42">
        <f t="shared" si="36"/>
        <v>1352</v>
      </c>
      <c r="B104" s="36"/>
      <c r="C104" s="38">
        <v>7</v>
      </c>
      <c r="D104" s="38">
        <v>2.13</v>
      </c>
      <c r="E104" s="38">
        <v>5</v>
      </c>
      <c r="F104" s="38">
        <v>10.25</v>
      </c>
      <c r="G104" s="38">
        <v>4</v>
      </c>
      <c r="H104" s="38">
        <v>0.38</v>
      </c>
      <c r="I104" s="38">
        <v>5</v>
      </c>
      <c r="J104" s="38">
        <v>4.25</v>
      </c>
      <c r="K104" s="36"/>
      <c r="L104" s="36"/>
      <c r="M104" s="38">
        <v>6</v>
      </c>
      <c r="N104" s="38">
        <v>4.75</v>
      </c>
      <c r="O104" s="38">
        <v>11</v>
      </c>
      <c r="P104" s="38">
        <v>9.5</v>
      </c>
      <c r="Q104" s="36"/>
      <c r="R104" s="36"/>
      <c r="S104" s="36"/>
      <c r="T104" s="36"/>
      <c r="U104" s="38">
        <v>6.25</v>
      </c>
      <c r="V104" s="36"/>
      <c r="W104" s="38">
        <v>6</v>
      </c>
      <c r="X104" s="36"/>
      <c r="Y104" s="36"/>
      <c r="Z104" s="38">
        <v>2</v>
      </c>
      <c r="AA104" s="38">
        <v>0</v>
      </c>
      <c r="AB104" s="36"/>
      <c r="AC104" s="36"/>
      <c r="AD104" s="36"/>
      <c r="AE104" s="36"/>
      <c r="AF104" s="36"/>
      <c r="AG104" s="36"/>
      <c r="AH104" s="36"/>
      <c r="AI104" s="36"/>
      <c r="AJ104" s="36"/>
      <c r="AK104" s="38">
        <v>13</v>
      </c>
      <c r="AL104" s="38">
        <v>4</v>
      </c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59">
        <v>6.75</v>
      </c>
      <c r="BH104" s="59"/>
      <c r="BI104" s="59">
        <v>9.6722908587523915E-2</v>
      </c>
      <c r="BJ104" s="59"/>
      <c r="BK104" s="36"/>
      <c r="BL104" s="36"/>
      <c r="BM104" s="36"/>
      <c r="BN104" s="38">
        <v>26.7</v>
      </c>
      <c r="BO104" s="36"/>
      <c r="BP104" s="39">
        <f t="shared" si="30"/>
        <v>1.077434456928839</v>
      </c>
      <c r="BQ104" s="37"/>
      <c r="BR104" s="39">
        <f t="shared" si="31"/>
        <v>0.32918805613003327</v>
      </c>
      <c r="BS104" s="37"/>
      <c r="BT104" s="37"/>
      <c r="BU104" s="37"/>
      <c r="BV104" s="39">
        <f t="shared" si="39"/>
        <v>0.30958124400943571</v>
      </c>
      <c r="BW104" s="37"/>
      <c r="BX104" s="39">
        <f t="shared" si="40"/>
        <v>0.15282679936438859</v>
      </c>
      <c r="BY104" s="39">
        <f t="shared" si="50"/>
        <v>4.7506766297855298</v>
      </c>
      <c r="BZ104" s="37"/>
      <c r="CA104" s="37"/>
      <c r="CB104" s="39">
        <f t="shared" ref="CB104:CB111" si="53">$BP104*(12*O104+P104)/(224*0.453592)</f>
        <v>1.5004927301666349</v>
      </c>
      <c r="CC104" s="39">
        <f t="shared" si="49"/>
        <v>0.11223275593008739</v>
      </c>
      <c r="CD104" s="39">
        <f>BP104*(12*AK104+AL104)/1000</f>
        <v>0.17238951310861425</v>
      </c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9">
        <f>0.063495+(0.016949+0.014096)*Wages!P102+1.22592*BR104</f>
        <v>0.64544763625282797</v>
      </c>
      <c r="CP104" s="39"/>
      <c r="CQ104" s="39">
        <f t="shared" si="41"/>
        <v>0.64544763625282797</v>
      </c>
      <c r="CR104" s="39">
        <f t="shared" si="51"/>
        <v>0.30958124400943571</v>
      </c>
      <c r="CS104" s="39">
        <f t="shared" si="42"/>
        <v>1.0811003521697493</v>
      </c>
      <c r="CT104" s="39">
        <f t="shared" si="43"/>
        <v>3.1118914447368908</v>
      </c>
      <c r="CU104" s="39">
        <f t="shared" ref="CU104:CU111" si="54">CB104</f>
        <v>1.5004927301666349</v>
      </c>
      <c r="CV104" s="39">
        <f t="shared" si="52"/>
        <v>0.11223275593008739</v>
      </c>
      <c r="CW104" s="39">
        <f>CD104</f>
        <v>0.17238951310861425</v>
      </c>
      <c r="CX104" s="39"/>
      <c r="CY104" s="39"/>
      <c r="CZ104" s="39">
        <f t="shared" si="32"/>
        <v>0.15282679936438859</v>
      </c>
      <c r="DA104" s="39">
        <f t="shared" si="44"/>
        <v>7.4653489896629761</v>
      </c>
      <c r="DB104" s="39">
        <v>5</v>
      </c>
      <c r="DC104" s="39">
        <f t="shared" si="33"/>
        <v>4.7506766297855298</v>
      </c>
      <c r="DD104" s="39">
        <v>4.3</v>
      </c>
      <c r="DE104" s="39">
        <v>3.1E-2</v>
      </c>
      <c r="DF104" s="37"/>
      <c r="DG104" s="39">
        <f t="shared" si="34"/>
        <v>0</v>
      </c>
      <c r="DH104" s="39">
        <f t="shared" si="35"/>
        <v>3.5091691193117502</v>
      </c>
      <c r="DI104" s="37"/>
      <c r="DJ104" s="37"/>
      <c r="DK104" s="37"/>
      <c r="DL104" s="37"/>
      <c r="DM104" s="39">
        <f t="shared" si="45"/>
        <v>0.73463906816826685</v>
      </c>
      <c r="DN104" s="39"/>
      <c r="DO104" s="39">
        <f t="shared" si="46"/>
        <v>0.73463906816826685</v>
      </c>
      <c r="DP104" s="37"/>
      <c r="DQ104" s="37">
        <f>DO104/'Conversions, Sources &amp; Comments'!E102</f>
        <v>0.68184107482724343</v>
      </c>
    </row>
    <row r="105" spans="1:121">
      <c r="A105" s="42">
        <f t="shared" si="36"/>
        <v>1353</v>
      </c>
      <c r="B105" s="36"/>
      <c r="C105" s="38">
        <v>4</v>
      </c>
      <c r="D105" s="38">
        <v>2.5</v>
      </c>
      <c r="E105" s="38">
        <v>3</v>
      </c>
      <c r="F105" s="38">
        <v>0.63</v>
      </c>
      <c r="G105" s="38">
        <v>2</v>
      </c>
      <c r="H105" s="38">
        <v>3.88</v>
      </c>
      <c r="I105" s="38">
        <v>2</v>
      </c>
      <c r="J105" s="38">
        <v>9.3800000000000008</v>
      </c>
      <c r="K105" s="36"/>
      <c r="L105" s="36"/>
      <c r="M105" s="38">
        <v>2</v>
      </c>
      <c r="N105" s="38">
        <v>3.125</v>
      </c>
      <c r="O105" s="38">
        <v>10</v>
      </c>
      <c r="P105" s="36"/>
      <c r="Q105" s="36"/>
      <c r="R105" s="36"/>
      <c r="S105" s="36"/>
      <c r="T105" s="36"/>
      <c r="U105" s="38">
        <v>4.625</v>
      </c>
      <c r="V105" s="36"/>
      <c r="W105" s="38">
        <v>6.25</v>
      </c>
      <c r="X105" s="36"/>
      <c r="Y105" s="36"/>
      <c r="Z105" s="38">
        <v>2</v>
      </c>
      <c r="AA105" s="38">
        <v>1.5</v>
      </c>
      <c r="AB105" s="36"/>
      <c r="AC105" s="38">
        <v>0</v>
      </c>
      <c r="AD105" s="38">
        <v>8</v>
      </c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8">
        <v>1</v>
      </c>
      <c r="AP105" s="38">
        <v>6</v>
      </c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59">
        <v>2.5833333333333335</v>
      </c>
      <c r="BH105" s="59"/>
      <c r="BI105" s="59">
        <v>7.4614815196089687E-2</v>
      </c>
      <c r="BJ105" s="59"/>
      <c r="BK105" s="36"/>
      <c r="BL105" s="36"/>
      <c r="BM105" s="36"/>
      <c r="BN105" s="38">
        <v>26.7</v>
      </c>
      <c r="BO105" s="36"/>
      <c r="BP105" s="39">
        <f t="shared" si="30"/>
        <v>1.077434456928839</v>
      </c>
      <c r="BQ105" s="37"/>
      <c r="BR105" s="39">
        <f t="shared" si="31"/>
        <v>0.19301052867254942</v>
      </c>
      <c r="BS105" s="37"/>
      <c r="BT105" s="37"/>
      <c r="BU105" s="37"/>
      <c r="BV105" s="39">
        <f t="shared" si="39"/>
        <v>0.11848171067027788</v>
      </c>
      <c r="BW105" s="37"/>
      <c r="BX105" s="39">
        <f t="shared" si="40"/>
        <v>0.1178949595096709</v>
      </c>
      <c r="BY105" s="39">
        <f t="shared" si="50"/>
        <v>5.0475939191471255</v>
      </c>
      <c r="BZ105" s="37"/>
      <c r="CA105" s="37"/>
      <c r="CB105" s="39">
        <f t="shared" si="53"/>
        <v>1.2725026686925527</v>
      </c>
      <c r="CC105" s="39">
        <f t="shared" si="49"/>
        <v>8.305223938826467E-2</v>
      </c>
      <c r="CD105" s="37"/>
      <c r="CE105" s="37"/>
      <c r="CF105" s="37"/>
      <c r="CG105" s="39">
        <f>BP105*(12*AO105+AP105)/4.55</f>
        <v>4.2623780713668351</v>
      </c>
      <c r="CH105" s="37"/>
      <c r="CI105" s="37"/>
      <c r="CJ105" s="37"/>
      <c r="CK105" s="39">
        <f>BP105*(12*AC105+AD105)/(35.238*8)</f>
        <v>3.0575925334265255E-2</v>
      </c>
      <c r="CL105" s="37"/>
      <c r="CM105" s="39">
        <f>BP105*(12*$AC105+$AD105)/(35.238*8)/0.283</f>
        <v>0.1080421389903366</v>
      </c>
      <c r="CN105" s="37"/>
      <c r="CO105" s="39">
        <f>0.063495+(0.016949+0.014096)*Wages!P103+1.22592*BR105</f>
        <v>0.47850488179214934</v>
      </c>
      <c r="CP105" s="39"/>
      <c r="CQ105" s="39">
        <f t="shared" si="41"/>
        <v>0.47850488179214934</v>
      </c>
      <c r="CR105" s="39">
        <f t="shared" si="51"/>
        <v>0.11848171067027788</v>
      </c>
      <c r="CS105" s="39">
        <f t="shared" si="42"/>
        <v>0.91683422092134237</v>
      </c>
      <c r="CT105" s="39">
        <f t="shared" si="43"/>
        <v>2.6390598824623814</v>
      </c>
      <c r="CU105" s="39">
        <f t="shared" si="54"/>
        <v>1.2725026686925527</v>
      </c>
      <c r="CV105" s="39">
        <f t="shared" si="52"/>
        <v>8.305223938826467E-2</v>
      </c>
      <c r="CW105" s="39">
        <v>0.17238951310861425</v>
      </c>
      <c r="CX105" s="39"/>
      <c r="CY105" s="39"/>
      <c r="CZ105" s="39">
        <f t="shared" si="32"/>
        <v>0.1178949595096709</v>
      </c>
      <c r="DA105" s="39">
        <f t="shared" si="44"/>
        <v>7.9319333015169118</v>
      </c>
      <c r="DB105" s="39">
        <v>5</v>
      </c>
      <c r="DC105" s="39">
        <f t="shared" si="33"/>
        <v>5.0475939191471255</v>
      </c>
      <c r="DD105" s="39">
        <f>CG105</f>
        <v>4.2623780713668351</v>
      </c>
      <c r="DE105" s="39">
        <f>CK105</f>
        <v>3.0575925334265255E-2</v>
      </c>
      <c r="DF105" s="37"/>
      <c r="DG105" s="39">
        <f t="shared" si="34"/>
        <v>0</v>
      </c>
      <c r="DH105" s="39">
        <f t="shared" si="35"/>
        <v>3.4611642895930785</v>
      </c>
      <c r="DI105" s="37"/>
      <c r="DJ105" s="37"/>
      <c r="DK105" s="37"/>
      <c r="DL105" s="37"/>
      <c r="DM105" s="39">
        <f t="shared" si="45"/>
        <v>0.60336927239632643</v>
      </c>
      <c r="DN105" s="39"/>
      <c r="DO105" s="39">
        <f t="shared" si="46"/>
        <v>0.60336927239632643</v>
      </c>
      <c r="DP105" s="37"/>
      <c r="DQ105" s="37">
        <f>DO105/'Conversions, Sources &amp; Comments'!E103</f>
        <v>0.56000554698816074</v>
      </c>
    </row>
    <row r="106" spans="1:121">
      <c r="A106" s="42">
        <f t="shared" si="36"/>
        <v>1354</v>
      </c>
      <c r="B106" s="36"/>
      <c r="C106" s="38">
        <v>5</v>
      </c>
      <c r="D106" s="38">
        <v>3.75</v>
      </c>
      <c r="E106" s="38">
        <v>3</v>
      </c>
      <c r="F106" s="38">
        <v>5</v>
      </c>
      <c r="G106" s="38">
        <v>2</v>
      </c>
      <c r="H106" s="38">
        <v>0.75</v>
      </c>
      <c r="I106" s="38">
        <v>3</v>
      </c>
      <c r="J106" s="38">
        <v>3.38</v>
      </c>
      <c r="K106" s="36"/>
      <c r="L106" s="36"/>
      <c r="M106" s="38">
        <v>2</v>
      </c>
      <c r="N106" s="38">
        <v>6.75</v>
      </c>
      <c r="O106" s="38">
        <v>10</v>
      </c>
      <c r="P106" s="36"/>
      <c r="Q106" s="36"/>
      <c r="R106" s="36"/>
      <c r="S106" s="36"/>
      <c r="T106" s="36"/>
      <c r="U106" s="38">
        <v>5.25</v>
      </c>
      <c r="V106" s="36"/>
      <c r="W106" s="38">
        <v>6</v>
      </c>
      <c r="X106" s="36"/>
      <c r="Y106" s="36"/>
      <c r="Z106" s="38">
        <v>2</v>
      </c>
      <c r="AA106" s="38">
        <v>1.25</v>
      </c>
      <c r="AB106" s="36"/>
      <c r="AC106" s="36"/>
      <c r="AD106" s="36"/>
      <c r="AE106" s="36"/>
      <c r="AF106" s="36"/>
      <c r="AG106" s="36"/>
      <c r="AH106" s="36"/>
      <c r="AI106" s="36"/>
      <c r="AJ106" s="36"/>
      <c r="AK106" s="38">
        <v>13</v>
      </c>
      <c r="AL106" s="38">
        <v>4</v>
      </c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59">
        <v>3.0833333333333335</v>
      </c>
      <c r="BH106" s="59"/>
      <c r="BI106" s="59">
        <v>7.4614815196089687E-2</v>
      </c>
      <c r="BJ106" s="59"/>
      <c r="BK106" s="36"/>
      <c r="BL106" s="36"/>
      <c r="BM106" s="36"/>
      <c r="BN106" s="38">
        <v>26.7</v>
      </c>
      <c r="BO106" s="36"/>
      <c r="BP106" s="39">
        <f t="shared" si="30"/>
        <v>1.077434456928839</v>
      </c>
      <c r="BQ106" s="37"/>
      <c r="BR106" s="39">
        <f t="shared" si="31"/>
        <v>0.24365190500742626</v>
      </c>
      <c r="BS106" s="37"/>
      <c r="BT106" s="37"/>
      <c r="BU106" s="37"/>
      <c r="BV106" s="39">
        <f t="shared" si="39"/>
        <v>0.1414136546709768</v>
      </c>
      <c r="BW106" s="37"/>
      <c r="BX106" s="39">
        <f t="shared" si="40"/>
        <v>0.1178949595096709</v>
      </c>
      <c r="BY106" s="39">
        <f t="shared" si="50"/>
        <v>4.9981077042535258</v>
      </c>
      <c r="BZ106" s="37"/>
      <c r="CA106" s="37"/>
      <c r="CB106" s="39">
        <f t="shared" si="53"/>
        <v>1.2725026686925527</v>
      </c>
      <c r="CC106" s="39">
        <f t="shared" si="49"/>
        <v>9.4275514981273414E-2</v>
      </c>
      <c r="CD106" s="39">
        <f>BP106*(12*AK106+AL106)/1000</f>
        <v>0.17238951310861425</v>
      </c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9">
        <f>0.063495+(0.016949+0.014096)*Wages!P104+1.22592*BR106</f>
        <v>0.54058715786860156</v>
      </c>
      <c r="CP106" s="39"/>
      <c r="CQ106" s="39">
        <f t="shared" si="41"/>
        <v>0.54058715786860156</v>
      </c>
      <c r="CR106" s="39">
        <f t="shared" si="51"/>
        <v>0.1414136546709768</v>
      </c>
      <c r="CS106" s="39">
        <f t="shared" si="42"/>
        <v>0.91683422092134237</v>
      </c>
      <c r="CT106" s="39">
        <f t="shared" si="43"/>
        <v>2.6390598824623814</v>
      </c>
      <c r="CU106" s="39">
        <f t="shared" si="54"/>
        <v>1.2725026686925527</v>
      </c>
      <c r="CV106" s="39">
        <f t="shared" si="52"/>
        <v>9.4275514981273414E-2</v>
      </c>
      <c r="CW106" s="39">
        <f>CD106</f>
        <v>0.17238951310861425</v>
      </c>
      <c r="CX106" s="39"/>
      <c r="CY106" s="39"/>
      <c r="CZ106" s="39">
        <f t="shared" si="32"/>
        <v>0.1178949595096709</v>
      </c>
      <c r="DA106" s="39">
        <f t="shared" si="44"/>
        <v>7.8541692495412549</v>
      </c>
      <c r="DB106" s="39">
        <v>5</v>
      </c>
      <c r="DC106" s="39">
        <f t="shared" si="33"/>
        <v>4.9981077042535258</v>
      </c>
      <c r="DD106" s="39">
        <v>4.0999999999999996</v>
      </c>
      <c r="DE106" s="39">
        <v>0.03</v>
      </c>
      <c r="DF106" s="37"/>
      <c r="DG106" s="39">
        <f t="shared" si="34"/>
        <v>0</v>
      </c>
      <c r="DH106" s="39">
        <f t="shared" si="35"/>
        <v>3.3959701154629842</v>
      </c>
      <c r="DI106" s="37"/>
      <c r="DJ106" s="37"/>
      <c r="DK106" s="37"/>
      <c r="DL106" s="37"/>
      <c r="DM106" s="39">
        <f t="shared" si="45"/>
        <v>0.63228245316725384</v>
      </c>
      <c r="DN106" s="39"/>
      <c r="DO106" s="39">
        <f t="shared" si="46"/>
        <v>0.63228245316725384</v>
      </c>
      <c r="DP106" s="37"/>
      <c r="DQ106" s="37">
        <f>DO106/'Conversions, Sources &amp; Comments'!E104</f>
        <v>0.58684075778450251</v>
      </c>
    </row>
    <row r="107" spans="1:121">
      <c r="A107" s="42">
        <f t="shared" si="36"/>
        <v>1355</v>
      </c>
      <c r="B107" s="36"/>
      <c r="C107" s="38">
        <v>5</v>
      </c>
      <c r="D107" s="38">
        <v>11.38</v>
      </c>
      <c r="E107" s="38">
        <v>3</v>
      </c>
      <c r="F107" s="38">
        <v>10</v>
      </c>
      <c r="G107" s="38">
        <v>2</v>
      </c>
      <c r="H107" s="38">
        <v>9.25</v>
      </c>
      <c r="I107" s="38">
        <v>4</v>
      </c>
      <c r="J107" s="38">
        <v>6.25</v>
      </c>
      <c r="K107" s="36"/>
      <c r="L107" s="36"/>
      <c r="M107" s="38">
        <v>3</v>
      </c>
      <c r="N107" s="36"/>
      <c r="O107" s="38">
        <v>10</v>
      </c>
      <c r="P107" s="36"/>
      <c r="Q107" s="36"/>
      <c r="R107" s="36"/>
      <c r="S107" s="36"/>
      <c r="T107" s="36"/>
      <c r="U107" s="38">
        <v>4.5</v>
      </c>
      <c r="V107" s="36"/>
      <c r="W107" s="38">
        <v>7</v>
      </c>
      <c r="X107" s="36"/>
      <c r="Y107" s="36"/>
      <c r="Z107" s="38">
        <v>2</v>
      </c>
      <c r="AA107" s="38">
        <v>1.5</v>
      </c>
      <c r="AB107" s="36"/>
      <c r="AC107" s="36"/>
      <c r="AD107" s="36"/>
      <c r="AE107" s="36"/>
      <c r="AF107" s="36"/>
      <c r="AG107" s="36"/>
      <c r="AH107" s="36"/>
      <c r="AI107" s="36"/>
      <c r="AJ107" s="36"/>
      <c r="AK107" s="38">
        <v>13</v>
      </c>
      <c r="AL107" s="38">
        <v>4</v>
      </c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59">
        <v>3.3333333333333335</v>
      </c>
      <c r="BH107" s="59"/>
      <c r="BI107" s="59">
        <v>7.4614815196089687E-2</v>
      </c>
      <c r="BJ107" s="59"/>
      <c r="BK107" s="36"/>
      <c r="BL107" s="36"/>
      <c r="BM107" s="36"/>
      <c r="BN107" s="38">
        <v>26.7</v>
      </c>
      <c r="BO107" s="36"/>
      <c r="BP107" s="39">
        <f t="shared" si="30"/>
        <v>1.077434456928839</v>
      </c>
      <c r="BQ107" s="37"/>
      <c r="BR107" s="39">
        <f t="shared" si="31"/>
        <v>0.27281369379498172</v>
      </c>
      <c r="BS107" s="37"/>
      <c r="BT107" s="37"/>
      <c r="BU107" s="37"/>
      <c r="BV107" s="39">
        <f t="shared" si="39"/>
        <v>0.15287962667132626</v>
      </c>
      <c r="BW107" s="37"/>
      <c r="BX107" s="39">
        <f t="shared" si="40"/>
        <v>0.1178949595096709</v>
      </c>
      <c r="BY107" s="39">
        <f t="shared" si="50"/>
        <v>5.0475939191471255</v>
      </c>
      <c r="BZ107" s="37"/>
      <c r="CA107" s="37"/>
      <c r="CB107" s="39">
        <f t="shared" si="53"/>
        <v>1.2725026686925527</v>
      </c>
      <c r="CC107" s="39">
        <f t="shared" si="49"/>
        <v>8.0807584269662919E-2</v>
      </c>
      <c r="CD107" s="39">
        <f>BP107*(12*AK107+AL107)/1000</f>
        <v>0.17238951310861425</v>
      </c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9">
        <f>0.063495+(0.016949+0.014096)*Wages!P105+1.22592*BR107</f>
        <v>0.5763371779790416</v>
      </c>
      <c r="CP107" s="39"/>
      <c r="CQ107" s="39">
        <f t="shared" si="41"/>
        <v>0.5763371779790416</v>
      </c>
      <c r="CR107" s="39">
        <f t="shared" si="51"/>
        <v>0.15287962667132626</v>
      </c>
      <c r="CS107" s="39">
        <f t="shared" si="42"/>
        <v>0.91683422092134237</v>
      </c>
      <c r="CT107" s="39">
        <f t="shared" si="43"/>
        <v>2.6390598824623814</v>
      </c>
      <c r="CU107" s="39">
        <f t="shared" si="54"/>
        <v>1.2725026686925527</v>
      </c>
      <c r="CV107" s="39">
        <f t="shared" si="52"/>
        <v>8.0807584269662919E-2</v>
      </c>
      <c r="CW107" s="39">
        <f>CD107</f>
        <v>0.17238951310861425</v>
      </c>
      <c r="CX107" s="39"/>
      <c r="CY107" s="39"/>
      <c r="CZ107" s="39">
        <f t="shared" si="32"/>
        <v>0.1178949595096709</v>
      </c>
      <c r="DA107" s="39">
        <f t="shared" si="44"/>
        <v>7.9319333015169118</v>
      </c>
      <c r="DB107" s="39">
        <v>5</v>
      </c>
      <c r="DC107" s="39">
        <f t="shared" si="33"/>
        <v>5.0475939191471255</v>
      </c>
      <c r="DD107" s="39">
        <v>4.0999999999999996</v>
      </c>
      <c r="DE107" s="39">
        <v>0.03</v>
      </c>
      <c r="DF107" s="37"/>
      <c r="DG107" s="39">
        <f t="shared" si="34"/>
        <v>0</v>
      </c>
      <c r="DH107" s="39">
        <f t="shared" si="35"/>
        <v>3.3959701154629842</v>
      </c>
      <c r="DI107" s="37"/>
      <c r="DJ107" s="37"/>
      <c r="DK107" s="37"/>
      <c r="DL107" s="37"/>
      <c r="DM107" s="39">
        <f t="shared" si="45"/>
        <v>0.64851111934763606</v>
      </c>
      <c r="DN107" s="39"/>
      <c r="DO107" s="39">
        <f t="shared" si="46"/>
        <v>0.64851111934763606</v>
      </c>
      <c r="DP107" s="37"/>
      <c r="DQ107" s="37">
        <f>DO107/'Conversions, Sources &amp; Comments'!E105</f>
        <v>0.60190308113606961</v>
      </c>
    </row>
    <row r="108" spans="1:121">
      <c r="A108" s="42">
        <f t="shared" si="36"/>
        <v>1356</v>
      </c>
      <c r="B108" s="36"/>
      <c r="C108" s="38">
        <v>6</v>
      </c>
      <c r="D108" s="38">
        <v>0</v>
      </c>
      <c r="E108" s="38">
        <v>4</v>
      </c>
      <c r="F108" s="38">
        <v>5</v>
      </c>
      <c r="G108" s="38">
        <v>2</v>
      </c>
      <c r="H108" s="38">
        <v>10.88</v>
      </c>
      <c r="I108" s="38">
        <v>4</v>
      </c>
      <c r="J108" s="38">
        <v>8.5</v>
      </c>
      <c r="K108" s="36"/>
      <c r="L108" s="36"/>
      <c r="M108" s="38">
        <v>5</v>
      </c>
      <c r="N108" s="38">
        <v>3.375</v>
      </c>
      <c r="O108" s="38">
        <v>11</v>
      </c>
      <c r="P108" s="36"/>
      <c r="Q108" s="36"/>
      <c r="R108" s="36"/>
      <c r="S108" s="36"/>
      <c r="T108" s="36"/>
      <c r="U108" s="36"/>
      <c r="V108" s="36"/>
      <c r="W108" s="38">
        <v>9</v>
      </c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8">
        <v>17</v>
      </c>
      <c r="AL108" s="38">
        <v>8.5</v>
      </c>
      <c r="AM108" s="36"/>
      <c r="AN108" s="36"/>
      <c r="AO108" s="38">
        <v>1</v>
      </c>
      <c r="AP108" s="38">
        <v>5.25</v>
      </c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59">
        <v>5.583333333333333</v>
      </c>
      <c r="BH108" s="59"/>
      <c r="BI108" s="59">
        <v>9.3959396913595492E-2</v>
      </c>
      <c r="BJ108" s="59"/>
      <c r="BK108" s="36"/>
      <c r="BL108" s="36"/>
      <c r="BM108" s="36"/>
      <c r="BN108" s="38">
        <v>26.7</v>
      </c>
      <c r="BO108" s="36"/>
      <c r="BP108" s="39">
        <f t="shared" si="30"/>
        <v>1.077434456928839</v>
      </c>
      <c r="BQ108" s="37"/>
      <c r="BR108" s="39">
        <f t="shared" si="31"/>
        <v>0.27518332800838724</v>
      </c>
      <c r="BS108" s="37"/>
      <c r="BT108" s="37"/>
      <c r="BU108" s="37"/>
      <c r="BV108" s="39">
        <f t="shared" si="39"/>
        <v>0.2560733746744715</v>
      </c>
      <c r="BW108" s="37"/>
      <c r="BX108" s="39">
        <f t="shared" si="40"/>
        <v>0.14846031938255019</v>
      </c>
      <c r="BY108" s="39">
        <v>5</v>
      </c>
      <c r="BZ108" s="37"/>
      <c r="CA108" s="37"/>
      <c r="CB108" s="39">
        <f t="shared" si="53"/>
        <v>1.3997529355618079</v>
      </c>
      <c r="CC108" s="37"/>
      <c r="CD108" s="39">
        <f>BP108*(12*AK108+AL108)/1000</f>
        <v>0.2289548220973783</v>
      </c>
      <c r="CE108" s="37"/>
      <c r="CF108" s="37"/>
      <c r="CG108" s="39">
        <f>BP108*(12*AO108+AP108)/4.55</f>
        <v>4.0847789850598843</v>
      </c>
      <c r="CH108" s="37"/>
      <c r="CI108" s="37"/>
      <c r="CJ108" s="37"/>
      <c r="CK108" s="37"/>
      <c r="CL108" s="37"/>
      <c r="CM108" s="37"/>
      <c r="CN108" s="37"/>
      <c r="CO108" s="39">
        <f>0.063495+(0.016949+0.014096)*Wages!P106+1.22592*BR108</f>
        <v>0.57924215995393968</v>
      </c>
      <c r="CP108" s="39"/>
      <c r="CQ108" s="39">
        <f t="shared" si="41"/>
        <v>0.57924215995393968</v>
      </c>
      <c r="CR108" s="39">
        <f t="shared" si="51"/>
        <v>0.2560733746744715</v>
      </c>
      <c r="CS108" s="39">
        <f t="shared" si="42"/>
        <v>1.0085176430134764</v>
      </c>
      <c r="CT108" s="39">
        <f t="shared" si="43"/>
        <v>2.902965870708619</v>
      </c>
      <c r="CU108" s="39">
        <f t="shared" si="54"/>
        <v>1.3997529355618079</v>
      </c>
      <c r="CV108" s="39">
        <v>0.08</v>
      </c>
      <c r="CW108" s="39">
        <f>CD108</f>
        <v>0.2289548220973783</v>
      </c>
      <c r="CX108" s="39"/>
      <c r="CY108" s="39"/>
      <c r="CZ108" s="39">
        <f t="shared" si="32"/>
        <v>0.14846031938255019</v>
      </c>
      <c r="DA108" s="39">
        <f t="shared" si="44"/>
        <v>7.8571428571428568</v>
      </c>
      <c r="DB108" s="39">
        <v>5</v>
      </c>
      <c r="DC108" s="39">
        <f t="shared" si="33"/>
        <v>5</v>
      </c>
      <c r="DD108" s="39">
        <f>CG108</f>
        <v>4.0847789850598843</v>
      </c>
      <c r="DE108" s="39">
        <v>0.03</v>
      </c>
      <c r="DF108" s="37"/>
      <c r="DG108" s="39">
        <f t="shared" si="34"/>
        <v>0</v>
      </c>
      <c r="DH108" s="39">
        <f t="shared" si="35"/>
        <v>3.3959701154629842</v>
      </c>
      <c r="DI108" s="37"/>
      <c r="DJ108" s="37"/>
      <c r="DK108" s="37"/>
      <c r="DL108" s="37"/>
      <c r="DM108" s="39">
        <f t="shared" si="45"/>
        <v>0.68581104399775727</v>
      </c>
      <c r="DN108" s="39"/>
      <c r="DO108" s="39">
        <f t="shared" si="46"/>
        <v>0.68581104399775727</v>
      </c>
      <c r="DP108" s="37"/>
      <c r="DQ108" s="37">
        <f>DO108/'Conversions, Sources &amp; Comments'!E106</f>
        <v>0.6365222864253105</v>
      </c>
    </row>
    <row r="109" spans="1:121">
      <c r="A109" s="42">
        <f t="shared" si="36"/>
        <v>1357</v>
      </c>
      <c r="B109" s="36"/>
      <c r="C109" s="38">
        <v>6</v>
      </c>
      <c r="D109" s="38">
        <v>10.25</v>
      </c>
      <c r="E109" s="38">
        <v>4</v>
      </c>
      <c r="F109" s="38">
        <v>5.13</v>
      </c>
      <c r="G109" s="38">
        <v>2</v>
      </c>
      <c r="H109" s="38">
        <v>10</v>
      </c>
      <c r="I109" s="38">
        <v>4</v>
      </c>
      <c r="J109" s="38">
        <v>11.25</v>
      </c>
      <c r="K109" s="36"/>
      <c r="L109" s="36"/>
      <c r="M109" s="38">
        <v>4</v>
      </c>
      <c r="N109" s="38">
        <v>0.375</v>
      </c>
      <c r="O109" s="38">
        <v>10</v>
      </c>
      <c r="P109" s="36"/>
      <c r="Q109" s="36"/>
      <c r="R109" s="36"/>
      <c r="S109" s="36"/>
      <c r="T109" s="36"/>
      <c r="U109" s="36"/>
      <c r="V109" s="36"/>
      <c r="W109" s="38">
        <v>7.75</v>
      </c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59">
        <v>4.25</v>
      </c>
      <c r="BH109" s="59"/>
      <c r="BI109" s="59">
        <v>8.5668861891806808E-2</v>
      </c>
      <c r="BJ109" s="59"/>
      <c r="BK109" s="36"/>
      <c r="BL109" s="36"/>
      <c r="BM109" s="36"/>
      <c r="BN109" s="38">
        <v>26.7</v>
      </c>
      <c r="BO109" s="36"/>
      <c r="BP109" s="39">
        <f t="shared" si="30"/>
        <v>1.077434456928839</v>
      </c>
      <c r="BQ109" s="37"/>
      <c r="BR109" s="39">
        <f t="shared" si="31"/>
        <v>0.31435873234291462</v>
      </c>
      <c r="BS109" s="37"/>
      <c r="BT109" s="37"/>
      <c r="BU109" s="37"/>
      <c r="BV109" s="39">
        <f t="shared" si="39"/>
        <v>0.19492152400594098</v>
      </c>
      <c r="BW109" s="37"/>
      <c r="BX109" s="39">
        <f t="shared" si="40"/>
        <v>0.13536087943702974</v>
      </c>
      <c r="BY109" s="39">
        <v>5</v>
      </c>
      <c r="BZ109" s="37"/>
      <c r="CA109" s="37"/>
      <c r="CB109" s="39">
        <f t="shared" si="53"/>
        <v>1.2725026686925527</v>
      </c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9">
        <f>0.063495+(0.016949+0.014096)*Wages!P107+1.22592*BR109</f>
        <v>0.62726807163572351</v>
      </c>
      <c r="CP109" s="39"/>
      <c r="CQ109" s="39">
        <f t="shared" si="41"/>
        <v>0.62726807163572351</v>
      </c>
      <c r="CR109" s="39">
        <f t="shared" si="51"/>
        <v>0.19492152400594098</v>
      </c>
      <c r="CS109" s="39">
        <f t="shared" si="42"/>
        <v>0.91683422092134237</v>
      </c>
      <c r="CT109" s="39">
        <f t="shared" si="43"/>
        <v>2.6390598824623814</v>
      </c>
      <c r="CU109" s="39">
        <f t="shared" si="54"/>
        <v>1.2725026686925527</v>
      </c>
      <c r="CV109" s="39">
        <v>0.08</v>
      </c>
      <c r="CW109" s="39">
        <v>0.19</v>
      </c>
      <c r="CX109" s="39"/>
      <c r="CY109" s="39"/>
      <c r="CZ109" s="39">
        <f t="shared" si="32"/>
        <v>0.13536087943702974</v>
      </c>
      <c r="DA109" s="39">
        <f t="shared" si="44"/>
        <v>7.8571428571428568</v>
      </c>
      <c r="DB109" s="39">
        <v>5</v>
      </c>
      <c r="DC109" s="39">
        <f t="shared" si="33"/>
        <v>5</v>
      </c>
      <c r="DD109" s="39">
        <v>3.5</v>
      </c>
      <c r="DE109" s="39">
        <v>0.03</v>
      </c>
      <c r="DF109" s="37"/>
      <c r="DG109" s="39">
        <f t="shared" si="34"/>
        <v>0</v>
      </c>
      <c r="DH109" s="39">
        <f t="shared" si="35"/>
        <v>3.3959701154629842</v>
      </c>
      <c r="DI109" s="37"/>
      <c r="DJ109" s="37"/>
      <c r="DK109" s="37"/>
      <c r="DL109" s="37"/>
      <c r="DM109" s="39">
        <f t="shared" si="45"/>
        <v>0.67915523803616862</v>
      </c>
      <c r="DN109" s="39"/>
      <c r="DO109" s="39">
        <f t="shared" si="46"/>
        <v>0.67915523803616862</v>
      </c>
      <c r="DP109" s="37"/>
      <c r="DQ109" s="37">
        <f>DO109/'Conversions, Sources &amp; Comments'!E107</f>
        <v>0.63034482855881468</v>
      </c>
    </row>
    <row r="110" spans="1:121">
      <c r="A110" s="42">
        <f t="shared" si="36"/>
        <v>1358</v>
      </c>
      <c r="B110" s="36"/>
      <c r="C110" s="38">
        <v>5</v>
      </c>
      <c r="D110" s="38">
        <v>6.25</v>
      </c>
      <c r="E110" s="38">
        <v>5</v>
      </c>
      <c r="F110" s="38">
        <v>1.5</v>
      </c>
      <c r="G110" s="38">
        <v>2</v>
      </c>
      <c r="H110" s="38">
        <v>7.13</v>
      </c>
      <c r="I110" s="38">
        <v>3</v>
      </c>
      <c r="J110" s="38">
        <v>9.3800000000000008</v>
      </c>
      <c r="K110" s="36"/>
      <c r="L110" s="36"/>
      <c r="M110" s="38">
        <v>3</v>
      </c>
      <c r="N110" s="38">
        <v>2.125</v>
      </c>
      <c r="O110" s="38">
        <v>10</v>
      </c>
      <c r="P110" s="36"/>
      <c r="Q110" s="36"/>
      <c r="R110" s="36"/>
      <c r="S110" s="36"/>
      <c r="T110" s="36"/>
      <c r="U110" s="38">
        <v>5</v>
      </c>
      <c r="V110" s="36"/>
      <c r="W110" s="36"/>
      <c r="X110" s="36"/>
      <c r="Y110" s="36"/>
      <c r="Z110" s="38">
        <v>2</v>
      </c>
      <c r="AA110" s="38">
        <v>0</v>
      </c>
      <c r="AB110" s="36"/>
      <c r="AC110" s="36"/>
      <c r="AD110" s="36"/>
      <c r="AE110" s="36"/>
      <c r="AF110" s="36"/>
      <c r="AG110" s="36"/>
      <c r="AH110" s="36"/>
      <c r="AI110" s="36"/>
      <c r="AJ110" s="36"/>
      <c r="AK110" s="38">
        <v>12</v>
      </c>
      <c r="AL110" s="38">
        <v>9.75</v>
      </c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59">
        <v>2.8333333333333335</v>
      </c>
      <c r="BH110" s="59"/>
      <c r="BI110" s="59">
        <v>7.8760082706984036E-2</v>
      </c>
      <c r="BJ110" s="59"/>
      <c r="BK110" s="36"/>
      <c r="BL110" s="36"/>
      <c r="BM110" s="36"/>
      <c r="BN110" s="38">
        <v>26.7</v>
      </c>
      <c r="BO110" s="36"/>
      <c r="BP110" s="39">
        <f t="shared" si="30"/>
        <v>1.077434456928839</v>
      </c>
      <c r="BQ110" s="37"/>
      <c r="BR110" s="39">
        <f t="shared" si="31"/>
        <v>0.25320688167438415</v>
      </c>
      <c r="BS110" s="37"/>
      <c r="BT110" s="37"/>
      <c r="BU110" s="37"/>
      <c r="BV110" s="39">
        <f t="shared" si="39"/>
        <v>0.12994768267062734</v>
      </c>
      <c r="BW110" s="37"/>
      <c r="BX110" s="39">
        <f t="shared" si="40"/>
        <v>0.12444467948243114</v>
      </c>
      <c r="BY110" s="39">
        <f t="shared" ref="BY110:BY131" si="55">$BP110*(12*Z110+AA110)/(12*0.453592)</f>
        <v>4.7506766297855298</v>
      </c>
      <c r="BZ110" s="37"/>
      <c r="CA110" s="37"/>
      <c r="CB110" s="39">
        <f t="shared" si="53"/>
        <v>1.2725026686925527</v>
      </c>
      <c r="CC110" s="39">
        <f>2*BP110*U110/120</f>
        <v>8.9786204744069911E-2</v>
      </c>
      <c r="CD110" s="39">
        <f>BP110*(12*AK110+AL110)/1000</f>
        <v>0.165655547752809</v>
      </c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9">
        <f>0.063495+(0.016949+0.014096)*Wages!P108+1.22592*BR110</f>
        <v>0.55230079486415862</v>
      </c>
      <c r="CP110" s="39"/>
      <c r="CQ110" s="39">
        <f t="shared" si="41"/>
        <v>0.55230079486415862</v>
      </c>
      <c r="CR110" s="39">
        <f t="shared" si="51"/>
        <v>0.12994768267062734</v>
      </c>
      <c r="CS110" s="39">
        <f t="shared" si="42"/>
        <v>0.91683422092134237</v>
      </c>
      <c r="CT110" s="39">
        <f t="shared" si="43"/>
        <v>2.6390598824623814</v>
      </c>
      <c r="CU110" s="39">
        <f t="shared" si="54"/>
        <v>1.2725026686925527</v>
      </c>
      <c r="CV110" s="39">
        <f>CC110</f>
        <v>8.9786204744069911E-2</v>
      </c>
      <c r="CW110" s="39">
        <f>CD110</f>
        <v>0.165655547752809</v>
      </c>
      <c r="CX110" s="39"/>
      <c r="CY110" s="39"/>
      <c r="CZ110" s="39">
        <f t="shared" si="32"/>
        <v>0.12444467948243114</v>
      </c>
      <c r="DA110" s="39">
        <f t="shared" si="44"/>
        <v>7.4653489896629761</v>
      </c>
      <c r="DB110" s="39">
        <v>5</v>
      </c>
      <c r="DC110" s="39">
        <f t="shared" si="33"/>
        <v>4.7506766297855298</v>
      </c>
      <c r="DD110" s="39">
        <v>3.5</v>
      </c>
      <c r="DE110" s="39">
        <v>0.03</v>
      </c>
      <c r="DF110" s="37"/>
      <c r="DG110" s="39">
        <f t="shared" si="34"/>
        <v>0</v>
      </c>
      <c r="DH110" s="39">
        <f t="shared" si="35"/>
        <v>3.3959701154629842</v>
      </c>
      <c r="DI110" s="37"/>
      <c r="DJ110" s="37"/>
      <c r="DK110" s="37"/>
      <c r="DL110" s="37"/>
      <c r="DM110" s="39">
        <f t="shared" si="45"/>
        <v>0.63054709661535502</v>
      </c>
      <c r="DN110" s="39"/>
      <c r="DO110" s="39">
        <f t="shared" si="46"/>
        <v>0.63054709661535502</v>
      </c>
      <c r="DP110" s="37"/>
      <c r="DQ110" s="37">
        <f>DO110/'Conversions, Sources &amp; Comments'!E108</f>
        <v>0.58523012008794573</v>
      </c>
    </row>
    <row r="111" spans="1:121">
      <c r="A111" s="42">
        <f t="shared" si="36"/>
        <v>1359</v>
      </c>
      <c r="B111" s="36"/>
      <c r="C111" s="38">
        <v>5</v>
      </c>
      <c r="D111" s="38">
        <v>11</v>
      </c>
      <c r="E111" s="38">
        <v>4</v>
      </c>
      <c r="F111" s="38">
        <v>4.25</v>
      </c>
      <c r="G111" s="38">
        <v>2</v>
      </c>
      <c r="H111" s="38">
        <v>3.38</v>
      </c>
      <c r="I111" s="38">
        <v>3</v>
      </c>
      <c r="J111" s="38">
        <v>2.5</v>
      </c>
      <c r="K111" s="36"/>
      <c r="L111" s="36"/>
      <c r="M111" s="38">
        <v>2</v>
      </c>
      <c r="N111" s="38">
        <v>6.375</v>
      </c>
      <c r="O111" s="38">
        <v>13</v>
      </c>
      <c r="P111" s="38">
        <v>4</v>
      </c>
      <c r="Q111" s="36"/>
      <c r="R111" s="36"/>
      <c r="S111" s="36"/>
      <c r="T111" s="36"/>
      <c r="U111" s="38">
        <v>4.5</v>
      </c>
      <c r="V111" s="36"/>
      <c r="W111" s="38">
        <v>7</v>
      </c>
      <c r="X111" s="36"/>
      <c r="Y111" s="36"/>
      <c r="Z111" s="38">
        <v>2</v>
      </c>
      <c r="AA111" s="38">
        <v>2</v>
      </c>
      <c r="AB111" s="36"/>
      <c r="AC111" s="36"/>
      <c r="AD111" s="36"/>
      <c r="AE111" s="36"/>
      <c r="AF111" s="36"/>
      <c r="AG111" s="36"/>
      <c r="AH111" s="36"/>
      <c r="AI111" s="36"/>
      <c r="AJ111" s="36"/>
      <c r="AK111" s="38">
        <v>11</v>
      </c>
      <c r="AL111" s="38">
        <v>9.25</v>
      </c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59">
        <v>3.8333333333333335</v>
      </c>
      <c r="BH111" s="59"/>
      <c r="BI111" s="59">
        <v>8.8432373565736924E-2</v>
      </c>
      <c r="BJ111" s="59"/>
      <c r="BK111" s="36"/>
      <c r="BL111" s="36"/>
      <c r="BM111" s="36"/>
      <c r="BN111" s="38">
        <v>26.7</v>
      </c>
      <c r="BO111" s="36"/>
      <c r="BP111" s="39">
        <f t="shared" si="30"/>
        <v>1.077434456928839</v>
      </c>
      <c r="BQ111" s="37"/>
      <c r="BR111" s="39">
        <f t="shared" si="31"/>
        <v>0.27136133734160411</v>
      </c>
      <c r="BS111" s="37"/>
      <c r="BT111" s="37"/>
      <c r="BU111" s="37"/>
      <c r="BV111" s="39">
        <f t="shared" si="39"/>
        <v>0.17581157067202521</v>
      </c>
      <c r="BW111" s="37"/>
      <c r="BX111" s="39">
        <f t="shared" si="40"/>
        <v>0.13972735941887077</v>
      </c>
      <c r="BY111" s="39">
        <f t="shared" si="55"/>
        <v>5.1465663489343232</v>
      </c>
      <c r="BZ111" s="37"/>
      <c r="CA111" s="37"/>
      <c r="CB111" s="39">
        <f t="shared" si="53"/>
        <v>1.6966702249234036</v>
      </c>
      <c r="CC111" s="39">
        <f>2*BP111*U111/120</f>
        <v>8.0807584269662919E-2</v>
      </c>
      <c r="CD111" s="39">
        <f>BP111*(12*AK111+AL111)/1000</f>
        <v>0.15218761704119851</v>
      </c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9">
        <f>0.063495+(0.016949+0.014096)*Wages!P109+1.22592*BR111</f>
        <v>0.57455670515571688</v>
      </c>
      <c r="CP111" s="39"/>
      <c r="CQ111" s="39">
        <f t="shared" si="41"/>
        <v>0.57455670515571688</v>
      </c>
      <c r="CR111" s="39">
        <f t="shared" si="51"/>
        <v>0.17581157067202521</v>
      </c>
      <c r="CS111" s="39">
        <f t="shared" si="42"/>
        <v>1.222445627895123</v>
      </c>
      <c r="CT111" s="39">
        <f t="shared" si="43"/>
        <v>3.5187465099498416</v>
      </c>
      <c r="CU111" s="39">
        <f t="shared" si="54"/>
        <v>1.6966702249234036</v>
      </c>
      <c r="CV111" s="39">
        <f>CC111</f>
        <v>8.0807584269662919E-2</v>
      </c>
      <c r="CW111" s="39">
        <f>CD111</f>
        <v>0.15218761704119851</v>
      </c>
      <c r="CX111" s="39"/>
      <c r="CY111" s="39"/>
      <c r="CZ111" s="39">
        <f t="shared" si="32"/>
        <v>0.13972735941887077</v>
      </c>
      <c r="DA111" s="39">
        <f t="shared" si="44"/>
        <v>8.0874614054682219</v>
      </c>
      <c r="DB111" s="39">
        <v>5</v>
      </c>
      <c r="DC111" s="39">
        <f t="shared" si="33"/>
        <v>5.1465663489343232</v>
      </c>
      <c r="DD111" s="39">
        <v>3.5</v>
      </c>
      <c r="DE111" s="39">
        <v>0.03</v>
      </c>
      <c r="DF111" s="37"/>
      <c r="DG111" s="39">
        <f t="shared" si="34"/>
        <v>0</v>
      </c>
      <c r="DH111" s="39">
        <f t="shared" si="35"/>
        <v>3.3959701154629842</v>
      </c>
      <c r="DI111" s="37"/>
      <c r="DJ111" s="37"/>
      <c r="DK111" s="37"/>
      <c r="DL111" s="37"/>
      <c r="DM111" s="39">
        <f t="shared" si="45"/>
        <v>0.69350897434703551</v>
      </c>
      <c r="DN111" s="39"/>
      <c r="DO111" s="39">
        <f t="shared" si="46"/>
        <v>0.69350897434703551</v>
      </c>
      <c r="DP111" s="37"/>
      <c r="DQ111" s="37">
        <f>DO111/'Conversions, Sources &amp; Comments'!E109</f>
        <v>0.6436669719324184</v>
      </c>
    </row>
    <row r="112" spans="1:121">
      <c r="A112" s="42">
        <f t="shared" si="36"/>
        <v>1360</v>
      </c>
      <c r="B112" s="36"/>
      <c r="C112" s="38">
        <v>6</v>
      </c>
      <c r="D112" s="38">
        <v>3.5</v>
      </c>
      <c r="E112" s="38">
        <v>4</v>
      </c>
      <c r="F112" s="38">
        <v>6.5</v>
      </c>
      <c r="G112" s="38">
        <v>2</v>
      </c>
      <c r="H112" s="38">
        <v>9.25</v>
      </c>
      <c r="I112" s="38">
        <v>4</v>
      </c>
      <c r="J112" s="38">
        <v>3.38</v>
      </c>
      <c r="K112" s="36"/>
      <c r="L112" s="36"/>
      <c r="M112" s="38">
        <v>4</v>
      </c>
      <c r="N112" s="38">
        <v>1.625</v>
      </c>
      <c r="O112" s="36"/>
      <c r="P112" s="36"/>
      <c r="Q112" s="36"/>
      <c r="R112" s="36"/>
      <c r="S112" s="36"/>
      <c r="T112" s="36"/>
      <c r="U112" s="38">
        <v>5</v>
      </c>
      <c r="V112" s="36"/>
      <c r="W112" s="36"/>
      <c r="X112" s="36"/>
      <c r="Y112" s="36"/>
      <c r="Z112" s="38">
        <v>2</v>
      </c>
      <c r="AA112" s="38">
        <v>0</v>
      </c>
      <c r="AB112" s="36"/>
      <c r="AC112" s="36"/>
      <c r="AD112" s="36"/>
      <c r="AE112" s="36"/>
      <c r="AF112" s="36"/>
      <c r="AG112" s="38">
        <v>5</v>
      </c>
      <c r="AH112" s="38">
        <v>6</v>
      </c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59">
        <v>5.166666666666667</v>
      </c>
      <c r="BH112" s="59"/>
      <c r="BI112" s="59">
        <v>0.11054046695717117</v>
      </c>
      <c r="BJ112" s="59"/>
      <c r="BK112" s="36"/>
      <c r="BL112" s="36"/>
      <c r="BM112" s="36"/>
      <c r="BN112" s="38">
        <v>26.7</v>
      </c>
      <c r="BO112" s="36"/>
      <c r="BP112" s="39">
        <f t="shared" si="30"/>
        <v>1.077434456928839</v>
      </c>
      <c r="BQ112" s="37"/>
      <c r="BR112" s="39">
        <f t="shared" si="31"/>
        <v>0.28856029534212835</v>
      </c>
      <c r="BS112" s="37"/>
      <c r="BT112" s="37"/>
      <c r="BU112" s="37"/>
      <c r="BV112" s="39">
        <f t="shared" si="39"/>
        <v>0.23696342134055576</v>
      </c>
      <c r="BW112" s="37"/>
      <c r="BX112" s="39">
        <f t="shared" si="40"/>
        <v>0.1746591992735885</v>
      </c>
      <c r="BY112" s="39">
        <f t="shared" si="55"/>
        <v>4.7506766297855298</v>
      </c>
      <c r="BZ112" s="37"/>
      <c r="CA112" s="37"/>
      <c r="CB112" s="37"/>
      <c r="CC112" s="39">
        <f>2*BP112*U112/120</f>
        <v>8.9786204744069911E-2</v>
      </c>
      <c r="CD112" s="37"/>
      <c r="CE112" s="37"/>
      <c r="CF112" s="37"/>
      <c r="CG112" s="37"/>
      <c r="CH112" s="37"/>
      <c r="CI112" s="37"/>
      <c r="CJ112" s="37"/>
      <c r="CK112" s="37"/>
      <c r="CL112" s="39">
        <f>BP112*(12*AG112+AH112)/100</f>
        <v>0.71110674157303377</v>
      </c>
      <c r="CM112" s="37"/>
      <c r="CN112" s="37"/>
      <c r="CO112" s="39">
        <f>0.063495+(0.016949+0.014096)*Wages!P110+1.22592*BR112</f>
        <v>0.59564125174771954</v>
      </c>
      <c r="CP112" s="39"/>
      <c r="CQ112" s="39">
        <f t="shared" si="41"/>
        <v>0.59564125174771954</v>
      </c>
      <c r="CR112" s="39">
        <f t="shared" si="51"/>
        <v>0.23696342134055576</v>
      </c>
      <c r="CS112" s="39">
        <f t="shared" si="42"/>
        <v>1.0447204968944099</v>
      </c>
      <c r="CT112" s="39">
        <f t="shared" si="43"/>
        <v>3.0071739130434789</v>
      </c>
      <c r="CU112" s="39">
        <v>1.45</v>
      </c>
      <c r="CV112" s="39">
        <f>CC112</f>
        <v>8.9786204744069911E-2</v>
      </c>
      <c r="CW112" s="39">
        <v>0.16</v>
      </c>
      <c r="CX112" s="39"/>
      <c r="CY112" s="39"/>
      <c r="CZ112" s="39">
        <f t="shared" si="32"/>
        <v>0.1746591992735885</v>
      </c>
      <c r="DA112" s="39">
        <f t="shared" si="44"/>
        <v>7.4653489896629761</v>
      </c>
      <c r="DB112" s="39">
        <v>5</v>
      </c>
      <c r="DC112" s="39">
        <f t="shared" si="33"/>
        <v>4.7506766297855298</v>
      </c>
      <c r="DD112" s="39">
        <v>3.5</v>
      </c>
      <c r="DE112" s="39">
        <v>0.03</v>
      </c>
      <c r="DF112" s="37"/>
      <c r="DG112" s="39">
        <f t="shared" si="34"/>
        <v>0.71110674157303377</v>
      </c>
      <c r="DH112" s="39">
        <f t="shared" si="35"/>
        <v>3.3959701154629842</v>
      </c>
      <c r="DI112" s="37"/>
      <c r="DJ112" s="37"/>
      <c r="DK112" s="37"/>
      <c r="DL112" s="37"/>
      <c r="DM112" s="39">
        <f t="shared" si="45"/>
        <v>0.69985087226650844</v>
      </c>
      <c r="DN112" s="39"/>
      <c r="DO112" s="39">
        <f t="shared" si="46"/>
        <v>0.69985087226650844</v>
      </c>
      <c r="DP112" s="37"/>
      <c r="DQ112" s="37">
        <f>DO112/'Conversions, Sources &amp; Comments'!E110</f>
        <v>0.64955308210709217</v>
      </c>
    </row>
    <row r="113" spans="1:121">
      <c r="A113" s="42">
        <f t="shared" si="36"/>
        <v>1361</v>
      </c>
      <c r="B113" s="36"/>
      <c r="C113" s="38">
        <v>5</v>
      </c>
      <c r="D113" s="38">
        <v>4.75</v>
      </c>
      <c r="E113" s="38">
        <v>4</v>
      </c>
      <c r="F113" s="38">
        <v>7.25</v>
      </c>
      <c r="G113" s="38">
        <v>3</v>
      </c>
      <c r="H113" s="38">
        <v>2.5</v>
      </c>
      <c r="I113" s="38">
        <v>3</v>
      </c>
      <c r="J113" s="38">
        <v>7.38</v>
      </c>
      <c r="K113" s="36"/>
      <c r="L113" s="36"/>
      <c r="M113" s="38">
        <v>4</v>
      </c>
      <c r="N113" s="38">
        <v>9.375</v>
      </c>
      <c r="O113" s="38">
        <v>10</v>
      </c>
      <c r="P113" s="36"/>
      <c r="Q113" s="36"/>
      <c r="R113" s="36"/>
      <c r="S113" s="36"/>
      <c r="T113" s="36"/>
      <c r="U113" s="38">
        <v>4.75</v>
      </c>
      <c r="V113" s="36"/>
      <c r="W113" s="38">
        <v>8</v>
      </c>
      <c r="X113" s="36"/>
      <c r="Y113" s="36"/>
      <c r="Z113" s="38">
        <v>2</v>
      </c>
      <c r="AA113" s="38">
        <v>3</v>
      </c>
      <c r="AB113" s="36"/>
      <c r="AC113" s="36"/>
      <c r="AD113" s="36"/>
      <c r="AE113" s="36"/>
      <c r="AF113" s="36"/>
      <c r="AG113" s="36"/>
      <c r="AH113" s="36"/>
      <c r="AI113" s="36"/>
      <c r="AJ113" s="36"/>
      <c r="AK113" s="38">
        <v>13</v>
      </c>
      <c r="AL113" s="38">
        <v>4</v>
      </c>
      <c r="AM113" s="36"/>
      <c r="AN113" s="36"/>
      <c r="AO113" s="38">
        <v>1</v>
      </c>
      <c r="AP113" s="38">
        <v>0.25</v>
      </c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59">
        <v>5.5</v>
      </c>
      <c r="BH113" s="59"/>
      <c r="BI113" s="59">
        <v>0.16166543292486241</v>
      </c>
      <c r="BJ113" s="59"/>
      <c r="BK113" s="36"/>
      <c r="BL113" s="36"/>
      <c r="BM113" s="36"/>
      <c r="BN113" s="38">
        <v>26.7</v>
      </c>
      <c r="BO113" s="36"/>
      <c r="BP113" s="39">
        <f t="shared" si="30"/>
        <v>1.077434456928839</v>
      </c>
      <c r="BQ113" s="37"/>
      <c r="BR113" s="39">
        <f t="shared" si="31"/>
        <v>0.24747389567420938</v>
      </c>
      <c r="BS113" s="37"/>
      <c r="BT113" s="37"/>
      <c r="BU113" s="37"/>
      <c r="BV113" s="39">
        <f t="shared" si="39"/>
        <v>0.25225138400768837</v>
      </c>
      <c r="BW113" s="37"/>
      <c r="BX113" s="39">
        <f t="shared" si="40"/>
        <v>0.25543907893762252</v>
      </c>
      <c r="BY113" s="39">
        <f t="shared" si="55"/>
        <v>5.3445112085087212</v>
      </c>
      <c r="BZ113" s="37"/>
      <c r="CA113" s="37"/>
      <c r="CB113" s="39">
        <f>$BP113*(12*O113+P113)/(224*0.453592)</f>
        <v>1.2725026686925527</v>
      </c>
      <c r="CC113" s="39">
        <f>2*BP113*U113/120</f>
        <v>8.5296894506866422E-2</v>
      </c>
      <c r="CD113" s="39">
        <f>BP113*(12*AK113+AL113)/1000</f>
        <v>0.17238951310861425</v>
      </c>
      <c r="CE113" s="37"/>
      <c r="CF113" s="37"/>
      <c r="CG113" s="39">
        <f>BP113*(12*AO113+AP113)/4.55</f>
        <v>2.9007850763468745</v>
      </c>
      <c r="CH113" s="37"/>
      <c r="CI113" s="37"/>
      <c r="CJ113" s="37"/>
      <c r="CK113" s="37"/>
      <c r="CL113" s="37"/>
      <c r="CM113" s="37"/>
      <c r="CN113" s="37"/>
      <c r="CO113" s="39">
        <f>0.063495+(0.016949+0.014096)*Wages!P111+1.22592*BR113</f>
        <v>0.58987121628729877</v>
      </c>
      <c r="CP113" s="39"/>
      <c r="CQ113" s="39">
        <f t="shared" si="41"/>
        <v>0.58987121628729877</v>
      </c>
      <c r="CR113" s="39">
        <f t="shared" si="51"/>
        <v>0.25225138400768837</v>
      </c>
      <c r="CS113" s="39">
        <f t="shared" si="42"/>
        <v>0.91683422092134237</v>
      </c>
      <c r="CT113" s="39">
        <f t="shared" si="43"/>
        <v>2.6390598824623814</v>
      </c>
      <c r="CU113" s="39">
        <f>CB113</f>
        <v>1.2725026686925527</v>
      </c>
      <c r="CV113" s="39">
        <f>CC113</f>
        <v>8.5296894506866422E-2</v>
      </c>
      <c r="CW113" s="39">
        <f>CD113</f>
        <v>0.17238951310861425</v>
      </c>
      <c r="CX113" s="39"/>
      <c r="CY113" s="39"/>
      <c r="CZ113" s="39">
        <f t="shared" si="32"/>
        <v>0.25543907893762252</v>
      </c>
      <c r="DA113" s="39">
        <f t="shared" si="44"/>
        <v>8.3985176133708475</v>
      </c>
      <c r="DB113" s="39">
        <v>5</v>
      </c>
      <c r="DC113" s="39">
        <f t="shared" si="33"/>
        <v>5.3445112085087212</v>
      </c>
      <c r="DD113" s="39">
        <f>CG113</f>
        <v>2.9007850763468745</v>
      </c>
      <c r="DE113" s="39">
        <v>0.03</v>
      </c>
      <c r="DF113" s="37"/>
      <c r="DG113" s="39">
        <f t="shared" si="34"/>
        <v>0</v>
      </c>
      <c r="DH113" s="39">
        <f t="shared" si="35"/>
        <v>3.3959701154629842</v>
      </c>
      <c r="DI113" s="37"/>
      <c r="DJ113" s="37"/>
      <c r="DK113" s="37"/>
      <c r="DL113" s="37"/>
      <c r="DM113" s="39">
        <f t="shared" si="45"/>
        <v>0.7250699169131084</v>
      </c>
      <c r="DN113" s="39"/>
      <c r="DO113" s="39">
        <f t="shared" si="46"/>
        <v>0.7250699169131084</v>
      </c>
      <c r="DP113" s="37"/>
      <c r="DQ113" s="37">
        <f>DO113/'Conversions, Sources &amp; Comments'!E111</f>
        <v>0.67295965174519834</v>
      </c>
    </row>
    <row r="114" spans="1:121">
      <c r="A114" s="42">
        <f t="shared" si="36"/>
        <v>1362</v>
      </c>
      <c r="B114" s="36"/>
      <c r="C114" s="38">
        <v>7</v>
      </c>
      <c r="D114" s="38">
        <v>6</v>
      </c>
      <c r="E114" s="38">
        <v>5</v>
      </c>
      <c r="F114" s="38">
        <v>5.25</v>
      </c>
      <c r="G114" s="38">
        <v>3</v>
      </c>
      <c r="H114" s="38">
        <v>6</v>
      </c>
      <c r="I114" s="38">
        <v>5</v>
      </c>
      <c r="J114" s="38">
        <v>1.75</v>
      </c>
      <c r="K114" s="36"/>
      <c r="L114" s="36"/>
      <c r="M114" s="38">
        <v>5</v>
      </c>
      <c r="N114" s="38">
        <v>7.5</v>
      </c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8">
        <v>2</v>
      </c>
      <c r="AA114" s="38">
        <v>0</v>
      </c>
      <c r="AB114" s="36"/>
      <c r="AC114" s="36"/>
      <c r="AD114" s="36"/>
      <c r="AE114" s="36"/>
      <c r="AF114" s="36"/>
      <c r="AG114" s="38">
        <v>2</v>
      </c>
      <c r="AH114" s="38">
        <v>0</v>
      </c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59">
        <v>6.666666666666667</v>
      </c>
      <c r="BH114" s="59"/>
      <c r="BI114" s="59">
        <v>0.12712153700074683</v>
      </c>
      <c r="BJ114" s="59"/>
      <c r="BK114" s="36"/>
      <c r="BL114" s="36"/>
      <c r="BM114" s="36"/>
      <c r="BN114" s="38">
        <v>26.7</v>
      </c>
      <c r="BO114" s="36"/>
      <c r="BP114" s="39">
        <f t="shared" si="30"/>
        <v>1.077434456928839</v>
      </c>
      <c r="BQ114" s="37"/>
      <c r="BR114" s="39">
        <f t="shared" si="31"/>
        <v>0.34397916001048412</v>
      </c>
      <c r="BS114" s="37"/>
      <c r="BT114" s="37"/>
      <c r="BU114" s="37"/>
      <c r="BV114" s="39">
        <f t="shared" si="39"/>
        <v>0.30575925334265253</v>
      </c>
      <c r="BW114" s="37"/>
      <c r="BX114" s="39">
        <f t="shared" si="40"/>
        <v>0.20085807916462672</v>
      </c>
      <c r="BY114" s="39">
        <f t="shared" si="55"/>
        <v>4.7506766297855298</v>
      </c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9">
        <f>BP114*(12*AG114+AH114)/100</f>
        <v>0.25858426966292136</v>
      </c>
      <c r="CM114" s="37"/>
      <c r="CN114" s="37"/>
      <c r="CO114" s="39">
        <f>0.063495+(0.016949+0.014096)*Wages!P112+1.22592*BR114</f>
        <v>0.7081789499424247</v>
      </c>
      <c r="CP114" s="39"/>
      <c r="CQ114" s="39">
        <f t="shared" si="41"/>
        <v>0.7081789499424247</v>
      </c>
      <c r="CR114" s="39">
        <f t="shared" si="51"/>
        <v>0.30575925334265253</v>
      </c>
      <c r="CS114" s="39">
        <f t="shared" si="42"/>
        <v>0.91683373913043476</v>
      </c>
      <c r="CT114" s="39">
        <f t="shared" si="43"/>
        <v>2.6390584956521743</v>
      </c>
      <c r="CU114" s="39">
        <v>1.272502</v>
      </c>
      <c r="CV114" s="39">
        <v>0.08</v>
      </c>
      <c r="CW114" s="39">
        <v>0.17238951310861428</v>
      </c>
      <c r="CX114" s="39"/>
      <c r="CY114" s="39"/>
      <c r="CZ114" s="39">
        <f t="shared" si="32"/>
        <v>0.20085807916462672</v>
      </c>
      <c r="DA114" s="39">
        <f t="shared" si="44"/>
        <v>7.4653489896629761</v>
      </c>
      <c r="DB114" s="39">
        <v>5</v>
      </c>
      <c r="DC114" s="39">
        <f t="shared" si="33"/>
        <v>4.7506766297855298</v>
      </c>
      <c r="DD114" s="39">
        <v>3.5</v>
      </c>
      <c r="DE114" s="39">
        <v>0.03</v>
      </c>
      <c r="DF114" s="37"/>
      <c r="DG114" s="39">
        <f t="shared" si="34"/>
        <v>0.25858426966292136</v>
      </c>
      <c r="DH114" s="39">
        <f t="shared" si="35"/>
        <v>3.3959701154629842</v>
      </c>
      <c r="DI114" s="37"/>
      <c r="DJ114" s="37"/>
      <c r="DK114" s="37"/>
      <c r="DL114" s="37"/>
      <c r="DM114" s="39">
        <f t="shared" si="45"/>
        <v>0.75325261191217252</v>
      </c>
      <c r="DN114" s="39"/>
      <c r="DO114" s="39">
        <f t="shared" si="46"/>
        <v>0.75325261191217252</v>
      </c>
      <c r="DP114" s="37"/>
      <c r="DQ114" s="37">
        <f>DO114/'Conversions, Sources &amp; Comments'!E112</f>
        <v>0.69911687626853236</v>
      </c>
    </row>
    <row r="115" spans="1:121">
      <c r="A115" s="42">
        <f t="shared" si="36"/>
        <v>1363</v>
      </c>
      <c r="B115" s="36"/>
      <c r="C115" s="38">
        <v>8</v>
      </c>
      <c r="D115" s="38">
        <v>6</v>
      </c>
      <c r="E115" s="38">
        <v>5</v>
      </c>
      <c r="F115" s="38">
        <v>2.63</v>
      </c>
      <c r="G115" s="38">
        <v>2</v>
      </c>
      <c r="H115" s="38">
        <v>10.63</v>
      </c>
      <c r="I115" s="38">
        <v>6</v>
      </c>
      <c r="J115" s="38">
        <v>9.3800000000000008</v>
      </c>
      <c r="K115" s="36"/>
      <c r="L115" s="36"/>
      <c r="M115" s="38">
        <v>3</v>
      </c>
      <c r="N115" s="38">
        <v>8.375</v>
      </c>
      <c r="O115" s="36"/>
      <c r="P115" s="36"/>
      <c r="Q115" s="36"/>
      <c r="R115" s="36"/>
      <c r="S115" s="36"/>
      <c r="T115" s="36"/>
      <c r="U115" s="38">
        <v>4.125</v>
      </c>
      <c r="V115" s="36"/>
      <c r="W115" s="38">
        <v>8.5</v>
      </c>
      <c r="X115" s="36"/>
      <c r="Y115" s="36"/>
      <c r="Z115" s="38">
        <v>2</v>
      </c>
      <c r="AA115" s="38">
        <v>1</v>
      </c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59">
        <v>5</v>
      </c>
      <c r="BH115" s="59"/>
      <c r="BI115" s="59">
        <v>9.9486420261454045E-2</v>
      </c>
      <c r="BJ115" s="59"/>
      <c r="BK115" s="36"/>
      <c r="BL115" s="36"/>
      <c r="BM115" s="36"/>
      <c r="BN115" s="38">
        <v>26.7</v>
      </c>
      <c r="BO115" s="36"/>
      <c r="BP115" s="39">
        <f t="shared" si="30"/>
        <v>1.077434456928839</v>
      </c>
      <c r="BQ115" s="37"/>
      <c r="BR115" s="39">
        <f t="shared" si="31"/>
        <v>0.38984304801188197</v>
      </c>
      <c r="BS115" s="37"/>
      <c r="BT115" s="37"/>
      <c r="BU115" s="37"/>
      <c r="BV115" s="39">
        <f t="shared" si="39"/>
        <v>0.22931944000698942</v>
      </c>
      <c r="BW115" s="37"/>
      <c r="BX115" s="39">
        <f t="shared" si="40"/>
        <v>0.15719327934622962</v>
      </c>
      <c r="BY115" s="39">
        <f t="shared" si="55"/>
        <v>4.948621489359927</v>
      </c>
      <c r="BZ115" s="37"/>
      <c r="CA115" s="37"/>
      <c r="CB115" s="37"/>
      <c r="CC115" s="39">
        <f t="shared" ref="CC115:CC146" si="56">2*BP115*U115/120</f>
        <v>7.4073618913857692E-2</v>
      </c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9">
        <f>0.063495+(0.016949+0.014096)*Wages!P113+1.22592*BR115</f>
        <v>0.76440440752109828</v>
      </c>
      <c r="CP115" s="39"/>
      <c r="CQ115" s="39">
        <f t="shared" si="41"/>
        <v>0.76440440752109828</v>
      </c>
      <c r="CR115" s="39">
        <f t="shared" si="51"/>
        <v>0.22931944000698942</v>
      </c>
      <c r="CS115" s="39">
        <f t="shared" si="42"/>
        <v>0.91683373913043476</v>
      </c>
      <c r="CT115" s="39">
        <f t="shared" si="43"/>
        <v>2.6390584956521743</v>
      </c>
      <c r="CU115" s="39">
        <v>1.272502</v>
      </c>
      <c r="CV115" s="39">
        <f t="shared" ref="CV115:CW146" si="57">CC115</f>
        <v>7.4073618913857692E-2</v>
      </c>
      <c r="CW115" s="39">
        <v>0.17238951310861428</v>
      </c>
      <c r="CX115" s="39"/>
      <c r="CY115" s="39"/>
      <c r="CZ115" s="39">
        <f t="shared" si="32"/>
        <v>0.15719327934622962</v>
      </c>
      <c r="DA115" s="39">
        <f t="shared" si="44"/>
        <v>7.7764051975655999</v>
      </c>
      <c r="DB115" s="39">
        <v>5</v>
      </c>
      <c r="DC115" s="39">
        <f t="shared" si="33"/>
        <v>4.948621489359927</v>
      </c>
      <c r="DD115" s="39">
        <v>3.5</v>
      </c>
      <c r="DE115" s="39">
        <v>0.03</v>
      </c>
      <c r="DF115" s="37"/>
      <c r="DG115" s="39">
        <f t="shared" si="34"/>
        <v>0</v>
      </c>
      <c r="DH115" s="39">
        <f t="shared" si="35"/>
        <v>3.3959701154629842</v>
      </c>
      <c r="DI115" s="37"/>
      <c r="DJ115" s="37"/>
      <c r="DK115" s="37"/>
      <c r="DL115" s="37"/>
      <c r="DM115" s="39">
        <f t="shared" si="45"/>
        <v>0.75162908399530215</v>
      </c>
      <c r="DN115" s="39"/>
      <c r="DO115" s="39">
        <f t="shared" si="46"/>
        <v>0.75162908399530215</v>
      </c>
      <c r="DP115" s="37"/>
      <c r="DQ115" s="37">
        <f>DO115/'Conversions, Sources &amp; Comments'!E113</f>
        <v>0.6976100301616257</v>
      </c>
    </row>
    <row r="116" spans="1:121">
      <c r="A116" s="42">
        <f t="shared" si="36"/>
        <v>1364</v>
      </c>
      <c r="B116" s="36"/>
      <c r="C116" s="38">
        <v>7</v>
      </c>
      <c r="D116" s="38">
        <v>5.38</v>
      </c>
      <c r="E116" s="38">
        <v>4</v>
      </c>
      <c r="F116" s="38">
        <v>2.25</v>
      </c>
      <c r="G116" s="38">
        <v>2</v>
      </c>
      <c r="H116" s="38">
        <v>8.6300000000000008</v>
      </c>
      <c r="I116" s="38">
        <v>4</v>
      </c>
      <c r="J116" s="38">
        <v>5</v>
      </c>
      <c r="K116" s="36"/>
      <c r="L116" s="36"/>
      <c r="M116" s="38">
        <v>3</v>
      </c>
      <c r="N116" s="38">
        <v>5.5</v>
      </c>
      <c r="O116" s="38">
        <v>10</v>
      </c>
      <c r="P116" s="36"/>
      <c r="Q116" s="36"/>
      <c r="R116" s="36"/>
      <c r="S116" s="36"/>
      <c r="T116" s="36"/>
      <c r="U116" s="38">
        <v>5</v>
      </c>
      <c r="V116" s="36"/>
      <c r="W116" s="38">
        <v>6.75</v>
      </c>
      <c r="X116" s="36"/>
      <c r="Y116" s="36"/>
      <c r="Z116" s="38">
        <v>2</v>
      </c>
      <c r="AA116" s="38">
        <v>3</v>
      </c>
      <c r="AB116" s="36"/>
      <c r="AC116" s="36"/>
      <c r="AD116" s="36"/>
      <c r="AE116" s="36"/>
      <c r="AF116" s="36"/>
      <c r="AG116" s="36"/>
      <c r="AH116" s="36"/>
      <c r="AI116" s="36"/>
      <c r="AJ116" s="36"/>
      <c r="AK116" s="38">
        <v>13</v>
      </c>
      <c r="AL116" s="38">
        <v>4</v>
      </c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59">
        <v>5</v>
      </c>
      <c r="BH116" s="59"/>
      <c r="BI116" s="59">
        <v>9.9486420261454045E-2</v>
      </c>
      <c r="BJ116" s="59"/>
      <c r="BK116" s="36"/>
      <c r="BL116" s="36"/>
      <c r="BM116" s="36"/>
      <c r="BN116" s="38">
        <v>26.7</v>
      </c>
      <c r="BO116" s="36"/>
      <c r="BP116" s="39">
        <f t="shared" si="30"/>
        <v>1.077434456928839</v>
      </c>
      <c r="BQ116" s="37"/>
      <c r="BR116" s="39">
        <f t="shared" si="31"/>
        <v>0.34160952579707854</v>
      </c>
      <c r="BS116" s="37"/>
      <c r="BT116" s="37"/>
      <c r="BU116" s="37"/>
      <c r="BV116" s="39">
        <f t="shared" si="39"/>
        <v>0.22931944000698942</v>
      </c>
      <c r="BW116" s="37"/>
      <c r="BX116" s="39">
        <f t="shared" si="40"/>
        <v>0.15719327934622962</v>
      </c>
      <c r="BY116" s="39">
        <f t="shared" si="55"/>
        <v>5.3445112085087212</v>
      </c>
      <c r="BZ116" s="37"/>
      <c r="CA116" s="37"/>
      <c r="CB116" s="39">
        <f>$BP116*(12*O116+P116)/(224*0.453592)</f>
        <v>1.2725026686925527</v>
      </c>
      <c r="CC116" s="39">
        <f t="shared" si="56"/>
        <v>8.9786204744069911E-2</v>
      </c>
      <c r="CD116" s="39">
        <f>BP116*(12*AK116+AL116)/1000</f>
        <v>0.17238951310861425</v>
      </c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9">
        <f>0.063495+(0.016949+0.014096)*Wages!P114+1.22592*BR116</f>
        <v>0.7052739679675265</v>
      </c>
      <c r="CP116" s="39"/>
      <c r="CQ116" s="39">
        <f t="shared" si="41"/>
        <v>0.7052739679675265</v>
      </c>
      <c r="CR116" s="39">
        <f t="shared" si="51"/>
        <v>0.22931944000698942</v>
      </c>
      <c r="CS116" s="39">
        <f t="shared" si="42"/>
        <v>0.91683422092134237</v>
      </c>
      <c r="CT116" s="39">
        <f t="shared" si="43"/>
        <v>2.6390598824623814</v>
      </c>
      <c r="CU116" s="39">
        <f>CB116</f>
        <v>1.2725026686925527</v>
      </c>
      <c r="CV116" s="39">
        <f t="shared" si="57"/>
        <v>8.9786204744069911E-2</v>
      </c>
      <c r="CW116" s="39">
        <f>CD116</f>
        <v>0.17238951310861425</v>
      </c>
      <c r="CX116" s="39"/>
      <c r="CY116" s="39"/>
      <c r="CZ116" s="39">
        <f t="shared" si="32"/>
        <v>0.15719327934622962</v>
      </c>
      <c r="DA116" s="39">
        <f t="shared" si="44"/>
        <v>8.3985176133708475</v>
      </c>
      <c r="DB116" s="39">
        <v>5</v>
      </c>
      <c r="DC116" s="39">
        <f t="shared" si="33"/>
        <v>5.3445112085087212</v>
      </c>
      <c r="DD116" s="39">
        <v>3.5</v>
      </c>
      <c r="DE116" s="39">
        <v>0.03</v>
      </c>
      <c r="DF116" s="37"/>
      <c r="DG116" s="39">
        <f t="shared" si="34"/>
        <v>0</v>
      </c>
      <c r="DH116" s="39">
        <f t="shared" si="35"/>
        <v>3.3959701154629842</v>
      </c>
      <c r="DI116" s="37"/>
      <c r="DJ116" s="37"/>
      <c r="DK116" s="37"/>
      <c r="DL116" s="37"/>
      <c r="DM116" s="39">
        <f t="shared" si="45"/>
        <v>0.73403959342924197</v>
      </c>
      <c r="DN116" s="39"/>
      <c r="DO116" s="39">
        <f t="shared" si="46"/>
        <v>0.73403959342924197</v>
      </c>
      <c r="DP116" s="37"/>
      <c r="DQ116" s="37">
        <f>DO116/'Conversions, Sources &amp; Comments'!E114</f>
        <v>0.6812846839162513</v>
      </c>
    </row>
    <row r="117" spans="1:121">
      <c r="A117" s="42">
        <f t="shared" si="36"/>
        <v>1365</v>
      </c>
      <c r="B117" s="36"/>
      <c r="C117" s="38">
        <v>6</v>
      </c>
      <c r="D117" s="38">
        <v>0.38</v>
      </c>
      <c r="E117" s="38">
        <v>4</v>
      </c>
      <c r="F117" s="38">
        <v>2.63</v>
      </c>
      <c r="G117" s="38">
        <v>2</v>
      </c>
      <c r="H117" s="38">
        <v>5.75</v>
      </c>
      <c r="I117" s="38">
        <v>3</v>
      </c>
      <c r="J117" s="38">
        <v>8</v>
      </c>
      <c r="K117" s="36"/>
      <c r="L117" s="36"/>
      <c r="M117" s="38">
        <v>3</v>
      </c>
      <c r="N117" s="38">
        <v>3.5</v>
      </c>
      <c r="O117" s="38">
        <v>10</v>
      </c>
      <c r="P117" s="36"/>
      <c r="Q117" s="36"/>
      <c r="R117" s="36"/>
      <c r="S117" s="36"/>
      <c r="T117" s="36"/>
      <c r="U117" s="38">
        <v>4.375</v>
      </c>
      <c r="V117" s="36"/>
      <c r="W117" s="38">
        <v>7.25</v>
      </c>
      <c r="X117" s="36"/>
      <c r="Y117" s="36"/>
      <c r="Z117" s="38">
        <v>2</v>
      </c>
      <c r="AA117" s="38">
        <v>0</v>
      </c>
      <c r="AB117" s="36"/>
      <c r="AC117" s="36"/>
      <c r="AD117" s="36"/>
      <c r="AE117" s="36"/>
      <c r="AF117" s="36"/>
      <c r="AG117" s="38">
        <v>2</v>
      </c>
      <c r="AH117" s="38">
        <v>6</v>
      </c>
      <c r="AI117" s="36"/>
      <c r="AJ117" s="36"/>
      <c r="AK117" s="38">
        <v>13</v>
      </c>
      <c r="AL117" s="38">
        <v>4</v>
      </c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59">
        <v>3.6666666666666665</v>
      </c>
      <c r="BH117" s="59"/>
      <c r="BI117" s="59">
        <v>6.4942524337338478E-2</v>
      </c>
      <c r="BJ117" s="59"/>
      <c r="BK117" s="36"/>
      <c r="BL117" s="36"/>
      <c r="BM117" s="36"/>
      <c r="BN117" s="38">
        <v>26.7</v>
      </c>
      <c r="BO117" s="36"/>
      <c r="BP117" s="39">
        <f t="shared" si="30"/>
        <v>1.077434456928839</v>
      </c>
      <c r="BQ117" s="37"/>
      <c r="BR117" s="39">
        <f t="shared" si="31"/>
        <v>0.27663568446176484</v>
      </c>
      <c r="BS117" s="37"/>
      <c r="BT117" s="37"/>
      <c r="BU117" s="37"/>
      <c r="BV117" s="39">
        <f t="shared" si="39"/>
        <v>0.16816758933845888</v>
      </c>
      <c r="BW117" s="37"/>
      <c r="BX117" s="39">
        <f t="shared" si="40"/>
        <v>0.10261227957323389</v>
      </c>
      <c r="BY117" s="39">
        <f t="shared" si="55"/>
        <v>4.7506766297855298</v>
      </c>
      <c r="BZ117" s="37"/>
      <c r="CA117" s="37"/>
      <c r="CB117" s="39">
        <f>$BP117*(12*O117+P117)/(224*0.453592)</f>
        <v>1.2725026686925527</v>
      </c>
      <c r="CC117" s="39">
        <f t="shared" si="56"/>
        <v>7.8562929151061181E-2</v>
      </c>
      <c r="CD117" s="39">
        <f>BP117*(12*AK117+AL117)/1000</f>
        <v>0.17238951310861425</v>
      </c>
      <c r="CE117" s="37"/>
      <c r="CF117" s="37"/>
      <c r="CG117" s="37"/>
      <c r="CH117" s="37"/>
      <c r="CI117" s="37"/>
      <c r="CJ117" s="37"/>
      <c r="CK117" s="37"/>
      <c r="CL117" s="39">
        <f>BP117*(12*AG117+AH117)/100</f>
        <v>0.32323033707865173</v>
      </c>
      <c r="CM117" s="37"/>
      <c r="CN117" s="37"/>
      <c r="CO117" s="39">
        <f>0.063495+(0.016949+0.014096)*Wages!P115+1.22592*BR117</f>
        <v>0.6256212363977387</v>
      </c>
      <c r="CP117" s="39"/>
      <c r="CQ117" s="39">
        <f t="shared" si="41"/>
        <v>0.6256212363977387</v>
      </c>
      <c r="CR117" s="39">
        <f t="shared" si="51"/>
        <v>0.16816758933845888</v>
      </c>
      <c r="CS117" s="39">
        <f t="shared" si="42"/>
        <v>0.91683422092134237</v>
      </c>
      <c r="CT117" s="39">
        <f t="shared" si="43"/>
        <v>2.6390598824623814</v>
      </c>
      <c r="CU117" s="39">
        <f>CB117</f>
        <v>1.2725026686925527</v>
      </c>
      <c r="CV117" s="39">
        <f t="shared" si="57"/>
        <v>7.8562929151061181E-2</v>
      </c>
      <c r="CW117" s="39">
        <f>CD117</f>
        <v>0.17238951310861425</v>
      </c>
      <c r="CX117" s="39"/>
      <c r="CY117" s="39"/>
      <c r="CZ117" s="39">
        <f t="shared" si="32"/>
        <v>0.10261227957323389</v>
      </c>
      <c r="DA117" s="39">
        <f t="shared" si="44"/>
        <v>7.4653489896629761</v>
      </c>
      <c r="DB117" s="39">
        <v>5</v>
      </c>
      <c r="DC117" s="39">
        <f t="shared" si="33"/>
        <v>4.7506766297855298</v>
      </c>
      <c r="DD117" s="39">
        <v>3.5</v>
      </c>
      <c r="DE117" s="39">
        <v>0.03</v>
      </c>
      <c r="DF117" s="37"/>
      <c r="DG117" s="39">
        <f t="shared" si="34"/>
        <v>0.32323033707865173</v>
      </c>
      <c r="DH117" s="39">
        <f t="shared" si="35"/>
        <v>3.3959701154629842</v>
      </c>
      <c r="DI117" s="37"/>
      <c r="DJ117" s="37"/>
      <c r="DK117" s="37"/>
      <c r="DL117" s="37"/>
      <c r="DM117" s="39">
        <f t="shared" si="45"/>
        <v>0.65651644381149821</v>
      </c>
      <c r="DN117" s="39"/>
      <c r="DO117" s="39">
        <f t="shared" si="46"/>
        <v>0.65651644381149821</v>
      </c>
      <c r="DP117" s="37"/>
      <c r="DQ117" s="37">
        <f>DO117/'Conversions, Sources &amp; Comments'!E115</f>
        <v>0.60933306855885983</v>
      </c>
    </row>
    <row r="118" spans="1:121">
      <c r="A118" s="42">
        <f t="shared" si="36"/>
        <v>1366</v>
      </c>
      <c r="B118" s="36"/>
      <c r="C118" s="38">
        <v>6</v>
      </c>
      <c r="D118" s="38">
        <v>8.5</v>
      </c>
      <c r="E118" s="38">
        <v>4</v>
      </c>
      <c r="F118" s="38">
        <v>9.1300000000000008</v>
      </c>
      <c r="G118" s="38">
        <v>2</v>
      </c>
      <c r="H118" s="38">
        <v>11.75</v>
      </c>
      <c r="I118" s="38">
        <v>5</v>
      </c>
      <c r="J118" s="38">
        <v>8</v>
      </c>
      <c r="K118" s="36"/>
      <c r="L118" s="36"/>
      <c r="M118" s="38">
        <v>3</v>
      </c>
      <c r="N118" s="38">
        <v>0.5</v>
      </c>
      <c r="O118" s="36"/>
      <c r="P118" s="36"/>
      <c r="Q118" s="36"/>
      <c r="R118" s="36"/>
      <c r="S118" s="36"/>
      <c r="T118" s="36"/>
      <c r="U118" s="38">
        <v>4.5</v>
      </c>
      <c r="V118" s="36"/>
      <c r="W118" s="38">
        <v>6</v>
      </c>
      <c r="X118" s="36"/>
      <c r="Y118" s="36"/>
      <c r="Z118" s="38">
        <v>2</v>
      </c>
      <c r="AA118" s="38">
        <v>6</v>
      </c>
      <c r="AB118" s="36"/>
      <c r="AC118" s="36"/>
      <c r="AD118" s="36"/>
      <c r="AE118" s="36"/>
      <c r="AF118" s="36"/>
      <c r="AG118" s="38">
        <v>4</v>
      </c>
      <c r="AH118" s="38">
        <v>0</v>
      </c>
      <c r="AI118" s="36"/>
      <c r="AJ118" s="36"/>
      <c r="AK118" s="36"/>
      <c r="AL118" s="36"/>
      <c r="AM118" s="36"/>
      <c r="AN118" s="36"/>
      <c r="AO118" s="38">
        <v>1</v>
      </c>
      <c r="AP118" s="38">
        <v>4</v>
      </c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59">
        <v>4</v>
      </c>
      <c r="BH118" s="59"/>
      <c r="BI118" s="59">
        <v>8.9814129402701143E-2</v>
      </c>
      <c r="BJ118" s="59"/>
      <c r="BK118" s="36"/>
      <c r="BL118" s="36"/>
      <c r="BM118" s="36"/>
      <c r="BN118" s="38">
        <v>26.7</v>
      </c>
      <c r="BO118" s="36"/>
      <c r="BP118" s="39">
        <f t="shared" si="30"/>
        <v>1.077434456928839</v>
      </c>
      <c r="BQ118" s="37"/>
      <c r="BR118" s="39">
        <f t="shared" si="31"/>
        <v>0.30767024867604414</v>
      </c>
      <c r="BS118" s="37"/>
      <c r="BT118" s="37"/>
      <c r="BU118" s="37"/>
      <c r="BV118" s="39">
        <f t="shared" si="39"/>
        <v>0.18345555200559152</v>
      </c>
      <c r="BW118" s="37"/>
      <c r="BX118" s="39">
        <f t="shared" si="40"/>
        <v>0.14191059940978998</v>
      </c>
      <c r="BY118" s="39">
        <f t="shared" si="55"/>
        <v>5.9383457872319125</v>
      </c>
      <c r="BZ118" s="37"/>
      <c r="CA118" s="37"/>
      <c r="CB118" s="37"/>
      <c r="CC118" s="39">
        <f t="shared" si="56"/>
        <v>8.0807584269662919E-2</v>
      </c>
      <c r="CD118" s="37"/>
      <c r="CE118" s="37"/>
      <c r="CF118" s="37"/>
      <c r="CG118" s="39">
        <f>BP118*(12*AO118+AP118)/4.55</f>
        <v>3.7887805078816319</v>
      </c>
      <c r="CH118" s="37"/>
      <c r="CI118" s="37"/>
      <c r="CJ118" s="37"/>
      <c r="CK118" s="37"/>
      <c r="CL118" s="39">
        <f>BP118*(12*AG118+AH118)/100</f>
        <v>0.51716853932584272</v>
      </c>
      <c r="CM118" s="37"/>
      <c r="CN118" s="37"/>
      <c r="CO118" s="39">
        <f>0.063495+(0.016949+0.014096)*Wages!P116+1.22592*BR118</f>
        <v>0.66366712935930794</v>
      </c>
      <c r="CP118" s="39"/>
      <c r="CQ118" s="39">
        <f t="shared" si="41"/>
        <v>0.66366712935930794</v>
      </c>
      <c r="CR118" s="39">
        <f t="shared" si="51"/>
        <v>0.18345555200559152</v>
      </c>
      <c r="CS118" s="39">
        <f t="shared" si="42"/>
        <v>0.93664596273291933</v>
      </c>
      <c r="CT118" s="39">
        <f t="shared" si="43"/>
        <v>2.6960869565217394</v>
      </c>
      <c r="CU118" s="39">
        <v>1.3</v>
      </c>
      <c r="CV118" s="39">
        <f t="shared" si="57"/>
        <v>8.0807584269662919E-2</v>
      </c>
      <c r="CW118" s="39">
        <v>0.17238951310861428</v>
      </c>
      <c r="CX118" s="39"/>
      <c r="CY118" s="39"/>
      <c r="CZ118" s="39">
        <f t="shared" si="32"/>
        <v>0.14191059940978998</v>
      </c>
      <c r="DA118" s="39">
        <f t="shared" si="44"/>
        <v>9.3316862370787188</v>
      </c>
      <c r="DB118" s="39">
        <v>5</v>
      </c>
      <c r="DC118" s="39">
        <f t="shared" si="33"/>
        <v>5.9383457872319125</v>
      </c>
      <c r="DD118" s="39">
        <f>CG118</f>
        <v>3.7887805078816319</v>
      </c>
      <c r="DE118" s="39">
        <v>0.03</v>
      </c>
      <c r="DF118" s="37"/>
      <c r="DG118" s="39">
        <f t="shared" si="34"/>
        <v>0.51716853932584272</v>
      </c>
      <c r="DH118" s="39">
        <f t="shared" si="35"/>
        <v>3.3959701154629842</v>
      </c>
      <c r="DI118" s="37"/>
      <c r="DJ118" s="37"/>
      <c r="DK118" s="37"/>
      <c r="DL118" s="37"/>
      <c r="DM118" s="39">
        <f t="shared" si="45"/>
        <v>0.71589050553369471</v>
      </c>
      <c r="DN118" s="39"/>
      <c r="DO118" s="39">
        <f t="shared" si="46"/>
        <v>0.71589050553369471</v>
      </c>
      <c r="DP118" s="37"/>
      <c r="DQ118" s="37">
        <f>DO118/'Conversions, Sources &amp; Comments'!E116</f>
        <v>0.66443995820803503</v>
      </c>
    </row>
    <row r="119" spans="1:121">
      <c r="A119" s="42">
        <f t="shared" si="36"/>
        <v>1367</v>
      </c>
      <c r="B119" s="36"/>
      <c r="C119" s="38">
        <v>8</v>
      </c>
      <c r="D119" s="38">
        <v>7.25</v>
      </c>
      <c r="E119" s="38">
        <v>4</v>
      </c>
      <c r="F119" s="38">
        <v>1.63</v>
      </c>
      <c r="G119" s="38">
        <v>3</v>
      </c>
      <c r="H119" s="38">
        <v>1.5</v>
      </c>
      <c r="I119" s="38">
        <v>5</v>
      </c>
      <c r="J119" s="38">
        <v>0</v>
      </c>
      <c r="K119" s="36"/>
      <c r="L119" s="36"/>
      <c r="M119" s="38">
        <v>3</v>
      </c>
      <c r="N119" s="38">
        <v>7</v>
      </c>
      <c r="O119" s="38">
        <v>10</v>
      </c>
      <c r="P119" s="38">
        <v>6</v>
      </c>
      <c r="Q119" s="36"/>
      <c r="R119" s="36"/>
      <c r="S119" s="36"/>
      <c r="T119" s="36"/>
      <c r="U119" s="38">
        <v>4.5</v>
      </c>
      <c r="V119" s="36"/>
      <c r="W119" s="38">
        <v>6</v>
      </c>
      <c r="X119" s="36"/>
      <c r="Y119" s="36"/>
      <c r="Z119" s="38">
        <v>2</v>
      </c>
      <c r="AA119" s="38">
        <v>6</v>
      </c>
      <c r="AB119" s="36"/>
      <c r="AC119" s="38">
        <v>0</v>
      </c>
      <c r="AD119" s="38">
        <v>7</v>
      </c>
      <c r="AE119" s="36"/>
      <c r="AF119" s="36"/>
      <c r="AG119" s="36"/>
      <c r="AH119" s="36"/>
      <c r="AI119" s="36"/>
      <c r="AJ119" s="36"/>
      <c r="AK119" s="38">
        <v>13</v>
      </c>
      <c r="AL119" s="38">
        <v>4</v>
      </c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59">
        <v>3.3333333333333335</v>
      </c>
      <c r="BH119" s="59"/>
      <c r="BI119" s="59">
        <v>9.9486420261454045E-2</v>
      </c>
      <c r="BJ119" s="59"/>
      <c r="BK119" s="36"/>
      <c r="BL119" s="36"/>
      <c r="BM119" s="36"/>
      <c r="BN119" s="38">
        <v>26.7</v>
      </c>
      <c r="BO119" s="36"/>
      <c r="BP119" s="39">
        <f t="shared" si="30"/>
        <v>1.077434456928839</v>
      </c>
      <c r="BQ119" s="37"/>
      <c r="BR119" s="39">
        <f t="shared" si="31"/>
        <v>0.39462053634536093</v>
      </c>
      <c r="BS119" s="37"/>
      <c r="BT119" s="37"/>
      <c r="BU119" s="37"/>
      <c r="BV119" s="39">
        <f t="shared" si="39"/>
        <v>0.15287962667132626</v>
      </c>
      <c r="BW119" s="37"/>
      <c r="BX119" s="39">
        <f t="shared" si="40"/>
        <v>0.15719327934622962</v>
      </c>
      <c r="BY119" s="39">
        <f t="shared" si="55"/>
        <v>5.9383457872319125</v>
      </c>
      <c r="BZ119" s="37"/>
      <c r="CA119" s="37"/>
      <c r="CB119" s="39">
        <f>$BP119*(12*O119+P119)/(224*0.453592)</f>
        <v>1.3361278021271801</v>
      </c>
      <c r="CC119" s="39">
        <f t="shared" si="56"/>
        <v>8.0807584269662919E-2</v>
      </c>
      <c r="CD119" s="39">
        <f>BP119*(12*AK119+AL119)/1000</f>
        <v>0.17238951310861425</v>
      </c>
      <c r="CE119" s="37"/>
      <c r="CF119" s="37"/>
      <c r="CG119" s="37"/>
      <c r="CH119" s="37"/>
      <c r="CI119" s="37"/>
      <c r="CJ119" s="37"/>
      <c r="CK119" s="39">
        <f>BP119*(12*AC119+AD119)/(35.238*8)</f>
        <v>2.6753934667482097E-2</v>
      </c>
      <c r="CL119" s="37"/>
      <c r="CM119" s="39">
        <f>BP119*(12*$AC119+$AD119)/(35.238*8)/0.283</f>
        <v>9.4536871616544518E-2</v>
      </c>
      <c r="CN119" s="37"/>
      <c r="CO119" s="39">
        <f>0.063495+(0.016949+0.014096)*Wages!P117+1.22592*BR119</f>
        <v>0.77026122601887681</v>
      </c>
      <c r="CP119" s="39"/>
      <c r="CQ119" s="39">
        <f t="shared" si="41"/>
        <v>0.77026122601887681</v>
      </c>
      <c r="CR119" s="39">
        <f t="shared" si="51"/>
        <v>0.15287962667132626</v>
      </c>
      <c r="CS119" s="39">
        <f t="shared" si="42"/>
        <v>0.9626759319674093</v>
      </c>
      <c r="CT119" s="39">
        <f t="shared" si="43"/>
        <v>2.7710128765855</v>
      </c>
      <c r="CU119" s="39">
        <f>CB119</f>
        <v>1.3361278021271801</v>
      </c>
      <c r="CV119" s="39">
        <f t="shared" si="57"/>
        <v>8.0807584269662919E-2</v>
      </c>
      <c r="CW119" s="39">
        <f>CD119</f>
        <v>0.17238951310861425</v>
      </c>
      <c r="CX119" s="39"/>
      <c r="CY119" s="39"/>
      <c r="CZ119" s="39">
        <f t="shared" si="32"/>
        <v>0.15719327934622962</v>
      </c>
      <c r="DA119" s="39">
        <f t="shared" si="44"/>
        <v>9.3316862370787188</v>
      </c>
      <c r="DB119" s="39">
        <v>5</v>
      </c>
      <c r="DC119" s="39">
        <f t="shared" si="33"/>
        <v>5.9383457872319125</v>
      </c>
      <c r="DD119" s="39">
        <v>3.5</v>
      </c>
      <c r="DE119" s="39">
        <f>CK119</f>
        <v>2.6753934667482097E-2</v>
      </c>
      <c r="DF119" s="37"/>
      <c r="DG119" s="39">
        <f t="shared" si="34"/>
        <v>0</v>
      </c>
      <c r="DH119" s="39">
        <f t="shared" si="35"/>
        <v>3.0285187533939437</v>
      </c>
      <c r="DI119" s="37"/>
      <c r="DJ119" s="37"/>
      <c r="DK119" s="37"/>
      <c r="DL119" s="37"/>
      <c r="DM119" s="39">
        <f t="shared" si="45"/>
        <v>0.76230616711022892</v>
      </c>
      <c r="DN119" s="39"/>
      <c r="DO119" s="39">
        <f t="shared" si="46"/>
        <v>0.76230616711022892</v>
      </c>
      <c r="DP119" s="37"/>
      <c r="DQ119" s="37">
        <f>DO119/'Conversions, Sources &amp; Comments'!E117</f>
        <v>0.70751975881960938</v>
      </c>
    </row>
    <row r="120" spans="1:121">
      <c r="A120" s="42">
        <f t="shared" si="36"/>
        <v>1368</v>
      </c>
      <c r="B120" s="36"/>
      <c r="C120" s="38">
        <v>6</v>
      </c>
      <c r="D120" s="38">
        <v>7.63</v>
      </c>
      <c r="E120" s="38">
        <v>4</v>
      </c>
      <c r="F120" s="38">
        <v>7.5</v>
      </c>
      <c r="G120" s="38">
        <v>3</v>
      </c>
      <c r="H120" s="38">
        <v>0.63</v>
      </c>
      <c r="I120" s="38">
        <v>6</v>
      </c>
      <c r="J120" s="38">
        <v>0</v>
      </c>
      <c r="K120" s="36"/>
      <c r="L120" s="36"/>
      <c r="M120" s="38">
        <v>4</v>
      </c>
      <c r="N120" s="38">
        <v>5.375</v>
      </c>
      <c r="O120" s="36"/>
      <c r="P120" s="36"/>
      <c r="Q120" s="36"/>
      <c r="R120" s="36"/>
      <c r="S120" s="36"/>
      <c r="T120" s="36"/>
      <c r="U120" s="38">
        <v>5.125</v>
      </c>
      <c r="V120" s="36"/>
      <c r="W120" s="38">
        <v>7.5</v>
      </c>
      <c r="X120" s="36"/>
      <c r="Y120" s="36"/>
      <c r="Z120" s="38">
        <v>2</v>
      </c>
      <c r="AA120" s="38">
        <v>4.5</v>
      </c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8">
        <v>1</v>
      </c>
      <c r="AP120" s="38">
        <v>2</v>
      </c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59">
        <v>5.5</v>
      </c>
      <c r="BH120" s="59"/>
      <c r="BI120" s="59">
        <v>9.9486420261454045E-2</v>
      </c>
      <c r="BJ120" s="59"/>
      <c r="BK120" s="36"/>
      <c r="BL120" s="36"/>
      <c r="BM120" s="36"/>
      <c r="BN120" s="38">
        <v>26.7</v>
      </c>
      <c r="BO120" s="36"/>
      <c r="BP120" s="39">
        <f t="shared" si="30"/>
        <v>1.077434456928839</v>
      </c>
      <c r="BQ120" s="37"/>
      <c r="BR120" s="39">
        <f t="shared" si="31"/>
        <v>0.30434511679594273</v>
      </c>
      <c r="BS120" s="37"/>
      <c r="BT120" s="37"/>
      <c r="BU120" s="37"/>
      <c r="BV120" s="39">
        <f t="shared" si="39"/>
        <v>0.25225138400768837</v>
      </c>
      <c r="BW120" s="37"/>
      <c r="BX120" s="39">
        <f t="shared" si="40"/>
        <v>0.15719327934622962</v>
      </c>
      <c r="BY120" s="39">
        <f t="shared" si="55"/>
        <v>5.6414284978703169</v>
      </c>
      <c r="BZ120" s="37"/>
      <c r="CA120" s="37"/>
      <c r="CB120" s="37"/>
      <c r="CC120" s="39">
        <f t="shared" si="56"/>
        <v>9.2030859862671663E-2</v>
      </c>
      <c r="CD120" s="37"/>
      <c r="CE120" s="37"/>
      <c r="CF120" s="37"/>
      <c r="CG120" s="39">
        <f t="shared" ref="CG120:CG125" si="58">BP120*(12*AO120+AP120)/4.55</f>
        <v>3.3151829443964278</v>
      </c>
      <c r="CH120" s="37"/>
      <c r="CI120" s="37"/>
      <c r="CJ120" s="37"/>
      <c r="CK120" s="37"/>
      <c r="CL120" s="37"/>
      <c r="CM120" s="37"/>
      <c r="CN120" s="37"/>
      <c r="CO120" s="39">
        <f>0.063495+(0.016949+0.014096)*Wages!P118+1.22592*BR120</f>
        <v>0.65959078368485402</v>
      </c>
      <c r="CP120" s="39"/>
      <c r="CQ120" s="39">
        <f t="shared" si="41"/>
        <v>0.65959078368485402</v>
      </c>
      <c r="CR120" s="39">
        <f t="shared" si="51"/>
        <v>0.25225138400768837</v>
      </c>
      <c r="CS120" s="39">
        <f t="shared" si="42"/>
        <v>0.96267535403726712</v>
      </c>
      <c r="CT120" s="39">
        <f t="shared" si="43"/>
        <v>2.771011213043479</v>
      </c>
      <c r="CU120" s="39">
        <v>1.3361270000000001</v>
      </c>
      <c r="CV120" s="39">
        <f t="shared" si="57"/>
        <v>9.2030859862671663E-2</v>
      </c>
      <c r="CW120" s="39">
        <v>0.17238951310861428</v>
      </c>
      <c r="CX120" s="39"/>
      <c r="CY120" s="39"/>
      <c r="CZ120" s="39">
        <f t="shared" si="32"/>
        <v>0.15719327934622962</v>
      </c>
      <c r="DA120" s="39">
        <f t="shared" si="44"/>
        <v>8.8651019252247831</v>
      </c>
      <c r="DB120" s="39">
        <v>5</v>
      </c>
      <c r="DC120" s="39">
        <f t="shared" si="33"/>
        <v>5.6414284978703169</v>
      </c>
      <c r="DD120" s="39">
        <f t="shared" ref="DD120:DD125" si="59">CG120</f>
        <v>3.3151829443964278</v>
      </c>
      <c r="DE120" s="39">
        <v>3.5999999999999997E-2</v>
      </c>
      <c r="DF120" s="37"/>
      <c r="DG120" s="39">
        <f t="shared" si="34"/>
        <v>0</v>
      </c>
      <c r="DH120" s="39">
        <f t="shared" si="35"/>
        <v>4.0751641385555812</v>
      </c>
      <c r="DI120" s="37"/>
      <c r="DJ120" s="37"/>
      <c r="DK120" s="37"/>
      <c r="DL120" s="37"/>
      <c r="DM120" s="39">
        <f t="shared" si="45"/>
        <v>0.73429087513160873</v>
      </c>
      <c r="DN120" s="39"/>
      <c r="DO120" s="39">
        <f t="shared" si="46"/>
        <v>0.73429087513160873</v>
      </c>
      <c r="DP120" s="37"/>
      <c r="DQ120" s="37">
        <f>DO120/'Conversions, Sources &amp; Comments'!E118</f>
        <v>0.68151790617933261</v>
      </c>
    </row>
    <row r="121" spans="1:121">
      <c r="A121" s="42">
        <f t="shared" si="36"/>
        <v>1369</v>
      </c>
      <c r="B121" s="36"/>
      <c r="C121" s="38">
        <v>11</v>
      </c>
      <c r="D121" s="38">
        <v>10.25</v>
      </c>
      <c r="E121" s="38">
        <v>8</v>
      </c>
      <c r="F121" s="38">
        <v>5.25</v>
      </c>
      <c r="G121" s="38">
        <v>4</v>
      </c>
      <c r="H121" s="38">
        <v>2.63</v>
      </c>
      <c r="I121" s="38">
        <v>5</v>
      </c>
      <c r="J121" s="38">
        <v>9.3800000000000008</v>
      </c>
      <c r="K121" s="36"/>
      <c r="L121" s="36"/>
      <c r="M121" s="38">
        <v>6</v>
      </c>
      <c r="N121" s="38">
        <v>8</v>
      </c>
      <c r="O121" s="38">
        <v>10</v>
      </c>
      <c r="P121" s="38">
        <v>6</v>
      </c>
      <c r="Q121" s="36"/>
      <c r="R121" s="36"/>
      <c r="S121" s="36"/>
      <c r="T121" s="36"/>
      <c r="U121" s="38">
        <v>5.125</v>
      </c>
      <c r="V121" s="36"/>
      <c r="W121" s="38">
        <v>7.25</v>
      </c>
      <c r="X121" s="36"/>
      <c r="Y121" s="36"/>
      <c r="Z121" s="38">
        <v>2</v>
      </c>
      <c r="AA121" s="38">
        <v>1</v>
      </c>
      <c r="AB121" s="36"/>
      <c r="AC121" s="38">
        <v>1</v>
      </c>
      <c r="AD121" s="38">
        <v>0</v>
      </c>
      <c r="AE121" s="36"/>
      <c r="AF121" s="36"/>
      <c r="AG121" s="38">
        <v>2</v>
      </c>
      <c r="AH121" s="38">
        <v>2.5</v>
      </c>
      <c r="AI121" s="36"/>
      <c r="AJ121" s="36"/>
      <c r="AK121" s="38">
        <v>13</v>
      </c>
      <c r="AL121" s="38">
        <v>4</v>
      </c>
      <c r="AM121" s="36"/>
      <c r="AN121" s="36"/>
      <c r="AO121" s="38">
        <v>1</v>
      </c>
      <c r="AP121" s="38">
        <v>8</v>
      </c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59">
        <v>7.833333333333333</v>
      </c>
      <c r="BH121" s="59"/>
      <c r="BI121" s="59">
        <v>0.14508436288128673</v>
      </c>
      <c r="BJ121" s="59"/>
      <c r="BK121" s="36"/>
      <c r="BL121" s="36"/>
      <c r="BM121" s="36"/>
      <c r="BN121" s="38">
        <v>26.7</v>
      </c>
      <c r="BO121" s="36"/>
      <c r="BP121" s="39">
        <f t="shared" si="30"/>
        <v>1.077434456928839</v>
      </c>
      <c r="BQ121" s="37"/>
      <c r="BR121" s="39">
        <f t="shared" si="31"/>
        <v>0.54367817234990401</v>
      </c>
      <c r="BS121" s="37"/>
      <c r="BT121" s="37"/>
      <c r="BU121" s="37"/>
      <c r="BV121" s="39">
        <f t="shared" si="39"/>
        <v>0.35926712267761673</v>
      </c>
      <c r="BW121" s="37"/>
      <c r="BX121" s="39">
        <f t="shared" si="40"/>
        <v>0.22924019904658421</v>
      </c>
      <c r="BY121" s="39">
        <f t="shared" si="55"/>
        <v>4.948621489359927</v>
      </c>
      <c r="BZ121" s="37"/>
      <c r="CA121" s="37"/>
      <c r="CB121" s="39">
        <f>$BP121*(12*O121+P121)/(224*0.453592)</f>
        <v>1.3361278021271801</v>
      </c>
      <c r="CC121" s="39">
        <f t="shared" si="56"/>
        <v>9.2030859862671663E-2</v>
      </c>
      <c r="CD121" s="39">
        <f>BP121*(12*AK121+AL121)/1000</f>
        <v>0.17238951310861425</v>
      </c>
      <c r="CE121" s="37"/>
      <c r="CF121" s="37"/>
      <c r="CG121" s="39">
        <f t="shared" si="58"/>
        <v>4.7359756348520401</v>
      </c>
      <c r="CH121" s="37"/>
      <c r="CI121" s="37"/>
      <c r="CJ121" s="37"/>
      <c r="CK121" s="39">
        <f>BP121*(12*AC121+AD121)/(35.238*8)</f>
        <v>4.586388800139788E-2</v>
      </c>
      <c r="CL121" s="39">
        <f>BP121*(12*AG121+AH121)/100</f>
        <v>0.28552013108614233</v>
      </c>
      <c r="CM121" s="39">
        <f>BP121*(12*$AC121+$AD121)/(35.238*8)/0.283</f>
        <v>0.1620632084855049</v>
      </c>
      <c r="CN121" s="37"/>
      <c r="CO121" s="39">
        <f>0.063495+(0.016949+0.014096)*Wages!P119+1.22592*BR121</f>
        <v>0.9529939631495663</v>
      </c>
      <c r="CP121" s="39"/>
      <c r="CQ121" s="39">
        <f t="shared" si="41"/>
        <v>0.9529939631495663</v>
      </c>
      <c r="CR121" s="39">
        <f t="shared" si="51"/>
        <v>0.35926712267761673</v>
      </c>
      <c r="CS121" s="39">
        <f t="shared" si="42"/>
        <v>0.9626759319674093</v>
      </c>
      <c r="CT121" s="39">
        <f t="shared" si="43"/>
        <v>2.7710128765855</v>
      </c>
      <c r="CU121" s="39">
        <f>CB121</f>
        <v>1.3361278021271801</v>
      </c>
      <c r="CV121" s="39">
        <f t="shared" si="57"/>
        <v>9.2030859862671663E-2</v>
      </c>
      <c r="CW121" s="39">
        <f>CD121</f>
        <v>0.17238951310861425</v>
      </c>
      <c r="CX121" s="39"/>
      <c r="CY121" s="39"/>
      <c r="CZ121" s="39">
        <f t="shared" si="32"/>
        <v>0.22924019904658421</v>
      </c>
      <c r="DA121" s="39">
        <f t="shared" si="44"/>
        <v>7.7764051975655999</v>
      </c>
      <c r="DB121" s="39">
        <v>5</v>
      </c>
      <c r="DC121" s="39">
        <f t="shared" si="33"/>
        <v>4.948621489359927</v>
      </c>
      <c r="DD121" s="39">
        <f t="shared" si="59"/>
        <v>4.7359756348520401</v>
      </c>
      <c r="DE121" s="39">
        <f>CK121</f>
        <v>4.586388800139788E-2</v>
      </c>
      <c r="DF121" s="37"/>
      <c r="DG121" s="39">
        <f t="shared" si="34"/>
        <v>0.28552013108614233</v>
      </c>
      <c r="DH121" s="39">
        <f t="shared" si="35"/>
        <v>5.1917464343896178</v>
      </c>
      <c r="DI121" s="37"/>
      <c r="DJ121" s="37"/>
      <c r="DK121" s="37"/>
      <c r="DL121" s="37"/>
      <c r="DM121" s="39">
        <f t="shared" si="45"/>
        <v>0.91920788515563645</v>
      </c>
      <c r="DN121" s="39"/>
      <c r="DO121" s="39">
        <f t="shared" si="46"/>
        <v>0.91920788515563645</v>
      </c>
      <c r="DP121" s="37"/>
      <c r="DQ121" s="37">
        <f>DO121/'Conversions, Sources &amp; Comments'!E119</f>
        <v>0.85314506069889606</v>
      </c>
    </row>
    <row r="122" spans="1:121">
      <c r="A122" s="42">
        <f t="shared" si="36"/>
        <v>1370</v>
      </c>
      <c r="B122" s="36"/>
      <c r="C122" s="38">
        <v>9</v>
      </c>
      <c r="D122" s="38">
        <v>4.63</v>
      </c>
      <c r="E122" s="38">
        <v>4</v>
      </c>
      <c r="F122" s="38">
        <v>6</v>
      </c>
      <c r="G122" s="38">
        <v>3</v>
      </c>
      <c r="H122" s="38">
        <v>6.88</v>
      </c>
      <c r="I122" s="38">
        <v>5</v>
      </c>
      <c r="J122" s="38">
        <v>8</v>
      </c>
      <c r="K122" s="36"/>
      <c r="L122" s="36"/>
      <c r="M122" s="38">
        <v>5</v>
      </c>
      <c r="N122" s="38">
        <v>1</v>
      </c>
      <c r="O122" s="36"/>
      <c r="P122" s="36"/>
      <c r="Q122" s="36"/>
      <c r="R122" s="36"/>
      <c r="S122" s="36"/>
      <c r="T122" s="36"/>
      <c r="U122" s="38">
        <v>5</v>
      </c>
      <c r="V122" s="36"/>
      <c r="W122" s="38">
        <v>6</v>
      </c>
      <c r="X122" s="36"/>
      <c r="Y122" s="36"/>
      <c r="Z122" s="38">
        <v>2</v>
      </c>
      <c r="AA122" s="38">
        <v>2</v>
      </c>
      <c r="AB122" s="36"/>
      <c r="AC122" s="36"/>
      <c r="AD122" s="36"/>
      <c r="AE122" s="36"/>
      <c r="AF122" s="36"/>
      <c r="AG122" s="38">
        <v>2</v>
      </c>
      <c r="AH122" s="38">
        <v>0</v>
      </c>
      <c r="AI122" s="36"/>
      <c r="AJ122" s="36"/>
      <c r="AK122" s="36"/>
      <c r="AL122" s="36"/>
      <c r="AM122" s="36"/>
      <c r="AN122" s="36"/>
      <c r="AO122" s="38">
        <v>1</v>
      </c>
      <c r="AP122" s="38">
        <v>8</v>
      </c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59">
        <v>6.25</v>
      </c>
      <c r="BH122" s="59"/>
      <c r="BI122" s="59">
        <v>0.11054046695717117</v>
      </c>
      <c r="BJ122" s="59"/>
      <c r="BK122" s="36"/>
      <c r="BL122" s="36"/>
      <c r="BM122" s="36"/>
      <c r="BN122" s="38">
        <v>26.7</v>
      </c>
      <c r="BO122" s="36"/>
      <c r="BP122" s="39">
        <f t="shared" si="30"/>
        <v>1.077434456928839</v>
      </c>
      <c r="BQ122" s="37"/>
      <c r="BR122" s="39">
        <f t="shared" si="31"/>
        <v>0.43047080879978694</v>
      </c>
      <c r="BS122" s="37"/>
      <c r="BT122" s="37"/>
      <c r="BU122" s="37"/>
      <c r="BV122" s="39">
        <f t="shared" si="39"/>
        <v>0.28664930000873673</v>
      </c>
      <c r="BW122" s="37"/>
      <c r="BX122" s="39">
        <f t="shared" si="40"/>
        <v>0.1746591992735885</v>
      </c>
      <c r="BY122" s="39">
        <f t="shared" si="55"/>
        <v>5.1465663489343232</v>
      </c>
      <c r="BZ122" s="37"/>
      <c r="CA122" s="37"/>
      <c r="CB122" s="37"/>
      <c r="CC122" s="39">
        <f t="shared" si="56"/>
        <v>8.9786204744069911E-2</v>
      </c>
      <c r="CD122" s="37"/>
      <c r="CE122" s="37"/>
      <c r="CF122" s="37"/>
      <c r="CG122" s="39">
        <f t="shared" si="58"/>
        <v>4.7359756348520401</v>
      </c>
      <c r="CH122" s="37"/>
      <c r="CI122" s="37"/>
      <c r="CJ122" s="37"/>
      <c r="CK122" s="37"/>
      <c r="CL122" s="39">
        <f>BP122*(12*AG122+AH122)/100</f>
        <v>0.25858426966292136</v>
      </c>
      <c r="CM122" s="37"/>
      <c r="CN122" s="37"/>
      <c r="CO122" s="39">
        <f>0.063495+(0.016949+0.014096)*Wages!P120+1.22592*BR122</f>
        <v>0.81421079202620672</v>
      </c>
      <c r="CP122" s="39"/>
      <c r="CQ122" s="39">
        <f t="shared" si="41"/>
        <v>0.81421079202620672</v>
      </c>
      <c r="CR122" s="39">
        <f t="shared" si="51"/>
        <v>0.28664930000873673</v>
      </c>
      <c r="CS122" s="39">
        <f t="shared" si="42"/>
        <v>0.93664596273291933</v>
      </c>
      <c r="CT122" s="39">
        <f t="shared" si="43"/>
        <v>2.6960869565217394</v>
      </c>
      <c r="CU122" s="39">
        <v>1.3</v>
      </c>
      <c r="CV122" s="39">
        <f t="shared" si="57"/>
        <v>8.9786204744069911E-2</v>
      </c>
      <c r="CW122" s="39">
        <v>0.17238951310861428</v>
      </c>
      <c r="CX122" s="39"/>
      <c r="CY122" s="39"/>
      <c r="CZ122" s="39">
        <f t="shared" si="32"/>
        <v>0.1746591992735885</v>
      </c>
      <c r="DA122" s="39">
        <f t="shared" si="44"/>
        <v>8.0874614054682219</v>
      </c>
      <c r="DB122" s="39">
        <v>5</v>
      </c>
      <c r="DC122" s="39">
        <f t="shared" si="33"/>
        <v>5.1465663489343232</v>
      </c>
      <c r="DD122" s="39">
        <f t="shared" si="59"/>
        <v>4.7359756348520401</v>
      </c>
      <c r="DE122" s="39">
        <v>4.3999999999999997E-2</v>
      </c>
      <c r="DF122" s="37"/>
      <c r="DG122" s="39">
        <f t="shared" si="34"/>
        <v>0.25858426966292136</v>
      </c>
      <c r="DH122" s="39">
        <f t="shared" si="35"/>
        <v>4.9807561693457103</v>
      </c>
      <c r="DI122" s="37"/>
      <c r="DJ122" s="37"/>
      <c r="DK122" s="37"/>
      <c r="DL122" s="37"/>
      <c r="DM122" s="39">
        <f t="shared" si="45"/>
        <v>0.82262784030768965</v>
      </c>
      <c r="DN122" s="39"/>
      <c r="DO122" s="39">
        <f t="shared" si="46"/>
        <v>0.82262784030768965</v>
      </c>
      <c r="DP122" s="37"/>
      <c r="DQ122" s="37">
        <f>DO122/'Conversions, Sources &amp; Comments'!E120</f>
        <v>0.76350615577354009</v>
      </c>
    </row>
    <row r="123" spans="1:121">
      <c r="A123" s="42">
        <f t="shared" si="36"/>
        <v>1371</v>
      </c>
      <c r="B123" s="36"/>
      <c r="C123" s="38">
        <v>6</v>
      </c>
      <c r="D123" s="38">
        <v>11.38</v>
      </c>
      <c r="E123" s="38">
        <v>4</v>
      </c>
      <c r="F123" s="38">
        <v>1.88</v>
      </c>
      <c r="G123" s="38">
        <v>2</v>
      </c>
      <c r="H123" s="38">
        <v>3.25</v>
      </c>
      <c r="I123" s="38">
        <v>4</v>
      </c>
      <c r="J123" s="38">
        <v>3.5</v>
      </c>
      <c r="K123" s="36"/>
      <c r="L123" s="36"/>
      <c r="M123" s="38">
        <v>3</v>
      </c>
      <c r="N123" s="38">
        <v>5.75</v>
      </c>
      <c r="O123" s="38">
        <v>10</v>
      </c>
      <c r="P123" s="36"/>
      <c r="Q123" s="36"/>
      <c r="R123" s="36"/>
      <c r="S123" s="36"/>
      <c r="T123" s="36"/>
      <c r="U123" s="38">
        <v>5</v>
      </c>
      <c r="V123" s="36"/>
      <c r="W123" s="38">
        <v>5.75</v>
      </c>
      <c r="X123" s="36"/>
      <c r="Y123" s="36"/>
      <c r="Z123" s="38">
        <v>2</v>
      </c>
      <c r="AA123" s="38">
        <v>0</v>
      </c>
      <c r="AB123" s="36"/>
      <c r="AC123" s="38">
        <v>0</v>
      </c>
      <c r="AD123" s="38">
        <v>11</v>
      </c>
      <c r="AE123" s="36"/>
      <c r="AF123" s="36"/>
      <c r="AG123" s="38">
        <v>2</v>
      </c>
      <c r="AH123" s="38">
        <v>4</v>
      </c>
      <c r="AI123" s="36"/>
      <c r="AJ123" s="36"/>
      <c r="AK123" s="38">
        <v>13</v>
      </c>
      <c r="AL123" s="38">
        <v>4</v>
      </c>
      <c r="AM123" s="36"/>
      <c r="AN123" s="36"/>
      <c r="AO123" s="38">
        <v>1</v>
      </c>
      <c r="AP123" s="38">
        <v>8</v>
      </c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59">
        <v>4.5</v>
      </c>
      <c r="BH123" s="59"/>
      <c r="BI123" s="59">
        <v>6.7706036011266915E-2</v>
      </c>
      <c r="BJ123" s="59"/>
      <c r="BK123" s="36"/>
      <c r="BL123" s="36"/>
      <c r="BM123" s="36"/>
      <c r="BN123" s="38">
        <v>26.7</v>
      </c>
      <c r="BO123" s="36"/>
      <c r="BP123" s="39">
        <f t="shared" si="30"/>
        <v>1.077434456928839</v>
      </c>
      <c r="BQ123" s="37"/>
      <c r="BR123" s="39">
        <f t="shared" si="31"/>
        <v>0.31867758179637962</v>
      </c>
      <c r="BS123" s="37"/>
      <c r="BT123" s="37"/>
      <c r="BU123" s="37"/>
      <c r="BV123" s="39">
        <f t="shared" si="39"/>
        <v>0.20638749600629047</v>
      </c>
      <c r="BW123" s="37"/>
      <c r="BX123" s="39">
        <f t="shared" si="40"/>
        <v>0.10697875955507229</v>
      </c>
      <c r="BY123" s="39">
        <f t="shared" si="55"/>
        <v>4.7506766297855298</v>
      </c>
      <c r="BZ123" s="37"/>
      <c r="CA123" s="37"/>
      <c r="CB123" s="39">
        <f t="shared" ref="CB123:CB131" si="60">$BP123*(12*O123+P123)/(224*0.453592)</f>
        <v>1.2725026686925527</v>
      </c>
      <c r="CC123" s="39">
        <f t="shared" si="56"/>
        <v>8.9786204744069911E-2</v>
      </c>
      <c r="CD123" s="39">
        <f>BP123*(12*AK123+AL123)/1000</f>
        <v>0.17238951310861425</v>
      </c>
      <c r="CE123" s="37"/>
      <c r="CF123" s="37"/>
      <c r="CG123" s="39">
        <f t="shared" si="58"/>
        <v>4.7359756348520401</v>
      </c>
      <c r="CH123" s="37"/>
      <c r="CI123" s="37"/>
      <c r="CJ123" s="37"/>
      <c r="CK123" s="39">
        <f>BP123*(12*AC123+AD123)/(35.238*8)</f>
        <v>4.2041897334614727E-2</v>
      </c>
      <c r="CL123" s="39">
        <f>BP123*(12*AG123+AH123)/100</f>
        <v>0.3016816479400749</v>
      </c>
      <c r="CM123" s="39">
        <f>BP123*(12*$AC123+$AD123)/(35.238*8)/0.283</f>
        <v>0.14855794111171283</v>
      </c>
      <c r="CN123" s="37"/>
      <c r="CO123" s="39">
        <f>0.063495+(0.016949+0.014096)*Wages!P121+1.22592*BR123</f>
        <v>0.6771612391781896</v>
      </c>
      <c r="CP123" s="39"/>
      <c r="CQ123" s="39">
        <f t="shared" si="41"/>
        <v>0.6771612391781896</v>
      </c>
      <c r="CR123" s="39">
        <f t="shared" si="51"/>
        <v>0.20638749600629047</v>
      </c>
      <c r="CS123" s="39">
        <f t="shared" si="42"/>
        <v>0.91683422092134237</v>
      </c>
      <c r="CT123" s="39">
        <f t="shared" si="43"/>
        <v>2.6390598824623814</v>
      </c>
      <c r="CU123" s="39">
        <f t="shared" ref="CU123:CU131" si="61">CB123</f>
        <v>1.2725026686925527</v>
      </c>
      <c r="CV123" s="39">
        <f t="shared" si="57"/>
        <v>8.9786204744069911E-2</v>
      </c>
      <c r="CW123" s="39">
        <f>CD123</f>
        <v>0.17238951310861425</v>
      </c>
      <c r="CX123" s="39"/>
      <c r="CY123" s="39"/>
      <c r="CZ123" s="39">
        <f t="shared" si="32"/>
        <v>0.10697875955507229</v>
      </c>
      <c r="DA123" s="39">
        <f t="shared" si="44"/>
        <v>7.4653489896629761</v>
      </c>
      <c r="DB123" s="39">
        <v>5</v>
      </c>
      <c r="DC123" s="39">
        <f t="shared" si="33"/>
        <v>4.7506766297855298</v>
      </c>
      <c r="DD123" s="39">
        <f t="shared" si="59"/>
        <v>4.7359756348520401</v>
      </c>
      <c r="DE123" s="39">
        <f>CK123</f>
        <v>4.2041897334614727E-2</v>
      </c>
      <c r="DF123" s="37"/>
      <c r="DG123" s="39">
        <f t="shared" si="34"/>
        <v>0.3016816479400749</v>
      </c>
      <c r="DH123" s="39">
        <f t="shared" si="35"/>
        <v>4.759100898190483</v>
      </c>
      <c r="DI123" s="37"/>
      <c r="DJ123" s="37"/>
      <c r="DK123" s="37"/>
      <c r="DL123" s="37"/>
      <c r="DM123" s="39">
        <f t="shared" si="45"/>
        <v>0.71140988142543415</v>
      </c>
      <c r="DN123" s="39"/>
      <c r="DO123" s="39">
        <f t="shared" si="46"/>
        <v>0.71140988142543415</v>
      </c>
      <c r="DP123" s="37"/>
      <c r="DQ123" s="37">
        <f>DO123/'Conversions, Sources &amp; Comments'!E121</f>
        <v>0.66028135340433092</v>
      </c>
    </row>
    <row r="124" spans="1:121">
      <c r="A124" s="42">
        <f t="shared" si="36"/>
        <v>1372</v>
      </c>
      <c r="B124" s="36"/>
      <c r="C124" s="38">
        <v>7</v>
      </c>
      <c r="D124" s="38">
        <v>10.25</v>
      </c>
      <c r="E124" s="38">
        <v>4</v>
      </c>
      <c r="F124" s="38">
        <v>9.8800000000000008</v>
      </c>
      <c r="G124" s="38">
        <v>2</v>
      </c>
      <c r="H124" s="38">
        <v>9.3800000000000008</v>
      </c>
      <c r="I124" s="38">
        <v>4</v>
      </c>
      <c r="J124" s="38">
        <v>6.5</v>
      </c>
      <c r="K124" s="36"/>
      <c r="L124" s="36"/>
      <c r="M124" s="38">
        <v>3</v>
      </c>
      <c r="N124" s="38">
        <v>4.5</v>
      </c>
      <c r="O124" s="38">
        <v>9</v>
      </c>
      <c r="P124" s="38">
        <v>3</v>
      </c>
      <c r="Q124" s="36"/>
      <c r="R124" s="36"/>
      <c r="S124" s="36"/>
      <c r="T124" s="36"/>
      <c r="U124" s="38">
        <v>6.375</v>
      </c>
      <c r="V124" s="36"/>
      <c r="W124" s="38">
        <v>6.25</v>
      </c>
      <c r="X124" s="36"/>
      <c r="Y124" s="36"/>
      <c r="Z124" s="38">
        <v>2</v>
      </c>
      <c r="AA124" s="38">
        <v>0</v>
      </c>
      <c r="AB124" s="36"/>
      <c r="AC124" s="36"/>
      <c r="AD124" s="36"/>
      <c r="AE124" s="36"/>
      <c r="AF124" s="36"/>
      <c r="AG124" s="38">
        <v>1</v>
      </c>
      <c r="AH124" s="38">
        <v>8</v>
      </c>
      <c r="AI124" s="36"/>
      <c r="AJ124" s="36"/>
      <c r="AK124" s="38">
        <v>16</v>
      </c>
      <c r="AL124" s="38">
        <v>3</v>
      </c>
      <c r="AM124" s="36"/>
      <c r="AN124" s="36"/>
      <c r="AO124" s="38">
        <v>1</v>
      </c>
      <c r="AP124" s="38">
        <v>6</v>
      </c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59">
        <v>4.666666666666667</v>
      </c>
      <c r="BH124" s="59"/>
      <c r="BI124" s="59">
        <v>7.0469547685197045E-2</v>
      </c>
      <c r="BJ124" s="59"/>
      <c r="BK124" s="36"/>
      <c r="BL124" s="36"/>
      <c r="BM124" s="36"/>
      <c r="BN124" s="38">
        <v>26.7</v>
      </c>
      <c r="BO124" s="36"/>
      <c r="BP124" s="39">
        <f t="shared" si="30"/>
        <v>1.077434456928839</v>
      </c>
      <c r="BQ124" s="37"/>
      <c r="BR124" s="39">
        <f t="shared" si="31"/>
        <v>0.36022262034431252</v>
      </c>
      <c r="BS124" s="37"/>
      <c r="BT124" s="37"/>
      <c r="BU124" s="37"/>
      <c r="BV124" s="39">
        <f t="shared" si="39"/>
        <v>0.21403147733985681</v>
      </c>
      <c r="BW124" s="37"/>
      <c r="BX124" s="39">
        <f t="shared" si="40"/>
        <v>0.11134523953691333</v>
      </c>
      <c r="BY124" s="39">
        <f t="shared" si="55"/>
        <v>4.7506766297855298</v>
      </c>
      <c r="BZ124" s="37"/>
      <c r="CA124" s="37"/>
      <c r="CB124" s="39">
        <f t="shared" si="60"/>
        <v>1.1770649685406112</v>
      </c>
      <c r="CC124" s="39">
        <f t="shared" si="56"/>
        <v>0.11447741104868915</v>
      </c>
      <c r="CD124" s="39">
        <f>BP124*(12*AK124+AL124)/1000</f>
        <v>0.2100997191011236</v>
      </c>
      <c r="CE124" s="37"/>
      <c r="CF124" s="37"/>
      <c r="CG124" s="39">
        <f t="shared" si="58"/>
        <v>4.2623780713668351</v>
      </c>
      <c r="CH124" s="37"/>
      <c r="CI124" s="37"/>
      <c r="CJ124" s="37"/>
      <c r="CK124" s="37"/>
      <c r="CL124" s="39">
        <f>BP124*(12*AG124+AH124)/100</f>
        <v>0.21548689138576779</v>
      </c>
      <c r="CM124" s="37"/>
      <c r="CN124" s="37"/>
      <c r="CO124" s="39">
        <f>0.063495+(0.016949+0.014096)*Wages!P122+1.22592*BR124</f>
        <v>0.72809213283487151</v>
      </c>
      <c r="CP124" s="39"/>
      <c r="CQ124" s="39">
        <f t="shared" si="41"/>
        <v>0.72809213283487151</v>
      </c>
      <c r="CR124" s="39">
        <f t="shared" si="51"/>
        <v>0.21403147733985681</v>
      </c>
      <c r="CS124" s="39">
        <f t="shared" si="42"/>
        <v>0.84807165435224163</v>
      </c>
      <c r="CT124" s="39">
        <f t="shared" si="43"/>
        <v>2.4411303912777025</v>
      </c>
      <c r="CU124" s="39">
        <f t="shared" si="61"/>
        <v>1.1770649685406112</v>
      </c>
      <c r="CV124" s="39">
        <f t="shared" si="57"/>
        <v>0.11447741104868915</v>
      </c>
      <c r="CW124" s="39">
        <f>CD124</f>
        <v>0.2100997191011236</v>
      </c>
      <c r="CX124" s="39"/>
      <c r="CY124" s="39"/>
      <c r="CZ124" s="39">
        <f t="shared" si="32"/>
        <v>0.11134523953691333</v>
      </c>
      <c r="DA124" s="39">
        <f t="shared" si="44"/>
        <v>7.4653489896629761</v>
      </c>
      <c r="DB124" s="39">
        <v>5</v>
      </c>
      <c r="DC124" s="39">
        <f t="shared" si="33"/>
        <v>4.7506766297855298</v>
      </c>
      <c r="DD124" s="39">
        <f t="shared" si="59"/>
        <v>4.2623780713668351</v>
      </c>
      <c r="DE124" s="39">
        <v>3.7999999999999999E-2</v>
      </c>
      <c r="DF124" s="37"/>
      <c r="DG124" s="39">
        <f t="shared" si="34"/>
        <v>0.21548689138576779</v>
      </c>
      <c r="DH124" s="39">
        <f t="shared" si="35"/>
        <v>4.3015621462531133</v>
      </c>
      <c r="DI124" s="37"/>
      <c r="DJ124" s="37"/>
      <c r="DK124" s="37"/>
      <c r="DL124" s="37"/>
      <c r="DM124" s="39">
        <f t="shared" si="45"/>
        <v>0.72325173151776134</v>
      </c>
      <c r="DN124" s="39"/>
      <c r="DO124" s="39">
        <f t="shared" si="46"/>
        <v>0.72325173151776134</v>
      </c>
      <c r="DP124" s="37"/>
      <c r="DQ124" s="37">
        <f>DO124/'Conversions, Sources &amp; Comments'!E122</f>
        <v>0.6712721380559391</v>
      </c>
    </row>
    <row r="125" spans="1:121">
      <c r="A125" s="42">
        <f t="shared" si="36"/>
        <v>1373</v>
      </c>
      <c r="B125" s="36"/>
      <c r="C125" s="38">
        <v>6</v>
      </c>
      <c r="D125" s="38">
        <v>2.25</v>
      </c>
      <c r="E125" s="38">
        <v>3</v>
      </c>
      <c r="F125" s="38">
        <v>10.63</v>
      </c>
      <c r="G125" s="38">
        <v>2</v>
      </c>
      <c r="H125" s="38">
        <v>6.25</v>
      </c>
      <c r="I125" s="38">
        <v>2</v>
      </c>
      <c r="J125" s="38">
        <v>8</v>
      </c>
      <c r="K125" s="36"/>
      <c r="L125" s="36"/>
      <c r="M125" s="38">
        <v>3</v>
      </c>
      <c r="N125" s="38">
        <v>7</v>
      </c>
      <c r="O125" s="38">
        <v>8</v>
      </c>
      <c r="P125" s="38">
        <v>6</v>
      </c>
      <c r="Q125" s="36"/>
      <c r="R125" s="36"/>
      <c r="S125" s="36"/>
      <c r="T125" s="36"/>
      <c r="U125" s="38">
        <v>5</v>
      </c>
      <c r="V125" s="36"/>
      <c r="W125" s="38">
        <v>6.25</v>
      </c>
      <c r="X125" s="36"/>
      <c r="Y125" s="36"/>
      <c r="Z125" s="38">
        <v>2</v>
      </c>
      <c r="AA125" s="38">
        <v>1.5</v>
      </c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8">
        <v>1</v>
      </c>
      <c r="AP125" s="38">
        <v>6.5</v>
      </c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59">
        <v>4.25</v>
      </c>
      <c r="BH125" s="59"/>
      <c r="BI125" s="59">
        <v>7.0469547685197045E-2</v>
      </c>
      <c r="BJ125" s="59"/>
      <c r="BK125" s="36"/>
      <c r="BL125" s="36"/>
      <c r="BM125" s="36"/>
      <c r="BN125" s="38">
        <v>26.7</v>
      </c>
      <c r="BO125" s="36"/>
      <c r="BP125" s="39">
        <f t="shared" si="30"/>
        <v>1.077434456928839</v>
      </c>
      <c r="BQ125" s="37"/>
      <c r="BR125" s="39">
        <f t="shared" si="31"/>
        <v>0.28378280700864938</v>
      </c>
      <c r="BS125" s="37"/>
      <c r="BT125" s="37"/>
      <c r="BU125" s="37"/>
      <c r="BV125" s="39">
        <f t="shared" si="39"/>
        <v>0.19492152400594098</v>
      </c>
      <c r="BW125" s="37"/>
      <c r="BX125" s="39">
        <f t="shared" si="40"/>
        <v>0.11134523953691333</v>
      </c>
      <c r="BY125" s="39">
        <f t="shared" si="55"/>
        <v>5.0475939191471255</v>
      </c>
      <c r="BZ125" s="37"/>
      <c r="CA125" s="37"/>
      <c r="CB125" s="39">
        <f t="shared" si="60"/>
        <v>1.0816272683886696</v>
      </c>
      <c r="CC125" s="39">
        <f t="shared" si="56"/>
        <v>8.9786204744069911E-2</v>
      </c>
      <c r="CD125" s="37"/>
      <c r="CE125" s="37"/>
      <c r="CF125" s="37"/>
      <c r="CG125" s="39">
        <f t="shared" si="58"/>
        <v>4.3807774622381368</v>
      </c>
      <c r="CH125" s="37"/>
      <c r="CI125" s="37"/>
      <c r="CJ125" s="37"/>
      <c r="CK125" s="37"/>
      <c r="CL125" s="37"/>
      <c r="CM125" s="37"/>
      <c r="CN125" s="37"/>
      <c r="CO125" s="39">
        <f>0.063495+(0.016949+0.014096)*Wages!P123+1.22592*BR125</f>
        <v>0.63438303687041542</v>
      </c>
      <c r="CP125" s="39"/>
      <c r="CQ125" s="39">
        <f t="shared" si="41"/>
        <v>0.63438303687041542</v>
      </c>
      <c r="CR125" s="39">
        <f t="shared" si="51"/>
        <v>0.19492152400594098</v>
      </c>
      <c r="CS125" s="39">
        <f t="shared" si="42"/>
        <v>0.77930908778314079</v>
      </c>
      <c r="CT125" s="39">
        <f t="shared" si="43"/>
        <v>2.243200900093024</v>
      </c>
      <c r="CU125" s="39">
        <f t="shared" si="61"/>
        <v>1.0816272683886696</v>
      </c>
      <c r="CV125" s="39">
        <f t="shared" si="57"/>
        <v>8.9786204744069911E-2</v>
      </c>
      <c r="CW125" s="39">
        <v>0.19</v>
      </c>
      <c r="CX125" s="39"/>
      <c r="CY125" s="39"/>
      <c r="CZ125" s="39">
        <f t="shared" si="32"/>
        <v>0.11134523953691333</v>
      </c>
      <c r="DA125" s="39">
        <f t="shared" si="44"/>
        <v>7.9319333015169118</v>
      </c>
      <c r="DB125" s="39">
        <v>5</v>
      </c>
      <c r="DC125" s="39">
        <f t="shared" si="33"/>
        <v>5.0475939191471255</v>
      </c>
      <c r="DD125" s="39">
        <f t="shared" si="59"/>
        <v>4.3807774622381368</v>
      </c>
      <c r="DE125" s="39">
        <v>3.7999999999999999E-2</v>
      </c>
      <c r="DF125" s="37"/>
      <c r="DG125" s="39">
        <f t="shared" si="34"/>
        <v>0</v>
      </c>
      <c r="DH125" s="39">
        <f t="shared" si="35"/>
        <v>4.3015621462531133</v>
      </c>
      <c r="DI125" s="37"/>
      <c r="DJ125" s="37"/>
      <c r="DK125" s="37"/>
      <c r="DL125" s="37"/>
      <c r="DM125" s="39">
        <f t="shared" si="45"/>
        <v>0.67419612032144727</v>
      </c>
      <c r="DN125" s="39"/>
      <c r="DO125" s="39">
        <f t="shared" si="46"/>
        <v>0.67419612032144727</v>
      </c>
      <c r="DP125" s="37"/>
      <c r="DQ125" s="37">
        <f>DO125/'Conversions, Sources &amp; Comments'!E123</f>
        <v>0.62574211914774103</v>
      </c>
    </row>
    <row r="126" spans="1:121">
      <c r="A126" s="42">
        <f t="shared" si="36"/>
        <v>1374</v>
      </c>
      <c r="B126" s="36"/>
      <c r="C126" s="38">
        <v>8</v>
      </c>
      <c r="D126" s="38">
        <v>2.5</v>
      </c>
      <c r="E126" s="38">
        <v>4</v>
      </c>
      <c r="F126" s="38">
        <v>10.25</v>
      </c>
      <c r="G126" s="38">
        <v>2</v>
      </c>
      <c r="H126" s="38">
        <v>9.75</v>
      </c>
      <c r="I126" s="38">
        <v>6</v>
      </c>
      <c r="J126" s="38">
        <v>0</v>
      </c>
      <c r="K126" s="36"/>
      <c r="L126" s="36"/>
      <c r="M126" s="38">
        <v>4</v>
      </c>
      <c r="N126" s="38">
        <v>0.75</v>
      </c>
      <c r="O126" s="38">
        <v>10</v>
      </c>
      <c r="P126" s="38">
        <v>3</v>
      </c>
      <c r="Q126" s="36"/>
      <c r="R126" s="36"/>
      <c r="S126" s="36"/>
      <c r="T126" s="36"/>
      <c r="U126" s="38">
        <v>5</v>
      </c>
      <c r="V126" s="36"/>
      <c r="W126" s="38">
        <v>8</v>
      </c>
      <c r="X126" s="36"/>
      <c r="Y126" s="36"/>
      <c r="Z126" s="38">
        <v>2</v>
      </c>
      <c r="AA126" s="38">
        <v>0</v>
      </c>
      <c r="AB126" s="36"/>
      <c r="AC126" s="36"/>
      <c r="AD126" s="36"/>
      <c r="AE126" s="36"/>
      <c r="AF126" s="36"/>
      <c r="AG126" s="38">
        <v>3</v>
      </c>
      <c r="AH126" s="38">
        <v>0</v>
      </c>
      <c r="AI126" s="36"/>
      <c r="AJ126" s="36"/>
      <c r="AK126" s="38">
        <v>13</v>
      </c>
      <c r="AL126" s="38">
        <v>4</v>
      </c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59">
        <v>5.25</v>
      </c>
      <c r="BH126" s="59"/>
      <c r="BI126" s="59">
        <v>6.0797256826444136E-2</v>
      </c>
      <c r="BJ126" s="59"/>
      <c r="BK126" s="36"/>
      <c r="BL126" s="36"/>
      <c r="BM126" s="36"/>
      <c r="BN126" s="38">
        <v>26.7</v>
      </c>
      <c r="BO126" s="36"/>
      <c r="BP126" s="39">
        <f t="shared" si="30"/>
        <v>1.077434456928839</v>
      </c>
      <c r="BQ126" s="37"/>
      <c r="BR126" s="39">
        <f t="shared" si="31"/>
        <v>0.37646608067814097</v>
      </c>
      <c r="BS126" s="37"/>
      <c r="BT126" s="37"/>
      <c r="BU126" s="37"/>
      <c r="BV126" s="39">
        <f t="shared" si="39"/>
        <v>0.24078541200733886</v>
      </c>
      <c r="BW126" s="37"/>
      <c r="BX126" s="39">
        <f t="shared" si="40"/>
        <v>9.6062559600473663E-2</v>
      </c>
      <c r="BY126" s="39">
        <f t="shared" si="55"/>
        <v>4.7506766297855298</v>
      </c>
      <c r="BZ126" s="37"/>
      <c r="CA126" s="37"/>
      <c r="CB126" s="39">
        <f t="shared" si="60"/>
        <v>1.3043152354098664</v>
      </c>
      <c r="CC126" s="39">
        <f t="shared" si="56"/>
        <v>8.9786204744069911E-2</v>
      </c>
      <c r="CD126" s="39">
        <f t="shared" ref="CD126:CD131" si="62">BP126*(12*AK126+AL126)/1000</f>
        <v>0.17238951310861425</v>
      </c>
      <c r="CE126" s="37"/>
      <c r="CF126" s="37"/>
      <c r="CG126" s="37"/>
      <c r="CH126" s="37"/>
      <c r="CI126" s="37"/>
      <c r="CJ126" s="37"/>
      <c r="CK126" s="37"/>
      <c r="CL126" s="39">
        <f>BP126*(12*AG126+AH126)/100</f>
        <v>0.38787640449438199</v>
      </c>
      <c r="CM126" s="37"/>
      <c r="CN126" s="37"/>
      <c r="CO126" s="39">
        <f>0.063495+(0.016949+0.014096)*Wages!P124+1.22592*BR126</f>
        <v>0.74800531572731854</v>
      </c>
      <c r="CP126" s="39"/>
      <c r="CQ126" s="39">
        <f t="shared" si="41"/>
        <v>0.74800531572731854</v>
      </c>
      <c r="CR126" s="39">
        <f t="shared" si="51"/>
        <v>0.24078541200733886</v>
      </c>
      <c r="CS126" s="39">
        <f t="shared" si="42"/>
        <v>0.93975507644437584</v>
      </c>
      <c r="CT126" s="39">
        <f t="shared" si="43"/>
        <v>2.7050363795239405</v>
      </c>
      <c r="CU126" s="39">
        <f t="shared" si="61"/>
        <v>1.3043152354098664</v>
      </c>
      <c r="CV126" s="39">
        <f t="shared" si="57"/>
        <v>8.9786204744069911E-2</v>
      </c>
      <c r="CW126" s="39">
        <f t="shared" si="57"/>
        <v>0.17238951310861425</v>
      </c>
      <c r="CX126" s="39"/>
      <c r="CY126" s="39"/>
      <c r="CZ126" s="39">
        <f t="shared" si="32"/>
        <v>9.6062559600473663E-2</v>
      </c>
      <c r="DA126" s="39">
        <f t="shared" si="44"/>
        <v>7.4653489896629761</v>
      </c>
      <c r="DB126" s="39">
        <v>5</v>
      </c>
      <c r="DC126" s="39">
        <f t="shared" si="33"/>
        <v>4.7506766297855298</v>
      </c>
      <c r="DD126" s="39">
        <v>3.8</v>
      </c>
      <c r="DE126" s="39">
        <v>3.7999999999999999E-2</v>
      </c>
      <c r="DF126" s="37"/>
      <c r="DG126" s="39">
        <f t="shared" si="34"/>
        <v>0.38787640449438199</v>
      </c>
      <c r="DH126" s="39">
        <f t="shared" si="35"/>
        <v>4.3015621462531133</v>
      </c>
      <c r="DI126" s="37"/>
      <c r="DJ126" s="37"/>
      <c r="DK126" s="37"/>
      <c r="DL126" s="37"/>
      <c r="DM126" s="39">
        <f t="shared" si="45"/>
        <v>0.73329180136687011</v>
      </c>
      <c r="DN126" s="39"/>
      <c r="DO126" s="39">
        <f t="shared" si="46"/>
        <v>0.73329180136687011</v>
      </c>
      <c r="DP126" s="37"/>
      <c r="DQ126" s="37">
        <f>DO126/'Conversions, Sources &amp; Comments'!E124</f>
        <v>0.68059063514366669</v>
      </c>
    </row>
    <row r="127" spans="1:121">
      <c r="A127" s="42">
        <f t="shared" si="36"/>
        <v>1375</v>
      </c>
      <c r="B127" s="36"/>
      <c r="C127" s="38">
        <v>7</v>
      </c>
      <c r="D127" s="38">
        <v>9.1300000000000008</v>
      </c>
      <c r="E127" s="38">
        <v>5</v>
      </c>
      <c r="F127" s="38">
        <v>0</v>
      </c>
      <c r="G127" s="38">
        <v>2</v>
      </c>
      <c r="H127" s="38">
        <v>9.75</v>
      </c>
      <c r="I127" s="38">
        <v>5</v>
      </c>
      <c r="J127" s="38">
        <v>1.38</v>
      </c>
      <c r="K127" s="36"/>
      <c r="L127" s="36"/>
      <c r="M127" s="38">
        <v>4</v>
      </c>
      <c r="N127" s="38">
        <v>0.125</v>
      </c>
      <c r="O127" s="38">
        <v>8</v>
      </c>
      <c r="P127" s="36"/>
      <c r="Q127" s="36"/>
      <c r="R127" s="36"/>
      <c r="S127" s="36"/>
      <c r="T127" s="36"/>
      <c r="U127" s="38">
        <v>5</v>
      </c>
      <c r="V127" s="36"/>
      <c r="W127" s="38">
        <v>6.75</v>
      </c>
      <c r="X127" s="36"/>
      <c r="Y127" s="36"/>
      <c r="Z127" s="38">
        <v>2</v>
      </c>
      <c r="AA127" s="38">
        <v>1</v>
      </c>
      <c r="AB127" s="36"/>
      <c r="AC127" s="36"/>
      <c r="AD127" s="36"/>
      <c r="AE127" s="36"/>
      <c r="AF127" s="36"/>
      <c r="AG127" s="38">
        <v>3</v>
      </c>
      <c r="AH127" s="38">
        <v>2</v>
      </c>
      <c r="AI127" s="36"/>
      <c r="AJ127" s="36"/>
      <c r="AK127" s="38">
        <v>13</v>
      </c>
      <c r="AL127" s="38">
        <v>4</v>
      </c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59">
        <v>4.833333333333333</v>
      </c>
      <c r="BH127" s="59"/>
      <c r="BI127" s="59">
        <v>9.534115275055971E-2</v>
      </c>
      <c r="BJ127" s="59"/>
      <c r="BK127" s="36"/>
      <c r="BL127" s="36"/>
      <c r="BM127" s="36"/>
      <c r="BN127" s="38">
        <v>26.7</v>
      </c>
      <c r="BO127" s="36"/>
      <c r="BP127" s="39">
        <f t="shared" si="30"/>
        <v>1.077434456928839</v>
      </c>
      <c r="BQ127" s="37"/>
      <c r="BR127" s="39">
        <f t="shared" si="31"/>
        <v>0.35594199079751537</v>
      </c>
      <c r="BS127" s="37"/>
      <c r="BT127" s="37"/>
      <c r="BU127" s="37"/>
      <c r="BV127" s="39">
        <f t="shared" si="39"/>
        <v>0.22167545867342309</v>
      </c>
      <c r="BW127" s="37"/>
      <c r="BX127" s="39">
        <f t="shared" si="40"/>
        <v>0.1506435593734694</v>
      </c>
      <c r="BY127" s="39">
        <f t="shared" si="55"/>
        <v>4.948621489359927</v>
      </c>
      <c r="BZ127" s="37"/>
      <c r="CA127" s="37"/>
      <c r="CB127" s="39">
        <f t="shared" si="60"/>
        <v>1.018002134954042</v>
      </c>
      <c r="CC127" s="39">
        <f t="shared" si="56"/>
        <v>8.9786204744069911E-2</v>
      </c>
      <c r="CD127" s="39">
        <f t="shared" si="62"/>
        <v>0.17238951310861425</v>
      </c>
      <c r="CE127" s="37"/>
      <c r="CF127" s="37"/>
      <c r="CG127" s="37"/>
      <c r="CH127" s="37"/>
      <c r="CI127" s="37"/>
      <c r="CJ127" s="37"/>
      <c r="CK127" s="37"/>
      <c r="CL127" s="39">
        <f>BP127*(12*AG127+AH127)/100</f>
        <v>0.40942509363295881</v>
      </c>
      <c r="CM127" s="37"/>
      <c r="CN127" s="37"/>
      <c r="CO127" s="39">
        <f>0.063495+(0.016949+0.014096)*Wages!P125+1.22592*BR127</f>
        <v>0.72284442346086197</v>
      </c>
      <c r="CP127" s="39"/>
      <c r="CQ127" s="39">
        <f t="shared" si="41"/>
        <v>0.72284442346086197</v>
      </c>
      <c r="CR127" s="39">
        <f t="shared" si="51"/>
        <v>0.22167545867342309</v>
      </c>
      <c r="CS127" s="39">
        <f t="shared" si="42"/>
        <v>0.73346737673707374</v>
      </c>
      <c r="CT127" s="39">
        <f t="shared" si="43"/>
        <v>2.111247905969905</v>
      </c>
      <c r="CU127" s="39">
        <f t="shared" si="61"/>
        <v>1.018002134954042</v>
      </c>
      <c r="CV127" s="39">
        <f t="shared" si="57"/>
        <v>8.9786204744069911E-2</v>
      </c>
      <c r="CW127" s="39">
        <f t="shared" si="57"/>
        <v>0.17238951310861425</v>
      </c>
      <c r="CX127" s="39"/>
      <c r="CY127" s="39"/>
      <c r="CZ127" s="39">
        <f t="shared" si="32"/>
        <v>0.1506435593734694</v>
      </c>
      <c r="DA127" s="39">
        <f t="shared" si="44"/>
        <v>7.7764051975655999</v>
      </c>
      <c r="DB127" s="39">
        <v>5</v>
      </c>
      <c r="DC127" s="39">
        <f t="shared" si="33"/>
        <v>4.948621489359927</v>
      </c>
      <c r="DD127" s="39">
        <v>3.8</v>
      </c>
      <c r="DE127" s="39">
        <v>3.7999999999999999E-2</v>
      </c>
      <c r="DF127" s="37"/>
      <c r="DG127" s="39">
        <f t="shared" si="34"/>
        <v>0.40942509363295881</v>
      </c>
      <c r="DH127" s="39">
        <f t="shared" si="35"/>
        <v>4.3015621462531133</v>
      </c>
      <c r="DI127" s="37"/>
      <c r="DJ127" s="37"/>
      <c r="DK127" s="37"/>
      <c r="DL127" s="37"/>
      <c r="DM127" s="39">
        <f t="shared" si="45"/>
        <v>0.7230342044908753</v>
      </c>
      <c r="DN127" s="39"/>
      <c r="DO127" s="39">
        <f t="shared" si="46"/>
        <v>0.7230342044908753</v>
      </c>
      <c r="DP127" s="37"/>
      <c r="DQ127" s="37">
        <f>DO127/'Conversions, Sources &amp; Comments'!E125</f>
        <v>0.67107024454354292</v>
      </c>
    </row>
    <row r="128" spans="1:121">
      <c r="A128" s="42">
        <f t="shared" si="36"/>
        <v>1376</v>
      </c>
      <c r="B128" s="36"/>
      <c r="C128" s="38">
        <v>4</v>
      </c>
      <c r="D128" s="38">
        <v>9</v>
      </c>
      <c r="E128" s="38">
        <v>3</v>
      </c>
      <c r="F128" s="38">
        <v>9.25</v>
      </c>
      <c r="G128" s="38">
        <v>2</v>
      </c>
      <c r="H128" s="38">
        <v>3.38</v>
      </c>
      <c r="I128" s="38">
        <v>5</v>
      </c>
      <c r="J128" s="38">
        <v>0</v>
      </c>
      <c r="K128" s="36"/>
      <c r="L128" s="36"/>
      <c r="M128" s="38">
        <v>3</v>
      </c>
      <c r="N128" s="38">
        <v>0.875</v>
      </c>
      <c r="O128" s="38">
        <v>10</v>
      </c>
      <c r="P128" s="36"/>
      <c r="Q128" s="36"/>
      <c r="R128" s="36"/>
      <c r="S128" s="36"/>
      <c r="T128" s="36"/>
      <c r="U128" s="38">
        <v>6.125</v>
      </c>
      <c r="V128" s="36"/>
      <c r="W128" s="38">
        <v>6</v>
      </c>
      <c r="X128" s="36"/>
      <c r="Y128" s="36"/>
      <c r="Z128" s="38">
        <v>2</v>
      </c>
      <c r="AA128" s="38">
        <v>0</v>
      </c>
      <c r="AB128" s="36"/>
      <c r="AC128" s="36"/>
      <c r="AD128" s="36"/>
      <c r="AE128" s="36"/>
      <c r="AF128" s="36"/>
      <c r="AG128" s="36"/>
      <c r="AH128" s="36"/>
      <c r="AI128" s="36"/>
      <c r="AJ128" s="36"/>
      <c r="AK128" s="38">
        <v>17</v>
      </c>
      <c r="AL128" s="38">
        <v>2.5</v>
      </c>
      <c r="AM128" s="36"/>
      <c r="AN128" s="36"/>
      <c r="AO128" s="38">
        <v>1</v>
      </c>
      <c r="AP128" s="38">
        <v>2.5</v>
      </c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59">
        <v>4.166666666666667</v>
      </c>
      <c r="BH128" s="59"/>
      <c r="BI128" s="59">
        <v>6.9087791848231134E-2</v>
      </c>
      <c r="BJ128" s="59"/>
      <c r="BK128" s="36"/>
      <c r="BL128" s="36"/>
      <c r="BM128" s="36"/>
      <c r="BN128" s="38">
        <v>26.7</v>
      </c>
      <c r="BO128" s="36"/>
      <c r="BP128" s="39">
        <f t="shared" si="30"/>
        <v>1.077434456928839</v>
      </c>
      <c r="BQ128" s="37"/>
      <c r="BR128" s="39">
        <f t="shared" si="31"/>
        <v>0.21785346800663993</v>
      </c>
      <c r="BS128" s="37"/>
      <c r="BT128" s="37"/>
      <c r="BU128" s="37"/>
      <c r="BV128" s="39">
        <f t="shared" si="39"/>
        <v>0.19109953333915786</v>
      </c>
      <c r="BW128" s="37"/>
      <c r="BX128" s="39">
        <f t="shared" si="40"/>
        <v>0.10916199954599146</v>
      </c>
      <c r="BY128" s="39">
        <f t="shared" si="55"/>
        <v>4.7506766297855298</v>
      </c>
      <c r="BZ128" s="37"/>
      <c r="CA128" s="37"/>
      <c r="CB128" s="39">
        <f t="shared" si="60"/>
        <v>1.2725026686925527</v>
      </c>
      <c r="CC128" s="39">
        <f t="shared" si="56"/>
        <v>0.10998810081148565</v>
      </c>
      <c r="CD128" s="39">
        <f t="shared" si="62"/>
        <v>0.22249021535580524</v>
      </c>
      <c r="CE128" s="37"/>
      <c r="CF128" s="37"/>
      <c r="CG128" s="39">
        <f>BP128*(12*AO128+AP128)/4.55</f>
        <v>3.4335823352677286</v>
      </c>
      <c r="CH128" s="37"/>
      <c r="CI128" s="37"/>
      <c r="CJ128" s="37"/>
      <c r="CK128" s="37"/>
      <c r="CL128" s="37"/>
      <c r="CM128" s="37"/>
      <c r="CN128" s="37"/>
      <c r="CO128" s="39">
        <f>0.063495+(0.016949+0.014096)*Wages!P126+1.22592*BR128</f>
        <v>0.553558941601072</v>
      </c>
      <c r="CP128" s="39"/>
      <c r="CQ128" s="39">
        <f t="shared" si="41"/>
        <v>0.553558941601072</v>
      </c>
      <c r="CR128" s="39">
        <f t="shared" si="51"/>
        <v>0.19109953333915786</v>
      </c>
      <c r="CS128" s="39">
        <f t="shared" si="42"/>
        <v>0.91683422092134237</v>
      </c>
      <c r="CT128" s="39">
        <f t="shared" si="43"/>
        <v>2.6390598824623814</v>
      </c>
      <c r="CU128" s="39">
        <f t="shared" si="61"/>
        <v>1.2725026686925527</v>
      </c>
      <c r="CV128" s="39">
        <f t="shared" si="57"/>
        <v>0.10998810081148565</v>
      </c>
      <c r="CW128" s="39">
        <f t="shared" si="57"/>
        <v>0.22249021535580524</v>
      </c>
      <c r="CX128" s="39"/>
      <c r="CY128" s="39"/>
      <c r="CZ128" s="39">
        <f t="shared" si="32"/>
        <v>0.10916199954599146</v>
      </c>
      <c r="DA128" s="39">
        <f t="shared" si="44"/>
        <v>7.4653489896629761</v>
      </c>
      <c r="DB128" s="39">
        <v>5</v>
      </c>
      <c r="DC128" s="39">
        <f t="shared" si="33"/>
        <v>4.7506766297855298</v>
      </c>
      <c r="DD128" s="39">
        <f>CG128</f>
        <v>3.4335823352677286</v>
      </c>
      <c r="DE128" s="39">
        <v>3.7999999999999999E-2</v>
      </c>
      <c r="DF128" s="37"/>
      <c r="DG128" s="39">
        <f t="shared" si="34"/>
        <v>0</v>
      </c>
      <c r="DH128" s="39">
        <f t="shared" si="35"/>
        <v>4.3015621462531133</v>
      </c>
      <c r="DI128" s="37"/>
      <c r="DJ128" s="37"/>
      <c r="DK128" s="37"/>
      <c r="DL128" s="37"/>
      <c r="DM128" s="39">
        <f t="shared" si="45"/>
        <v>0.64508848711284783</v>
      </c>
      <c r="DN128" s="39"/>
      <c r="DO128" s="39">
        <f t="shared" si="46"/>
        <v>0.64508848711284783</v>
      </c>
      <c r="DP128" s="37"/>
      <c r="DQ128" s="37">
        <f>DO128/'Conversions, Sources &amp; Comments'!E126</f>
        <v>0.59872643107371293</v>
      </c>
    </row>
    <row r="129" spans="1:121">
      <c r="A129" s="42">
        <f t="shared" si="36"/>
        <v>1377</v>
      </c>
      <c r="B129" s="36"/>
      <c r="C129" s="38">
        <v>3</v>
      </c>
      <c r="D129" s="38">
        <v>8.3800000000000008</v>
      </c>
      <c r="E129" s="38">
        <v>3</v>
      </c>
      <c r="F129" s="38">
        <v>1.88</v>
      </c>
      <c r="G129" s="38">
        <v>2</v>
      </c>
      <c r="H129" s="38">
        <v>4</v>
      </c>
      <c r="I129" s="38">
        <v>2</v>
      </c>
      <c r="J129" s="38">
        <v>6</v>
      </c>
      <c r="K129" s="36"/>
      <c r="L129" s="36"/>
      <c r="M129" s="38">
        <v>2</v>
      </c>
      <c r="N129" s="38">
        <v>4.625</v>
      </c>
      <c r="O129" s="38">
        <v>9</v>
      </c>
      <c r="P129" s="38">
        <v>3</v>
      </c>
      <c r="Q129" s="36"/>
      <c r="R129" s="36"/>
      <c r="S129" s="36"/>
      <c r="T129" s="36"/>
      <c r="U129" s="38">
        <v>5</v>
      </c>
      <c r="V129" s="36"/>
      <c r="W129" s="38">
        <v>6</v>
      </c>
      <c r="X129" s="36"/>
      <c r="Y129" s="36"/>
      <c r="Z129" s="38">
        <v>2</v>
      </c>
      <c r="AA129" s="38">
        <v>0</v>
      </c>
      <c r="AB129" s="36"/>
      <c r="AC129" s="38">
        <v>0</v>
      </c>
      <c r="AD129" s="38">
        <v>9</v>
      </c>
      <c r="AE129" s="36"/>
      <c r="AF129" s="36"/>
      <c r="AG129" s="36"/>
      <c r="AH129" s="36"/>
      <c r="AI129" s="36"/>
      <c r="AJ129" s="36"/>
      <c r="AK129" s="38">
        <v>15</v>
      </c>
      <c r="AL129" s="38">
        <v>0</v>
      </c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59">
        <v>3.5</v>
      </c>
      <c r="BH129" s="59"/>
      <c r="BI129" s="59">
        <v>5.5270233478585583E-2</v>
      </c>
      <c r="BJ129" s="59"/>
      <c r="BK129" s="36"/>
      <c r="BL129" s="36"/>
      <c r="BM129" s="36"/>
      <c r="BN129" s="38">
        <v>26.7</v>
      </c>
      <c r="BO129" s="36"/>
      <c r="BP129" s="39">
        <f t="shared" si="30"/>
        <v>1.077434456928839</v>
      </c>
      <c r="BQ129" s="37"/>
      <c r="BR129" s="39">
        <f t="shared" si="31"/>
        <v>0.16961994579183651</v>
      </c>
      <c r="BS129" s="37"/>
      <c r="BT129" s="37"/>
      <c r="BU129" s="37"/>
      <c r="BV129" s="39">
        <f t="shared" si="39"/>
        <v>0.16052360800489257</v>
      </c>
      <c r="BW129" s="37"/>
      <c r="BX129" s="39">
        <f t="shared" si="40"/>
        <v>8.732959963679425E-2</v>
      </c>
      <c r="BY129" s="39">
        <f t="shared" si="55"/>
        <v>4.7506766297855298</v>
      </c>
      <c r="BZ129" s="37"/>
      <c r="CA129" s="37"/>
      <c r="CB129" s="39">
        <f t="shared" si="60"/>
        <v>1.1770649685406112</v>
      </c>
      <c r="CC129" s="39">
        <f t="shared" si="56"/>
        <v>8.9786204744069911E-2</v>
      </c>
      <c r="CD129" s="39">
        <f t="shared" si="62"/>
        <v>0.19393820224719102</v>
      </c>
      <c r="CE129" s="37"/>
      <c r="CF129" s="37"/>
      <c r="CG129" s="37"/>
      <c r="CH129" s="37"/>
      <c r="CI129" s="37"/>
      <c r="CJ129" s="37"/>
      <c r="CK129" s="39">
        <f>BP129*(12*AC129+AD129)/(35.238*8)</f>
        <v>3.4397916001048405E-2</v>
      </c>
      <c r="CL129" s="37"/>
      <c r="CM129" s="39">
        <f>BP129*(12*$AC129+$AD129)/(35.238*8)/0.283</f>
        <v>0.12154740636412865</v>
      </c>
      <c r="CN129" s="37"/>
      <c r="CO129" s="39">
        <f>0.063495+(0.016949+0.014096)*Wages!P127+1.22592*BR129</f>
        <v>0.49442850204750022</v>
      </c>
      <c r="CP129" s="39"/>
      <c r="CQ129" s="39">
        <f t="shared" si="41"/>
        <v>0.49442850204750022</v>
      </c>
      <c r="CR129" s="39">
        <f t="shared" si="51"/>
        <v>0.16052360800489257</v>
      </c>
      <c r="CS129" s="39">
        <f t="shared" si="42"/>
        <v>0.84807165435224163</v>
      </c>
      <c r="CT129" s="39">
        <f t="shared" si="43"/>
        <v>2.4411303912777025</v>
      </c>
      <c r="CU129" s="39">
        <f t="shared" si="61"/>
        <v>1.1770649685406112</v>
      </c>
      <c r="CV129" s="39">
        <f t="shared" si="57"/>
        <v>8.9786204744069911E-2</v>
      </c>
      <c r="CW129" s="39">
        <f t="shared" si="57"/>
        <v>0.19393820224719102</v>
      </c>
      <c r="CX129" s="39"/>
      <c r="CY129" s="39"/>
      <c r="CZ129" s="39">
        <f t="shared" si="32"/>
        <v>8.732959963679425E-2</v>
      </c>
      <c r="DA129" s="39">
        <f t="shared" si="44"/>
        <v>7.4653489896629761</v>
      </c>
      <c r="DB129" s="39">
        <v>5</v>
      </c>
      <c r="DC129" s="39">
        <f t="shared" si="33"/>
        <v>4.7506766297855298</v>
      </c>
      <c r="DD129" s="39">
        <v>3.1</v>
      </c>
      <c r="DE129" s="39">
        <f>CK129</f>
        <v>3.4397916001048405E-2</v>
      </c>
      <c r="DF129" s="37"/>
      <c r="DG129" s="39">
        <f t="shared" si="34"/>
        <v>0</v>
      </c>
      <c r="DH129" s="39">
        <f t="shared" si="35"/>
        <v>3.8938098257922129</v>
      </c>
      <c r="DI129" s="37"/>
      <c r="DJ129" s="37"/>
      <c r="DK129" s="37"/>
      <c r="DL129" s="37"/>
      <c r="DM129" s="39">
        <f t="shared" si="45"/>
        <v>0.58821895415249148</v>
      </c>
      <c r="DN129" s="39"/>
      <c r="DO129" s="39">
        <f t="shared" si="46"/>
        <v>0.58821895415249148</v>
      </c>
      <c r="DP129" s="37"/>
      <c r="DQ129" s="37">
        <f>DO129/'Conversions, Sources &amp; Comments'!E127</f>
        <v>0.54594407146507418</v>
      </c>
    </row>
    <row r="130" spans="1:121">
      <c r="A130" s="42">
        <f t="shared" si="36"/>
        <v>1378</v>
      </c>
      <c r="B130" s="36"/>
      <c r="C130" s="38">
        <v>3</v>
      </c>
      <c r="D130" s="38">
        <v>6.88</v>
      </c>
      <c r="E130" s="38">
        <v>2</v>
      </c>
      <c r="F130" s="38">
        <v>6.5</v>
      </c>
      <c r="G130" s="38">
        <v>1</v>
      </c>
      <c r="H130" s="38">
        <v>11.75</v>
      </c>
      <c r="I130" s="36"/>
      <c r="J130" s="36"/>
      <c r="K130" s="36"/>
      <c r="L130" s="36"/>
      <c r="M130" s="38">
        <v>2</v>
      </c>
      <c r="N130" s="38">
        <v>4.75</v>
      </c>
      <c r="O130" s="38">
        <v>10</v>
      </c>
      <c r="P130" s="36"/>
      <c r="Q130" s="36"/>
      <c r="R130" s="36"/>
      <c r="S130" s="36"/>
      <c r="T130" s="36"/>
      <c r="U130" s="38">
        <v>5.5</v>
      </c>
      <c r="V130" s="36"/>
      <c r="W130" s="36"/>
      <c r="X130" s="36"/>
      <c r="Y130" s="36"/>
      <c r="Z130" s="38">
        <v>2</v>
      </c>
      <c r="AA130" s="38">
        <v>1.5</v>
      </c>
      <c r="AB130" s="36"/>
      <c r="AC130" s="36"/>
      <c r="AD130" s="36"/>
      <c r="AE130" s="36"/>
      <c r="AF130" s="36"/>
      <c r="AG130" s="36"/>
      <c r="AH130" s="36"/>
      <c r="AI130" s="36"/>
      <c r="AJ130" s="36"/>
      <c r="AK130" s="38">
        <v>13</v>
      </c>
      <c r="AL130" s="38">
        <v>4</v>
      </c>
      <c r="AM130" s="36"/>
      <c r="AN130" s="36"/>
      <c r="AO130" s="38">
        <v>1</v>
      </c>
      <c r="AP130" s="38">
        <v>0</v>
      </c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59">
        <v>3.3333333333333335</v>
      </c>
      <c r="BH130" s="59"/>
      <c r="BI130" s="59">
        <v>4.9743210130727022E-2</v>
      </c>
      <c r="BJ130" s="59"/>
      <c r="BK130" s="36"/>
      <c r="BL130" s="36"/>
      <c r="BM130" s="36"/>
      <c r="BN130" s="38">
        <v>26.7</v>
      </c>
      <c r="BO130" s="36"/>
      <c r="BP130" s="39">
        <f t="shared" si="30"/>
        <v>1.077434456928839</v>
      </c>
      <c r="BQ130" s="37"/>
      <c r="BR130" s="39">
        <f t="shared" si="31"/>
        <v>0.16388695979166176</v>
      </c>
      <c r="BS130" s="37"/>
      <c r="BT130" s="37"/>
      <c r="BU130" s="37"/>
      <c r="BV130" s="39">
        <f t="shared" si="39"/>
        <v>0.15287962667132626</v>
      </c>
      <c r="BW130" s="37"/>
      <c r="BX130" s="39">
        <f t="shared" si="40"/>
        <v>7.859663967311481E-2</v>
      </c>
      <c r="BY130" s="39">
        <f t="shared" si="55"/>
        <v>5.0475939191471255</v>
      </c>
      <c r="BZ130" s="37"/>
      <c r="CA130" s="37"/>
      <c r="CB130" s="39">
        <f t="shared" si="60"/>
        <v>1.2725026686925527</v>
      </c>
      <c r="CC130" s="39">
        <f t="shared" si="56"/>
        <v>9.8764825218476918E-2</v>
      </c>
      <c r="CD130" s="39">
        <f t="shared" si="62"/>
        <v>0.17238951310861425</v>
      </c>
      <c r="CE130" s="37"/>
      <c r="CF130" s="37"/>
      <c r="CG130" s="39">
        <f>BP130*(12*AO130+AP130)/4.55</f>
        <v>2.8415853809112237</v>
      </c>
      <c r="CH130" s="37"/>
      <c r="CI130" s="37"/>
      <c r="CJ130" s="37"/>
      <c r="CK130" s="37"/>
      <c r="CL130" s="37"/>
      <c r="CM130" s="37"/>
      <c r="CN130" s="37"/>
      <c r="CO130" s="39">
        <f>0.063495+(0.016949+0.014096)*Wages!P128+1.22592*BR130</f>
        <v>0.48740031985016596</v>
      </c>
      <c r="CP130" s="39"/>
      <c r="CQ130" s="39">
        <f t="shared" si="41"/>
        <v>0.48740031985016596</v>
      </c>
      <c r="CR130" s="39">
        <f t="shared" si="51"/>
        <v>0.15287962667132626</v>
      </c>
      <c r="CS130" s="39">
        <f t="shared" si="42"/>
        <v>0.91683422092134237</v>
      </c>
      <c r="CT130" s="39">
        <f t="shared" si="43"/>
        <v>2.6390598824623814</v>
      </c>
      <c r="CU130" s="39">
        <f t="shared" si="61"/>
        <v>1.2725026686925527</v>
      </c>
      <c r="CV130" s="39">
        <f t="shared" si="57"/>
        <v>9.8764825218476918E-2</v>
      </c>
      <c r="CW130" s="39">
        <f t="shared" si="57"/>
        <v>0.17238951310861425</v>
      </c>
      <c r="CX130" s="39"/>
      <c r="CY130" s="39"/>
      <c r="CZ130" s="39">
        <f t="shared" si="32"/>
        <v>7.859663967311481E-2</v>
      </c>
      <c r="DA130" s="39">
        <f t="shared" si="44"/>
        <v>7.9319333015169118</v>
      </c>
      <c r="DB130" s="39">
        <v>5</v>
      </c>
      <c r="DC130" s="39">
        <f t="shared" si="33"/>
        <v>5.0475939191471255</v>
      </c>
      <c r="DD130" s="39">
        <f>CG130</f>
        <v>2.8415853809112237</v>
      </c>
      <c r="DE130" s="39">
        <v>3.6999999999999998E-2</v>
      </c>
      <c r="DF130" s="37"/>
      <c r="DG130" s="39">
        <f t="shared" si="34"/>
        <v>0</v>
      </c>
      <c r="DH130" s="39">
        <f t="shared" si="35"/>
        <v>4.1883631424043468</v>
      </c>
      <c r="DI130" s="37"/>
      <c r="DJ130" s="37"/>
      <c r="DK130" s="37"/>
      <c r="DL130" s="37"/>
      <c r="DM130" s="39">
        <f t="shared" si="45"/>
        <v>0.59617319026929905</v>
      </c>
      <c r="DN130" s="39"/>
      <c r="DO130" s="39">
        <f t="shared" si="46"/>
        <v>0.59617319026929905</v>
      </c>
      <c r="DP130" s="37"/>
      <c r="DQ130" s="37">
        <f>DO130/'Conversions, Sources &amp; Comments'!E128</f>
        <v>0.55332664222439498</v>
      </c>
    </row>
    <row r="131" spans="1:121">
      <c r="A131" s="42">
        <f t="shared" si="36"/>
        <v>1379</v>
      </c>
      <c r="B131" s="36"/>
      <c r="C131" s="38">
        <v>5</v>
      </c>
      <c r="D131" s="38">
        <v>9.6300000000000008</v>
      </c>
      <c r="E131" s="38">
        <v>2</v>
      </c>
      <c r="F131" s="38">
        <v>9</v>
      </c>
      <c r="G131" s="38">
        <v>1</v>
      </c>
      <c r="H131" s="38">
        <v>11.63</v>
      </c>
      <c r="I131" s="38">
        <v>3</v>
      </c>
      <c r="J131" s="38">
        <v>0</v>
      </c>
      <c r="K131" s="36"/>
      <c r="L131" s="36"/>
      <c r="M131" s="38">
        <v>2</v>
      </c>
      <c r="N131" s="38">
        <v>10.125</v>
      </c>
      <c r="O131" s="38">
        <v>10</v>
      </c>
      <c r="P131" s="36"/>
      <c r="Q131" s="36"/>
      <c r="R131" s="36"/>
      <c r="S131" s="36"/>
      <c r="T131" s="36"/>
      <c r="U131" s="38">
        <v>5</v>
      </c>
      <c r="V131" s="36"/>
      <c r="W131" s="38">
        <v>7</v>
      </c>
      <c r="X131" s="36"/>
      <c r="Y131" s="36"/>
      <c r="Z131" s="38">
        <v>2</v>
      </c>
      <c r="AA131" s="38">
        <v>0</v>
      </c>
      <c r="AB131" s="36"/>
      <c r="AC131" s="36"/>
      <c r="AD131" s="36"/>
      <c r="AE131" s="36"/>
      <c r="AF131" s="36"/>
      <c r="AG131" s="36"/>
      <c r="AH131" s="36"/>
      <c r="AI131" s="36"/>
      <c r="AJ131" s="36"/>
      <c r="AK131" s="38">
        <v>13</v>
      </c>
      <c r="AL131" s="38">
        <v>4</v>
      </c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59">
        <v>3.9166666666666665</v>
      </c>
      <c r="BH131" s="59"/>
      <c r="BI131" s="59">
        <v>6.7706036011266915E-2</v>
      </c>
      <c r="BJ131" s="59"/>
      <c r="BK131" s="36"/>
      <c r="BL131" s="36"/>
      <c r="BM131" s="36"/>
      <c r="BN131" s="38">
        <v>26.7</v>
      </c>
      <c r="BO131" s="36"/>
      <c r="BP131" s="39">
        <f t="shared" si="30"/>
        <v>1.077434456928839</v>
      </c>
      <c r="BQ131" s="37"/>
      <c r="BR131" s="39">
        <f t="shared" si="31"/>
        <v>0.26612521012811119</v>
      </c>
      <c r="BS131" s="37"/>
      <c r="BT131" s="37"/>
      <c r="BU131" s="37"/>
      <c r="BV131" s="39">
        <f t="shared" si="39"/>
        <v>0.17963356133880837</v>
      </c>
      <c r="BW131" s="37"/>
      <c r="BX131" s="39">
        <f t="shared" si="40"/>
        <v>0.10697875955507229</v>
      </c>
      <c r="BY131" s="39">
        <f t="shared" si="55"/>
        <v>4.7506766297855298</v>
      </c>
      <c r="BZ131" s="37"/>
      <c r="CA131" s="37"/>
      <c r="CB131" s="39">
        <f t="shared" si="60"/>
        <v>1.2725026686925527</v>
      </c>
      <c r="CC131" s="39">
        <f t="shared" si="56"/>
        <v>8.9786204744069911E-2</v>
      </c>
      <c r="CD131" s="39">
        <f t="shared" si="62"/>
        <v>0.17238951310861425</v>
      </c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9">
        <f>0.063495+(0.016949+0.014096)*Wages!P129+1.22592*BR131</f>
        <v>0.61273623570262603</v>
      </c>
      <c r="CP131" s="39"/>
      <c r="CQ131" s="39">
        <f t="shared" si="41"/>
        <v>0.61273623570262603</v>
      </c>
      <c r="CR131" s="39">
        <f t="shared" si="51"/>
        <v>0.17963356133880837</v>
      </c>
      <c r="CS131" s="39">
        <f t="shared" si="42"/>
        <v>0.91683422092134237</v>
      </c>
      <c r="CT131" s="39">
        <f t="shared" si="43"/>
        <v>2.6390598824623814</v>
      </c>
      <c r="CU131" s="39">
        <f t="shared" si="61"/>
        <v>1.2725026686925527</v>
      </c>
      <c r="CV131" s="39">
        <f t="shared" si="57"/>
        <v>8.9786204744069911E-2</v>
      </c>
      <c r="CW131" s="39">
        <f t="shared" si="57"/>
        <v>0.17238951310861425</v>
      </c>
      <c r="CX131" s="39"/>
      <c r="CY131" s="39"/>
      <c r="CZ131" s="39">
        <f t="shared" si="32"/>
        <v>0.10697875955507229</v>
      </c>
      <c r="DA131" s="39">
        <f t="shared" si="44"/>
        <v>7.4653489896629761</v>
      </c>
      <c r="DB131" s="39">
        <v>5</v>
      </c>
      <c r="DC131" s="39">
        <f t="shared" si="33"/>
        <v>4.7506766297855298</v>
      </c>
      <c r="DD131" s="39">
        <v>3.3</v>
      </c>
      <c r="DE131" s="39">
        <v>3.6999999999999998E-2</v>
      </c>
      <c r="DF131" s="37"/>
      <c r="DG131" s="39">
        <f t="shared" si="34"/>
        <v>0</v>
      </c>
      <c r="DH131" s="39">
        <f t="shared" si="35"/>
        <v>4.1883631424043468</v>
      </c>
      <c r="DI131" s="37"/>
      <c r="DJ131" s="37"/>
      <c r="DK131" s="37"/>
      <c r="DL131" s="37"/>
      <c r="DM131" s="39">
        <f t="shared" si="45"/>
        <v>0.66391929959230822</v>
      </c>
      <c r="DN131" s="39"/>
      <c r="DO131" s="39">
        <f t="shared" si="46"/>
        <v>0.66391929959230822</v>
      </c>
      <c r="DP131" s="37"/>
      <c r="DQ131" s="37">
        <f>DO131/'Conversions, Sources &amp; Comments'!E129</f>
        <v>0.61620388629928313</v>
      </c>
    </row>
    <row r="132" spans="1:121">
      <c r="A132" s="42">
        <f t="shared" si="36"/>
        <v>1380</v>
      </c>
      <c r="B132" s="36"/>
      <c r="C132" s="38">
        <v>6</v>
      </c>
      <c r="D132" s="38">
        <v>2.88</v>
      </c>
      <c r="E132" s="38">
        <v>3</v>
      </c>
      <c r="F132" s="38">
        <v>7.38</v>
      </c>
      <c r="G132" s="38">
        <v>2</v>
      </c>
      <c r="H132" s="38">
        <v>4</v>
      </c>
      <c r="I132" s="38">
        <v>3</v>
      </c>
      <c r="J132" s="38">
        <v>9.3800000000000008</v>
      </c>
      <c r="K132" s="36"/>
      <c r="L132" s="36"/>
      <c r="M132" s="38">
        <v>3</v>
      </c>
      <c r="N132" s="38">
        <v>3.5</v>
      </c>
      <c r="O132" s="36"/>
      <c r="P132" s="36"/>
      <c r="Q132" s="36"/>
      <c r="R132" s="36"/>
      <c r="S132" s="36"/>
      <c r="T132" s="36"/>
      <c r="U132" s="38">
        <v>5</v>
      </c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59">
        <v>3.5833333333333335</v>
      </c>
      <c r="BH132" s="59"/>
      <c r="BI132" s="59">
        <v>7.7378326870019817E-2</v>
      </c>
      <c r="BJ132" s="59"/>
      <c r="BK132" s="36"/>
      <c r="BL132" s="36"/>
      <c r="BM132" s="36"/>
      <c r="BN132" s="38">
        <v>26.7</v>
      </c>
      <c r="BO132" s="36"/>
      <c r="BP132" s="39">
        <f t="shared" si="30"/>
        <v>1.077434456928839</v>
      </c>
      <c r="BQ132" s="37"/>
      <c r="BR132" s="39">
        <f t="shared" si="31"/>
        <v>0.28619066112872271</v>
      </c>
      <c r="BS132" s="37"/>
      <c r="BT132" s="37"/>
      <c r="BU132" s="37"/>
      <c r="BV132" s="39">
        <f t="shared" si="39"/>
        <v>0.16434559867167575</v>
      </c>
      <c r="BW132" s="37"/>
      <c r="BX132" s="39">
        <f t="shared" si="40"/>
        <v>0.12226143949151194</v>
      </c>
      <c r="BY132" s="39">
        <v>4.7506766297855298</v>
      </c>
      <c r="BZ132" s="37"/>
      <c r="CA132" s="37"/>
      <c r="CB132" s="37"/>
      <c r="CC132" s="39">
        <f t="shared" si="56"/>
        <v>8.9786204744069911E-2</v>
      </c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9">
        <f>0.063495+(0.016949+0.014096)*Wages!P130+1.22592*BR132</f>
        <v>0.63733487339329575</v>
      </c>
      <c r="CP132" s="39"/>
      <c r="CQ132" s="39">
        <f t="shared" si="41"/>
        <v>0.63733487339329575</v>
      </c>
      <c r="CR132" s="39">
        <f t="shared" si="51"/>
        <v>0.16434559867167575</v>
      </c>
      <c r="CS132" s="39">
        <f t="shared" si="42"/>
        <v>0.91683373913043476</v>
      </c>
      <c r="CT132" s="39">
        <f t="shared" si="43"/>
        <v>2.6390584956521743</v>
      </c>
      <c r="CU132" s="39">
        <v>1.272502</v>
      </c>
      <c r="CV132" s="39">
        <f t="shared" si="57"/>
        <v>8.9786204744069911E-2</v>
      </c>
      <c r="CW132" s="39">
        <v>0.17238951310861428</v>
      </c>
      <c r="CX132" s="39"/>
      <c r="CY132" s="39"/>
      <c r="CZ132" s="39">
        <f t="shared" si="32"/>
        <v>0.12226143949151194</v>
      </c>
      <c r="DA132" s="39">
        <f t="shared" si="44"/>
        <v>7.4653489896629761</v>
      </c>
      <c r="DB132" s="39">
        <v>5</v>
      </c>
      <c r="DC132" s="39">
        <f t="shared" si="33"/>
        <v>4.7506766297855298</v>
      </c>
      <c r="DD132" s="39">
        <v>3.3</v>
      </c>
      <c r="DE132" s="39">
        <v>3.6999999999999998E-2</v>
      </c>
      <c r="DF132" s="37"/>
      <c r="DG132" s="39">
        <f t="shared" si="34"/>
        <v>0</v>
      </c>
      <c r="DH132" s="39">
        <f t="shared" si="35"/>
        <v>4.1883631424043468</v>
      </c>
      <c r="DI132" s="37"/>
      <c r="DJ132" s="37"/>
      <c r="DK132" s="37"/>
      <c r="DL132" s="37"/>
      <c r="DM132" s="39">
        <f t="shared" si="45"/>
        <v>0.67949756612885059</v>
      </c>
      <c r="DN132" s="39"/>
      <c r="DO132" s="39">
        <f t="shared" si="46"/>
        <v>0.67949756612885059</v>
      </c>
      <c r="DP132" s="37"/>
      <c r="DQ132" s="37">
        <f>DO132/'Conversions, Sources &amp; Comments'!E130</f>
        <v>0.63066255377214953</v>
      </c>
    </row>
    <row r="133" spans="1:121">
      <c r="A133" s="42">
        <f t="shared" si="36"/>
        <v>1381</v>
      </c>
      <c r="B133" s="36"/>
      <c r="C133" s="38">
        <v>5</v>
      </c>
      <c r="D133" s="38">
        <v>7.25</v>
      </c>
      <c r="E133" s="38">
        <v>3</v>
      </c>
      <c r="F133" s="38">
        <v>4</v>
      </c>
      <c r="G133" s="38">
        <v>2</v>
      </c>
      <c r="H133" s="38">
        <v>2.38</v>
      </c>
      <c r="I133" s="38">
        <v>4</v>
      </c>
      <c r="J133" s="38">
        <v>10</v>
      </c>
      <c r="K133" s="36"/>
      <c r="L133" s="36"/>
      <c r="M133" s="38">
        <v>2</v>
      </c>
      <c r="N133" s="38">
        <v>11.375</v>
      </c>
      <c r="O133" s="38">
        <v>10</v>
      </c>
      <c r="P133" s="36"/>
      <c r="Q133" s="36"/>
      <c r="R133" s="36"/>
      <c r="S133" s="36"/>
      <c r="T133" s="36"/>
      <c r="U133" s="38">
        <v>5</v>
      </c>
      <c r="V133" s="36"/>
      <c r="W133" s="36"/>
      <c r="X133" s="36"/>
      <c r="Y133" s="36"/>
      <c r="Z133" s="38">
        <v>2</v>
      </c>
      <c r="AA133" s="38">
        <v>0</v>
      </c>
      <c r="AB133" s="36"/>
      <c r="AC133" s="36"/>
      <c r="AD133" s="36"/>
      <c r="AE133" s="36"/>
      <c r="AF133" s="36"/>
      <c r="AG133" s="36"/>
      <c r="AH133" s="36"/>
      <c r="AI133" s="36"/>
      <c r="AJ133" s="36"/>
      <c r="AK133" s="38">
        <v>13</v>
      </c>
      <c r="AL133" s="38">
        <v>4</v>
      </c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59">
        <v>5.5</v>
      </c>
      <c r="BH133" s="59"/>
      <c r="BI133" s="59">
        <v>6.6324280174302697E-2</v>
      </c>
      <c r="BJ133" s="59"/>
      <c r="BK133" s="36"/>
      <c r="BL133" s="36"/>
      <c r="BM133" s="36"/>
      <c r="BN133" s="38">
        <v>26.7</v>
      </c>
      <c r="BO133" s="36"/>
      <c r="BP133" s="39">
        <f t="shared" si="30"/>
        <v>1.077434456928839</v>
      </c>
      <c r="BQ133" s="37"/>
      <c r="BR133" s="39">
        <f t="shared" si="31"/>
        <v>0.25702887234116728</v>
      </c>
      <c r="BS133" s="37"/>
      <c r="BT133" s="37"/>
      <c r="BU133" s="37"/>
      <c r="BV133" s="39">
        <f t="shared" si="39"/>
        <v>0.25225138400768837</v>
      </c>
      <c r="BW133" s="37"/>
      <c r="BX133" s="39">
        <f t="shared" si="40"/>
        <v>0.10479551956415309</v>
      </c>
      <c r="BY133" s="39">
        <f t="shared" ref="BY133:BY164" si="63">$BP133*(12*Z133+AA133)/(12*0.453592)</f>
        <v>4.7506766297855298</v>
      </c>
      <c r="BZ133" s="37"/>
      <c r="CA133" s="37"/>
      <c r="CB133" s="39">
        <f>$BP133*(12*O133+P133)/(224*0.453592)</f>
        <v>1.2725026686925527</v>
      </c>
      <c r="CC133" s="39">
        <f t="shared" si="56"/>
        <v>8.9786204744069911E-2</v>
      </c>
      <c r="CD133" s="39">
        <f>BP133*(12*AK133+AL133)/1000</f>
        <v>0.17238951310861425</v>
      </c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9">
        <f>0.063495+(0.016949+0.014096)*Wages!P131+1.22592*BR133</f>
        <v>0.60158485328285582</v>
      </c>
      <c r="CP133" s="39"/>
      <c r="CQ133" s="39">
        <f t="shared" si="41"/>
        <v>0.60158485328285582</v>
      </c>
      <c r="CR133" s="39">
        <f t="shared" si="51"/>
        <v>0.25225138400768837</v>
      </c>
      <c r="CS133" s="39">
        <f t="shared" si="42"/>
        <v>0.91683422092134237</v>
      </c>
      <c r="CT133" s="39">
        <f t="shared" si="43"/>
        <v>2.6390598824623814</v>
      </c>
      <c r="CU133" s="39">
        <f>CB133</f>
        <v>1.2725026686925527</v>
      </c>
      <c r="CV133" s="39">
        <f t="shared" si="57"/>
        <v>8.9786204744069911E-2</v>
      </c>
      <c r="CW133" s="39">
        <f>CD133</f>
        <v>0.17238951310861425</v>
      </c>
      <c r="CX133" s="39"/>
      <c r="CY133" s="39"/>
      <c r="CZ133" s="39">
        <f t="shared" si="32"/>
        <v>0.10479551956415309</v>
      </c>
      <c r="DA133" s="39">
        <f t="shared" si="44"/>
        <v>7.4653489896629761</v>
      </c>
      <c r="DB133" s="39">
        <v>5</v>
      </c>
      <c r="DC133" s="39">
        <f t="shared" si="33"/>
        <v>4.7506766297855298</v>
      </c>
      <c r="DD133" s="39">
        <v>3.3</v>
      </c>
      <c r="DE133" s="39">
        <v>3.6999999999999998E-2</v>
      </c>
      <c r="DF133" s="37"/>
      <c r="DG133" s="39">
        <f t="shared" si="34"/>
        <v>0</v>
      </c>
      <c r="DH133" s="39">
        <f t="shared" si="35"/>
        <v>4.1883631424043468</v>
      </c>
      <c r="DI133" s="37"/>
      <c r="DJ133" s="37"/>
      <c r="DK133" s="37"/>
      <c r="DL133" s="37"/>
      <c r="DM133" s="39">
        <f t="shared" si="45"/>
        <v>0.66717123916222321</v>
      </c>
      <c r="DN133" s="39"/>
      <c r="DO133" s="39">
        <f t="shared" si="46"/>
        <v>0.66717123916222321</v>
      </c>
      <c r="DP133" s="37"/>
      <c r="DQ133" s="37">
        <f>DO133/'Conversions, Sources &amp; Comments'!E131</f>
        <v>0.61922211125858551</v>
      </c>
    </row>
    <row r="134" spans="1:121">
      <c r="A134" s="42">
        <f t="shared" si="36"/>
        <v>1382</v>
      </c>
      <c r="B134" s="36"/>
      <c r="C134" s="38">
        <v>5</v>
      </c>
      <c r="D134" s="38">
        <v>3.5</v>
      </c>
      <c r="E134" s="38">
        <v>3</v>
      </c>
      <c r="F134" s="38">
        <v>0.63</v>
      </c>
      <c r="G134" s="38">
        <v>1</v>
      </c>
      <c r="H134" s="38">
        <v>11.5</v>
      </c>
      <c r="I134" s="36"/>
      <c r="J134" s="36"/>
      <c r="K134" s="36"/>
      <c r="L134" s="36"/>
      <c r="M134" s="38">
        <v>2</v>
      </c>
      <c r="N134" s="38">
        <v>8.375</v>
      </c>
      <c r="O134" s="38">
        <v>10</v>
      </c>
      <c r="P134" s="36"/>
      <c r="Q134" s="36"/>
      <c r="R134" s="36"/>
      <c r="S134" s="36"/>
      <c r="T134" s="36"/>
      <c r="U134" s="38">
        <v>5</v>
      </c>
      <c r="V134" s="36"/>
      <c r="W134" s="38">
        <v>6</v>
      </c>
      <c r="X134" s="36"/>
      <c r="Y134" s="36"/>
      <c r="Z134" s="38">
        <v>1</v>
      </c>
      <c r="AA134" s="38">
        <v>9</v>
      </c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8">
        <v>1</v>
      </c>
      <c r="AP134" s="38">
        <v>4.5</v>
      </c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59">
        <v>5.083333333333333</v>
      </c>
      <c r="BH134" s="59"/>
      <c r="BI134" s="59">
        <v>7.4614815196089687E-2</v>
      </c>
      <c r="BJ134" s="59"/>
      <c r="BK134" s="36"/>
      <c r="BL134" s="36"/>
      <c r="BM134" s="36"/>
      <c r="BN134" s="38">
        <v>26.7</v>
      </c>
      <c r="BO134" s="36"/>
      <c r="BP134" s="39">
        <f t="shared" si="30"/>
        <v>1.077434456928839</v>
      </c>
      <c r="BQ134" s="37"/>
      <c r="BR134" s="39">
        <f t="shared" si="31"/>
        <v>0.24269640734073045</v>
      </c>
      <c r="BS134" s="37"/>
      <c r="BT134" s="37"/>
      <c r="BU134" s="37"/>
      <c r="BV134" s="39">
        <f t="shared" si="39"/>
        <v>0.23314143067377252</v>
      </c>
      <c r="BW134" s="37"/>
      <c r="BX134" s="39">
        <f t="shared" si="40"/>
        <v>0.1178949595096709</v>
      </c>
      <c r="BY134" s="39">
        <f t="shared" si="63"/>
        <v>4.1568420510623385</v>
      </c>
      <c r="BZ134" s="37"/>
      <c r="CA134" s="37"/>
      <c r="CB134" s="39">
        <f>$BP134*(12*O134+P134)/(224*0.453592)</f>
        <v>1.2725026686925527</v>
      </c>
      <c r="CC134" s="39">
        <f t="shared" si="56"/>
        <v>8.9786204744069911E-2</v>
      </c>
      <c r="CD134" s="37"/>
      <c r="CE134" s="37"/>
      <c r="CF134" s="37"/>
      <c r="CG134" s="39">
        <f>BP134*(12*AO134+AP134)/4.55</f>
        <v>3.9071798987529331</v>
      </c>
      <c r="CH134" s="37"/>
      <c r="CI134" s="37"/>
      <c r="CJ134" s="37"/>
      <c r="CK134" s="37"/>
      <c r="CL134" s="37"/>
      <c r="CM134" s="37"/>
      <c r="CN134" s="37"/>
      <c r="CO134" s="39">
        <f>0.063495+(0.016949+0.014096)*Wages!P132+1.22592*BR134</f>
        <v>0.58401439778952025</v>
      </c>
      <c r="CP134" s="39"/>
      <c r="CQ134" s="39">
        <f t="shared" si="41"/>
        <v>0.58401439778952025</v>
      </c>
      <c r="CR134" s="39">
        <f t="shared" si="51"/>
        <v>0.23314143067377252</v>
      </c>
      <c r="CS134" s="39">
        <f t="shared" si="42"/>
        <v>0.91683422092134237</v>
      </c>
      <c r="CT134" s="39">
        <f t="shared" si="43"/>
        <v>2.6390598824623814</v>
      </c>
      <c r="CU134" s="39">
        <f>CB134</f>
        <v>1.2725026686925527</v>
      </c>
      <c r="CV134" s="39">
        <f t="shared" si="57"/>
        <v>8.9786204744069911E-2</v>
      </c>
      <c r="CW134" s="39">
        <v>0.17238951310861428</v>
      </c>
      <c r="CX134" s="39"/>
      <c r="CY134" s="39"/>
      <c r="CZ134" s="39">
        <f t="shared" si="32"/>
        <v>0.1178949595096709</v>
      </c>
      <c r="DA134" s="39">
        <f t="shared" si="44"/>
        <v>6.5321803659551039</v>
      </c>
      <c r="DB134" s="39">
        <v>5</v>
      </c>
      <c r="DC134" s="39">
        <f t="shared" si="33"/>
        <v>4.1568420510623385</v>
      </c>
      <c r="DD134" s="39">
        <f>CG134</f>
        <v>3.9071798987529331</v>
      </c>
      <c r="DE134" s="39">
        <v>3.6999999999999998E-2</v>
      </c>
      <c r="DF134" s="37"/>
      <c r="DG134" s="39">
        <f t="shared" si="34"/>
        <v>0</v>
      </c>
      <c r="DH134" s="39">
        <f t="shared" si="35"/>
        <v>4.1883631424043468</v>
      </c>
      <c r="DI134" s="37"/>
      <c r="DJ134" s="37"/>
      <c r="DK134" s="37"/>
      <c r="DL134" s="37"/>
      <c r="DM134" s="39">
        <f t="shared" si="45"/>
        <v>0.65705073747680054</v>
      </c>
      <c r="DN134" s="39"/>
      <c r="DO134" s="39">
        <f t="shared" si="46"/>
        <v>0.65705073747680054</v>
      </c>
      <c r="DP134" s="37"/>
      <c r="DQ134" s="37">
        <f>DO134/'Conversions, Sources &amp; Comments'!E132</f>
        <v>0.60982896291407229</v>
      </c>
    </row>
    <row r="135" spans="1:121">
      <c r="A135" s="42">
        <f t="shared" si="36"/>
        <v>1383</v>
      </c>
      <c r="B135" s="36"/>
      <c r="C135" s="38">
        <v>4</v>
      </c>
      <c r="D135" s="38">
        <v>10</v>
      </c>
      <c r="E135" s="38">
        <v>3</v>
      </c>
      <c r="F135" s="38">
        <v>11.38</v>
      </c>
      <c r="G135" s="38">
        <v>2</v>
      </c>
      <c r="H135" s="38">
        <v>3.63</v>
      </c>
      <c r="I135" s="38">
        <v>3</v>
      </c>
      <c r="J135" s="38">
        <v>8</v>
      </c>
      <c r="K135" s="36"/>
      <c r="L135" s="36"/>
      <c r="M135" s="38">
        <v>3</v>
      </c>
      <c r="N135" s="38">
        <v>5.75</v>
      </c>
      <c r="O135" s="38">
        <v>10</v>
      </c>
      <c r="P135" s="36"/>
      <c r="Q135" s="36"/>
      <c r="R135" s="36"/>
      <c r="S135" s="36"/>
      <c r="T135" s="36"/>
      <c r="U135" s="38">
        <v>5</v>
      </c>
      <c r="V135" s="36"/>
      <c r="W135" s="38">
        <v>5.5</v>
      </c>
      <c r="X135" s="36"/>
      <c r="Y135" s="36"/>
      <c r="Z135" s="38">
        <v>1</v>
      </c>
      <c r="AA135" s="38">
        <v>10</v>
      </c>
      <c r="AB135" s="36"/>
      <c r="AC135" s="36"/>
      <c r="AD135" s="36"/>
      <c r="AE135" s="36"/>
      <c r="AF135" s="36"/>
      <c r="AG135" s="36"/>
      <c r="AH135" s="36"/>
      <c r="AI135" s="36"/>
      <c r="AJ135" s="36"/>
      <c r="AK135" s="38">
        <v>13</v>
      </c>
      <c r="AL135" s="38">
        <v>4</v>
      </c>
      <c r="AM135" s="36"/>
      <c r="AN135" s="36"/>
      <c r="AO135" s="38">
        <v>1</v>
      </c>
      <c r="AP135" s="38">
        <v>6</v>
      </c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59">
        <v>4.666666666666667</v>
      </c>
      <c r="BH135" s="59"/>
      <c r="BI135" s="59">
        <v>8.0141838543948241E-2</v>
      </c>
      <c r="BJ135" s="59"/>
      <c r="BK135" s="36"/>
      <c r="BL135" s="36"/>
      <c r="BM135" s="36"/>
      <c r="BN135" s="38">
        <v>26.7</v>
      </c>
      <c r="BO135" s="36"/>
      <c r="BP135" s="39">
        <f t="shared" si="30"/>
        <v>1.077434456928839</v>
      </c>
      <c r="BQ135" s="37"/>
      <c r="BR135" s="39">
        <f t="shared" si="31"/>
        <v>0.22167545867342309</v>
      </c>
      <c r="BS135" s="37"/>
      <c r="BT135" s="37"/>
      <c r="BU135" s="37"/>
      <c r="BV135" s="39">
        <f t="shared" si="39"/>
        <v>0.21403147733985681</v>
      </c>
      <c r="BW135" s="37"/>
      <c r="BX135" s="39">
        <f t="shared" si="40"/>
        <v>0.12662791947335031</v>
      </c>
      <c r="BY135" s="39">
        <f t="shared" si="63"/>
        <v>4.3547869106367356</v>
      </c>
      <c r="BZ135" s="37"/>
      <c r="CA135" s="37"/>
      <c r="CB135" s="39">
        <f>$BP135*(12*O135+P135)/(224*0.453592)</f>
        <v>1.2725026686925527</v>
      </c>
      <c r="CC135" s="39">
        <f t="shared" si="56"/>
        <v>8.9786204744069911E-2</v>
      </c>
      <c r="CD135" s="39">
        <f>BP135*(12*AK135+AL135)/1000</f>
        <v>0.17238951310861425</v>
      </c>
      <c r="CE135" s="37"/>
      <c r="CF135" s="37"/>
      <c r="CG135" s="39">
        <f>BP135*(12*AO135+AP135)/4.55</f>
        <v>4.2623780713668351</v>
      </c>
      <c r="CH135" s="37"/>
      <c r="CI135" s="37"/>
      <c r="CJ135" s="37"/>
      <c r="CK135" s="37"/>
      <c r="CL135" s="37"/>
      <c r="CM135" s="37"/>
      <c r="CN135" s="37"/>
      <c r="CO135" s="39">
        <f>0.063495+(0.016949+0.014096)*Wages!P133+1.22592*BR135</f>
        <v>0.5582443963992948</v>
      </c>
      <c r="CP135" s="39"/>
      <c r="CQ135" s="39">
        <f t="shared" si="41"/>
        <v>0.5582443963992948</v>
      </c>
      <c r="CR135" s="39">
        <f t="shared" si="51"/>
        <v>0.21403147733985681</v>
      </c>
      <c r="CS135" s="39">
        <f t="shared" si="42"/>
        <v>0.91683422092134237</v>
      </c>
      <c r="CT135" s="39">
        <f t="shared" si="43"/>
        <v>2.6390598824623814</v>
      </c>
      <c r="CU135" s="39">
        <f>CB135</f>
        <v>1.2725026686925527</v>
      </c>
      <c r="CV135" s="39">
        <f t="shared" si="57"/>
        <v>8.9786204744069911E-2</v>
      </c>
      <c r="CW135" s="39">
        <f>CD135</f>
        <v>0.17238951310861425</v>
      </c>
      <c r="CX135" s="39"/>
      <c r="CY135" s="39"/>
      <c r="CZ135" s="39">
        <f t="shared" si="32"/>
        <v>0.12662791947335031</v>
      </c>
      <c r="DA135" s="39">
        <f t="shared" si="44"/>
        <v>6.8432365738577277</v>
      </c>
      <c r="DB135" s="39">
        <v>5</v>
      </c>
      <c r="DC135" s="39">
        <f t="shared" si="33"/>
        <v>4.3547869106367356</v>
      </c>
      <c r="DD135" s="39">
        <f>CG135</f>
        <v>4.2623780713668351</v>
      </c>
      <c r="DE135" s="39">
        <v>3.6999999999999998E-2</v>
      </c>
      <c r="DF135" s="37"/>
      <c r="DG135" s="39">
        <f t="shared" si="34"/>
        <v>0</v>
      </c>
      <c r="DH135" s="39">
        <f t="shared" si="35"/>
        <v>4.1883631424043468</v>
      </c>
      <c r="DI135" s="37"/>
      <c r="DJ135" s="37"/>
      <c r="DK135" s="37"/>
      <c r="DL135" s="37"/>
      <c r="DM135" s="39">
        <f t="shared" si="45"/>
        <v>0.65259774427928363</v>
      </c>
      <c r="DN135" s="39"/>
      <c r="DO135" s="39">
        <f t="shared" si="46"/>
        <v>0.65259774427928363</v>
      </c>
      <c r="DP135" s="37"/>
      <c r="DQ135" s="37">
        <f>DO135/'Conversions, Sources &amp; Comments'!E133</f>
        <v>0.60569600320698258</v>
      </c>
    </row>
    <row r="136" spans="1:121">
      <c r="A136" s="42">
        <f t="shared" si="36"/>
        <v>1384</v>
      </c>
      <c r="B136" s="36"/>
      <c r="C136" s="38">
        <v>5</v>
      </c>
      <c r="D136" s="38">
        <v>7</v>
      </c>
      <c r="E136" s="38">
        <v>3</v>
      </c>
      <c r="F136" s="38">
        <v>1</v>
      </c>
      <c r="G136" s="38">
        <v>2</v>
      </c>
      <c r="H136" s="38">
        <v>2.63</v>
      </c>
      <c r="I136" s="38">
        <v>3</v>
      </c>
      <c r="J136" s="38">
        <v>8</v>
      </c>
      <c r="K136" s="36"/>
      <c r="L136" s="36"/>
      <c r="M136" s="38">
        <v>3</v>
      </c>
      <c r="N136" s="38">
        <v>3.125</v>
      </c>
      <c r="O136" s="36"/>
      <c r="P136" s="36"/>
      <c r="Q136" s="36"/>
      <c r="R136" s="36"/>
      <c r="S136" s="36"/>
      <c r="T136" s="36"/>
      <c r="U136" s="38">
        <v>5</v>
      </c>
      <c r="V136" s="36"/>
      <c r="W136" s="38">
        <v>5.5</v>
      </c>
      <c r="X136" s="36"/>
      <c r="Y136" s="36"/>
      <c r="Z136" s="38">
        <v>2</v>
      </c>
      <c r="AA136" s="38">
        <v>0</v>
      </c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8">
        <v>1</v>
      </c>
      <c r="AP136" s="38">
        <v>6</v>
      </c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59">
        <v>5</v>
      </c>
      <c r="BH136" s="59"/>
      <c r="BI136" s="59">
        <v>6.9087791848231134E-2</v>
      </c>
      <c r="BJ136" s="59"/>
      <c r="BK136" s="36"/>
      <c r="BL136" s="36"/>
      <c r="BM136" s="36"/>
      <c r="BN136" s="38">
        <v>26.7</v>
      </c>
      <c r="BO136" s="36"/>
      <c r="BP136" s="39">
        <f t="shared" si="30"/>
        <v>1.077434456928839</v>
      </c>
      <c r="BQ136" s="37"/>
      <c r="BR136" s="39">
        <f t="shared" si="31"/>
        <v>0.2560733746744715</v>
      </c>
      <c r="BS136" s="37"/>
      <c r="BT136" s="37"/>
      <c r="BU136" s="37"/>
      <c r="BV136" s="39">
        <f t="shared" si="39"/>
        <v>0.22931944000698942</v>
      </c>
      <c r="BW136" s="37"/>
      <c r="BX136" s="39">
        <f t="shared" si="40"/>
        <v>0.10916199954599146</v>
      </c>
      <c r="BY136" s="39">
        <f t="shared" si="63"/>
        <v>4.7506766297855298</v>
      </c>
      <c r="BZ136" s="37"/>
      <c r="CA136" s="37"/>
      <c r="CB136" s="37"/>
      <c r="CC136" s="39">
        <f t="shared" si="56"/>
        <v>8.9786204744069911E-2</v>
      </c>
      <c r="CD136" s="37"/>
      <c r="CE136" s="37"/>
      <c r="CF136" s="37"/>
      <c r="CG136" s="39">
        <f>BP136*(12*AO136+AP136)/4.55</f>
        <v>4.2623780713668351</v>
      </c>
      <c r="CH136" s="37"/>
      <c r="CI136" s="37"/>
      <c r="CJ136" s="37"/>
      <c r="CK136" s="37"/>
      <c r="CL136" s="37"/>
      <c r="CM136" s="37"/>
      <c r="CN136" s="37"/>
      <c r="CO136" s="39">
        <f>0.063495+(0.016949+0.014096)*Wages!P134+1.22592*BR136</f>
        <v>0.6004134895833001</v>
      </c>
      <c r="CP136" s="39"/>
      <c r="CQ136" s="39">
        <f t="shared" si="41"/>
        <v>0.6004134895833001</v>
      </c>
      <c r="CR136" s="39">
        <f t="shared" si="51"/>
        <v>0.22931944000698942</v>
      </c>
      <c r="CS136" s="39">
        <f t="shared" si="42"/>
        <v>0.91683373913043476</v>
      </c>
      <c r="CT136" s="39">
        <f t="shared" si="43"/>
        <v>2.6390584956521743</v>
      </c>
      <c r="CU136" s="39">
        <v>1.272502</v>
      </c>
      <c r="CV136" s="39">
        <f t="shared" si="57"/>
        <v>8.9786204744069911E-2</v>
      </c>
      <c r="CW136" s="39">
        <v>0.19</v>
      </c>
      <c r="CX136" s="39"/>
      <c r="CY136" s="39"/>
      <c r="CZ136" s="39">
        <f t="shared" si="32"/>
        <v>0.10916199954599146</v>
      </c>
      <c r="DA136" s="39">
        <f t="shared" si="44"/>
        <v>7.4653489896629761</v>
      </c>
      <c r="DB136" s="39">
        <v>5</v>
      </c>
      <c r="DC136" s="39">
        <f t="shared" si="33"/>
        <v>4.7506766297855298</v>
      </c>
      <c r="DD136" s="39">
        <f>CG136</f>
        <v>4.2623780713668351</v>
      </c>
      <c r="DE136" s="39">
        <v>3.6999999999999998E-2</v>
      </c>
      <c r="DF136" s="37"/>
      <c r="DG136" s="39">
        <f t="shared" si="34"/>
        <v>0</v>
      </c>
      <c r="DH136" s="39">
        <f t="shared" si="35"/>
        <v>4.1883631424043468</v>
      </c>
      <c r="DI136" s="37"/>
      <c r="DJ136" s="37"/>
      <c r="DK136" s="37"/>
      <c r="DL136" s="37"/>
      <c r="DM136" s="39">
        <f t="shared" si="45"/>
        <v>0.67172948397165455</v>
      </c>
      <c r="DN136" s="39"/>
      <c r="DO136" s="39">
        <f t="shared" si="46"/>
        <v>0.67172948397165455</v>
      </c>
      <c r="DP136" s="37"/>
      <c r="DQ136" s="37">
        <f>DO136/'Conversions, Sources &amp; Comments'!E134</f>
        <v>0.62345275821823853</v>
      </c>
    </row>
    <row r="137" spans="1:121">
      <c r="A137" s="42">
        <f t="shared" si="36"/>
        <v>1385</v>
      </c>
      <c r="B137" s="36"/>
      <c r="C137" s="38">
        <v>5</v>
      </c>
      <c r="D137" s="38">
        <v>0.63</v>
      </c>
      <c r="E137" s="38">
        <v>3</v>
      </c>
      <c r="F137" s="38">
        <v>2.5</v>
      </c>
      <c r="G137" s="38">
        <v>2</v>
      </c>
      <c r="H137" s="38">
        <v>5.63</v>
      </c>
      <c r="I137" s="36"/>
      <c r="J137" s="36"/>
      <c r="K137" s="36"/>
      <c r="L137" s="36"/>
      <c r="M137" s="38">
        <v>3</v>
      </c>
      <c r="N137" s="38">
        <v>4</v>
      </c>
      <c r="O137" s="38">
        <v>10</v>
      </c>
      <c r="P137" s="36"/>
      <c r="Q137" s="36"/>
      <c r="R137" s="36"/>
      <c r="S137" s="36"/>
      <c r="T137" s="36"/>
      <c r="U137" s="38">
        <v>5</v>
      </c>
      <c r="V137" s="36"/>
      <c r="W137" s="38">
        <v>5.5</v>
      </c>
      <c r="X137" s="36"/>
      <c r="Y137" s="36"/>
      <c r="Z137" s="38">
        <v>1</v>
      </c>
      <c r="AA137" s="38">
        <v>10.5</v>
      </c>
      <c r="AB137" s="36"/>
      <c r="AC137" s="36"/>
      <c r="AD137" s="36"/>
      <c r="AE137" s="36"/>
      <c r="AF137" s="36"/>
      <c r="AG137" s="36"/>
      <c r="AH137" s="36"/>
      <c r="AI137" s="36"/>
      <c r="AJ137" s="36"/>
      <c r="AK137" s="38">
        <v>16</v>
      </c>
      <c r="AL137" s="38">
        <v>8</v>
      </c>
      <c r="AM137" s="36"/>
      <c r="AN137" s="36"/>
      <c r="AO137" s="38">
        <v>1</v>
      </c>
      <c r="AP137" s="38">
        <v>6</v>
      </c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59">
        <v>4.5</v>
      </c>
      <c r="BH137" s="59"/>
      <c r="BI137" s="59">
        <v>7.3233059359125469E-2</v>
      </c>
      <c r="BJ137" s="59"/>
      <c r="BK137" s="36"/>
      <c r="BL137" s="36"/>
      <c r="BM137" s="36"/>
      <c r="BN137" s="38">
        <v>26.7</v>
      </c>
      <c r="BO137" s="36"/>
      <c r="BP137" s="39">
        <f t="shared" si="30"/>
        <v>1.077434456928839</v>
      </c>
      <c r="BQ137" s="37"/>
      <c r="BR137" s="39">
        <f t="shared" si="31"/>
        <v>0.23172729412706278</v>
      </c>
      <c r="BS137" s="37"/>
      <c r="BT137" s="37"/>
      <c r="BU137" s="37"/>
      <c r="BV137" s="39">
        <f t="shared" si="39"/>
        <v>0.20638749600629047</v>
      </c>
      <c r="BW137" s="37"/>
      <c r="BX137" s="39">
        <f t="shared" si="40"/>
        <v>0.1157117195187517</v>
      </c>
      <c r="BY137" s="39">
        <f t="shared" si="63"/>
        <v>4.4537593404239342</v>
      </c>
      <c r="BZ137" s="37"/>
      <c r="CA137" s="37"/>
      <c r="CB137" s="39">
        <f t="shared" ref="CB137:CB167" si="64">$BP137*(12*O137+P137)/(224*0.453592)</f>
        <v>1.2725026686925527</v>
      </c>
      <c r="CC137" s="39">
        <f t="shared" si="56"/>
        <v>8.9786204744069911E-2</v>
      </c>
      <c r="CD137" s="39">
        <f>BP137*(12*AK137+AL137)/1000</f>
        <v>0.21548689138576779</v>
      </c>
      <c r="CE137" s="37"/>
      <c r="CF137" s="37"/>
      <c r="CG137" s="39">
        <f>BP137*(12*AO137+AP137)/4.55</f>
        <v>4.2623780713668351</v>
      </c>
      <c r="CH137" s="37"/>
      <c r="CI137" s="37"/>
      <c r="CJ137" s="37"/>
      <c r="CK137" s="37"/>
      <c r="CL137" s="37"/>
      <c r="CM137" s="37"/>
      <c r="CN137" s="37"/>
      <c r="CO137" s="39">
        <f>0.063495+(0.016949+0.014096)*Wages!P135+1.22592*BR137</f>
        <v>0.57056714251862073</v>
      </c>
      <c r="CP137" s="39"/>
      <c r="CQ137" s="39">
        <f t="shared" si="41"/>
        <v>0.57056714251862073</v>
      </c>
      <c r="CR137" s="39">
        <f t="shared" si="51"/>
        <v>0.20638749600629047</v>
      </c>
      <c r="CS137" s="39">
        <f t="shared" si="42"/>
        <v>0.91683422092134237</v>
      </c>
      <c r="CT137" s="39">
        <f t="shared" si="43"/>
        <v>2.6390598824623814</v>
      </c>
      <c r="CU137" s="39">
        <f t="shared" ref="CU137:CW167" si="65">CB137</f>
        <v>1.2725026686925527</v>
      </c>
      <c r="CV137" s="39">
        <f t="shared" si="57"/>
        <v>8.9786204744069911E-2</v>
      </c>
      <c r="CW137" s="39">
        <f>CD137</f>
        <v>0.21548689138576779</v>
      </c>
      <c r="CX137" s="39"/>
      <c r="CY137" s="39"/>
      <c r="CZ137" s="39">
        <f t="shared" si="32"/>
        <v>0.1157117195187517</v>
      </c>
      <c r="DA137" s="39">
        <f t="shared" si="44"/>
        <v>6.9987646778090395</v>
      </c>
      <c r="DB137" s="39">
        <v>5</v>
      </c>
      <c r="DC137" s="39">
        <f t="shared" si="33"/>
        <v>4.4537593404239342</v>
      </c>
      <c r="DD137" s="39">
        <f>CG137</f>
        <v>4.2623780713668351</v>
      </c>
      <c r="DE137" s="39">
        <v>3.6999999999999998E-2</v>
      </c>
      <c r="DF137" s="37"/>
      <c r="DG137" s="39">
        <f t="shared" si="34"/>
        <v>0</v>
      </c>
      <c r="DH137" s="39">
        <f t="shared" si="35"/>
        <v>4.1883631424043468</v>
      </c>
      <c r="DI137" s="37"/>
      <c r="DJ137" s="37"/>
      <c r="DK137" s="37"/>
      <c r="DL137" s="37"/>
      <c r="DM137" s="39">
        <f t="shared" si="45"/>
        <v>0.65385155818700391</v>
      </c>
      <c r="DN137" s="39"/>
      <c r="DO137" s="39">
        <f t="shared" si="46"/>
        <v>0.65385155818700391</v>
      </c>
      <c r="DP137" s="37"/>
      <c r="DQ137" s="37">
        <f>DO137/'Conversions, Sources &amp; Comments'!E135</f>
        <v>0.60685970639064934</v>
      </c>
    </row>
    <row r="138" spans="1:121">
      <c r="A138" s="42">
        <f t="shared" si="36"/>
        <v>1386</v>
      </c>
      <c r="B138" s="36"/>
      <c r="C138" s="38">
        <v>4</v>
      </c>
      <c r="D138" s="38">
        <v>1</v>
      </c>
      <c r="E138" s="38">
        <v>2</v>
      </c>
      <c r="F138" s="38">
        <v>11.5</v>
      </c>
      <c r="G138" s="38">
        <v>1</v>
      </c>
      <c r="H138" s="38">
        <v>6</v>
      </c>
      <c r="I138" s="38">
        <v>2</v>
      </c>
      <c r="J138" s="38">
        <v>8</v>
      </c>
      <c r="K138" s="36"/>
      <c r="L138" s="36"/>
      <c r="M138" s="38">
        <v>2</v>
      </c>
      <c r="N138" s="38">
        <v>2.625</v>
      </c>
      <c r="O138" s="38">
        <v>9</v>
      </c>
      <c r="P138" s="38">
        <v>6</v>
      </c>
      <c r="Q138" s="36"/>
      <c r="R138" s="36"/>
      <c r="S138" s="36"/>
      <c r="T138" s="36"/>
      <c r="U138" s="38">
        <v>5</v>
      </c>
      <c r="V138" s="36"/>
      <c r="W138" s="38">
        <v>5.75</v>
      </c>
      <c r="X138" s="36"/>
      <c r="Y138" s="36"/>
      <c r="Z138" s="38">
        <v>1</v>
      </c>
      <c r="AA138" s="38">
        <v>8.5</v>
      </c>
      <c r="AB138" s="36"/>
      <c r="AC138" s="36"/>
      <c r="AD138" s="36"/>
      <c r="AE138" s="36"/>
      <c r="AF138" s="36"/>
      <c r="AG138" s="36"/>
      <c r="AH138" s="36"/>
      <c r="AI138" s="36"/>
      <c r="AJ138" s="36"/>
      <c r="AK138" s="38">
        <v>16</v>
      </c>
      <c r="AL138" s="38">
        <v>8</v>
      </c>
      <c r="AM138" s="36"/>
      <c r="AN138" s="36"/>
      <c r="AO138" s="38">
        <v>1</v>
      </c>
      <c r="AP138" s="38">
        <v>3</v>
      </c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59">
        <v>3.75</v>
      </c>
      <c r="BH138" s="59"/>
      <c r="BI138" s="59">
        <v>6.2179012663408355E-2</v>
      </c>
      <c r="BJ138" s="59"/>
      <c r="BK138" s="36"/>
      <c r="BL138" s="36"/>
      <c r="BM138" s="36"/>
      <c r="BN138" s="38">
        <v>26.7</v>
      </c>
      <c r="BO138" s="36"/>
      <c r="BP138" s="39">
        <f t="shared" si="30"/>
        <v>1.077434456928839</v>
      </c>
      <c r="BQ138" s="37"/>
      <c r="BR138" s="39">
        <f t="shared" si="31"/>
        <v>0.18727754267237468</v>
      </c>
      <c r="BS138" s="37"/>
      <c r="BT138" s="37"/>
      <c r="BU138" s="37"/>
      <c r="BV138" s="39">
        <f t="shared" si="39"/>
        <v>0.17198958000524206</v>
      </c>
      <c r="BW138" s="37"/>
      <c r="BX138" s="39">
        <f t="shared" si="40"/>
        <v>9.8245799591392846E-2</v>
      </c>
      <c r="BY138" s="39">
        <f t="shared" si="63"/>
        <v>4.0578696212751399</v>
      </c>
      <c r="BZ138" s="37"/>
      <c r="CA138" s="37"/>
      <c r="CB138" s="39">
        <f t="shared" si="64"/>
        <v>1.2088775352579251</v>
      </c>
      <c r="CC138" s="39">
        <f t="shared" si="56"/>
        <v>8.9786204744069911E-2</v>
      </c>
      <c r="CD138" s="39">
        <f>BP138*(12*AK138+AL138)/1000</f>
        <v>0.21548689138576779</v>
      </c>
      <c r="CE138" s="37"/>
      <c r="CF138" s="37"/>
      <c r="CG138" s="39">
        <f>BP138*(12*AO138+AP138)/4.55</f>
        <v>3.5519817261390298</v>
      </c>
      <c r="CH138" s="37"/>
      <c r="CI138" s="37"/>
      <c r="CJ138" s="37"/>
      <c r="CK138" s="37"/>
      <c r="CL138" s="37"/>
      <c r="CM138" s="37"/>
      <c r="CN138" s="37"/>
      <c r="CO138" s="39">
        <f>0.063495+(0.016949+0.014096)*Wages!P136+1.22592*BR138</f>
        <v>0.5160753032152896</v>
      </c>
      <c r="CP138" s="39"/>
      <c r="CQ138" s="39">
        <f t="shared" si="41"/>
        <v>0.5160753032152896</v>
      </c>
      <c r="CR138" s="39">
        <f t="shared" si="51"/>
        <v>0.17198958000524206</v>
      </c>
      <c r="CS138" s="39">
        <f t="shared" si="42"/>
        <v>0.87099250987527521</v>
      </c>
      <c r="CT138" s="39">
        <f t="shared" si="43"/>
        <v>2.507106888339262</v>
      </c>
      <c r="CU138" s="39">
        <f t="shared" si="65"/>
        <v>1.2088775352579251</v>
      </c>
      <c r="CV138" s="39">
        <f t="shared" si="57"/>
        <v>8.9786204744069911E-2</v>
      </c>
      <c r="CW138" s="39">
        <f>CD138</f>
        <v>0.21548689138576779</v>
      </c>
      <c r="CX138" s="39"/>
      <c r="CY138" s="39"/>
      <c r="CZ138" s="39">
        <f t="shared" si="32"/>
        <v>9.8245799591392846E-2</v>
      </c>
      <c r="DA138" s="39">
        <f t="shared" si="44"/>
        <v>6.376652262003792</v>
      </c>
      <c r="DB138" s="39">
        <v>5</v>
      </c>
      <c r="DC138" s="39">
        <f t="shared" si="33"/>
        <v>4.0578696212751399</v>
      </c>
      <c r="DD138" s="39">
        <f>CG138</f>
        <v>3.5519817261390298</v>
      </c>
      <c r="DE138" s="39">
        <v>3.6999999999999998E-2</v>
      </c>
      <c r="DF138" s="37"/>
      <c r="DG138" s="39">
        <f t="shared" si="34"/>
        <v>0</v>
      </c>
      <c r="DH138" s="39">
        <f t="shared" si="35"/>
        <v>4.1883631424043468</v>
      </c>
      <c r="DI138" s="37"/>
      <c r="DJ138" s="37"/>
      <c r="DK138" s="37"/>
      <c r="DL138" s="37"/>
      <c r="DM138" s="39">
        <f t="shared" si="45"/>
        <v>0.60182022954940906</v>
      </c>
      <c r="DN138" s="39"/>
      <c r="DO138" s="39">
        <f t="shared" si="46"/>
        <v>0.60182022954940906</v>
      </c>
      <c r="DP138" s="37"/>
      <c r="DQ138" s="37">
        <f>DO138/'Conversions, Sources &amp; Comments'!E136</f>
        <v>0.55856783276159627</v>
      </c>
    </row>
    <row r="139" spans="1:121">
      <c r="A139" s="42">
        <f t="shared" si="36"/>
        <v>1387</v>
      </c>
      <c r="B139" s="36"/>
      <c r="C139" s="38">
        <v>3</v>
      </c>
      <c r="D139" s="38">
        <v>4.75</v>
      </c>
      <c r="E139" s="38">
        <v>2</v>
      </c>
      <c r="F139" s="38">
        <v>8.1300000000000008</v>
      </c>
      <c r="G139" s="38">
        <v>1</v>
      </c>
      <c r="H139" s="38">
        <v>4.63</v>
      </c>
      <c r="I139" s="36"/>
      <c r="J139" s="36"/>
      <c r="K139" s="36"/>
      <c r="L139" s="36"/>
      <c r="M139" s="38">
        <v>1</v>
      </c>
      <c r="N139" s="38">
        <v>9.375</v>
      </c>
      <c r="O139" s="38">
        <v>10</v>
      </c>
      <c r="P139" s="36"/>
      <c r="Q139" s="36"/>
      <c r="R139" s="36"/>
      <c r="S139" s="36"/>
      <c r="T139" s="36"/>
      <c r="U139" s="38">
        <v>5.5</v>
      </c>
      <c r="V139" s="36"/>
      <c r="W139" s="36"/>
      <c r="X139" s="36"/>
      <c r="Y139" s="36"/>
      <c r="Z139" s="38">
        <v>1</v>
      </c>
      <c r="AA139" s="38">
        <v>8</v>
      </c>
      <c r="AB139" s="36"/>
      <c r="AC139" s="36"/>
      <c r="AD139" s="36"/>
      <c r="AE139" s="36"/>
      <c r="AF139" s="36"/>
      <c r="AG139" s="36"/>
      <c r="AH139" s="36"/>
      <c r="AI139" s="36"/>
      <c r="AJ139" s="36"/>
      <c r="AK139" s="38">
        <v>15</v>
      </c>
      <c r="AL139" s="38">
        <v>0</v>
      </c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59">
        <v>3</v>
      </c>
      <c r="BH139" s="59"/>
      <c r="BI139" s="59">
        <v>5.6651989315549794E-2</v>
      </c>
      <c r="BJ139" s="59"/>
      <c r="BK139" s="36"/>
      <c r="BL139" s="36"/>
      <c r="BM139" s="36"/>
      <c r="BN139" s="38">
        <v>26.7</v>
      </c>
      <c r="BO139" s="36"/>
      <c r="BP139" s="39">
        <f t="shared" ref="BP139:BP202" si="66">(31.1*0.925/$BN139)</f>
        <v>1.077434456928839</v>
      </c>
      <c r="BQ139" s="37"/>
      <c r="BR139" s="39">
        <f t="shared" ref="BR139:BR202" si="67">(31.1*0.925/$BN139)*(12*C139+D139)/35.238/8</f>
        <v>0.15574611967141364</v>
      </c>
      <c r="BS139" s="37"/>
      <c r="BT139" s="37"/>
      <c r="BU139" s="37"/>
      <c r="BV139" s="39">
        <f t="shared" si="39"/>
        <v>0.13759166400419362</v>
      </c>
      <c r="BW139" s="37"/>
      <c r="BX139" s="39">
        <f t="shared" si="40"/>
        <v>8.951283962771342E-2</v>
      </c>
      <c r="BY139" s="39">
        <f t="shared" si="63"/>
        <v>3.9588971914879414</v>
      </c>
      <c r="BZ139" s="37"/>
      <c r="CA139" s="37"/>
      <c r="CB139" s="39">
        <f t="shared" si="64"/>
        <v>1.2725026686925527</v>
      </c>
      <c r="CC139" s="39">
        <f t="shared" si="56"/>
        <v>9.8764825218476918E-2</v>
      </c>
      <c r="CD139" s="39">
        <f>BP139*(12*AK139+AL139)/1000</f>
        <v>0.19393820224719102</v>
      </c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9">
        <f>0.063495+(0.016949+0.014096)*Wages!P137+1.22592*BR139</f>
        <v>0.47742030112995137</v>
      </c>
      <c r="CP139" s="39"/>
      <c r="CQ139" s="39">
        <f t="shared" si="41"/>
        <v>0.47742030112995137</v>
      </c>
      <c r="CR139" s="39">
        <f t="shared" si="51"/>
        <v>0.13759166400419362</v>
      </c>
      <c r="CS139" s="39">
        <f t="shared" si="42"/>
        <v>0.91683422092134237</v>
      </c>
      <c r="CT139" s="39">
        <f t="shared" si="43"/>
        <v>2.6390598824623814</v>
      </c>
      <c r="CU139" s="39">
        <f t="shared" si="65"/>
        <v>1.2725026686925527</v>
      </c>
      <c r="CV139" s="39">
        <f t="shared" si="57"/>
        <v>9.8764825218476918E-2</v>
      </c>
      <c r="CW139" s="39">
        <f>CD139</f>
        <v>0.19393820224719102</v>
      </c>
      <c r="CX139" s="39"/>
      <c r="CY139" s="39"/>
      <c r="CZ139" s="39">
        <f t="shared" ref="CZ139:CZ202" si="68">BX139</f>
        <v>8.951283962771342E-2</v>
      </c>
      <c r="DA139" s="39">
        <f t="shared" si="44"/>
        <v>6.2211241580524801</v>
      </c>
      <c r="DB139" s="39">
        <v>5</v>
      </c>
      <c r="DC139" s="39">
        <f t="shared" ref="DC139:DC202" si="69">BY139</f>
        <v>3.9588971914879414</v>
      </c>
      <c r="DD139" s="39">
        <v>2.9</v>
      </c>
      <c r="DE139" s="39">
        <v>3.6999999999999998E-2</v>
      </c>
      <c r="DF139" s="37"/>
      <c r="DG139" s="39">
        <f t="shared" ref="DG139:DG202" si="70">CL139</f>
        <v>0</v>
      </c>
      <c r="DH139" s="39">
        <f t="shared" ref="DH139:DH202" si="71">1000*DE139/8.834</f>
        <v>4.1883631424043468</v>
      </c>
      <c r="DI139" s="37"/>
      <c r="DJ139" s="37"/>
      <c r="DK139" s="37"/>
      <c r="DL139" s="37"/>
      <c r="DM139" s="39">
        <f t="shared" si="45"/>
        <v>0.57749049415739606</v>
      </c>
      <c r="DN139" s="39"/>
      <c r="DO139" s="39">
        <f t="shared" si="46"/>
        <v>0.57749049415739606</v>
      </c>
      <c r="DP139" s="37"/>
      <c r="DQ139" s="37">
        <f>DO139/'Conversions, Sources &amp; Comments'!E137</f>
        <v>0.53598665834717907</v>
      </c>
    </row>
    <row r="140" spans="1:121">
      <c r="A140" s="42">
        <f t="shared" ref="A140:A203" si="72">A139+1</f>
        <v>1388</v>
      </c>
      <c r="B140" s="36"/>
      <c r="C140" s="38">
        <v>3</v>
      </c>
      <c r="D140" s="38">
        <v>8.1300000000000008</v>
      </c>
      <c r="E140" s="38">
        <v>2</v>
      </c>
      <c r="F140" s="38">
        <v>10.38</v>
      </c>
      <c r="G140" s="38">
        <v>1</v>
      </c>
      <c r="H140" s="38">
        <v>11</v>
      </c>
      <c r="I140" s="36"/>
      <c r="J140" s="36"/>
      <c r="K140" s="36"/>
      <c r="L140" s="36"/>
      <c r="M140" s="38">
        <v>2</v>
      </c>
      <c r="N140" s="38">
        <v>0.5</v>
      </c>
      <c r="O140" s="38">
        <v>8</v>
      </c>
      <c r="P140" s="36"/>
      <c r="Q140" s="36"/>
      <c r="R140" s="36"/>
      <c r="S140" s="36"/>
      <c r="T140" s="36"/>
      <c r="U140" s="38">
        <v>5.125</v>
      </c>
      <c r="V140" s="36"/>
      <c r="W140" s="38">
        <v>5.25</v>
      </c>
      <c r="X140" s="36"/>
      <c r="Y140" s="36"/>
      <c r="Z140" s="38">
        <v>1</v>
      </c>
      <c r="AA140" s="38">
        <v>9</v>
      </c>
      <c r="AB140" s="36"/>
      <c r="AC140" s="36"/>
      <c r="AD140" s="36"/>
      <c r="AE140" s="36"/>
      <c r="AF140" s="36"/>
      <c r="AG140" s="38">
        <v>2</v>
      </c>
      <c r="AH140" s="38">
        <v>4</v>
      </c>
      <c r="AI140" s="36"/>
      <c r="AJ140" s="36"/>
      <c r="AK140" s="36"/>
      <c r="AL140" s="36"/>
      <c r="AM140" s="36"/>
      <c r="AN140" s="36"/>
      <c r="AO140" s="38">
        <v>0</v>
      </c>
      <c r="AP140" s="38">
        <v>10</v>
      </c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59">
        <v>4</v>
      </c>
      <c r="BH140" s="59"/>
      <c r="BI140" s="59">
        <v>6.4942524337338478E-2</v>
      </c>
      <c r="BJ140" s="59"/>
      <c r="BK140" s="36"/>
      <c r="BL140" s="36"/>
      <c r="BM140" s="36"/>
      <c r="BN140" s="38">
        <v>26.7</v>
      </c>
      <c r="BO140" s="36"/>
      <c r="BP140" s="39">
        <f t="shared" si="66"/>
        <v>1.077434456928839</v>
      </c>
      <c r="BQ140" s="37"/>
      <c r="BR140" s="39">
        <f t="shared" si="67"/>
        <v>0.16866444812514073</v>
      </c>
      <c r="BS140" s="37"/>
      <c r="BT140" s="37"/>
      <c r="BU140" s="37"/>
      <c r="BV140" s="39">
        <f t="shared" si="39"/>
        <v>0.18345555200559152</v>
      </c>
      <c r="BW140" s="37"/>
      <c r="BX140" s="39">
        <f t="shared" si="40"/>
        <v>0.10261227957323389</v>
      </c>
      <c r="BY140" s="39">
        <f t="shared" si="63"/>
        <v>4.1568420510623385</v>
      </c>
      <c r="BZ140" s="37"/>
      <c r="CA140" s="37"/>
      <c r="CB140" s="39">
        <f t="shared" si="64"/>
        <v>1.018002134954042</v>
      </c>
      <c r="CC140" s="39">
        <f t="shared" si="56"/>
        <v>9.2030859862671663E-2</v>
      </c>
      <c r="CD140" s="37"/>
      <c r="CE140" s="37"/>
      <c r="CF140" s="37"/>
      <c r="CG140" s="39">
        <f>BP140*(12*AO140+AP140)/4.55</f>
        <v>2.36798781742602</v>
      </c>
      <c r="CH140" s="37"/>
      <c r="CI140" s="37"/>
      <c r="CJ140" s="37"/>
      <c r="CK140" s="37"/>
      <c r="CL140" s="39">
        <f>BP140*(12*AG140+AH140)/100</f>
        <v>0.3016816479400749</v>
      </c>
      <c r="CM140" s="37"/>
      <c r="CN140" s="37"/>
      <c r="CO140" s="39">
        <f>0.063495+(0.016949+0.014096)*Wages!P138+1.22592*BR140</f>
        <v>0.49325713834794449</v>
      </c>
      <c r="CP140" s="39"/>
      <c r="CQ140" s="39">
        <f t="shared" si="41"/>
        <v>0.49325713834794449</v>
      </c>
      <c r="CR140" s="39">
        <f t="shared" si="51"/>
        <v>0.18345555200559152</v>
      </c>
      <c r="CS140" s="39">
        <f t="shared" si="42"/>
        <v>0.73346737673707374</v>
      </c>
      <c r="CT140" s="39">
        <f t="shared" si="43"/>
        <v>2.111247905969905</v>
      </c>
      <c r="CU140" s="39">
        <f t="shared" si="65"/>
        <v>1.018002134954042</v>
      </c>
      <c r="CV140" s="39">
        <f t="shared" si="57"/>
        <v>9.2030859862671663E-2</v>
      </c>
      <c r="CW140" s="39">
        <v>0.2</v>
      </c>
      <c r="CX140" s="39"/>
      <c r="CY140" s="39"/>
      <c r="CZ140" s="39">
        <f t="shared" si="68"/>
        <v>0.10261227957323389</v>
      </c>
      <c r="DA140" s="39">
        <f t="shared" si="44"/>
        <v>6.5321803659551039</v>
      </c>
      <c r="DB140" s="39">
        <v>5</v>
      </c>
      <c r="DC140" s="39">
        <f t="shared" si="69"/>
        <v>4.1568420510623385</v>
      </c>
      <c r="DD140" s="39">
        <f>CG140</f>
        <v>2.36798781742602</v>
      </c>
      <c r="DE140" s="39">
        <v>3.6999999999999998E-2</v>
      </c>
      <c r="DF140" s="37"/>
      <c r="DG140" s="39">
        <f t="shared" si="70"/>
        <v>0.3016816479400749</v>
      </c>
      <c r="DH140" s="39">
        <f t="shared" si="71"/>
        <v>4.1883631424043468</v>
      </c>
      <c r="DI140" s="37"/>
      <c r="DJ140" s="37"/>
      <c r="DK140" s="37"/>
      <c r="DL140" s="37"/>
      <c r="DM140" s="39">
        <f t="shared" si="45"/>
        <v>0.57364802976810325</v>
      </c>
      <c r="DN140" s="39"/>
      <c r="DO140" s="39">
        <f t="shared" si="46"/>
        <v>0.57364802976810325</v>
      </c>
      <c r="DP140" s="37"/>
      <c r="DQ140" s="37">
        <f>DO140/'Conversions, Sources &amp; Comments'!E138</f>
        <v>0.53242034917209891</v>
      </c>
    </row>
    <row r="141" spans="1:121">
      <c r="A141" s="42">
        <f t="shared" si="72"/>
        <v>1389</v>
      </c>
      <c r="B141" s="36"/>
      <c r="C141" s="38">
        <v>5</v>
      </c>
      <c r="D141" s="38">
        <v>5.38</v>
      </c>
      <c r="E141" s="38">
        <v>3</v>
      </c>
      <c r="F141" s="38">
        <v>0.38</v>
      </c>
      <c r="G141" s="38">
        <v>2</v>
      </c>
      <c r="H141" s="38">
        <v>2</v>
      </c>
      <c r="I141" s="36"/>
      <c r="J141" s="36"/>
      <c r="K141" s="36"/>
      <c r="L141" s="36"/>
      <c r="M141" s="38">
        <v>2</v>
      </c>
      <c r="N141" s="38">
        <v>8.375</v>
      </c>
      <c r="O141" s="38">
        <v>10</v>
      </c>
      <c r="P141" s="36"/>
      <c r="Q141" s="36"/>
      <c r="R141" s="36"/>
      <c r="S141" s="36"/>
      <c r="T141" s="36"/>
      <c r="U141" s="38">
        <v>5</v>
      </c>
      <c r="V141" s="36"/>
      <c r="W141" s="38">
        <v>6</v>
      </c>
      <c r="X141" s="36"/>
      <c r="Y141" s="36"/>
      <c r="Z141" s="38">
        <v>1</v>
      </c>
      <c r="AA141" s="38">
        <v>9</v>
      </c>
      <c r="AB141" s="36"/>
      <c r="AC141" s="36"/>
      <c r="AD141" s="36"/>
      <c r="AE141" s="36"/>
      <c r="AF141" s="36"/>
      <c r="AG141" s="36"/>
      <c r="AH141" s="36"/>
      <c r="AI141" s="36"/>
      <c r="AJ141" s="36"/>
      <c r="AK141" s="38">
        <v>16</v>
      </c>
      <c r="AL141" s="38">
        <v>8</v>
      </c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59">
        <v>4.25</v>
      </c>
      <c r="BH141" s="59"/>
      <c r="BI141" s="59">
        <v>6.4942524337338478E-2</v>
      </c>
      <c r="BJ141" s="59"/>
      <c r="BK141" s="36"/>
      <c r="BL141" s="36"/>
      <c r="BM141" s="36"/>
      <c r="BN141" s="38">
        <v>26.7</v>
      </c>
      <c r="BO141" s="36"/>
      <c r="BP141" s="39">
        <f t="shared" si="66"/>
        <v>1.077434456928839</v>
      </c>
      <c r="BQ141" s="37"/>
      <c r="BR141" s="39">
        <f t="shared" si="67"/>
        <v>0.24988174979428276</v>
      </c>
      <c r="BS141" s="37"/>
      <c r="BT141" s="37"/>
      <c r="BU141" s="37"/>
      <c r="BV141" s="39">
        <f t="shared" si="39"/>
        <v>0.19492152400594098</v>
      </c>
      <c r="BW141" s="37"/>
      <c r="BX141" s="39">
        <f t="shared" si="40"/>
        <v>0.10261227957323389</v>
      </c>
      <c r="BY141" s="39">
        <f t="shared" si="63"/>
        <v>4.1568420510623385</v>
      </c>
      <c r="BZ141" s="37"/>
      <c r="CA141" s="37"/>
      <c r="CB141" s="39">
        <f t="shared" si="64"/>
        <v>1.2725026686925527</v>
      </c>
      <c r="CC141" s="39">
        <f t="shared" si="56"/>
        <v>8.9786204744069911E-2</v>
      </c>
      <c r="CD141" s="39">
        <f>BP141*(12*AK141+AL141)/1000</f>
        <v>0.21548689138576779</v>
      </c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9">
        <f>0.063495+(0.016949+0.014096)*Wages!P139+1.22592*BR141</f>
        <v>0.59282305281017911</v>
      </c>
      <c r="CP141" s="39"/>
      <c r="CQ141" s="39">
        <f t="shared" si="41"/>
        <v>0.59282305281017911</v>
      </c>
      <c r="CR141" s="39">
        <f t="shared" si="51"/>
        <v>0.19492152400594098</v>
      </c>
      <c r="CS141" s="39">
        <f t="shared" si="42"/>
        <v>0.91683422092134237</v>
      </c>
      <c r="CT141" s="39">
        <f t="shared" si="43"/>
        <v>2.6390598824623814</v>
      </c>
      <c r="CU141" s="39">
        <f t="shared" si="65"/>
        <v>1.2725026686925527</v>
      </c>
      <c r="CV141" s="39">
        <f t="shared" si="57"/>
        <v>8.9786204744069911E-2</v>
      </c>
      <c r="CW141" s="39">
        <f>CD141</f>
        <v>0.21548689138576779</v>
      </c>
      <c r="CX141" s="39"/>
      <c r="CY141" s="39"/>
      <c r="CZ141" s="39">
        <f t="shared" si="68"/>
        <v>0.10261227957323389</v>
      </c>
      <c r="DA141" s="39">
        <f t="shared" si="44"/>
        <v>6.5321803659551039</v>
      </c>
      <c r="DB141" s="39">
        <v>5</v>
      </c>
      <c r="DC141" s="39">
        <f t="shared" si="69"/>
        <v>4.1568420510623385</v>
      </c>
      <c r="DD141" s="39">
        <v>2.8</v>
      </c>
      <c r="DE141" s="39">
        <v>3.6999999999999998E-2</v>
      </c>
      <c r="DF141" s="37"/>
      <c r="DG141" s="39">
        <f t="shared" si="70"/>
        <v>0</v>
      </c>
      <c r="DH141" s="39">
        <f t="shared" si="71"/>
        <v>4.1883631424043468</v>
      </c>
      <c r="DI141" s="37"/>
      <c r="DJ141" s="37"/>
      <c r="DK141" s="37"/>
      <c r="DL141" s="37"/>
      <c r="DM141" s="39">
        <f t="shared" si="45"/>
        <v>0.64248242135974243</v>
      </c>
      <c r="DN141" s="39"/>
      <c r="DO141" s="39">
        <f t="shared" si="46"/>
        <v>0.64248242135974243</v>
      </c>
      <c r="DP141" s="37"/>
      <c r="DQ141" s="37">
        <f>DO141/'Conversions, Sources &amp; Comments'!E139</f>
        <v>0.59630766143408787</v>
      </c>
    </row>
    <row r="142" spans="1:121">
      <c r="A142" s="42">
        <f t="shared" si="72"/>
        <v>1390</v>
      </c>
      <c r="B142" s="36"/>
      <c r="C142" s="38">
        <v>8</v>
      </c>
      <c r="D142" s="38">
        <v>9</v>
      </c>
      <c r="E142" s="38">
        <v>5</v>
      </c>
      <c r="F142" s="38">
        <v>8.25</v>
      </c>
      <c r="G142" s="38">
        <v>3</v>
      </c>
      <c r="H142" s="38">
        <v>7</v>
      </c>
      <c r="I142" s="36"/>
      <c r="J142" s="36"/>
      <c r="K142" s="36"/>
      <c r="L142" s="36"/>
      <c r="M142" s="38">
        <v>4</v>
      </c>
      <c r="N142" s="38">
        <v>8.5</v>
      </c>
      <c r="O142" s="38">
        <v>8</v>
      </c>
      <c r="P142" s="36"/>
      <c r="Q142" s="36"/>
      <c r="R142" s="36"/>
      <c r="S142" s="36"/>
      <c r="T142" s="36"/>
      <c r="U142" s="38">
        <v>5</v>
      </c>
      <c r="V142" s="36"/>
      <c r="W142" s="38">
        <v>6</v>
      </c>
      <c r="X142" s="36"/>
      <c r="Y142" s="36"/>
      <c r="Z142" s="38">
        <v>1</v>
      </c>
      <c r="AA142" s="38">
        <v>7</v>
      </c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59">
        <v>4.5</v>
      </c>
      <c r="BH142" s="59"/>
      <c r="BI142" s="59">
        <v>0.11744924614199394</v>
      </c>
      <c r="BJ142" s="59"/>
      <c r="BK142" s="36"/>
      <c r="BL142" s="36"/>
      <c r="BM142" s="36"/>
      <c r="BN142" s="38">
        <v>26.7</v>
      </c>
      <c r="BO142" s="36"/>
      <c r="BP142" s="39">
        <f t="shared" si="66"/>
        <v>1.077434456928839</v>
      </c>
      <c r="BQ142" s="37"/>
      <c r="BR142" s="39">
        <f t="shared" si="67"/>
        <v>0.40130902001223145</v>
      </c>
      <c r="BS142" s="37"/>
      <c r="BT142" s="37"/>
      <c r="BU142" s="37"/>
      <c r="BV142" s="39">
        <f t="shared" si="39"/>
        <v>0.20638749600629047</v>
      </c>
      <c r="BW142" s="37"/>
      <c r="BX142" s="39">
        <f t="shared" si="40"/>
        <v>0.18557539922818708</v>
      </c>
      <c r="BY142" s="39">
        <f t="shared" si="63"/>
        <v>3.7609523319135447</v>
      </c>
      <c r="BZ142" s="37"/>
      <c r="CA142" s="37"/>
      <c r="CB142" s="39">
        <f t="shared" si="64"/>
        <v>1.018002134954042</v>
      </c>
      <c r="CC142" s="39">
        <f t="shared" si="56"/>
        <v>8.9786204744069911E-2</v>
      </c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9">
        <f>0.063495+(0.016949+0.014096)*Wages!P140+1.22592*BR142</f>
        <v>0.77846077191576679</v>
      </c>
      <c r="CP142" s="39"/>
      <c r="CQ142" s="39">
        <f t="shared" si="41"/>
        <v>0.77846077191576679</v>
      </c>
      <c r="CR142" s="39">
        <f t="shared" si="51"/>
        <v>0.20638749600629047</v>
      </c>
      <c r="CS142" s="39">
        <f t="shared" si="42"/>
        <v>0.73346737673707374</v>
      </c>
      <c r="CT142" s="39">
        <f t="shared" si="43"/>
        <v>2.111247905969905</v>
      </c>
      <c r="CU142" s="39">
        <f t="shared" si="65"/>
        <v>1.018002134954042</v>
      </c>
      <c r="CV142" s="39">
        <f t="shared" si="57"/>
        <v>8.9786204744069911E-2</v>
      </c>
      <c r="CW142" s="39">
        <v>0.21548689138576785</v>
      </c>
      <c r="CX142" s="39"/>
      <c r="CY142" s="39"/>
      <c r="CZ142" s="39">
        <f t="shared" si="68"/>
        <v>0.18557539922818708</v>
      </c>
      <c r="DA142" s="39">
        <f t="shared" si="44"/>
        <v>5.9100679501498563</v>
      </c>
      <c r="DB142" s="39">
        <v>5</v>
      </c>
      <c r="DC142" s="39">
        <f t="shared" si="69"/>
        <v>3.7609523319135447</v>
      </c>
      <c r="DD142" s="39">
        <v>2.8</v>
      </c>
      <c r="DE142" s="39">
        <v>3.6999999999999998E-2</v>
      </c>
      <c r="DF142" s="37"/>
      <c r="DG142" s="39">
        <f t="shared" si="70"/>
        <v>0</v>
      </c>
      <c r="DH142" s="39">
        <f t="shared" si="71"/>
        <v>4.1883631424043468</v>
      </c>
      <c r="DI142" s="37"/>
      <c r="DJ142" s="37"/>
      <c r="DK142" s="37"/>
      <c r="DL142" s="37"/>
      <c r="DM142" s="39">
        <f t="shared" si="45"/>
        <v>0.73406914998907768</v>
      </c>
      <c r="DN142" s="39"/>
      <c r="DO142" s="39">
        <f t="shared" si="46"/>
        <v>0.73406914998907768</v>
      </c>
      <c r="DP142" s="37"/>
      <c r="DQ142" s="37">
        <f>DO142/'Conversions, Sources &amp; Comments'!E140</f>
        <v>0.68131211626691135</v>
      </c>
    </row>
    <row r="143" spans="1:121">
      <c r="A143" s="42">
        <f t="shared" si="72"/>
        <v>1391</v>
      </c>
      <c r="B143" s="36"/>
      <c r="C143" s="38">
        <v>5</v>
      </c>
      <c r="D143" s="38">
        <v>5.88</v>
      </c>
      <c r="E143" s="38">
        <v>3</v>
      </c>
      <c r="F143" s="38">
        <v>4.88</v>
      </c>
      <c r="G143" s="38">
        <v>2</v>
      </c>
      <c r="H143" s="38">
        <v>3.25</v>
      </c>
      <c r="I143" s="38">
        <v>3</v>
      </c>
      <c r="J143" s="38">
        <v>7</v>
      </c>
      <c r="K143" s="36"/>
      <c r="L143" s="36"/>
      <c r="M143" s="38">
        <v>3</v>
      </c>
      <c r="N143" s="38">
        <v>3.5</v>
      </c>
      <c r="O143" s="38">
        <v>10</v>
      </c>
      <c r="P143" s="36"/>
      <c r="Q143" s="36"/>
      <c r="R143" s="36"/>
      <c r="S143" s="36"/>
      <c r="T143" s="36"/>
      <c r="U143" s="38">
        <v>5</v>
      </c>
      <c r="V143" s="36"/>
      <c r="W143" s="36"/>
      <c r="X143" s="36"/>
      <c r="Y143" s="36"/>
      <c r="Z143" s="38">
        <v>1</v>
      </c>
      <c r="AA143" s="38">
        <v>9</v>
      </c>
      <c r="AB143" s="36"/>
      <c r="AC143" s="36"/>
      <c r="AD143" s="36"/>
      <c r="AE143" s="36"/>
      <c r="AF143" s="36"/>
      <c r="AG143" s="36"/>
      <c r="AH143" s="36"/>
      <c r="AI143" s="36"/>
      <c r="AJ143" s="36"/>
      <c r="AK143" s="38">
        <v>16</v>
      </c>
      <c r="AL143" s="38">
        <v>8</v>
      </c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59">
        <v>4.666666666666667</v>
      </c>
      <c r="BH143" s="59"/>
      <c r="BI143" s="59">
        <v>6.7706036011266915E-2</v>
      </c>
      <c r="BJ143" s="59"/>
      <c r="BK143" s="36"/>
      <c r="BL143" s="36"/>
      <c r="BM143" s="36"/>
      <c r="BN143" s="38">
        <v>26.7</v>
      </c>
      <c r="BO143" s="36"/>
      <c r="BP143" s="39">
        <f t="shared" si="66"/>
        <v>1.077434456928839</v>
      </c>
      <c r="BQ143" s="37"/>
      <c r="BR143" s="39">
        <f t="shared" si="67"/>
        <v>0.25179274512767436</v>
      </c>
      <c r="BS143" s="37"/>
      <c r="BT143" s="37"/>
      <c r="BU143" s="37"/>
      <c r="BV143" s="39">
        <f t="shared" si="39"/>
        <v>0.21403147733985681</v>
      </c>
      <c r="BW143" s="37"/>
      <c r="BX143" s="39">
        <f t="shared" si="40"/>
        <v>0.10697875955507229</v>
      </c>
      <c r="BY143" s="39">
        <f t="shared" si="63"/>
        <v>4.1568420510623385</v>
      </c>
      <c r="BZ143" s="37"/>
      <c r="CA143" s="37"/>
      <c r="CB143" s="39">
        <f t="shared" si="64"/>
        <v>1.2725026686925527</v>
      </c>
      <c r="CC143" s="39">
        <f t="shared" si="56"/>
        <v>8.9786204744069911E-2</v>
      </c>
      <c r="CD143" s="39">
        <f t="shared" ref="CD143:CD149" si="73">BP143*(12*AK143+AL143)/1000</f>
        <v>0.21548689138576779</v>
      </c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9">
        <f>0.063495+(0.016949+0.014096)*Wages!P141+1.22592*BR143</f>
        <v>0.59516578020929045</v>
      </c>
      <c r="CP143" s="39"/>
      <c r="CQ143" s="39">
        <f t="shared" si="41"/>
        <v>0.59516578020929045</v>
      </c>
      <c r="CR143" s="39">
        <f t="shared" si="51"/>
        <v>0.21403147733985681</v>
      </c>
      <c r="CS143" s="39">
        <f t="shared" si="42"/>
        <v>0.91683422092134237</v>
      </c>
      <c r="CT143" s="39">
        <f t="shared" si="43"/>
        <v>2.6390598824623814</v>
      </c>
      <c r="CU143" s="39">
        <f t="shared" si="65"/>
        <v>1.2725026686925527</v>
      </c>
      <c r="CV143" s="39">
        <f t="shared" si="57"/>
        <v>8.9786204744069911E-2</v>
      </c>
      <c r="CW143" s="39">
        <f t="shared" si="57"/>
        <v>0.21548689138576779</v>
      </c>
      <c r="CX143" s="39"/>
      <c r="CY143" s="39"/>
      <c r="CZ143" s="39">
        <f t="shared" si="68"/>
        <v>0.10697875955507229</v>
      </c>
      <c r="DA143" s="39">
        <f t="shared" si="44"/>
        <v>6.5321803659551039</v>
      </c>
      <c r="DB143" s="39">
        <v>5</v>
      </c>
      <c r="DC143" s="39">
        <f t="shared" si="69"/>
        <v>4.1568420510623385</v>
      </c>
      <c r="DD143" s="39">
        <v>2.8</v>
      </c>
      <c r="DE143" s="39">
        <v>3.6999999999999998E-2</v>
      </c>
      <c r="DF143" s="37"/>
      <c r="DG143" s="39">
        <f t="shared" si="70"/>
        <v>0</v>
      </c>
      <c r="DH143" s="39">
        <f t="shared" si="71"/>
        <v>4.1883631424043468</v>
      </c>
      <c r="DI143" s="37"/>
      <c r="DJ143" s="37"/>
      <c r="DK143" s="37"/>
      <c r="DL143" s="37"/>
      <c r="DM143" s="39">
        <f t="shared" si="45"/>
        <v>0.64782057574946816</v>
      </c>
      <c r="DN143" s="39"/>
      <c r="DO143" s="39">
        <f t="shared" si="46"/>
        <v>0.64782057574946816</v>
      </c>
      <c r="DP143" s="37"/>
      <c r="DQ143" s="37">
        <f>DO143/'Conversions, Sources &amp; Comments'!E141</f>
        <v>0.60126216642081509</v>
      </c>
    </row>
    <row r="144" spans="1:121">
      <c r="A144" s="42">
        <f t="shared" si="72"/>
        <v>1392</v>
      </c>
      <c r="B144" s="36"/>
      <c r="C144" s="38">
        <v>3</v>
      </c>
      <c r="D144" s="38">
        <v>2.63</v>
      </c>
      <c r="E144" s="38">
        <v>2</v>
      </c>
      <c r="F144" s="38">
        <v>4.38</v>
      </c>
      <c r="G144" s="38">
        <v>1</v>
      </c>
      <c r="H144" s="38">
        <v>10.25</v>
      </c>
      <c r="I144" s="38">
        <v>2</v>
      </c>
      <c r="J144" s="38">
        <v>2</v>
      </c>
      <c r="K144" s="36"/>
      <c r="L144" s="36"/>
      <c r="M144" s="38">
        <v>2</v>
      </c>
      <c r="N144" s="38">
        <v>10</v>
      </c>
      <c r="O144" s="38">
        <v>10</v>
      </c>
      <c r="P144" s="36"/>
      <c r="Q144" s="36"/>
      <c r="R144" s="36"/>
      <c r="S144" s="36"/>
      <c r="T144" s="36"/>
      <c r="U144" s="38">
        <v>5.25</v>
      </c>
      <c r="V144" s="36"/>
      <c r="W144" s="38">
        <v>6.25</v>
      </c>
      <c r="X144" s="36"/>
      <c r="Y144" s="36"/>
      <c r="Z144" s="38">
        <v>1</v>
      </c>
      <c r="AA144" s="38">
        <v>8</v>
      </c>
      <c r="AB144" s="36"/>
      <c r="AC144" s="36"/>
      <c r="AD144" s="36"/>
      <c r="AE144" s="36"/>
      <c r="AF144" s="36"/>
      <c r="AG144" s="36"/>
      <c r="AH144" s="36"/>
      <c r="AI144" s="36"/>
      <c r="AJ144" s="36"/>
      <c r="AK144" s="38">
        <v>16</v>
      </c>
      <c r="AL144" s="38">
        <v>8</v>
      </c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59">
        <v>4.75</v>
      </c>
      <c r="BH144" s="59"/>
      <c r="BI144" s="59">
        <v>6.0797256826444136E-2</v>
      </c>
      <c r="BJ144" s="59"/>
      <c r="BK144" s="36"/>
      <c r="BL144" s="36"/>
      <c r="BM144" s="36"/>
      <c r="BN144" s="38">
        <v>26.7</v>
      </c>
      <c r="BO144" s="36"/>
      <c r="BP144" s="39">
        <f t="shared" si="66"/>
        <v>1.077434456928839</v>
      </c>
      <c r="BQ144" s="37"/>
      <c r="BR144" s="39">
        <f t="shared" si="67"/>
        <v>0.14764349945783337</v>
      </c>
      <c r="BS144" s="37"/>
      <c r="BT144" s="37"/>
      <c r="BU144" s="37"/>
      <c r="BV144" s="39">
        <f t="shared" ref="BV144:BV207" si="74">$BP144*12*$BG144/(8*35.238)</f>
        <v>0.21785346800663993</v>
      </c>
      <c r="BW144" s="37"/>
      <c r="BX144" s="39">
        <f t="shared" ref="BX144:BX207" si="75">$BP144*240*$BI144/(36*4.546)</f>
        <v>9.6062559600473663E-2</v>
      </c>
      <c r="BY144" s="39">
        <f t="shared" si="63"/>
        <v>3.9588971914879414</v>
      </c>
      <c r="BZ144" s="37"/>
      <c r="CA144" s="37"/>
      <c r="CB144" s="39">
        <f t="shared" si="64"/>
        <v>1.2725026686925527</v>
      </c>
      <c r="CC144" s="39">
        <f t="shared" si="56"/>
        <v>9.4275514981273414E-2</v>
      </c>
      <c r="CD144" s="39">
        <f t="shared" si="73"/>
        <v>0.21548689138576779</v>
      </c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9">
        <f>0.063495+(0.016949+0.014096)*Wages!P142+1.22592*BR144</f>
        <v>0.46748713695771904</v>
      </c>
      <c r="CP144" s="39"/>
      <c r="CQ144" s="39">
        <f t="shared" ref="CQ144:CQ207" si="76">CO144</f>
        <v>0.46748713695771904</v>
      </c>
      <c r="CR144" s="39">
        <f t="shared" si="51"/>
        <v>0.21785346800663993</v>
      </c>
      <c r="CS144" s="39">
        <f t="shared" ref="CS144:CS201" si="77">CS$202*(CU144/CU$202)</f>
        <v>0.91683422092134237</v>
      </c>
      <c r="CT144" s="39">
        <f t="shared" ref="CT144:CT201" si="78">CT$202*(CU144/CU$202)</f>
        <v>2.6390598824623814</v>
      </c>
      <c r="CU144" s="39">
        <f t="shared" si="65"/>
        <v>1.2725026686925527</v>
      </c>
      <c r="CV144" s="39">
        <f t="shared" si="57"/>
        <v>9.4275514981273414E-2</v>
      </c>
      <c r="CW144" s="39">
        <f t="shared" si="57"/>
        <v>0.21548689138576779</v>
      </c>
      <c r="CX144" s="39"/>
      <c r="CY144" s="39"/>
      <c r="CZ144" s="39">
        <f t="shared" si="68"/>
        <v>9.6062559600473663E-2</v>
      </c>
      <c r="DA144" s="39">
        <f t="shared" ref="DA144:DA152" si="79">DC144*5.5/3.5</f>
        <v>6.2211241580524801</v>
      </c>
      <c r="DB144" s="39">
        <v>5</v>
      </c>
      <c r="DC144" s="39">
        <f t="shared" si="69"/>
        <v>3.9588971914879414</v>
      </c>
      <c r="DD144" s="39">
        <v>2.8</v>
      </c>
      <c r="DE144" s="39">
        <v>3.6999999999999998E-2</v>
      </c>
      <c r="DF144" s="37"/>
      <c r="DG144" s="39">
        <f t="shared" si="70"/>
        <v>0</v>
      </c>
      <c r="DH144" s="39">
        <f t="shared" si="71"/>
        <v>4.1883631424043468</v>
      </c>
      <c r="DI144" s="37"/>
      <c r="DJ144" s="37"/>
      <c r="DK144" s="37"/>
      <c r="DL144" s="37"/>
      <c r="DM144" s="39">
        <f t="shared" ref="DM144:DM207" si="80">($CQ$6*$CQ144+$CR$6*$CR144+$CS$6*$CS144+$CT$6*$CT144+$CU$6*$CU144+$CV$6*$CV144+$CZ$6*$CZ144+$DA$6*$DA144+$DB$6*$DB144+$DC$6*$DC144+$DD$6*$DD144+$DH$6*$DH144)/414.8987</f>
        <v>0.58487635203424337</v>
      </c>
      <c r="DN144" s="39"/>
      <c r="DO144" s="39">
        <f t="shared" ref="DO144:DO207" si="81">($CQ$6*$CQ144+$CR$6*$CR144+$CS$6*$CS144+$CT$6*$CT144+$CU$6*$CU144+$CV$6*$CV144+$CZ$6*$CZ144+$DA$6*$DA144+$DB$6*$DB144+$DC$6*$DC144+$DD$6*$DD144+$DH$6*$DH144)/414.8987</f>
        <v>0.58487635203424337</v>
      </c>
      <c r="DP144" s="37"/>
      <c r="DQ144" s="37">
        <f>DO144/'Conversions, Sources &amp; Comments'!E142</f>
        <v>0.54284169981104713</v>
      </c>
    </row>
    <row r="145" spans="1:121">
      <c r="A145" s="42">
        <f t="shared" si="72"/>
        <v>1393</v>
      </c>
      <c r="B145" s="36"/>
      <c r="C145" s="38">
        <v>3</v>
      </c>
      <c r="D145" s="38">
        <v>8.75</v>
      </c>
      <c r="E145" s="38">
        <v>2</v>
      </c>
      <c r="F145" s="38">
        <v>8.1300000000000008</v>
      </c>
      <c r="G145" s="38">
        <v>1</v>
      </c>
      <c r="H145" s="38">
        <v>11.88</v>
      </c>
      <c r="I145" s="38">
        <v>2</v>
      </c>
      <c r="J145" s="38">
        <v>5</v>
      </c>
      <c r="K145" s="36"/>
      <c r="L145" s="36"/>
      <c r="M145" s="38">
        <v>3</v>
      </c>
      <c r="N145" s="38">
        <v>0.875</v>
      </c>
      <c r="O145" s="38">
        <v>11</v>
      </c>
      <c r="P145" s="36"/>
      <c r="Q145" s="36"/>
      <c r="R145" s="36"/>
      <c r="S145" s="36"/>
      <c r="T145" s="36"/>
      <c r="U145" s="38">
        <v>5</v>
      </c>
      <c r="V145" s="36"/>
      <c r="W145" s="38">
        <v>6.25</v>
      </c>
      <c r="X145" s="36"/>
      <c r="Y145" s="36"/>
      <c r="Z145" s="38">
        <v>1</v>
      </c>
      <c r="AA145" s="38">
        <v>10.5</v>
      </c>
      <c r="AB145" s="36"/>
      <c r="AC145" s="36"/>
      <c r="AD145" s="36"/>
      <c r="AE145" s="36"/>
      <c r="AF145" s="36"/>
      <c r="AG145" s="36"/>
      <c r="AH145" s="36"/>
      <c r="AI145" s="36"/>
      <c r="AJ145" s="36"/>
      <c r="AK145" s="38">
        <v>20</v>
      </c>
      <c r="AL145" s="38">
        <v>0</v>
      </c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8">
        <v>38</v>
      </c>
      <c r="BA145" s="38">
        <v>41</v>
      </c>
      <c r="BB145" s="36"/>
      <c r="BC145" s="36"/>
      <c r="BD145" s="36"/>
      <c r="BE145" s="36"/>
      <c r="BF145" s="36"/>
      <c r="BG145" s="59">
        <v>4.833333333333333</v>
      </c>
      <c r="BH145" s="59"/>
      <c r="BI145" s="59">
        <v>6.2179012663408355E-2</v>
      </c>
      <c r="BJ145" s="59"/>
      <c r="BK145" s="36"/>
      <c r="BL145" s="36"/>
      <c r="BM145" s="36"/>
      <c r="BN145" s="38">
        <v>26.7</v>
      </c>
      <c r="BO145" s="36"/>
      <c r="BP145" s="39">
        <f t="shared" si="66"/>
        <v>1.077434456928839</v>
      </c>
      <c r="BQ145" s="37"/>
      <c r="BR145" s="39">
        <f t="shared" si="67"/>
        <v>0.17103408233854625</v>
      </c>
      <c r="BS145" s="37"/>
      <c r="BT145" s="39">
        <f t="shared" ref="BT145:BT152" si="82">BP145*12*AZ145/(24*0.9144)</f>
        <v>22.387636353508249</v>
      </c>
      <c r="BU145" s="37"/>
      <c r="BV145" s="39">
        <f t="shared" si="74"/>
        <v>0.22167545867342309</v>
      </c>
      <c r="BW145" s="37"/>
      <c r="BX145" s="39">
        <f t="shared" si="75"/>
        <v>9.8245799591392846E-2</v>
      </c>
      <c r="BY145" s="39">
        <f t="shared" si="63"/>
        <v>4.4537593404239342</v>
      </c>
      <c r="BZ145" s="37"/>
      <c r="CA145" s="37"/>
      <c r="CB145" s="39">
        <f t="shared" si="64"/>
        <v>1.3997529355618079</v>
      </c>
      <c r="CC145" s="39">
        <f t="shared" si="56"/>
        <v>8.9786204744069911E-2</v>
      </c>
      <c r="CD145" s="39">
        <f t="shared" si="73"/>
        <v>0.25858426966292136</v>
      </c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9">
        <f>0.063495+(0.016949+0.014096)*Wages!P143+1.22592*BR145</f>
        <v>0.49616212032284263</v>
      </c>
      <c r="CP145" s="39"/>
      <c r="CQ145" s="39">
        <f t="shared" si="76"/>
        <v>0.49616212032284263</v>
      </c>
      <c r="CR145" s="39">
        <f t="shared" si="51"/>
        <v>0.22167545867342309</v>
      </c>
      <c r="CS145" s="39">
        <f t="shared" si="77"/>
        <v>1.0085176430134764</v>
      </c>
      <c r="CT145" s="39">
        <f t="shared" si="78"/>
        <v>2.902965870708619</v>
      </c>
      <c r="CU145" s="39">
        <f t="shared" si="65"/>
        <v>1.3997529355618079</v>
      </c>
      <c r="CV145" s="39">
        <f t="shared" si="57"/>
        <v>8.9786204744069911E-2</v>
      </c>
      <c r="CW145" s="39">
        <f t="shared" si="57"/>
        <v>0.25858426966292136</v>
      </c>
      <c r="CX145" s="39"/>
      <c r="CY145" s="39"/>
      <c r="CZ145" s="39">
        <f t="shared" si="68"/>
        <v>9.8245799591392846E-2</v>
      </c>
      <c r="DA145" s="39">
        <f t="shared" si="79"/>
        <v>6.9987646778090395</v>
      </c>
      <c r="DB145" s="39">
        <f t="shared" ref="DB145:DB152" si="83">DB$258*BT145/15.73026</f>
        <v>4.9252800854312708</v>
      </c>
      <c r="DC145" s="39">
        <f t="shared" si="69"/>
        <v>4.4537593404239342</v>
      </c>
      <c r="DD145" s="39">
        <v>2.8</v>
      </c>
      <c r="DE145" s="39">
        <v>3.6999999999999998E-2</v>
      </c>
      <c r="DF145" s="37"/>
      <c r="DG145" s="39">
        <f t="shared" si="70"/>
        <v>0</v>
      </c>
      <c r="DH145" s="39">
        <f t="shared" si="71"/>
        <v>4.1883631424043468</v>
      </c>
      <c r="DI145" s="37"/>
      <c r="DJ145" s="37"/>
      <c r="DK145" s="37"/>
      <c r="DL145" s="37"/>
      <c r="DM145" s="39">
        <f t="shared" si="80"/>
        <v>0.61605067217525855</v>
      </c>
      <c r="DN145" s="39"/>
      <c r="DO145" s="39">
        <f t="shared" si="81"/>
        <v>0.61605067217525855</v>
      </c>
      <c r="DP145" s="37"/>
      <c r="DQ145" s="37">
        <f>DO145/'Conversions, Sources &amp; Comments'!E143</f>
        <v>0.57177554348064319</v>
      </c>
    </row>
    <row r="146" spans="1:121">
      <c r="A146" s="42">
        <f t="shared" si="72"/>
        <v>1394</v>
      </c>
      <c r="B146" s="36"/>
      <c r="C146" s="38">
        <v>3</v>
      </c>
      <c r="D146" s="38">
        <v>10.75</v>
      </c>
      <c r="E146" s="38">
        <v>3</v>
      </c>
      <c r="F146" s="38">
        <v>2.38</v>
      </c>
      <c r="G146" s="38">
        <v>2</v>
      </c>
      <c r="H146" s="38">
        <v>1.63</v>
      </c>
      <c r="I146" s="38">
        <v>2</v>
      </c>
      <c r="J146" s="38">
        <v>4.63</v>
      </c>
      <c r="K146" s="36"/>
      <c r="L146" s="36"/>
      <c r="M146" s="38">
        <v>2</v>
      </c>
      <c r="N146" s="38">
        <v>11.25</v>
      </c>
      <c r="O146" s="38">
        <v>9</v>
      </c>
      <c r="P146" s="36"/>
      <c r="Q146" s="36"/>
      <c r="R146" s="36"/>
      <c r="S146" s="36"/>
      <c r="T146" s="36"/>
      <c r="U146" s="38">
        <v>5.25</v>
      </c>
      <c r="V146" s="36"/>
      <c r="W146" s="38">
        <v>6</v>
      </c>
      <c r="X146" s="36"/>
      <c r="Y146" s="36"/>
      <c r="Z146" s="38">
        <v>1</v>
      </c>
      <c r="AA146" s="38">
        <v>6</v>
      </c>
      <c r="AB146" s="36"/>
      <c r="AC146" s="38">
        <v>0</v>
      </c>
      <c r="AD146" s="38">
        <v>10.25</v>
      </c>
      <c r="AE146" s="36"/>
      <c r="AF146" s="36"/>
      <c r="AG146" s="36"/>
      <c r="AH146" s="36"/>
      <c r="AI146" s="36"/>
      <c r="AJ146" s="36"/>
      <c r="AK146" s="38">
        <v>20</v>
      </c>
      <c r="AL146" s="38">
        <v>0</v>
      </c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8">
        <v>34.5</v>
      </c>
      <c r="BA146" s="38">
        <v>40</v>
      </c>
      <c r="BB146" s="36"/>
      <c r="BC146" s="36"/>
      <c r="BD146" s="36"/>
      <c r="BE146" s="36"/>
      <c r="BF146" s="36"/>
      <c r="BG146" s="59">
        <v>3.6666666666666665</v>
      </c>
      <c r="BH146" s="59"/>
      <c r="BI146" s="59">
        <v>5.9415500989479925E-2</v>
      </c>
      <c r="BJ146" s="59"/>
      <c r="BK146" s="36"/>
      <c r="BL146" s="36"/>
      <c r="BM146" s="36"/>
      <c r="BN146" s="38">
        <v>26.7</v>
      </c>
      <c r="BO146" s="36"/>
      <c r="BP146" s="39">
        <f t="shared" si="66"/>
        <v>1.077434456928839</v>
      </c>
      <c r="BQ146" s="37"/>
      <c r="BR146" s="39">
        <f t="shared" si="67"/>
        <v>0.17867806367211256</v>
      </c>
      <c r="BS146" s="37"/>
      <c r="BT146" s="39">
        <f t="shared" si="82"/>
        <v>20.325617215685121</v>
      </c>
      <c r="BU146" s="37"/>
      <c r="BV146" s="39">
        <f t="shared" si="74"/>
        <v>0.16816758933845888</v>
      </c>
      <c r="BW146" s="37"/>
      <c r="BX146" s="39">
        <f t="shared" si="75"/>
        <v>9.3879319609554479E-2</v>
      </c>
      <c r="BY146" s="39">
        <f t="shared" si="63"/>
        <v>3.5630074723391472</v>
      </c>
      <c r="BZ146" s="37"/>
      <c r="CA146" s="37"/>
      <c r="CB146" s="39">
        <f t="shared" si="64"/>
        <v>1.1452524018232975</v>
      </c>
      <c r="CC146" s="39">
        <f t="shared" si="56"/>
        <v>9.4275514981273414E-2</v>
      </c>
      <c r="CD146" s="39">
        <f t="shared" si="73"/>
        <v>0.25858426966292136</v>
      </c>
      <c r="CE146" s="37"/>
      <c r="CF146" s="37"/>
      <c r="CG146" s="37"/>
      <c r="CH146" s="37"/>
      <c r="CI146" s="37"/>
      <c r="CJ146" s="37"/>
      <c r="CK146" s="39">
        <f>BP146*(12*AC146+AD146)/(35.238*8)</f>
        <v>3.9175404334527361E-2</v>
      </c>
      <c r="CL146" s="37"/>
      <c r="CM146" s="39">
        <f>BP146*(12*$AC146+$AD146)/(35.238*8)/0.283</f>
        <v>0.13842899058136879</v>
      </c>
      <c r="CN146" s="37"/>
      <c r="CO146" s="39">
        <f>0.063495+(0.016949+0.014096)*Wages!P144+1.22592*BR146</f>
        <v>0.50553302991928817</v>
      </c>
      <c r="CP146" s="39"/>
      <c r="CQ146" s="39">
        <f t="shared" si="76"/>
        <v>0.50553302991928817</v>
      </c>
      <c r="CR146" s="39">
        <f t="shared" si="51"/>
        <v>0.16816758933845888</v>
      </c>
      <c r="CS146" s="39">
        <f t="shared" si="77"/>
        <v>0.82515079882920805</v>
      </c>
      <c r="CT146" s="39">
        <f t="shared" si="78"/>
        <v>2.3751538942161434</v>
      </c>
      <c r="CU146" s="39">
        <f t="shared" si="65"/>
        <v>1.1452524018232975</v>
      </c>
      <c r="CV146" s="39">
        <f t="shared" si="57"/>
        <v>9.4275514981273414E-2</v>
      </c>
      <c r="CW146" s="39">
        <f t="shared" si="57"/>
        <v>0.25858426966292136</v>
      </c>
      <c r="CX146" s="39"/>
      <c r="CY146" s="39"/>
      <c r="CZ146" s="39">
        <f t="shared" si="68"/>
        <v>9.3879319609554479E-2</v>
      </c>
      <c r="DA146" s="39">
        <f t="shared" si="79"/>
        <v>5.5990117422472307</v>
      </c>
      <c r="DB146" s="39">
        <f t="shared" si="83"/>
        <v>4.4716358670362855</v>
      </c>
      <c r="DC146" s="39">
        <f t="shared" si="69"/>
        <v>3.5630074723391472</v>
      </c>
      <c r="DD146" s="39">
        <v>2.8</v>
      </c>
      <c r="DE146" s="39">
        <f>CK146</f>
        <v>3.9175404334527361E-2</v>
      </c>
      <c r="DF146" s="37"/>
      <c r="DG146" s="39">
        <f t="shared" si="70"/>
        <v>0</v>
      </c>
      <c r="DH146" s="39">
        <f t="shared" si="71"/>
        <v>4.434616746041133</v>
      </c>
      <c r="DI146" s="37"/>
      <c r="DJ146" s="37"/>
      <c r="DK146" s="37"/>
      <c r="DL146" s="37"/>
      <c r="DM146" s="39">
        <f t="shared" si="80"/>
        <v>0.57395367970820721</v>
      </c>
      <c r="DN146" s="39"/>
      <c r="DO146" s="39">
        <f t="shared" si="81"/>
        <v>0.57395367970820721</v>
      </c>
      <c r="DP146" s="37"/>
      <c r="DQ146" s="37">
        <f>DO146/'Conversions, Sources &amp; Comments'!E144</f>
        <v>0.53270403226589491</v>
      </c>
    </row>
    <row r="147" spans="1:121">
      <c r="A147" s="42">
        <f t="shared" si="72"/>
        <v>1395</v>
      </c>
      <c r="B147" s="36"/>
      <c r="C147" s="38">
        <v>5</v>
      </c>
      <c r="D147" s="38">
        <v>0</v>
      </c>
      <c r="E147" s="38">
        <v>3</v>
      </c>
      <c r="F147" s="38">
        <v>2.25</v>
      </c>
      <c r="G147" s="38">
        <v>2</v>
      </c>
      <c r="H147" s="38">
        <v>4.38</v>
      </c>
      <c r="I147" s="38">
        <v>2</v>
      </c>
      <c r="J147" s="38">
        <v>9</v>
      </c>
      <c r="K147" s="36"/>
      <c r="L147" s="36"/>
      <c r="M147" s="38">
        <v>3</v>
      </c>
      <c r="N147" s="38">
        <v>4.75</v>
      </c>
      <c r="O147" s="38">
        <v>10</v>
      </c>
      <c r="P147" s="36"/>
      <c r="Q147" s="36"/>
      <c r="R147" s="36"/>
      <c r="S147" s="36"/>
      <c r="T147" s="36"/>
      <c r="U147" s="38">
        <v>5.5</v>
      </c>
      <c r="V147" s="36"/>
      <c r="W147" s="38">
        <v>7</v>
      </c>
      <c r="X147" s="36"/>
      <c r="Y147" s="36"/>
      <c r="Z147" s="38">
        <v>1</v>
      </c>
      <c r="AA147" s="38">
        <v>6</v>
      </c>
      <c r="AB147" s="36"/>
      <c r="AC147" s="36"/>
      <c r="AD147" s="36"/>
      <c r="AE147" s="36"/>
      <c r="AF147" s="36"/>
      <c r="AG147" s="36"/>
      <c r="AH147" s="36"/>
      <c r="AI147" s="36"/>
      <c r="AJ147" s="36"/>
      <c r="AK147" s="38">
        <v>12</v>
      </c>
      <c r="AL147" s="38">
        <v>6</v>
      </c>
      <c r="AM147" s="36"/>
      <c r="AN147" s="36"/>
      <c r="AO147" s="38">
        <v>1</v>
      </c>
      <c r="AP147" s="38">
        <v>2</v>
      </c>
      <c r="AQ147" s="36"/>
      <c r="AR147" s="36"/>
      <c r="AS147" s="36"/>
      <c r="AT147" s="36"/>
      <c r="AU147" s="36"/>
      <c r="AV147" s="36"/>
      <c r="AW147" s="36"/>
      <c r="AX147" s="36"/>
      <c r="AY147" s="36"/>
      <c r="AZ147" s="38">
        <v>35.5</v>
      </c>
      <c r="BA147" s="38">
        <v>42</v>
      </c>
      <c r="BB147" s="36"/>
      <c r="BC147" s="36"/>
      <c r="BD147" s="36"/>
      <c r="BE147" s="36"/>
      <c r="BF147" s="36"/>
      <c r="BG147" s="59">
        <v>3.8333333333333335</v>
      </c>
      <c r="BH147" s="59"/>
      <c r="BI147" s="59">
        <v>6.9087791848231134E-2</v>
      </c>
      <c r="BJ147" s="59"/>
      <c r="BK147" s="36"/>
      <c r="BL147" s="36"/>
      <c r="BM147" s="36"/>
      <c r="BN147" s="38">
        <v>26.7</v>
      </c>
      <c r="BO147" s="36"/>
      <c r="BP147" s="39">
        <f t="shared" si="66"/>
        <v>1.077434456928839</v>
      </c>
      <c r="BQ147" s="37"/>
      <c r="BR147" s="39">
        <f t="shared" si="67"/>
        <v>0.22931944000698942</v>
      </c>
      <c r="BS147" s="37"/>
      <c r="BT147" s="39">
        <f t="shared" si="82"/>
        <v>20.914765540777442</v>
      </c>
      <c r="BU147" s="37"/>
      <c r="BV147" s="39">
        <f t="shared" si="74"/>
        <v>0.17581157067202521</v>
      </c>
      <c r="BW147" s="37"/>
      <c r="BX147" s="39">
        <f t="shared" si="75"/>
        <v>0.10916199954599146</v>
      </c>
      <c r="BY147" s="39">
        <f t="shared" si="63"/>
        <v>3.5630074723391472</v>
      </c>
      <c r="BZ147" s="37"/>
      <c r="CA147" s="37"/>
      <c r="CB147" s="39">
        <f t="shared" si="64"/>
        <v>1.2725026686925527</v>
      </c>
      <c r="CC147" s="39">
        <f t="shared" ref="CC147:CC178" si="84">2*BP147*U147/120</f>
        <v>9.8764825218476918E-2</v>
      </c>
      <c r="CD147" s="39">
        <f t="shared" si="73"/>
        <v>0.16161516853932584</v>
      </c>
      <c r="CE147" s="37"/>
      <c r="CF147" s="37"/>
      <c r="CG147" s="39">
        <f>BP147*(12*AO147+AP147)/4.55</f>
        <v>3.3151829443964278</v>
      </c>
      <c r="CH147" s="37"/>
      <c r="CI147" s="37"/>
      <c r="CJ147" s="37"/>
      <c r="CK147" s="37"/>
      <c r="CL147" s="37"/>
      <c r="CM147" s="37"/>
      <c r="CN147" s="37"/>
      <c r="CO147" s="39">
        <f>0.063495+(0.016949+0.014096)*Wages!P145+1.22592*BR147</f>
        <v>0.5676153059957405</v>
      </c>
      <c r="CP147" s="39"/>
      <c r="CQ147" s="39">
        <f t="shared" si="76"/>
        <v>0.5676153059957405</v>
      </c>
      <c r="CR147" s="39">
        <f t="shared" si="51"/>
        <v>0.17581157067202521</v>
      </c>
      <c r="CS147" s="39">
        <f t="shared" si="77"/>
        <v>0.91683422092134237</v>
      </c>
      <c r="CT147" s="39">
        <f t="shared" si="78"/>
        <v>2.6390598824623814</v>
      </c>
      <c r="CU147" s="39">
        <f t="shared" si="65"/>
        <v>1.2725026686925527</v>
      </c>
      <c r="CV147" s="39">
        <f t="shared" si="65"/>
        <v>9.8764825218476918E-2</v>
      </c>
      <c r="CW147" s="39">
        <f t="shared" si="65"/>
        <v>0.16161516853932584</v>
      </c>
      <c r="CX147" s="39"/>
      <c r="CY147" s="39"/>
      <c r="CZ147" s="39">
        <f t="shared" si="68"/>
        <v>0.10916199954599146</v>
      </c>
      <c r="DA147" s="39">
        <f t="shared" si="79"/>
        <v>5.5990117422472307</v>
      </c>
      <c r="DB147" s="39">
        <f t="shared" si="83"/>
        <v>4.6012485008634245</v>
      </c>
      <c r="DC147" s="39">
        <f t="shared" si="69"/>
        <v>3.5630074723391472</v>
      </c>
      <c r="DD147" s="39">
        <f>CG147</f>
        <v>3.3151829443964278</v>
      </c>
      <c r="DE147" s="39">
        <v>0.03</v>
      </c>
      <c r="DF147" s="37"/>
      <c r="DG147" s="39">
        <f t="shared" si="70"/>
        <v>0</v>
      </c>
      <c r="DH147" s="39">
        <f t="shared" si="71"/>
        <v>3.3959701154629842</v>
      </c>
      <c r="DI147" s="37"/>
      <c r="DJ147" s="37"/>
      <c r="DK147" s="37"/>
      <c r="DL147" s="37"/>
      <c r="DM147" s="39">
        <f t="shared" si="80"/>
        <v>0.6123327836405591</v>
      </c>
      <c r="DN147" s="39"/>
      <c r="DO147" s="39">
        <f t="shared" si="81"/>
        <v>0.6123327836405591</v>
      </c>
      <c r="DP147" s="37"/>
      <c r="DQ147" s="37">
        <f>DO147/'Conversions, Sources &amp; Comments'!E145</f>
        <v>0.56832485698106983</v>
      </c>
    </row>
    <row r="148" spans="1:121">
      <c r="A148" s="42">
        <f t="shared" si="72"/>
        <v>1396</v>
      </c>
      <c r="B148" s="36"/>
      <c r="C148" s="38">
        <v>5</v>
      </c>
      <c r="D148" s="38">
        <v>11.5</v>
      </c>
      <c r="E148" s="38">
        <v>3</v>
      </c>
      <c r="F148" s="38">
        <v>3.63</v>
      </c>
      <c r="G148" s="38">
        <v>2</v>
      </c>
      <c r="H148" s="38">
        <v>7.5</v>
      </c>
      <c r="I148" s="38">
        <v>4</v>
      </c>
      <c r="J148" s="38">
        <v>2.63</v>
      </c>
      <c r="K148" s="36"/>
      <c r="L148" s="36"/>
      <c r="M148" s="38">
        <v>3</v>
      </c>
      <c r="N148" s="38">
        <v>4.375</v>
      </c>
      <c r="O148" s="38">
        <v>12</v>
      </c>
      <c r="P148" s="38">
        <v>4.5</v>
      </c>
      <c r="Q148" s="36"/>
      <c r="R148" s="36"/>
      <c r="S148" s="36"/>
      <c r="T148" s="36"/>
      <c r="U148" s="38">
        <v>5.25</v>
      </c>
      <c r="V148" s="36"/>
      <c r="W148" s="38">
        <v>6.25</v>
      </c>
      <c r="X148" s="36"/>
      <c r="Y148" s="36"/>
      <c r="Z148" s="38">
        <v>1</v>
      </c>
      <c r="AA148" s="38">
        <v>6</v>
      </c>
      <c r="AB148" s="36"/>
      <c r="AC148" s="36"/>
      <c r="AD148" s="36"/>
      <c r="AE148" s="36"/>
      <c r="AF148" s="36"/>
      <c r="AG148" s="36"/>
      <c r="AH148" s="36"/>
      <c r="AI148" s="36"/>
      <c r="AJ148" s="36"/>
      <c r="AK148" s="38">
        <v>20</v>
      </c>
      <c r="AL148" s="38">
        <v>0</v>
      </c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8">
        <v>34.33</v>
      </c>
      <c r="BA148" s="38">
        <v>42</v>
      </c>
      <c r="BB148" s="36"/>
      <c r="BC148" s="36"/>
      <c r="BD148" s="36"/>
      <c r="BE148" s="36"/>
      <c r="BF148" s="36"/>
      <c r="BG148" s="59">
        <v>3.9166666666666665</v>
      </c>
      <c r="BH148" s="59"/>
      <c r="BI148" s="59">
        <v>7.4614815196089687E-2</v>
      </c>
      <c r="BJ148" s="59"/>
      <c r="BK148" s="36"/>
      <c r="BL148" s="36"/>
      <c r="BM148" s="36"/>
      <c r="BN148" s="38">
        <v>26.7</v>
      </c>
      <c r="BO148" s="36"/>
      <c r="BP148" s="39">
        <f t="shared" si="66"/>
        <v>1.077434456928839</v>
      </c>
      <c r="BQ148" s="37"/>
      <c r="BR148" s="39">
        <f t="shared" si="67"/>
        <v>0.27327233267499573</v>
      </c>
      <c r="BS148" s="37"/>
      <c r="BT148" s="39">
        <f t="shared" si="82"/>
        <v>20.225462000419423</v>
      </c>
      <c r="BU148" s="37"/>
      <c r="BV148" s="39">
        <f t="shared" si="74"/>
        <v>0.17963356133880837</v>
      </c>
      <c r="BW148" s="37"/>
      <c r="BX148" s="39">
        <f t="shared" si="75"/>
        <v>0.1178949595096709</v>
      </c>
      <c r="BY148" s="39">
        <f t="shared" si="63"/>
        <v>3.5630074723391472</v>
      </c>
      <c r="BZ148" s="37"/>
      <c r="CA148" s="37"/>
      <c r="CB148" s="39">
        <f t="shared" si="64"/>
        <v>1.574722052507034</v>
      </c>
      <c r="CC148" s="39">
        <f t="shared" si="84"/>
        <v>9.4275514981273414E-2</v>
      </c>
      <c r="CD148" s="39">
        <f t="shared" si="73"/>
        <v>0.25858426966292136</v>
      </c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9">
        <f>0.063495+(0.016949+0.014096)*Wages!P146+1.22592*BR148</f>
        <v>0.62149803617530275</v>
      </c>
      <c r="CP148" s="39"/>
      <c r="CQ148" s="39">
        <f t="shared" si="76"/>
        <v>0.62149803617530275</v>
      </c>
      <c r="CR148" s="39">
        <f t="shared" si="51"/>
        <v>0.17963356133880837</v>
      </c>
      <c r="CS148" s="39">
        <f t="shared" si="77"/>
        <v>1.1345823483901611</v>
      </c>
      <c r="CT148" s="39">
        <f t="shared" si="78"/>
        <v>3.2658366045471969</v>
      </c>
      <c r="CU148" s="39">
        <f t="shared" si="65"/>
        <v>1.574722052507034</v>
      </c>
      <c r="CV148" s="39">
        <f t="shared" si="65"/>
        <v>9.4275514981273414E-2</v>
      </c>
      <c r="CW148" s="39">
        <f t="shared" si="65"/>
        <v>0.25858426966292136</v>
      </c>
      <c r="CX148" s="39"/>
      <c r="CY148" s="39"/>
      <c r="CZ148" s="39">
        <f t="shared" si="68"/>
        <v>0.1178949595096709</v>
      </c>
      <c r="DA148" s="39">
        <f t="shared" si="79"/>
        <v>5.5990117422472307</v>
      </c>
      <c r="DB148" s="39">
        <f t="shared" si="83"/>
        <v>4.4496017192856714</v>
      </c>
      <c r="DC148" s="39">
        <f t="shared" si="69"/>
        <v>3.5630074723391472</v>
      </c>
      <c r="DD148" s="39">
        <v>3.3151829443964287</v>
      </c>
      <c r="DE148" s="39">
        <v>0.03</v>
      </c>
      <c r="DF148" s="37"/>
      <c r="DG148" s="39">
        <f t="shared" si="70"/>
        <v>0</v>
      </c>
      <c r="DH148" s="39">
        <f t="shared" si="71"/>
        <v>3.3959701154629842</v>
      </c>
      <c r="DI148" s="37"/>
      <c r="DJ148" s="37"/>
      <c r="DK148" s="37"/>
      <c r="DL148" s="37"/>
      <c r="DM148" s="39">
        <f t="shared" si="80"/>
        <v>0.66317736846424025</v>
      </c>
      <c r="DN148" s="39"/>
      <c r="DO148" s="39">
        <f t="shared" si="81"/>
        <v>0.66317736846424025</v>
      </c>
      <c r="DP148" s="37"/>
      <c r="DQ148" s="37">
        <f>DO148/'Conversions, Sources &amp; Comments'!E146</f>
        <v>0.61551527723977451</v>
      </c>
    </row>
    <row r="149" spans="1:121">
      <c r="A149" s="42">
        <f t="shared" si="72"/>
        <v>1397</v>
      </c>
      <c r="B149" s="36"/>
      <c r="C149" s="38">
        <v>5</v>
      </c>
      <c r="D149" s="38">
        <v>9.6300000000000008</v>
      </c>
      <c r="E149" s="38">
        <v>4</v>
      </c>
      <c r="F149" s="38">
        <v>4.63</v>
      </c>
      <c r="G149" s="38">
        <v>3</v>
      </c>
      <c r="H149" s="38">
        <v>4</v>
      </c>
      <c r="I149" s="38">
        <v>4</v>
      </c>
      <c r="J149" s="38">
        <v>7</v>
      </c>
      <c r="K149" s="36"/>
      <c r="L149" s="36"/>
      <c r="M149" s="38">
        <v>5</v>
      </c>
      <c r="N149" s="38">
        <v>5</v>
      </c>
      <c r="O149" s="38">
        <v>10</v>
      </c>
      <c r="P149" s="38">
        <v>6</v>
      </c>
      <c r="Q149" s="36"/>
      <c r="R149" s="36"/>
      <c r="S149" s="36"/>
      <c r="T149" s="36"/>
      <c r="U149" s="38">
        <v>5</v>
      </c>
      <c r="V149" s="36"/>
      <c r="W149" s="38">
        <v>7.25</v>
      </c>
      <c r="X149" s="36"/>
      <c r="Y149" s="36"/>
      <c r="Z149" s="38">
        <v>1</v>
      </c>
      <c r="AA149" s="38">
        <v>6</v>
      </c>
      <c r="AB149" s="36"/>
      <c r="AC149" s="36"/>
      <c r="AD149" s="36"/>
      <c r="AE149" s="36"/>
      <c r="AF149" s="36"/>
      <c r="AG149" s="36"/>
      <c r="AH149" s="36"/>
      <c r="AI149" s="36"/>
      <c r="AJ149" s="36"/>
      <c r="AK149" s="38">
        <v>20</v>
      </c>
      <c r="AL149" s="38">
        <v>0</v>
      </c>
      <c r="AM149" s="36"/>
      <c r="AN149" s="36"/>
      <c r="AO149" s="38">
        <v>1</v>
      </c>
      <c r="AP149" s="38">
        <v>2</v>
      </c>
      <c r="AQ149" s="36"/>
      <c r="AR149" s="36"/>
      <c r="AS149" s="36"/>
      <c r="AT149" s="36"/>
      <c r="AU149" s="36"/>
      <c r="AV149" s="36"/>
      <c r="AW149" s="36"/>
      <c r="AX149" s="36"/>
      <c r="AY149" s="36"/>
      <c r="AZ149" s="38">
        <v>34.33</v>
      </c>
      <c r="BA149" s="36"/>
      <c r="BB149" s="36"/>
      <c r="BC149" s="36"/>
      <c r="BD149" s="36"/>
      <c r="BE149" s="36"/>
      <c r="BF149" s="36"/>
      <c r="BG149" s="59">
        <v>4</v>
      </c>
      <c r="BH149" s="59"/>
      <c r="BI149" s="59">
        <v>8.8432373565736924E-2</v>
      </c>
      <c r="BJ149" s="59"/>
      <c r="BK149" s="36"/>
      <c r="BL149" s="36"/>
      <c r="BM149" s="36"/>
      <c r="BN149" s="38">
        <v>26.7</v>
      </c>
      <c r="BO149" s="36"/>
      <c r="BP149" s="39">
        <f t="shared" si="66"/>
        <v>1.077434456928839</v>
      </c>
      <c r="BQ149" s="37"/>
      <c r="BR149" s="39">
        <f t="shared" si="67"/>
        <v>0.26612521012811119</v>
      </c>
      <c r="BS149" s="37"/>
      <c r="BT149" s="39">
        <f t="shared" si="82"/>
        <v>20.225462000419423</v>
      </c>
      <c r="BU149" s="37"/>
      <c r="BV149" s="39">
        <f t="shared" si="74"/>
        <v>0.18345555200559152</v>
      </c>
      <c r="BW149" s="37"/>
      <c r="BX149" s="39">
        <f t="shared" si="75"/>
        <v>0.13972735941887077</v>
      </c>
      <c r="BY149" s="39">
        <f t="shared" si="63"/>
        <v>3.5630074723391472</v>
      </c>
      <c r="BZ149" s="37"/>
      <c r="CA149" s="37"/>
      <c r="CB149" s="39">
        <f t="shared" si="64"/>
        <v>1.3361278021271801</v>
      </c>
      <c r="CC149" s="39">
        <f t="shared" si="84"/>
        <v>8.9786204744069911E-2</v>
      </c>
      <c r="CD149" s="39">
        <f t="shared" si="73"/>
        <v>0.25858426966292136</v>
      </c>
      <c r="CE149" s="37"/>
      <c r="CF149" s="37"/>
      <c r="CG149" s="39">
        <f t="shared" ref="CG149:CG171" si="85">BP149*(12*AO149+AP149)/4.55</f>
        <v>3.3151829443964278</v>
      </c>
      <c r="CH149" s="37"/>
      <c r="CI149" s="37"/>
      <c r="CJ149" s="37"/>
      <c r="CK149" s="37"/>
      <c r="CL149" s="37"/>
      <c r="CM149" s="37"/>
      <c r="CN149" s="37"/>
      <c r="CO149" s="39">
        <f>0.063495+(0.016949+0.014096)*Wages!P147+1.22592*BR149</f>
        <v>0.61273623570262603</v>
      </c>
      <c r="CP149" s="39"/>
      <c r="CQ149" s="39">
        <f t="shared" si="76"/>
        <v>0.61273623570262603</v>
      </c>
      <c r="CR149" s="39">
        <f t="shared" si="51"/>
        <v>0.18345555200559152</v>
      </c>
      <c r="CS149" s="39">
        <f t="shared" si="77"/>
        <v>0.9626759319674093</v>
      </c>
      <c r="CT149" s="39">
        <f t="shared" si="78"/>
        <v>2.7710128765855</v>
      </c>
      <c r="CU149" s="39">
        <f t="shared" si="65"/>
        <v>1.3361278021271801</v>
      </c>
      <c r="CV149" s="39">
        <f t="shared" si="65"/>
        <v>8.9786204744069911E-2</v>
      </c>
      <c r="CW149" s="39">
        <f t="shared" si="65"/>
        <v>0.25858426966292136</v>
      </c>
      <c r="CX149" s="39"/>
      <c r="CY149" s="39"/>
      <c r="CZ149" s="39">
        <f t="shared" si="68"/>
        <v>0.13972735941887077</v>
      </c>
      <c r="DA149" s="39">
        <f t="shared" si="79"/>
        <v>5.5990117422472307</v>
      </c>
      <c r="DB149" s="39">
        <f t="shared" si="83"/>
        <v>4.4496017192856714</v>
      </c>
      <c r="DC149" s="39">
        <f t="shared" si="69"/>
        <v>3.5630074723391472</v>
      </c>
      <c r="DD149" s="39">
        <f t="shared" ref="DD149:DD171" si="86">CG149</f>
        <v>3.3151829443964278</v>
      </c>
      <c r="DE149" s="39">
        <v>0.03</v>
      </c>
      <c r="DF149" s="37"/>
      <c r="DG149" s="39">
        <f t="shared" si="70"/>
        <v>0</v>
      </c>
      <c r="DH149" s="39">
        <f t="shared" si="71"/>
        <v>3.3959701154629842</v>
      </c>
      <c r="DI149" s="37"/>
      <c r="DJ149" s="37"/>
      <c r="DK149" s="37"/>
      <c r="DL149" s="37"/>
      <c r="DM149" s="39">
        <f t="shared" si="80"/>
        <v>0.64886256864784575</v>
      </c>
      <c r="DN149" s="39"/>
      <c r="DO149" s="39">
        <f t="shared" si="81"/>
        <v>0.64886256864784575</v>
      </c>
      <c r="DP149" s="37"/>
      <c r="DQ149" s="37">
        <f>DO149/'Conversions, Sources &amp; Comments'!E147</f>
        <v>0.60222927202215981</v>
      </c>
    </row>
    <row r="150" spans="1:121">
      <c r="A150" s="42">
        <f t="shared" si="72"/>
        <v>1398</v>
      </c>
      <c r="B150" s="36"/>
      <c r="C150" s="38">
        <v>5</v>
      </c>
      <c r="D150" s="38">
        <v>2.75</v>
      </c>
      <c r="E150" s="38">
        <v>3</v>
      </c>
      <c r="F150" s="38">
        <v>4.63</v>
      </c>
      <c r="G150" s="38">
        <v>2</v>
      </c>
      <c r="H150" s="38">
        <v>2</v>
      </c>
      <c r="I150" s="38">
        <v>3</v>
      </c>
      <c r="J150" s="38">
        <v>7.25</v>
      </c>
      <c r="K150" s="36"/>
      <c r="L150" s="36"/>
      <c r="M150" s="38">
        <v>2</v>
      </c>
      <c r="N150" s="38">
        <v>6.25</v>
      </c>
      <c r="O150" s="38">
        <v>11</v>
      </c>
      <c r="P150" s="36"/>
      <c r="Q150" s="36"/>
      <c r="R150" s="36"/>
      <c r="S150" s="36"/>
      <c r="T150" s="36"/>
      <c r="U150" s="38">
        <v>5.75</v>
      </c>
      <c r="V150" s="36"/>
      <c r="W150" s="38">
        <v>7</v>
      </c>
      <c r="X150" s="36"/>
      <c r="Y150" s="36"/>
      <c r="Z150" s="38">
        <v>1</v>
      </c>
      <c r="AA150" s="38">
        <v>10</v>
      </c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8">
        <v>1</v>
      </c>
      <c r="AP150" s="38">
        <v>0.75</v>
      </c>
      <c r="AQ150" s="36"/>
      <c r="AR150" s="36"/>
      <c r="AS150" s="36"/>
      <c r="AT150" s="36"/>
      <c r="AU150" s="36"/>
      <c r="AV150" s="36"/>
      <c r="AW150" s="36"/>
      <c r="AX150" s="36"/>
      <c r="AY150" s="36"/>
      <c r="AZ150" s="38">
        <v>32.909999999999997</v>
      </c>
      <c r="BA150" s="38">
        <v>40</v>
      </c>
      <c r="BB150" s="36"/>
      <c r="BC150" s="36"/>
      <c r="BD150" s="36"/>
      <c r="BE150" s="36"/>
      <c r="BF150" s="36"/>
      <c r="BG150" s="59">
        <v>4</v>
      </c>
      <c r="BH150" s="59"/>
      <c r="BI150" s="59">
        <v>8.0141838543948241E-2</v>
      </c>
      <c r="BJ150" s="59"/>
      <c r="BK150" s="36"/>
      <c r="BL150" s="36"/>
      <c r="BM150" s="36"/>
      <c r="BN150" s="38">
        <v>26.7</v>
      </c>
      <c r="BO150" s="36"/>
      <c r="BP150" s="39">
        <f t="shared" si="66"/>
        <v>1.077434456928839</v>
      </c>
      <c r="BQ150" s="37"/>
      <c r="BR150" s="39">
        <f t="shared" si="67"/>
        <v>0.2398299143406431</v>
      </c>
      <c r="BS150" s="37"/>
      <c r="BT150" s="39">
        <f t="shared" si="82"/>
        <v>19.388871378788327</v>
      </c>
      <c r="BU150" s="37"/>
      <c r="BV150" s="39">
        <f t="shared" si="74"/>
        <v>0.18345555200559152</v>
      </c>
      <c r="BW150" s="37"/>
      <c r="BX150" s="39">
        <f t="shared" si="75"/>
        <v>0.12662791947335031</v>
      </c>
      <c r="BY150" s="39">
        <f t="shared" si="63"/>
        <v>4.3547869106367356</v>
      </c>
      <c r="BZ150" s="37"/>
      <c r="CA150" s="37"/>
      <c r="CB150" s="39">
        <f t="shared" si="64"/>
        <v>1.3997529355618079</v>
      </c>
      <c r="CC150" s="39">
        <f t="shared" si="84"/>
        <v>0.10325413545568041</v>
      </c>
      <c r="CD150" s="37"/>
      <c r="CE150" s="37"/>
      <c r="CF150" s="37"/>
      <c r="CG150" s="39">
        <f t="shared" si="85"/>
        <v>3.0191844672181753</v>
      </c>
      <c r="CH150" s="37"/>
      <c r="CI150" s="37"/>
      <c r="CJ150" s="37"/>
      <c r="CK150" s="37"/>
      <c r="CL150" s="37"/>
      <c r="CM150" s="37"/>
      <c r="CN150" s="37"/>
      <c r="CO150" s="39">
        <f>0.063495+(0.016949+0.014096)*Wages!P148+1.22592*BR150</f>
        <v>0.58050030669085317</v>
      </c>
      <c r="CP150" s="39"/>
      <c r="CQ150" s="39">
        <f t="shared" si="76"/>
        <v>0.58050030669085317</v>
      </c>
      <c r="CR150" s="39">
        <f t="shared" si="51"/>
        <v>0.18345555200559152</v>
      </c>
      <c r="CS150" s="39">
        <f t="shared" si="77"/>
        <v>1.0085176430134764</v>
      </c>
      <c r="CT150" s="39">
        <f t="shared" si="78"/>
        <v>2.902965870708619</v>
      </c>
      <c r="CU150" s="39">
        <f t="shared" si="65"/>
        <v>1.3997529355618079</v>
      </c>
      <c r="CV150" s="39">
        <f t="shared" si="65"/>
        <v>0.10325413545568041</v>
      </c>
      <c r="CW150" s="39">
        <v>0.25858426966292142</v>
      </c>
      <c r="CX150" s="39"/>
      <c r="CY150" s="39"/>
      <c r="CZ150" s="39">
        <f t="shared" si="68"/>
        <v>0.12662791947335031</v>
      </c>
      <c r="DA150" s="39">
        <f t="shared" si="79"/>
        <v>6.8432365738577277</v>
      </c>
      <c r="DB150" s="39">
        <f t="shared" si="83"/>
        <v>4.265551779251135</v>
      </c>
      <c r="DC150" s="39">
        <f t="shared" si="69"/>
        <v>4.3547869106367356</v>
      </c>
      <c r="DD150" s="39">
        <f t="shared" si="86"/>
        <v>3.0191844672181753</v>
      </c>
      <c r="DE150" s="39">
        <v>0.03</v>
      </c>
      <c r="DF150" s="37"/>
      <c r="DG150" s="39">
        <f t="shared" si="70"/>
        <v>0</v>
      </c>
      <c r="DH150" s="39">
        <f t="shared" si="71"/>
        <v>3.3959701154629842</v>
      </c>
      <c r="DI150" s="37"/>
      <c r="DJ150" s="37"/>
      <c r="DK150" s="37"/>
      <c r="DL150" s="37"/>
      <c r="DM150" s="39">
        <f t="shared" si="80"/>
        <v>0.6446734770893503</v>
      </c>
      <c r="DN150" s="39"/>
      <c r="DO150" s="39">
        <f t="shared" si="81"/>
        <v>0.6446734770893503</v>
      </c>
      <c r="DP150" s="37"/>
      <c r="DQ150" s="37">
        <f>DO150/'Conversions, Sources &amp; Comments'!E148</f>
        <v>0.59834124752883122</v>
      </c>
    </row>
    <row r="151" spans="1:121">
      <c r="A151" s="42">
        <f t="shared" si="72"/>
        <v>1399</v>
      </c>
      <c r="B151" s="36"/>
      <c r="C151" s="38">
        <v>5</v>
      </c>
      <c r="D151" s="38">
        <v>6.38</v>
      </c>
      <c r="E151" s="38">
        <v>3</v>
      </c>
      <c r="F151" s="38">
        <v>6.75</v>
      </c>
      <c r="G151" s="38">
        <v>2</v>
      </c>
      <c r="H151" s="38">
        <v>2.75</v>
      </c>
      <c r="I151" s="38">
        <v>3</v>
      </c>
      <c r="J151" s="38">
        <v>9.75</v>
      </c>
      <c r="K151" s="36"/>
      <c r="L151" s="36"/>
      <c r="M151" s="38">
        <v>2</v>
      </c>
      <c r="N151" s="38">
        <v>11</v>
      </c>
      <c r="O151" s="38">
        <v>9</v>
      </c>
      <c r="P151" s="38">
        <v>6</v>
      </c>
      <c r="Q151" s="36"/>
      <c r="R151" s="36"/>
      <c r="S151" s="36"/>
      <c r="T151" s="36"/>
      <c r="U151" s="38">
        <v>5.125</v>
      </c>
      <c r="V151" s="36"/>
      <c r="W151" s="38">
        <v>6</v>
      </c>
      <c r="X151" s="36"/>
      <c r="Y151" s="36"/>
      <c r="Z151" s="38">
        <v>1</v>
      </c>
      <c r="AA151" s="38">
        <v>6</v>
      </c>
      <c r="AB151" s="36"/>
      <c r="AC151" s="36"/>
      <c r="AD151" s="36"/>
      <c r="AE151" s="36"/>
      <c r="AF151" s="36"/>
      <c r="AG151" s="36"/>
      <c r="AH151" s="36"/>
      <c r="AI151" s="36"/>
      <c r="AJ151" s="36"/>
      <c r="AK151" s="38">
        <v>20</v>
      </c>
      <c r="AL151" s="38">
        <v>0</v>
      </c>
      <c r="AM151" s="36"/>
      <c r="AN151" s="36"/>
      <c r="AO151" s="38">
        <v>1</v>
      </c>
      <c r="AP151" s="38">
        <v>4</v>
      </c>
      <c r="AQ151" s="36"/>
      <c r="AR151" s="36"/>
      <c r="AS151" s="36"/>
      <c r="AT151" s="36"/>
      <c r="AU151" s="36"/>
      <c r="AV151" s="36"/>
      <c r="AW151" s="36"/>
      <c r="AX151" s="36"/>
      <c r="AY151" s="36"/>
      <c r="AZ151" s="38">
        <v>33.729999999999997</v>
      </c>
      <c r="BA151" s="38">
        <v>40</v>
      </c>
      <c r="BB151" s="36"/>
      <c r="BC151" s="36"/>
      <c r="BD151" s="36"/>
      <c r="BE151" s="36"/>
      <c r="BF151" s="36"/>
      <c r="BG151" s="59">
        <v>3.9166666666666665</v>
      </c>
      <c r="BH151" s="59"/>
      <c r="BI151" s="59">
        <v>6.9087791848231134E-2</v>
      </c>
      <c r="BJ151" s="59"/>
      <c r="BK151" s="36"/>
      <c r="BL151" s="36"/>
      <c r="BM151" s="36"/>
      <c r="BN151" s="38">
        <v>26.7</v>
      </c>
      <c r="BO151" s="36"/>
      <c r="BP151" s="39">
        <f t="shared" si="66"/>
        <v>1.077434456928839</v>
      </c>
      <c r="BQ151" s="37"/>
      <c r="BR151" s="39">
        <f t="shared" si="67"/>
        <v>0.25370374046106592</v>
      </c>
      <c r="BS151" s="37"/>
      <c r="BT151" s="39">
        <f t="shared" si="82"/>
        <v>19.87197300536403</v>
      </c>
      <c r="BU151" s="37"/>
      <c r="BV151" s="39">
        <f t="shared" si="74"/>
        <v>0.17963356133880837</v>
      </c>
      <c r="BW151" s="37"/>
      <c r="BX151" s="39">
        <f t="shared" si="75"/>
        <v>0.10916199954599146</v>
      </c>
      <c r="BY151" s="39">
        <f t="shared" si="63"/>
        <v>3.5630074723391472</v>
      </c>
      <c r="BZ151" s="37"/>
      <c r="CA151" s="37"/>
      <c r="CB151" s="39">
        <f t="shared" si="64"/>
        <v>1.2088775352579251</v>
      </c>
      <c r="CC151" s="39">
        <f t="shared" si="84"/>
        <v>9.2030859862671663E-2</v>
      </c>
      <c r="CD151" s="39">
        <f>BP151*(12*AK151+AL151)/1000</f>
        <v>0.25858426966292136</v>
      </c>
      <c r="CE151" s="37"/>
      <c r="CF151" s="37"/>
      <c r="CG151" s="39">
        <f t="shared" si="85"/>
        <v>3.7887805078816319</v>
      </c>
      <c r="CH151" s="37"/>
      <c r="CI151" s="37"/>
      <c r="CJ151" s="37"/>
      <c r="CK151" s="37"/>
      <c r="CL151" s="37"/>
      <c r="CM151" s="37"/>
      <c r="CN151" s="37"/>
      <c r="CO151" s="39">
        <f>0.063495+(0.016949+0.014096)*Wages!P149+1.22592*BR151</f>
        <v>0.59750850760840191</v>
      </c>
      <c r="CP151" s="39"/>
      <c r="CQ151" s="39">
        <f t="shared" si="76"/>
        <v>0.59750850760840191</v>
      </c>
      <c r="CR151" s="39">
        <f t="shared" si="51"/>
        <v>0.17963356133880837</v>
      </c>
      <c r="CS151" s="39">
        <f t="shared" si="77"/>
        <v>0.87099250987527521</v>
      </c>
      <c r="CT151" s="39">
        <f t="shared" si="78"/>
        <v>2.507106888339262</v>
      </c>
      <c r="CU151" s="39">
        <f t="shared" si="65"/>
        <v>1.2088775352579251</v>
      </c>
      <c r="CV151" s="39">
        <f t="shared" si="65"/>
        <v>9.2030859862671663E-2</v>
      </c>
      <c r="CW151" s="39">
        <f>CD151</f>
        <v>0.25858426966292136</v>
      </c>
      <c r="CX151" s="39"/>
      <c r="CY151" s="39"/>
      <c r="CZ151" s="39">
        <f t="shared" si="68"/>
        <v>0.10916199954599146</v>
      </c>
      <c r="DA151" s="39">
        <f t="shared" si="79"/>
        <v>5.5990117422472307</v>
      </c>
      <c r="DB151" s="39">
        <f t="shared" si="83"/>
        <v>4.3718341389893887</v>
      </c>
      <c r="DC151" s="39">
        <f t="shared" si="69"/>
        <v>3.5630074723391472</v>
      </c>
      <c r="DD151" s="39">
        <f t="shared" si="86"/>
        <v>3.7887805078816319</v>
      </c>
      <c r="DE151" s="39">
        <v>0.03</v>
      </c>
      <c r="DF151" s="37"/>
      <c r="DG151" s="39">
        <f t="shared" si="70"/>
        <v>0</v>
      </c>
      <c r="DH151" s="39">
        <f t="shared" si="71"/>
        <v>3.3959701154629842</v>
      </c>
      <c r="DI151" s="37"/>
      <c r="DJ151" s="37"/>
      <c r="DK151" s="37"/>
      <c r="DL151" s="37"/>
      <c r="DM151" s="39">
        <f t="shared" si="80"/>
        <v>0.61996002160218322</v>
      </c>
      <c r="DN151" s="39"/>
      <c r="DO151" s="39">
        <f t="shared" si="81"/>
        <v>0.61996002160218322</v>
      </c>
      <c r="DP151" s="37"/>
      <c r="DQ151" s="37">
        <f>DO151/'Conversions, Sources &amp; Comments'!E149</f>
        <v>0.57540393071272411</v>
      </c>
    </row>
    <row r="152" spans="1:121">
      <c r="A152" s="42">
        <f t="shared" si="72"/>
        <v>1400</v>
      </c>
      <c r="B152" s="36"/>
      <c r="C152" s="38">
        <v>7</v>
      </c>
      <c r="D152" s="38">
        <v>11.13</v>
      </c>
      <c r="E152" s="38">
        <v>6</v>
      </c>
      <c r="F152" s="38">
        <v>3.63</v>
      </c>
      <c r="G152" s="38">
        <v>2</v>
      </c>
      <c r="H152" s="38">
        <v>3.25</v>
      </c>
      <c r="I152" s="38">
        <v>4</v>
      </c>
      <c r="J152" s="38">
        <v>4.63</v>
      </c>
      <c r="K152" s="36"/>
      <c r="L152" s="36"/>
      <c r="M152" s="38">
        <v>4</v>
      </c>
      <c r="N152" s="38">
        <v>6</v>
      </c>
      <c r="O152" s="38">
        <v>9</v>
      </c>
      <c r="P152" s="38">
        <v>4</v>
      </c>
      <c r="Q152" s="36"/>
      <c r="R152" s="36"/>
      <c r="S152" s="36"/>
      <c r="T152" s="36"/>
      <c r="U152" s="38">
        <v>5.125</v>
      </c>
      <c r="V152" s="36"/>
      <c r="W152" s="38">
        <v>5.75</v>
      </c>
      <c r="X152" s="36"/>
      <c r="Y152" s="36"/>
      <c r="Z152" s="38">
        <v>1</v>
      </c>
      <c r="AA152" s="38">
        <v>6</v>
      </c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8">
        <v>1</v>
      </c>
      <c r="AP152" s="38">
        <v>4</v>
      </c>
      <c r="AQ152" s="36"/>
      <c r="AR152" s="36"/>
      <c r="AS152" s="36"/>
      <c r="AT152" s="36"/>
      <c r="AU152" s="36"/>
      <c r="AV152" s="36"/>
      <c r="AW152" s="36"/>
      <c r="AX152" s="36"/>
      <c r="AY152" s="36"/>
      <c r="AZ152" s="38">
        <v>34</v>
      </c>
      <c r="BA152" s="38">
        <v>41</v>
      </c>
      <c r="BB152" s="36"/>
      <c r="BC152" s="36"/>
      <c r="BD152" s="36"/>
      <c r="BE152" s="36"/>
      <c r="BF152" s="36"/>
      <c r="BG152" s="59">
        <v>3.0833333333333335</v>
      </c>
      <c r="BH152" s="59"/>
      <c r="BI152" s="59">
        <v>0.11468573446806381</v>
      </c>
      <c r="BJ152" s="59"/>
      <c r="BK152" s="36"/>
      <c r="BL152" s="36"/>
      <c r="BM152" s="36"/>
      <c r="BN152" s="38">
        <v>26.7</v>
      </c>
      <c r="BO152" s="36"/>
      <c r="BP152" s="39">
        <f t="shared" si="66"/>
        <v>1.077434456928839</v>
      </c>
      <c r="BQ152" s="37"/>
      <c r="BR152" s="39">
        <f t="shared" si="67"/>
        <v>0.36358597213108168</v>
      </c>
      <c r="BS152" s="37"/>
      <c r="BT152" s="39">
        <f t="shared" si="82"/>
        <v>20.031043053138958</v>
      </c>
      <c r="BU152" s="37"/>
      <c r="BV152" s="39">
        <f t="shared" si="74"/>
        <v>0.1414136546709768</v>
      </c>
      <c r="BW152" s="37"/>
      <c r="BX152" s="39">
        <f t="shared" si="75"/>
        <v>0.18120891924634605</v>
      </c>
      <c r="BY152" s="39">
        <f t="shared" si="63"/>
        <v>3.5630074723391472</v>
      </c>
      <c r="BZ152" s="37"/>
      <c r="CA152" s="37"/>
      <c r="CB152" s="39">
        <f t="shared" si="64"/>
        <v>1.1876691574463825</v>
      </c>
      <c r="CC152" s="39">
        <f t="shared" si="84"/>
        <v>9.2030859862671663E-2</v>
      </c>
      <c r="CD152" s="37"/>
      <c r="CE152" s="37"/>
      <c r="CF152" s="37"/>
      <c r="CG152" s="39">
        <f t="shared" si="85"/>
        <v>3.7887805078816319</v>
      </c>
      <c r="CH152" s="37"/>
      <c r="CI152" s="37"/>
      <c r="CJ152" s="37"/>
      <c r="CK152" s="37"/>
      <c r="CL152" s="37"/>
      <c r="CM152" s="37"/>
      <c r="CN152" s="37"/>
      <c r="CO152" s="39">
        <f>0.063495+(0.016949+0.014096)*Wages!P150+1.22592*BR152</f>
        <v>0.73221533305730757</v>
      </c>
      <c r="CP152" s="39"/>
      <c r="CQ152" s="39">
        <f t="shared" si="76"/>
        <v>0.73221533305730757</v>
      </c>
      <c r="CR152" s="39">
        <f t="shared" si="51"/>
        <v>0.1414136546709768</v>
      </c>
      <c r="CS152" s="39">
        <f t="shared" si="77"/>
        <v>0.85571193952658609</v>
      </c>
      <c r="CT152" s="39">
        <f t="shared" si="78"/>
        <v>2.4631225569648891</v>
      </c>
      <c r="CU152" s="39">
        <f t="shared" si="65"/>
        <v>1.1876691574463825</v>
      </c>
      <c r="CV152" s="39">
        <f t="shared" si="65"/>
        <v>9.2030859862671663E-2</v>
      </c>
      <c r="CW152" s="39">
        <v>0.18</v>
      </c>
      <c r="CX152" s="39"/>
      <c r="CY152" s="39"/>
      <c r="CZ152" s="39">
        <f t="shared" si="68"/>
        <v>0.18120891924634605</v>
      </c>
      <c r="DA152" s="39">
        <f t="shared" si="79"/>
        <v>5.5990117422472307</v>
      </c>
      <c r="DB152" s="39">
        <f t="shared" si="83"/>
        <v>4.4068295501227164</v>
      </c>
      <c r="DC152" s="39">
        <f t="shared" si="69"/>
        <v>3.5630074723391472</v>
      </c>
      <c r="DD152" s="39">
        <f t="shared" si="86"/>
        <v>3.7887805078816319</v>
      </c>
      <c r="DE152" s="39">
        <v>0.03</v>
      </c>
      <c r="DF152" s="37"/>
      <c r="DG152" s="39">
        <f t="shared" si="70"/>
        <v>0</v>
      </c>
      <c r="DH152" s="39">
        <f t="shared" si="71"/>
        <v>3.3959701154629842</v>
      </c>
      <c r="DI152" s="37"/>
      <c r="DJ152" s="37"/>
      <c r="DK152" s="37"/>
      <c r="DL152" s="37"/>
      <c r="DM152" s="39">
        <f t="shared" si="80"/>
        <v>0.7045118088439174</v>
      </c>
      <c r="DN152" s="39"/>
      <c r="DO152" s="39">
        <f t="shared" si="81"/>
        <v>0.7045118088439174</v>
      </c>
      <c r="DP152" s="39"/>
      <c r="DQ152" s="37">
        <f>DO152/'Conversions, Sources &amp; Comments'!E150</f>
        <v>0.65387904044955569</v>
      </c>
    </row>
    <row r="153" spans="1:121">
      <c r="A153" s="42">
        <f t="shared" si="72"/>
        <v>1401</v>
      </c>
      <c r="B153" s="36"/>
      <c r="C153" s="38">
        <v>7</v>
      </c>
      <c r="D153" s="38">
        <v>5.75</v>
      </c>
      <c r="E153" s="38">
        <v>4</v>
      </c>
      <c r="F153" s="38">
        <v>6.5</v>
      </c>
      <c r="G153" s="38">
        <v>2</v>
      </c>
      <c r="H153" s="38">
        <v>7</v>
      </c>
      <c r="I153" s="38">
        <v>6</v>
      </c>
      <c r="J153" s="38">
        <v>5.25</v>
      </c>
      <c r="K153" s="36"/>
      <c r="L153" s="36"/>
      <c r="M153" s="36"/>
      <c r="N153" s="36"/>
      <c r="O153" s="38">
        <v>10</v>
      </c>
      <c r="P153" s="38">
        <v>4</v>
      </c>
      <c r="Q153" s="36"/>
      <c r="R153" s="36"/>
      <c r="S153" s="36"/>
      <c r="T153" s="36"/>
      <c r="U153" s="38">
        <v>5.18</v>
      </c>
      <c r="V153" s="36"/>
      <c r="W153" s="36"/>
      <c r="X153" s="38">
        <v>5</v>
      </c>
      <c r="Y153" s="38">
        <v>3.25</v>
      </c>
      <c r="Z153" s="38">
        <v>1</v>
      </c>
      <c r="AA153" s="38">
        <v>7.5</v>
      </c>
      <c r="AB153" s="36"/>
      <c r="AC153" s="36"/>
      <c r="AD153" s="38" t="s">
        <v>8</v>
      </c>
      <c r="AE153" s="38">
        <v>0</v>
      </c>
      <c r="AF153" s="38">
        <v>6</v>
      </c>
      <c r="AG153" s="36"/>
      <c r="AH153" s="36"/>
      <c r="AI153" s="36"/>
      <c r="AJ153" s="36"/>
      <c r="AK153" s="36"/>
      <c r="AL153" s="36"/>
      <c r="AM153" s="36"/>
      <c r="AN153" s="36"/>
      <c r="AO153" s="38">
        <v>1</v>
      </c>
      <c r="AP153" s="38">
        <v>2</v>
      </c>
      <c r="AQ153" s="36"/>
      <c r="AR153" s="36"/>
      <c r="AS153" s="36"/>
      <c r="AT153" s="36"/>
      <c r="AU153" s="36"/>
      <c r="AV153" s="36"/>
      <c r="AW153" s="38">
        <v>2.33</v>
      </c>
      <c r="AX153" s="38">
        <v>6.3</v>
      </c>
      <c r="AY153" s="36"/>
      <c r="AZ153" s="36"/>
      <c r="BA153" s="36"/>
      <c r="BB153" s="38">
        <v>42</v>
      </c>
      <c r="BC153" s="36"/>
      <c r="BD153" s="36"/>
      <c r="BE153" s="36"/>
      <c r="BF153" s="36"/>
      <c r="BG153" s="59">
        <v>4.5</v>
      </c>
      <c r="BH153" s="59"/>
      <c r="BI153" s="59">
        <v>8.8432373565736924E-2</v>
      </c>
      <c r="BJ153" s="59"/>
      <c r="BK153" s="36"/>
      <c r="BL153" s="36"/>
      <c r="BM153" s="36"/>
      <c r="BN153" s="38">
        <v>26.7</v>
      </c>
      <c r="BO153" s="36"/>
      <c r="BP153" s="39">
        <f t="shared" si="66"/>
        <v>1.077434456928839</v>
      </c>
      <c r="BQ153" s="37"/>
      <c r="BR153" s="39">
        <f t="shared" si="67"/>
        <v>0.34302366234378834</v>
      </c>
      <c r="BS153" s="37"/>
      <c r="BT153" s="37"/>
      <c r="BU153" s="37"/>
      <c r="BV153" s="39">
        <f t="shared" si="74"/>
        <v>0.20638749600629047</v>
      </c>
      <c r="BW153" s="37"/>
      <c r="BX153" s="39">
        <f t="shared" si="75"/>
        <v>0.13972735941887077</v>
      </c>
      <c r="BY153" s="39">
        <f t="shared" si="63"/>
        <v>3.8599247617007428</v>
      </c>
      <c r="BZ153" s="37"/>
      <c r="CA153" s="37"/>
      <c r="CB153" s="39">
        <f t="shared" si="64"/>
        <v>1.3149194243156377</v>
      </c>
      <c r="CC153" s="39">
        <f t="shared" si="84"/>
        <v>9.301850811485643E-2</v>
      </c>
      <c r="CD153" s="37"/>
      <c r="CE153" s="37"/>
      <c r="CF153" s="37"/>
      <c r="CG153" s="39">
        <f t="shared" si="85"/>
        <v>3.3151829443964278</v>
      </c>
      <c r="CH153" s="39">
        <f t="shared" ref="CH153:CH184" si="87">BP153*12*AW153/(12*0.453592)</f>
        <v>5.5345382737001421</v>
      </c>
      <c r="CI153" s="37"/>
      <c r="CJ153" s="37"/>
      <c r="CK153" s="37"/>
      <c r="CL153" s="37"/>
      <c r="CM153" s="37"/>
      <c r="CN153" s="37"/>
      <c r="CO153" s="39">
        <f>0.063495+(0.016949+0.014096)*Wages!P151+1.22592*BR153</f>
        <v>0.70700758624286897</v>
      </c>
      <c r="CP153" s="39"/>
      <c r="CQ153" s="39">
        <f t="shared" si="76"/>
        <v>0.70700758624286897</v>
      </c>
      <c r="CR153" s="39">
        <f t="shared" si="51"/>
        <v>0.20638749600629047</v>
      </c>
      <c r="CS153" s="39">
        <f t="shared" si="77"/>
        <v>0.94739536161872029</v>
      </c>
      <c r="CT153" s="39">
        <f t="shared" si="78"/>
        <v>2.7270285452111271</v>
      </c>
      <c r="CU153" s="39">
        <f t="shared" si="65"/>
        <v>1.3149194243156377</v>
      </c>
      <c r="CV153" s="39">
        <f t="shared" si="65"/>
        <v>9.301850811485643E-2</v>
      </c>
      <c r="CW153" s="39">
        <v>0.18</v>
      </c>
      <c r="CX153" s="39"/>
      <c r="CY153" s="39"/>
      <c r="CZ153" s="39">
        <f t="shared" si="68"/>
        <v>0.13972735941887077</v>
      </c>
      <c r="DA153" s="39">
        <f t="shared" ref="DA153:DA216" si="88">CH153</f>
        <v>5.5345382737001421</v>
      </c>
      <c r="DB153" s="39">
        <v>4.4000000000000004</v>
      </c>
      <c r="DC153" s="39">
        <f t="shared" si="69"/>
        <v>3.8599247617007428</v>
      </c>
      <c r="DD153" s="39">
        <f t="shared" si="86"/>
        <v>3.3151829443964278</v>
      </c>
      <c r="DE153" s="39">
        <v>0.03</v>
      </c>
      <c r="DF153" s="37"/>
      <c r="DG153" s="39">
        <f t="shared" si="70"/>
        <v>0</v>
      </c>
      <c r="DH153" s="39">
        <f t="shared" si="71"/>
        <v>3.3959701154629842</v>
      </c>
      <c r="DI153" s="37"/>
      <c r="DJ153" s="37"/>
      <c r="DK153" s="37"/>
      <c r="DL153" s="37"/>
      <c r="DM153" s="39">
        <f t="shared" si="80"/>
        <v>0.69257920377468085</v>
      </c>
      <c r="DN153" s="39"/>
      <c r="DO153" s="39">
        <f t="shared" si="81"/>
        <v>0.69257920377468085</v>
      </c>
      <c r="DP153" s="37"/>
      <c r="DQ153" s="37">
        <f>DO153/'Conversions, Sources &amp; Comments'!E151</f>
        <v>0.64280402331742337</v>
      </c>
    </row>
    <row r="154" spans="1:121">
      <c r="A154" s="42">
        <f t="shared" si="72"/>
        <v>1402</v>
      </c>
      <c r="B154" s="36"/>
      <c r="C154" s="38">
        <v>6</v>
      </c>
      <c r="D154" s="38">
        <v>8.75</v>
      </c>
      <c r="E154" s="38">
        <v>4</v>
      </c>
      <c r="F154" s="38">
        <v>4.5</v>
      </c>
      <c r="G154" s="38">
        <v>2</v>
      </c>
      <c r="H154" s="38">
        <v>3</v>
      </c>
      <c r="I154" s="38">
        <v>5</v>
      </c>
      <c r="J154" s="38">
        <v>8</v>
      </c>
      <c r="K154" s="36"/>
      <c r="L154" s="36"/>
      <c r="M154" s="36"/>
      <c r="N154" s="36"/>
      <c r="O154" s="38">
        <v>11</v>
      </c>
      <c r="P154" s="38">
        <v>0</v>
      </c>
      <c r="Q154" s="36"/>
      <c r="R154" s="36"/>
      <c r="S154" s="36"/>
      <c r="T154" s="36"/>
      <c r="U154" s="38">
        <v>5.18</v>
      </c>
      <c r="V154" s="36"/>
      <c r="W154" s="36"/>
      <c r="X154" s="38">
        <v>6</v>
      </c>
      <c r="Y154" s="38">
        <v>8</v>
      </c>
      <c r="Z154" s="38">
        <v>1</v>
      </c>
      <c r="AA154" s="38">
        <v>7</v>
      </c>
      <c r="AB154" s="36"/>
      <c r="AC154" s="36"/>
      <c r="AD154" s="36"/>
      <c r="AE154" s="38">
        <v>0</v>
      </c>
      <c r="AF154" s="38">
        <v>6</v>
      </c>
      <c r="AG154" s="38">
        <v>5</v>
      </c>
      <c r="AH154" s="38">
        <v>0</v>
      </c>
      <c r="AI154" s="36"/>
      <c r="AJ154" s="36"/>
      <c r="AK154" s="36"/>
      <c r="AL154" s="36"/>
      <c r="AM154" s="36"/>
      <c r="AN154" s="36"/>
      <c r="AO154" s="38">
        <v>1</v>
      </c>
      <c r="AP154" s="38">
        <v>2</v>
      </c>
      <c r="AQ154" s="36"/>
      <c r="AR154" s="36"/>
      <c r="AS154" s="36"/>
      <c r="AT154" s="36"/>
      <c r="AU154" s="36"/>
      <c r="AV154" s="36"/>
      <c r="AW154" s="38">
        <v>2.33</v>
      </c>
      <c r="AX154" s="38">
        <v>5.9</v>
      </c>
      <c r="AY154" s="36"/>
      <c r="AZ154" s="36"/>
      <c r="BA154" s="36"/>
      <c r="BB154" s="36"/>
      <c r="BC154" s="36"/>
      <c r="BD154" s="36"/>
      <c r="BE154" s="36"/>
      <c r="BF154" s="36"/>
      <c r="BG154" s="59">
        <v>3.75</v>
      </c>
      <c r="BH154" s="59"/>
      <c r="BI154" s="59">
        <v>8.0141838543948241E-2</v>
      </c>
      <c r="BJ154" s="59"/>
      <c r="BK154" s="36"/>
      <c r="BL154" s="36"/>
      <c r="BM154" s="36"/>
      <c r="BN154" s="38">
        <v>26.7</v>
      </c>
      <c r="BO154" s="36"/>
      <c r="BP154" s="39">
        <f t="shared" si="66"/>
        <v>1.077434456928839</v>
      </c>
      <c r="BQ154" s="37"/>
      <c r="BR154" s="39">
        <f t="shared" si="67"/>
        <v>0.30862574634273987</v>
      </c>
      <c r="BS154" s="37"/>
      <c r="BT154" s="37"/>
      <c r="BU154" s="37"/>
      <c r="BV154" s="39">
        <f t="shared" si="74"/>
        <v>0.17198958000524206</v>
      </c>
      <c r="BW154" s="37"/>
      <c r="BX154" s="39">
        <f t="shared" si="75"/>
        <v>0.12662791947335031</v>
      </c>
      <c r="BY154" s="39">
        <f t="shared" si="63"/>
        <v>3.7609523319135447</v>
      </c>
      <c r="BZ154" s="37"/>
      <c r="CA154" s="37"/>
      <c r="CB154" s="39">
        <f t="shared" si="64"/>
        <v>1.3997529355618079</v>
      </c>
      <c r="CC154" s="39">
        <f t="shared" si="84"/>
        <v>9.301850811485643E-2</v>
      </c>
      <c r="CD154" s="37"/>
      <c r="CE154" s="37"/>
      <c r="CF154" s="37"/>
      <c r="CG154" s="39">
        <f t="shared" si="85"/>
        <v>3.3151829443964278</v>
      </c>
      <c r="CH154" s="39">
        <f t="shared" si="87"/>
        <v>5.5345382737001421</v>
      </c>
      <c r="CI154" s="37"/>
      <c r="CJ154" s="37"/>
      <c r="CK154" s="37"/>
      <c r="CL154" s="39">
        <f>BP154*(12*AG154+AH154)/100</f>
        <v>0.64646067415730346</v>
      </c>
      <c r="CM154" s="37"/>
      <c r="CN154" s="37"/>
      <c r="CO154" s="39">
        <f>0.063495+(0.016949+0.014096)*Wages!P152+1.22592*BR154</f>
        <v>0.66483849305886367</v>
      </c>
      <c r="CP154" s="39"/>
      <c r="CQ154" s="39">
        <f t="shared" si="76"/>
        <v>0.66483849305886367</v>
      </c>
      <c r="CR154" s="39">
        <f t="shared" si="51"/>
        <v>0.17198958000524206</v>
      </c>
      <c r="CS154" s="39">
        <f t="shared" si="77"/>
        <v>1.0085176430134764</v>
      </c>
      <c r="CT154" s="39">
        <f t="shared" si="78"/>
        <v>2.902965870708619</v>
      </c>
      <c r="CU154" s="39">
        <f t="shared" si="65"/>
        <v>1.3997529355618079</v>
      </c>
      <c r="CV154" s="39">
        <f t="shared" si="65"/>
        <v>9.301850811485643E-2</v>
      </c>
      <c r="CW154" s="39">
        <v>0.18</v>
      </c>
      <c r="CX154" s="39"/>
      <c r="CY154" s="39"/>
      <c r="CZ154" s="39">
        <f t="shared" si="68"/>
        <v>0.12662791947335031</v>
      </c>
      <c r="DA154" s="39">
        <f t="shared" si="88"/>
        <v>5.5345382737001421</v>
      </c>
      <c r="DB154" s="39">
        <v>4.4000000000000004</v>
      </c>
      <c r="DC154" s="39">
        <f t="shared" si="69"/>
        <v>3.7609523319135447</v>
      </c>
      <c r="DD154" s="39">
        <f t="shared" si="86"/>
        <v>3.3151829443964278</v>
      </c>
      <c r="DE154" s="39">
        <v>0.03</v>
      </c>
      <c r="DF154" s="37"/>
      <c r="DG154" s="39">
        <f t="shared" si="70"/>
        <v>0.64646067415730346</v>
      </c>
      <c r="DH154" s="39">
        <f t="shared" si="71"/>
        <v>3.3959701154629842</v>
      </c>
      <c r="DI154" s="37"/>
      <c r="DJ154" s="37"/>
      <c r="DK154" s="37"/>
      <c r="DL154" s="37"/>
      <c r="DM154" s="39">
        <f t="shared" si="80"/>
        <v>0.67050223580215085</v>
      </c>
      <c r="DN154" s="39"/>
      <c r="DO154" s="39">
        <f t="shared" si="81"/>
        <v>0.67050223580215085</v>
      </c>
      <c r="DP154" s="37"/>
      <c r="DQ154" s="37">
        <f>DO154/'Conversions, Sources &amp; Comments'!E152</f>
        <v>0.62231371151185977</v>
      </c>
    </row>
    <row r="155" spans="1:121">
      <c r="A155" s="42">
        <f t="shared" si="72"/>
        <v>1403</v>
      </c>
      <c r="B155" s="36"/>
      <c r="C155" s="38">
        <v>4</v>
      </c>
      <c r="D155" s="38">
        <v>11.25</v>
      </c>
      <c r="E155" s="38">
        <v>4</v>
      </c>
      <c r="F155" s="38">
        <v>2.75</v>
      </c>
      <c r="G155" s="38">
        <v>2</v>
      </c>
      <c r="H155" s="38">
        <v>2.5</v>
      </c>
      <c r="I155" s="38">
        <v>3</v>
      </c>
      <c r="J155" s="38">
        <v>9.75</v>
      </c>
      <c r="K155" s="36"/>
      <c r="L155" s="36"/>
      <c r="M155" s="36"/>
      <c r="N155" s="36"/>
      <c r="O155" s="38">
        <v>9</v>
      </c>
      <c r="P155" s="38">
        <v>8</v>
      </c>
      <c r="Q155" s="36"/>
      <c r="R155" s="36"/>
      <c r="S155" s="36"/>
      <c r="T155" s="36"/>
      <c r="U155" s="38">
        <v>5.18</v>
      </c>
      <c r="V155" s="36"/>
      <c r="W155" s="36"/>
      <c r="X155" s="38">
        <v>6</v>
      </c>
      <c r="Y155" s="38">
        <v>0.25</v>
      </c>
      <c r="Z155" s="38">
        <v>1</v>
      </c>
      <c r="AA155" s="38">
        <v>8</v>
      </c>
      <c r="AB155" s="36"/>
      <c r="AC155" s="36"/>
      <c r="AD155" s="36"/>
      <c r="AE155" s="38">
        <v>0</v>
      </c>
      <c r="AF155" s="38">
        <v>6</v>
      </c>
      <c r="AG155" s="38">
        <v>4</v>
      </c>
      <c r="AH155" s="38">
        <v>0</v>
      </c>
      <c r="AI155" s="36"/>
      <c r="AJ155" s="36"/>
      <c r="AK155" s="36"/>
      <c r="AL155" s="36"/>
      <c r="AM155" s="38">
        <v>9</v>
      </c>
      <c r="AN155" s="38">
        <v>3</v>
      </c>
      <c r="AO155" s="38">
        <v>1</v>
      </c>
      <c r="AP155" s="38">
        <v>3</v>
      </c>
      <c r="AQ155" s="38">
        <v>1</v>
      </c>
      <c r="AR155" s="38">
        <v>2</v>
      </c>
      <c r="AS155" s="36"/>
      <c r="AT155" s="36"/>
      <c r="AU155" s="36"/>
      <c r="AV155" s="36"/>
      <c r="AW155" s="38">
        <v>2.33</v>
      </c>
      <c r="AX155" s="36"/>
      <c r="AY155" s="36"/>
      <c r="AZ155" s="38">
        <v>34.33</v>
      </c>
      <c r="BA155" s="38">
        <v>42</v>
      </c>
      <c r="BB155" s="36"/>
      <c r="BC155" s="36"/>
      <c r="BD155" s="36"/>
      <c r="BE155" s="36"/>
      <c r="BF155" s="36"/>
      <c r="BG155" s="59">
        <v>2</v>
      </c>
      <c r="BH155" s="59"/>
      <c r="BI155" s="59">
        <v>5.8033745152514013E-2</v>
      </c>
      <c r="BJ155" s="59"/>
      <c r="BK155" s="36"/>
      <c r="BL155" s="36"/>
      <c r="BM155" s="36"/>
      <c r="BN155" s="38">
        <v>26.7</v>
      </c>
      <c r="BO155" s="36"/>
      <c r="BP155" s="39">
        <f t="shared" si="66"/>
        <v>1.077434456928839</v>
      </c>
      <c r="BQ155" s="37"/>
      <c r="BR155" s="39">
        <f t="shared" si="67"/>
        <v>0.22645294700690205</v>
      </c>
      <c r="BS155" s="37"/>
      <c r="BT155" s="39">
        <f>BP155*12*AZ155/(24*0.9144)</f>
        <v>20.225462000419423</v>
      </c>
      <c r="BU155" s="37"/>
      <c r="BV155" s="39">
        <f t="shared" si="74"/>
        <v>9.1727776002795761E-2</v>
      </c>
      <c r="BW155" s="37"/>
      <c r="BX155" s="39">
        <f t="shared" si="75"/>
        <v>9.1696079618632617E-2</v>
      </c>
      <c r="BY155" s="39">
        <f t="shared" si="63"/>
        <v>3.9588971914879414</v>
      </c>
      <c r="BZ155" s="37"/>
      <c r="CA155" s="37"/>
      <c r="CB155" s="39">
        <f t="shared" si="64"/>
        <v>1.2300859130694675</v>
      </c>
      <c r="CC155" s="39">
        <f t="shared" si="84"/>
        <v>9.301850811485643E-2</v>
      </c>
      <c r="CD155" s="39">
        <f>BP155*(12*AM155+AN155)/1000</f>
        <v>0.11959522471910113</v>
      </c>
      <c r="CE155" s="37"/>
      <c r="CF155" s="37"/>
      <c r="CG155" s="39">
        <f t="shared" si="85"/>
        <v>3.5519817261390298</v>
      </c>
      <c r="CH155" s="39">
        <f t="shared" si="87"/>
        <v>5.5345382737001421</v>
      </c>
      <c r="CI155" s="37"/>
      <c r="CJ155" s="37"/>
      <c r="CK155" s="37"/>
      <c r="CL155" s="39">
        <f>BP155*(12*AG155+AH155)/100</f>
        <v>0.51716853932584272</v>
      </c>
      <c r="CM155" s="37"/>
      <c r="CN155" s="37"/>
      <c r="CO155" s="39">
        <f>0.063495+(0.016949+0.014096)*Wages!P153+1.22592*BR155</f>
        <v>0.58640051670731053</v>
      </c>
      <c r="CP155" s="39"/>
      <c r="CQ155" s="39">
        <f t="shared" si="76"/>
        <v>0.58640051670731053</v>
      </c>
      <c r="CR155" s="39">
        <f t="shared" ref="CR155:CS218" si="89">BV155</f>
        <v>9.1727776002795761E-2</v>
      </c>
      <c r="CS155" s="39">
        <f t="shared" si="77"/>
        <v>0.88627308022396412</v>
      </c>
      <c r="CT155" s="39">
        <f t="shared" si="78"/>
        <v>2.5510912197136348</v>
      </c>
      <c r="CU155" s="39">
        <f t="shared" si="65"/>
        <v>1.2300859130694675</v>
      </c>
      <c r="CV155" s="39">
        <f t="shared" si="65"/>
        <v>9.301850811485643E-2</v>
      </c>
      <c r="CW155" s="39">
        <f>CD155</f>
        <v>0.11959522471910113</v>
      </c>
      <c r="CX155" s="39"/>
      <c r="CY155" s="39"/>
      <c r="CZ155" s="39">
        <f t="shared" si="68"/>
        <v>9.1696079618632617E-2</v>
      </c>
      <c r="DA155" s="39">
        <f t="shared" si="88"/>
        <v>5.5345382737001421</v>
      </c>
      <c r="DB155" s="39">
        <f>DB$258*BT155/15.73026</f>
        <v>4.4496017192856714</v>
      </c>
      <c r="DC155" s="39">
        <f t="shared" si="69"/>
        <v>3.9588971914879414</v>
      </c>
      <c r="DD155" s="39">
        <f t="shared" si="86"/>
        <v>3.5519817261390298</v>
      </c>
      <c r="DE155" s="39">
        <v>0.03</v>
      </c>
      <c r="DF155" s="37"/>
      <c r="DG155" s="39">
        <f t="shared" si="70"/>
        <v>0.51716853932584272</v>
      </c>
      <c r="DH155" s="39">
        <f t="shared" si="71"/>
        <v>3.3959701154629842</v>
      </c>
      <c r="DI155" s="37"/>
      <c r="DJ155" s="37"/>
      <c r="DK155" s="37"/>
      <c r="DL155" s="37"/>
      <c r="DM155" s="39">
        <f t="shared" si="80"/>
        <v>0.59983690561799419</v>
      </c>
      <c r="DN155" s="39"/>
      <c r="DO155" s="39">
        <f t="shared" si="81"/>
        <v>0.59983690561799419</v>
      </c>
      <c r="DP155" s="37"/>
      <c r="DQ155" s="37">
        <f>DO155/'Conversions, Sources &amp; Comments'!E153</f>
        <v>0.55672704892675573</v>
      </c>
    </row>
    <row r="156" spans="1:121">
      <c r="A156" s="42">
        <f t="shared" si="72"/>
        <v>1404</v>
      </c>
      <c r="B156" s="36"/>
      <c r="C156" s="38">
        <v>4</v>
      </c>
      <c r="D156" s="38">
        <v>0</v>
      </c>
      <c r="E156" s="38">
        <v>3</v>
      </c>
      <c r="F156" s="38">
        <v>4.75</v>
      </c>
      <c r="G156" s="38">
        <v>2</v>
      </c>
      <c r="H156" s="38">
        <v>2</v>
      </c>
      <c r="I156" s="38">
        <v>2</v>
      </c>
      <c r="J156" s="38">
        <v>8.5</v>
      </c>
      <c r="K156" s="36"/>
      <c r="L156" s="36"/>
      <c r="M156" s="36"/>
      <c r="N156" s="36"/>
      <c r="O156" s="38">
        <v>11</v>
      </c>
      <c r="P156" s="38">
        <v>0</v>
      </c>
      <c r="Q156" s="36"/>
      <c r="R156" s="36"/>
      <c r="S156" s="36"/>
      <c r="T156" s="36"/>
      <c r="U156" s="38">
        <v>5.18</v>
      </c>
      <c r="V156" s="36"/>
      <c r="W156" s="36"/>
      <c r="X156" s="38">
        <v>6</v>
      </c>
      <c r="Y156" s="38">
        <v>2</v>
      </c>
      <c r="Z156" s="38">
        <v>1</v>
      </c>
      <c r="AA156" s="38">
        <v>7</v>
      </c>
      <c r="AB156" s="36"/>
      <c r="AC156" s="36"/>
      <c r="AD156" s="36"/>
      <c r="AE156" s="38">
        <v>0</v>
      </c>
      <c r="AF156" s="38">
        <v>6</v>
      </c>
      <c r="AG156" s="38">
        <v>4</v>
      </c>
      <c r="AH156" s="38">
        <v>0</v>
      </c>
      <c r="AI156" s="36"/>
      <c r="AJ156" s="36"/>
      <c r="AK156" s="36"/>
      <c r="AL156" s="36"/>
      <c r="AM156" s="38">
        <v>8</v>
      </c>
      <c r="AN156" s="38">
        <v>0</v>
      </c>
      <c r="AO156" s="38">
        <v>1</v>
      </c>
      <c r="AP156" s="38">
        <v>3.25</v>
      </c>
      <c r="AQ156" s="36"/>
      <c r="AR156" s="36"/>
      <c r="AS156" s="36"/>
      <c r="AT156" s="36"/>
      <c r="AU156" s="36"/>
      <c r="AV156" s="36"/>
      <c r="AW156" s="38">
        <v>2.33</v>
      </c>
      <c r="AX156" s="36"/>
      <c r="AY156" s="36"/>
      <c r="AZ156" s="36"/>
      <c r="BA156" s="36"/>
      <c r="BB156" s="36"/>
      <c r="BC156" s="36"/>
      <c r="BD156" s="36"/>
      <c r="BE156" s="36"/>
      <c r="BF156" s="36"/>
      <c r="BG156" s="59">
        <v>3.3333333333333335</v>
      </c>
      <c r="BH156" s="59"/>
      <c r="BI156" s="59">
        <v>6.3560768500372566E-2</v>
      </c>
      <c r="BJ156" s="59"/>
      <c r="BK156" s="36"/>
      <c r="BL156" s="36"/>
      <c r="BM156" s="36"/>
      <c r="BN156" s="38">
        <v>26.7</v>
      </c>
      <c r="BO156" s="36"/>
      <c r="BP156" s="39">
        <f t="shared" si="66"/>
        <v>1.077434456928839</v>
      </c>
      <c r="BQ156" s="37"/>
      <c r="BR156" s="39">
        <f t="shared" si="67"/>
        <v>0.18345555200559152</v>
      </c>
      <c r="BS156" s="37"/>
      <c r="BT156" s="37"/>
      <c r="BU156" s="37"/>
      <c r="BV156" s="39">
        <f t="shared" si="74"/>
        <v>0.15287962667132626</v>
      </c>
      <c r="BW156" s="37"/>
      <c r="BX156" s="39">
        <f t="shared" si="75"/>
        <v>0.10042903958231203</v>
      </c>
      <c r="BY156" s="39">
        <f t="shared" si="63"/>
        <v>3.7609523319135447</v>
      </c>
      <c r="BZ156" s="37"/>
      <c r="CA156" s="37"/>
      <c r="CB156" s="39">
        <f t="shared" si="64"/>
        <v>1.3997529355618079</v>
      </c>
      <c r="CC156" s="39">
        <f t="shared" si="84"/>
        <v>9.301850811485643E-2</v>
      </c>
      <c r="CD156" s="39">
        <f>BP156*(12*AM156+AN156)/1000</f>
        <v>0.10343370786516855</v>
      </c>
      <c r="CE156" s="37"/>
      <c r="CF156" s="37"/>
      <c r="CG156" s="39">
        <f t="shared" si="85"/>
        <v>3.6111814215746807</v>
      </c>
      <c r="CH156" s="39">
        <f t="shared" si="87"/>
        <v>5.5345382737001421</v>
      </c>
      <c r="CI156" s="37"/>
      <c r="CJ156" s="37"/>
      <c r="CK156" s="37"/>
      <c r="CL156" s="39">
        <f>BP156*(12*AG156+AH156)/100</f>
        <v>0.51716853932584272</v>
      </c>
      <c r="CM156" s="37"/>
      <c r="CN156" s="37"/>
      <c r="CO156" s="39">
        <f>0.063495+(0.016949+0.014096)*Wages!P154+1.22592*BR156</f>
        <v>0.53368915022730401</v>
      </c>
      <c r="CP156" s="39"/>
      <c r="CQ156" s="39">
        <f t="shared" si="76"/>
        <v>0.53368915022730401</v>
      </c>
      <c r="CR156" s="39">
        <f t="shared" si="89"/>
        <v>0.15287962667132626</v>
      </c>
      <c r="CS156" s="39">
        <f t="shared" si="77"/>
        <v>1.0085176430134764</v>
      </c>
      <c r="CT156" s="39">
        <f t="shared" si="78"/>
        <v>2.902965870708619</v>
      </c>
      <c r="CU156" s="39">
        <f t="shared" si="65"/>
        <v>1.3997529355618079</v>
      </c>
      <c r="CV156" s="39">
        <f t="shared" si="65"/>
        <v>9.301850811485643E-2</v>
      </c>
      <c r="CW156" s="39">
        <f>CD156</f>
        <v>0.10343370786516855</v>
      </c>
      <c r="CX156" s="39"/>
      <c r="CY156" s="39"/>
      <c r="CZ156" s="39">
        <f t="shared" si="68"/>
        <v>0.10042903958231203</v>
      </c>
      <c r="DA156" s="39">
        <f t="shared" si="88"/>
        <v>5.5345382737001421</v>
      </c>
      <c r="DB156" s="39">
        <v>4.7</v>
      </c>
      <c r="DC156" s="39">
        <f t="shared" si="69"/>
        <v>3.7609523319135447</v>
      </c>
      <c r="DD156" s="39">
        <f t="shared" si="86"/>
        <v>3.6111814215746807</v>
      </c>
      <c r="DE156" s="39">
        <v>0.03</v>
      </c>
      <c r="DF156" s="37"/>
      <c r="DG156" s="39">
        <f t="shared" si="70"/>
        <v>0.51716853932584272</v>
      </c>
      <c r="DH156" s="39">
        <f t="shared" si="71"/>
        <v>3.3959701154629842</v>
      </c>
      <c r="DI156" s="37"/>
      <c r="DJ156" s="37"/>
      <c r="DK156" s="37"/>
      <c r="DL156" s="37"/>
      <c r="DM156" s="39">
        <f t="shared" si="80"/>
        <v>0.60455481762944285</v>
      </c>
      <c r="DN156" s="39"/>
      <c r="DO156" s="39">
        <f t="shared" si="81"/>
        <v>0.60455481762944285</v>
      </c>
      <c r="DP156" s="37"/>
      <c r="DQ156" s="37">
        <f>DO156/'Conversions, Sources &amp; Comments'!E154</f>
        <v>0.56110588791887106</v>
      </c>
    </row>
    <row r="157" spans="1:121">
      <c r="A157" s="42">
        <f t="shared" si="72"/>
        <v>1405</v>
      </c>
      <c r="B157" s="36"/>
      <c r="C157" s="38">
        <v>3</v>
      </c>
      <c r="D157" s="38">
        <v>9.75</v>
      </c>
      <c r="E157" s="38">
        <v>2</v>
      </c>
      <c r="F157" s="38">
        <v>8.5</v>
      </c>
      <c r="G157" s="38">
        <v>1</v>
      </c>
      <c r="H157" s="38">
        <v>11.5</v>
      </c>
      <c r="I157" s="38">
        <v>2</v>
      </c>
      <c r="J157" s="38">
        <v>5</v>
      </c>
      <c r="K157" s="36"/>
      <c r="L157" s="36"/>
      <c r="M157" s="36"/>
      <c r="N157" s="36"/>
      <c r="O157" s="38">
        <v>10</v>
      </c>
      <c r="P157" s="38">
        <v>0</v>
      </c>
      <c r="Q157" s="36"/>
      <c r="R157" s="36"/>
      <c r="S157" s="36"/>
      <c r="T157" s="36"/>
      <c r="U157" s="38">
        <v>5.18</v>
      </c>
      <c r="V157" s="36"/>
      <c r="W157" s="36"/>
      <c r="X157" s="38">
        <v>6</v>
      </c>
      <c r="Y157" s="38">
        <v>3</v>
      </c>
      <c r="Z157" s="38">
        <v>1</v>
      </c>
      <c r="AA157" s="38">
        <v>6.5</v>
      </c>
      <c r="AB157" s="36"/>
      <c r="AC157" s="38">
        <v>0</v>
      </c>
      <c r="AD157" s="38">
        <v>6</v>
      </c>
      <c r="AE157" s="38">
        <v>0</v>
      </c>
      <c r="AF157" s="38">
        <v>6</v>
      </c>
      <c r="AG157" s="38">
        <v>4</v>
      </c>
      <c r="AH157" s="38">
        <v>6</v>
      </c>
      <c r="AI157" s="36"/>
      <c r="AJ157" s="36"/>
      <c r="AK157" s="36"/>
      <c r="AL157" s="36"/>
      <c r="AM157" s="38">
        <v>14</v>
      </c>
      <c r="AN157" s="38">
        <v>1.5</v>
      </c>
      <c r="AO157" s="38">
        <v>1</v>
      </c>
      <c r="AP157" s="38">
        <v>3.5</v>
      </c>
      <c r="AQ157" s="38">
        <v>1</v>
      </c>
      <c r="AR157" s="38">
        <v>3.5</v>
      </c>
      <c r="AS157" s="36"/>
      <c r="AT157" s="36"/>
      <c r="AU157" s="36"/>
      <c r="AV157" s="38">
        <v>28.33</v>
      </c>
      <c r="AW157" s="38">
        <v>2.33</v>
      </c>
      <c r="AX157" s="38">
        <v>7.3</v>
      </c>
      <c r="AY157" s="36"/>
      <c r="AZ157" s="38">
        <v>38</v>
      </c>
      <c r="BA157" s="38">
        <v>42</v>
      </c>
      <c r="BB157" s="36"/>
      <c r="BC157" s="36"/>
      <c r="BD157" s="36"/>
      <c r="BE157" s="36"/>
      <c r="BF157" s="36"/>
      <c r="BG157" s="59">
        <v>2.4166666666666665</v>
      </c>
      <c r="BH157" s="59"/>
      <c r="BI157" s="59">
        <v>5.3888477641621364E-2</v>
      </c>
      <c r="BJ157" s="59"/>
      <c r="BK157" s="36"/>
      <c r="BL157" s="36"/>
      <c r="BM157" s="36"/>
      <c r="BN157" s="38">
        <v>26.7</v>
      </c>
      <c r="BO157" s="36"/>
      <c r="BP157" s="39">
        <f t="shared" si="66"/>
        <v>1.077434456928839</v>
      </c>
      <c r="BQ157" s="37"/>
      <c r="BR157" s="39">
        <f t="shared" si="67"/>
        <v>0.17485607300532943</v>
      </c>
      <c r="BS157" s="37"/>
      <c r="BT157" s="39">
        <f>BP157*12*AZ157/(24*0.9144)</f>
        <v>22.387636353508249</v>
      </c>
      <c r="BU157" s="37"/>
      <c r="BV157" s="39">
        <f t="shared" si="74"/>
        <v>0.11083772933671154</v>
      </c>
      <c r="BW157" s="37"/>
      <c r="BX157" s="39">
        <f t="shared" si="75"/>
        <v>8.5146359645875053E-2</v>
      </c>
      <c r="BY157" s="39">
        <f t="shared" si="63"/>
        <v>3.6619799021263457</v>
      </c>
      <c r="BZ157" s="37"/>
      <c r="CA157" s="37"/>
      <c r="CB157" s="39">
        <f t="shared" si="64"/>
        <v>1.2725026686925527</v>
      </c>
      <c r="CC157" s="39">
        <f t="shared" si="84"/>
        <v>9.301850811485643E-2</v>
      </c>
      <c r="CD157" s="39">
        <f>BP157*(12*AM157+AN157)/1000</f>
        <v>0.18262514044943823</v>
      </c>
      <c r="CE157" s="39">
        <f>$BP157*12*AV157/120</f>
        <v>3.0523718164794005</v>
      </c>
      <c r="CF157" s="37"/>
      <c r="CG157" s="39">
        <f t="shared" si="85"/>
        <v>3.6703811170103307</v>
      </c>
      <c r="CH157" s="39">
        <f t="shared" si="87"/>
        <v>5.5345382737001421</v>
      </c>
      <c r="CI157" s="37"/>
      <c r="CJ157" s="37"/>
      <c r="CK157" s="39">
        <f>BP157*(12*AC157+AD157)/(35.238*8)</f>
        <v>2.293194400069894E-2</v>
      </c>
      <c r="CL157" s="39">
        <f>BP157*(12*AG157+AH157)/100</f>
        <v>0.58181460674157304</v>
      </c>
      <c r="CM157" s="39">
        <f>BP157*(12*$AC157+$AD157)/(35.238*8)/0.283</f>
        <v>8.103160424275245E-2</v>
      </c>
      <c r="CN157" s="37"/>
      <c r="CO157" s="39">
        <f>0.063495+(0.016949+0.014096)*Wages!P155+1.22592*BR157</f>
        <v>0.52314687693130268</v>
      </c>
      <c r="CP157" s="39"/>
      <c r="CQ157" s="39">
        <f t="shared" si="76"/>
        <v>0.52314687693130268</v>
      </c>
      <c r="CR157" s="39">
        <f t="shared" si="89"/>
        <v>0.11083772933671154</v>
      </c>
      <c r="CS157" s="39">
        <f t="shared" si="77"/>
        <v>0.91683422092134237</v>
      </c>
      <c r="CT157" s="39">
        <f t="shared" si="78"/>
        <v>2.6390598824623814</v>
      </c>
      <c r="CU157" s="39">
        <f t="shared" si="65"/>
        <v>1.2725026686925527</v>
      </c>
      <c r="CV157" s="39">
        <f t="shared" si="65"/>
        <v>9.301850811485643E-2</v>
      </c>
      <c r="CW157" s="39">
        <f>CD157</f>
        <v>0.18262514044943823</v>
      </c>
      <c r="CX157" s="39"/>
      <c r="CY157" s="39"/>
      <c r="CZ157" s="39">
        <f t="shared" si="68"/>
        <v>8.5146359645875053E-2</v>
      </c>
      <c r="DA157" s="39">
        <f t="shared" si="88"/>
        <v>5.5345382737001421</v>
      </c>
      <c r="DB157" s="39">
        <f>DB$258*BT157/15.73026</f>
        <v>4.9252800854312708</v>
      </c>
      <c r="DC157" s="39">
        <f t="shared" si="69"/>
        <v>3.6619799021263457</v>
      </c>
      <c r="DD157" s="39">
        <f t="shared" si="86"/>
        <v>3.6703811170103307</v>
      </c>
      <c r="DE157" s="39">
        <f>CK157</f>
        <v>2.293194400069894E-2</v>
      </c>
      <c r="DF157" s="37"/>
      <c r="DG157" s="39">
        <f t="shared" si="70"/>
        <v>0.58181460674157304</v>
      </c>
      <c r="DH157" s="39">
        <f t="shared" si="71"/>
        <v>2.5958732171948089</v>
      </c>
      <c r="DI157" s="37"/>
      <c r="DJ157" s="37"/>
      <c r="DK157" s="37"/>
      <c r="DL157" s="37"/>
      <c r="DM157" s="39">
        <f t="shared" si="80"/>
        <v>0.57013293386794073</v>
      </c>
      <c r="DN157" s="39"/>
      <c r="DO157" s="39">
        <f t="shared" si="81"/>
        <v>0.57013293386794073</v>
      </c>
      <c r="DP157" s="37"/>
      <c r="DQ157" s="37">
        <f>DO157/'Conversions, Sources &amp; Comments'!E155</f>
        <v>0.52915788074299186</v>
      </c>
    </row>
    <row r="158" spans="1:121">
      <c r="A158" s="42">
        <f t="shared" si="72"/>
        <v>1406</v>
      </c>
      <c r="B158" s="36"/>
      <c r="C158" s="38">
        <v>4</v>
      </c>
      <c r="D158" s="38">
        <v>4</v>
      </c>
      <c r="E158" s="38">
        <v>2</v>
      </c>
      <c r="F158" s="38">
        <v>11</v>
      </c>
      <c r="G158" s="38">
        <v>1</v>
      </c>
      <c r="H158" s="38">
        <v>10.25</v>
      </c>
      <c r="I158" s="38">
        <v>3</v>
      </c>
      <c r="J158" s="38">
        <v>2</v>
      </c>
      <c r="K158" s="36"/>
      <c r="L158" s="36"/>
      <c r="M158" s="36"/>
      <c r="N158" s="36"/>
      <c r="O158" s="38">
        <v>10</v>
      </c>
      <c r="P158" s="38">
        <v>2</v>
      </c>
      <c r="Q158" s="36"/>
      <c r="R158" s="36"/>
      <c r="S158" s="36"/>
      <c r="T158" s="36"/>
      <c r="U158" s="38">
        <v>5.18</v>
      </c>
      <c r="V158" s="36"/>
      <c r="W158" s="36"/>
      <c r="X158" s="38">
        <v>6</v>
      </c>
      <c r="Y158" s="38">
        <v>2</v>
      </c>
      <c r="Z158" s="38">
        <v>1</v>
      </c>
      <c r="AA158" s="38">
        <v>6.5</v>
      </c>
      <c r="AB158" s="36"/>
      <c r="AC158" s="36"/>
      <c r="AD158" s="36"/>
      <c r="AE158" s="38">
        <v>0</v>
      </c>
      <c r="AF158" s="38">
        <v>6</v>
      </c>
      <c r="AG158" s="38">
        <v>4</v>
      </c>
      <c r="AH158" s="38">
        <v>8</v>
      </c>
      <c r="AI158" s="36"/>
      <c r="AJ158" s="36"/>
      <c r="AK158" s="36"/>
      <c r="AL158" s="36"/>
      <c r="AM158" s="38">
        <v>13</v>
      </c>
      <c r="AN158" s="38">
        <v>4</v>
      </c>
      <c r="AO158" s="38">
        <v>1</v>
      </c>
      <c r="AP158" s="38">
        <v>3.25</v>
      </c>
      <c r="AQ158" s="36"/>
      <c r="AR158" s="36"/>
      <c r="AS158" s="36"/>
      <c r="AT158" s="36"/>
      <c r="AU158" s="36"/>
      <c r="AV158" s="36"/>
      <c r="AW158" s="38">
        <v>2.33</v>
      </c>
      <c r="AX158" s="38">
        <v>6.2</v>
      </c>
      <c r="AY158" s="36"/>
      <c r="AZ158" s="38">
        <v>40</v>
      </c>
      <c r="BA158" s="38">
        <v>44</v>
      </c>
      <c r="BB158" s="38">
        <v>43.6</v>
      </c>
      <c r="BC158" s="36"/>
      <c r="BD158" s="36"/>
      <c r="BE158" s="36"/>
      <c r="BF158" s="36"/>
      <c r="BG158" s="59">
        <v>3</v>
      </c>
      <c r="BH158" s="59"/>
      <c r="BI158" s="59">
        <v>5.9415500989479925E-2</v>
      </c>
      <c r="BJ158" s="59"/>
      <c r="BK158" s="36"/>
      <c r="BL158" s="36"/>
      <c r="BM158" s="36"/>
      <c r="BN158" s="38">
        <v>26.7</v>
      </c>
      <c r="BO158" s="36"/>
      <c r="BP158" s="39">
        <f t="shared" si="66"/>
        <v>1.077434456928839</v>
      </c>
      <c r="BQ158" s="37"/>
      <c r="BR158" s="39">
        <f t="shared" si="67"/>
        <v>0.19874351467272414</v>
      </c>
      <c r="BS158" s="37"/>
      <c r="BT158" s="39">
        <f>BP158*12*AZ158/(24*0.9144)</f>
        <v>23.565933003692894</v>
      </c>
      <c r="BU158" s="37"/>
      <c r="BV158" s="39">
        <f t="shared" si="74"/>
        <v>0.13759166400419362</v>
      </c>
      <c r="BW158" s="37"/>
      <c r="BX158" s="39">
        <f t="shared" si="75"/>
        <v>9.3879319609554479E-2</v>
      </c>
      <c r="BY158" s="39">
        <f t="shared" si="63"/>
        <v>3.6619799021263457</v>
      </c>
      <c r="BZ158" s="37"/>
      <c r="CA158" s="37"/>
      <c r="CB158" s="39">
        <f t="shared" si="64"/>
        <v>1.2937110465040953</v>
      </c>
      <c r="CC158" s="39">
        <f t="shared" si="84"/>
        <v>9.301850811485643E-2</v>
      </c>
      <c r="CD158" s="39">
        <f>BP158*(12*AM158+AN158)/1000</f>
        <v>0.17238951310861425</v>
      </c>
      <c r="CE158" s="37"/>
      <c r="CF158" s="37"/>
      <c r="CG158" s="39">
        <f t="shared" si="85"/>
        <v>3.6111814215746807</v>
      </c>
      <c r="CH158" s="39">
        <f t="shared" si="87"/>
        <v>5.5345382737001421</v>
      </c>
      <c r="CI158" s="37"/>
      <c r="CJ158" s="37"/>
      <c r="CK158" s="37"/>
      <c r="CL158" s="39">
        <f>BP158*(12*AG158+AH158)/100</f>
        <v>0.60336329588014981</v>
      </c>
      <c r="CM158" s="37"/>
      <c r="CN158" s="37"/>
      <c r="CO158" s="39">
        <f>0.063495+(0.016949+0.014096)*Wages!P156+1.22592*BR158</f>
        <v>0.55243096942019521</v>
      </c>
      <c r="CP158" s="39"/>
      <c r="CQ158" s="39">
        <f t="shared" si="76"/>
        <v>0.55243096942019521</v>
      </c>
      <c r="CR158" s="39">
        <f t="shared" si="89"/>
        <v>0.13759166400419362</v>
      </c>
      <c r="CS158" s="39">
        <f t="shared" si="77"/>
        <v>0.93211479127003138</v>
      </c>
      <c r="CT158" s="39">
        <f t="shared" si="78"/>
        <v>2.6830442138367547</v>
      </c>
      <c r="CU158" s="39">
        <f t="shared" si="65"/>
        <v>1.2937110465040953</v>
      </c>
      <c r="CV158" s="39">
        <f t="shared" si="65"/>
        <v>9.301850811485643E-2</v>
      </c>
      <c r="CW158" s="39">
        <f>CD158</f>
        <v>0.17238951310861425</v>
      </c>
      <c r="CX158" s="39"/>
      <c r="CY158" s="39"/>
      <c r="CZ158" s="39">
        <f t="shared" si="68"/>
        <v>9.3879319609554479E-2</v>
      </c>
      <c r="DA158" s="39">
        <f t="shared" si="88"/>
        <v>5.5345382737001421</v>
      </c>
      <c r="DB158" s="39">
        <f>DB$258*BT158/15.73026</f>
        <v>5.1845053530855481</v>
      </c>
      <c r="DC158" s="39">
        <f t="shared" si="69"/>
        <v>3.6619799021263457</v>
      </c>
      <c r="DD158" s="39">
        <f t="shared" si="86"/>
        <v>3.6111814215746807</v>
      </c>
      <c r="DE158" s="39">
        <v>3.5999999999999997E-2</v>
      </c>
      <c r="DF158" s="37"/>
      <c r="DG158" s="39">
        <f t="shared" si="70"/>
        <v>0.60336329588014981</v>
      </c>
      <c r="DH158" s="39">
        <f t="shared" si="71"/>
        <v>4.0751641385555812</v>
      </c>
      <c r="DI158" s="37"/>
      <c r="DJ158" s="37"/>
      <c r="DK158" s="37"/>
      <c r="DL158" s="37"/>
      <c r="DM158" s="39">
        <f t="shared" si="80"/>
        <v>0.61251741664133186</v>
      </c>
      <c r="DN158" s="39"/>
      <c r="DO158" s="39">
        <f t="shared" si="81"/>
        <v>0.61251741664133186</v>
      </c>
      <c r="DP158" s="37"/>
      <c r="DQ158" s="37">
        <f>DO158/'Conversions, Sources &amp; Comments'!E156</f>
        <v>0.5684962205378834</v>
      </c>
    </row>
    <row r="159" spans="1:121">
      <c r="A159" s="42">
        <f t="shared" si="72"/>
        <v>1407</v>
      </c>
      <c r="B159" s="36"/>
      <c r="C159" s="38">
        <v>4</v>
      </c>
      <c r="D159" s="38">
        <v>6.75</v>
      </c>
      <c r="E159" s="38">
        <v>3</v>
      </c>
      <c r="F159" s="38">
        <v>7</v>
      </c>
      <c r="G159" s="38">
        <v>2</v>
      </c>
      <c r="H159" s="38">
        <v>1.5</v>
      </c>
      <c r="I159" s="38">
        <v>3</v>
      </c>
      <c r="J159" s="38">
        <v>7</v>
      </c>
      <c r="K159" s="36"/>
      <c r="L159" s="36"/>
      <c r="M159" s="36"/>
      <c r="N159" s="36"/>
      <c r="O159" s="38">
        <v>10</v>
      </c>
      <c r="P159" s="38">
        <v>4</v>
      </c>
      <c r="Q159" s="36"/>
      <c r="R159" s="36"/>
      <c r="S159" s="36"/>
      <c r="T159" s="36"/>
      <c r="U159" s="38">
        <v>5.18</v>
      </c>
      <c r="V159" s="36"/>
      <c r="W159" s="36"/>
      <c r="X159" s="38">
        <v>5</v>
      </c>
      <c r="Y159" s="38">
        <v>8</v>
      </c>
      <c r="Z159" s="38">
        <v>1</v>
      </c>
      <c r="AA159" s="38">
        <v>7</v>
      </c>
      <c r="AB159" s="36"/>
      <c r="AC159" s="36"/>
      <c r="AD159" s="36"/>
      <c r="AE159" s="38">
        <v>0</v>
      </c>
      <c r="AF159" s="38">
        <v>6</v>
      </c>
      <c r="AG159" s="36"/>
      <c r="AH159" s="36"/>
      <c r="AI159" s="36"/>
      <c r="AJ159" s="36"/>
      <c r="AK159" s="36"/>
      <c r="AL159" s="36"/>
      <c r="AM159" s="36"/>
      <c r="AN159" s="36"/>
      <c r="AO159" s="38">
        <v>1</v>
      </c>
      <c r="AP159" s="38">
        <v>4</v>
      </c>
      <c r="AQ159" s="36"/>
      <c r="AR159" s="36"/>
      <c r="AS159" s="36"/>
      <c r="AT159" s="36"/>
      <c r="AU159" s="36"/>
      <c r="AV159" s="36"/>
      <c r="AW159" s="38">
        <v>2.33</v>
      </c>
      <c r="AX159" s="36"/>
      <c r="AY159" s="36"/>
      <c r="AZ159" s="38">
        <v>38.83</v>
      </c>
      <c r="BA159" s="38">
        <v>47.67</v>
      </c>
      <c r="BB159" s="36"/>
      <c r="BC159" s="36"/>
      <c r="BD159" s="36"/>
      <c r="BE159" s="36"/>
      <c r="BF159" s="36"/>
      <c r="BG159" s="59">
        <v>2.5</v>
      </c>
      <c r="BH159" s="59"/>
      <c r="BI159" s="59">
        <v>8.0141838543948241E-2</v>
      </c>
      <c r="BJ159" s="59"/>
      <c r="BK159" s="36"/>
      <c r="BL159" s="36"/>
      <c r="BM159" s="36"/>
      <c r="BN159" s="38">
        <v>26.7</v>
      </c>
      <c r="BO159" s="36"/>
      <c r="BP159" s="39">
        <f t="shared" si="66"/>
        <v>1.077434456928839</v>
      </c>
      <c r="BQ159" s="37"/>
      <c r="BR159" s="39">
        <f t="shared" si="67"/>
        <v>0.20925398900637782</v>
      </c>
      <c r="BS159" s="37"/>
      <c r="BT159" s="39">
        <f>BP159*12*AZ159/(24*0.9144)</f>
        <v>22.876629463334876</v>
      </c>
      <c r="BU159" s="37"/>
      <c r="BV159" s="39">
        <f t="shared" si="74"/>
        <v>0.11465972000349471</v>
      </c>
      <c r="BW159" s="37"/>
      <c r="BX159" s="39">
        <f t="shared" si="75"/>
        <v>0.12662791947335031</v>
      </c>
      <c r="BY159" s="39">
        <f t="shared" si="63"/>
        <v>3.7609523319135447</v>
      </c>
      <c r="BZ159" s="37"/>
      <c r="CA159" s="37"/>
      <c r="CB159" s="39">
        <f t="shared" si="64"/>
        <v>1.3149194243156377</v>
      </c>
      <c r="CC159" s="39">
        <f t="shared" si="84"/>
        <v>9.301850811485643E-2</v>
      </c>
      <c r="CD159" s="37"/>
      <c r="CE159" s="37"/>
      <c r="CF159" s="37"/>
      <c r="CG159" s="39">
        <f t="shared" si="85"/>
        <v>3.7887805078816319</v>
      </c>
      <c r="CH159" s="39">
        <f t="shared" si="87"/>
        <v>5.5345382737001421</v>
      </c>
      <c r="CI159" s="37"/>
      <c r="CJ159" s="37"/>
      <c r="CK159" s="37"/>
      <c r="CL159" s="37"/>
      <c r="CM159" s="37"/>
      <c r="CN159" s="37"/>
      <c r="CO159" s="39">
        <f>0.063495+(0.016949+0.014096)*Wages!P157+1.22592*BR159</f>
        <v>0.56531597011530788</v>
      </c>
      <c r="CP159" s="39"/>
      <c r="CQ159" s="39">
        <f t="shared" si="76"/>
        <v>0.56531597011530788</v>
      </c>
      <c r="CR159" s="39">
        <f t="shared" si="89"/>
        <v>0.11465972000349471</v>
      </c>
      <c r="CS159" s="39">
        <f t="shared" si="77"/>
        <v>0.94739536161872029</v>
      </c>
      <c r="CT159" s="39">
        <f t="shared" si="78"/>
        <v>2.7270285452111271</v>
      </c>
      <c r="CU159" s="39">
        <f t="shared" si="65"/>
        <v>1.3149194243156377</v>
      </c>
      <c r="CV159" s="39">
        <f t="shared" si="65"/>
        <v>9.301850811485643E-2</v>
      </c>
      <c r="CW159" s="39">
        <v>0.17238951310861425</v>
      </c>
      <c r="CX159" s="39"/>
      <c r="CY159" s="39"/>
      <c r="CZ159" s="39">
        <f t="shared" si="68"/>
        <v>0.12662791947335031</v>
      </c>
      <c r="DA159" s="39">
        <f t="shared" si="88"/>
        <v>5.5345382737001421</v>
      </c>
      <c r="DB159" s="39">
        <f>DB$258*BT159/15.73026</f>
        <v>5.0328585715077967</v>
      </c>
      <c r="DC159" s="39">
        <f t="shared" si="69"/>
        <v>3.7609523319135447</v>
      </c>
      <c r="DD159" s="39">
        <f t="shared" si="86"/>
        <v>3.7887805078816319</v>
      </c>
      <c r="DE159" s="39">
        <v>3.5999999999999997E-2</v>
      </c>
      <c r="DF159" s="37"/>
      <c r="DG159" s="39">
        <f t="shared" si="70"/>
        <v>0</v>
      </c>
      <c r="DH159" s="39">
        <f t="shared" si="71"/>
        <v>4.0751641385555812</v>
      </c>
      <c r="DI159" s="37"/>
      <c r="DJ159" s="37"/>
      <c r="DK159" s="37"/>
      <c r="DL159" s="37"/>
      <c r="DM159" s="39">
        <f t="shared" si="80"/>
        <v>0.63134129621596946</v>
      </c>
      <c r="DN159" s="39"/>
      <c r="DO159" s="39">
        <f t="shared" si="81"/>
        <v>0.63134129621596946</v>
      </c>
      <c r="DP159" s="37"/>
      <c r="DQ159" s="37">
        <f>DO159/'Conversions, Sources &amp; Comments'!E157</f>
        <v>0.58596724112162624</v>
      </c>
    </row>
    <row r="160" spans="1:121">
      <c r="A160" s="42">
        <f t="shared" si="72"/>
        <v>1408</v>
      </c>
      <c r="B160" s="36"/>
      <c r="C160" s="38">
        <v>7</v>
      </c>
      <c r="D160" s="38">
        <v>3.25</v>
      </c>
      <c r="E160" s="38">
        <v>4</v>
      </c>
      <c r="F160" s="38">
        <v>4.75</v>
      </c>
      <c r="G160" s="38">
        <v>2</v>
      </c>
      <c r="H160" s="38">
        <v>10</v>
      </c>
      <c r="I160" s="38">
        <v>4</v>
      </c>
      <c r="J160" s="38">
        <v>1.25</v>
      </c>
      <c r="K160" s="36"/>
      <c r="L160" s="36"/>
      <c r="M160" s="36"/>
      <c r="N160" s="36"/>
      <c r="O160" s="38">
        <v>12</v>
      </c>
      <c r="P160" s="38">
        <v>0</v>
      </c>
      <c r="Q160" s="36"/>
      <c r="R160" s="36"/>
      <c r="S160" s="36"/>
      <c r="T160" s="36"/>
      <c r="U160" s="38">
        <v>5.18</v>
      </c>
      <c r="V160" s="36"/>
      <c r="W160" s="36"/>
      <c r="X160" s="38">
        <v>5</v>
      </c>
      <c r="Y160" s="38">
        <v>3.75</v>
      </c>
      <c r="Z160" s="38">
        <v>1</v>
      </c>
      <c r="AA160" s="38">
        <v>6</v>
      </c>
      <c r="AB160" s="36"/>
      <c r="AC160" s="36"/>
      <c r="AD160" s="36"/>
      <c r="AE160" s="38">
        <v>0</v>
      </c>
      <c r="AF160" s="38">
        <v>6</v>
      </c>
      <c r="AG160" s="38">
        <v>4</v>
      </c>
      <c r="AH160" s="38">
        <v>0</v>
      </c>
      <c r="AI160" s="38">
        <v>1</v>
      </c>
      <c r="AJ160" s="38">
        <v>9.75</v>
      </c>
      <c r="AK160" s="36"/>
      <c r="AL160" s="36"/>
      <c r="AM160" s="36"/>
      <c r="AN160" s="36"/>
      <c r="AO160" s="38">
        <v>1</v>
      </c>
      <c r="AP160" s="38">
        <v>3.5</v>
      </c>
      <c r="AQ160" s="36"/>
      <c r="AR160" s="36"/>
      <c r="AS160" s="36"/>
      <c r="AT160" s="36"/>
      <c r="AU160" s="36"/>
      <c r="AV160" s="36"/>
      <c r="AW160" s="38">
        <v>2.33</v>
      </c>
      <c r="AX160" s="38">
        <v>5.3</v>
      </c>
      <c r="AY160" s="36"/>
      <c r="AZ160" s="36"/>
      <c r="BA160" s="36"/>
      <c r="BB160" s="38">
        <v>40</v>
      </c>
      <c r="BC160" s="36"/>
      <c r="BD160" s="36"/>
      <c r="BE160" s="36"/>
      <c r="BF160" s="36"/>
      <c r="BG160" s="59">
        <v>4.25</v>
      </c>
      <c r="BH160" s="59"/>
      <c r="BI160" s="59">
        <v>8.5668861891806808E-2</v>
      </c>
      <c r="BJ160" s="59"/>
      <c r="BK160" s="36"/>
      <c r="BL160" s="36"/>
      <c r="BM160" s="36"/>
      <c r="BN160" s="38">
        <v>26.7</v>
      </c>
      <c r="BO160" s="36"/>
      <c r="BP160" s="39">
        <f t="shared" si="66"/>
        <v>1.077434456928839</v>
      </c>
      <c r="BQ160" s="37"/>
      <c r="BR160" s="39">
        <f t="shared" si="67"/>
        <v>0.33346868567683041</v>
      </c>
      <c r="BS160" s="37"/>
      <c r="BT160" s="37"/>
      <c r="BU160" s="37"/>
      <c r="BV160" s="39">
        <f t="shared" si="74"/>
        <v>0.19492152400594098</v>
      </c>
      <c r="BW160" s="37"/>
      <c r="BX160" s="39">
        <f t="shared" si="75"/>
        <v>0.13536087943702974</v>
      </c>
      <c r="BY160" s="39">
        <f t="shared" si="63"/>
        <v>3.5630074723391472</v>
      </c>
      <c r="BZ160" s="37"/>
      <c r="CA160" s="37"/>
      <c r="CB160" s="39">
        <f t="shared" si="64"/>
        <v>1.5270032024310629</v>
      </c>
      <c r="CC160" s="39">
        <f t="shared" si="84"/>
        <v>9.301850811485643E-2</v>
      </c>
      <c r="CD160" s="37"/>
      <c r="CE160" s="37"/>
      <c r="CF160" s="37"/>
      <c r="CG160" s="39">
        <f t="shared" si="85"/>
        <v>3.6703811170103307</v>
      </c>
      <c r="CH160" s="39">
        <f t="shared" si="87"/>
        <v>5.5345382737001421</v>
      </c>
      <c r="CI160" s="37"/>
      <c r="CJ160" s="37"/>
      <c r="CK160" s="37"/>
      <c r="CL160" s="39">
        <f t="shared" ref="CL160:CL201" si="90">BP160*(12*AG160+AH160)/100</f>
        <v>0.51716853932584272</v>
      </c>
      <c r="CM160" s="37"/>
      <c r="CN160" s="37"/>
      <c r="CO160" s="39">
        <f>0.063495+(0.016949+0.014096)*Wages!P158+1.22592*BR160</f>
        <v>0.71759325105754912</v>
      </c>
      <c r="CP160" s="39"/>
      <c r="CQ160" s="39">
        <f t="shared" si="76"/>
        <v>0.71759325105754912</v>
      </c>
      <c r="CR160" s="39">
        <f t="shared" si="89"/>
        <v>0.19492152400594098</v>
      </c>
      <c r="CS160" s="39">
        <f t="shared" si="77"/>
        <v>1.1002010651056104</v>
      </c>
      <c r="CT160" s="39">
        <f t="shared" si="78"/>
        <v>3.166871858954857</v>
      </c>
      <c r="CU160" s="39">
        <f t="shared" si="65"/>
        <v>1.5270032024310629</v>
      </c>
      <c r="CV160" s="39">
        <f t="shared" si="65"/>
        <v>9.301850811485643E-2</v>
      </c>
      <c r="CW160" s="39">
        <v>0.17238951310861425</v>
      </c>
      <c r="CX160" s="39"/>
      <c r="CY160" s="39"/>
      <c r="CZ160" s="39">
        <f t="shared" si="68"/>
        <v>0.13536087943702974</v>
      </c>
      <c r="DA160" s="39">
        <f t="shared" si="88"/>
        <v>5.5345382737001421</v>
      </c>
      <c r="DB160" s="39">
        <v>5.0999999999999996</v>
      </c>
      <c r="DC160" s="39">
        <f t="shared" si="69"/>
        <v>3.5630074723391472</v>
      </c>
      <c r="DD160" s="39">
        <f t="shared" si="86"/>
        <v>3.6703811170103307</v>
      </c>
      <c r="DE160" s="39">
        <v>3.5999999999999997E-2</v>
      </c>
      <c r="DF160" s="37"/>
      <c r="DG160" s="39">
        <f t="shared" si="70"/>
        <v>0.51716853932584272</v>
      </c>
      <c r="DH160" s="39">
        <f t="shared" si="71"/>
        <v>4.0751641385555812</v>
      </c>
      <c r="DI160" s="37"/>
      <c r="DJ160" s="37"/>
      <c r="DK160" s="37"/>
      <c r="DL160" s="37"/>
      <c r="DM160" s="39">
        <f t="shared" si="80"/>
        <v>0.72860276970970128</v>
      </c>
      <c r="DN160" s="39"/>
      <c r="DO160" s="39">
        <f t="shared" si="81"/>
        <v>0.72860276970970128</v>
      </c>
      <c r="DP160" s="37"/>
      <c r="DQ160" s="37">
        <f>DO160/'Conversions, Sources &amp; Comments'!E158</f>
        <v>0.67623860089507337</v>
      </c>
    </row>
    <row r="161" spans="1:121">
      <c r="A161" s="42">
        <f t="shared" si="72"/>
        <v>1409</v>
      </c>
      <c r="B161" s="36"/>
      <c r="C161" s="38">
        <v>8</v>
      </c>
      <c r="D161" s="38">
        <v>11.5</v>
      </c>
      <c r="E161" s="38">
        <v>5</v>
      </c>
      <c r="F161" s="38">
        <v>5</v>
      </c>
      <c r="G161" s="38">
        <v>3</v>
      </c>
      <c r="H161" s="38">
        <v>2.5</v>
      </c>
      <c r="I161" s="38">
        <v>6</v>
      </c>
      <c r="J161" s="38">
        <v>4</v>
      </c>
      <c r="K161" s="36"/>
      <c r="L161" s="36"/>
      <c r="M161" s="36"/>
      <c r="N161" s="36"/>
      <c r="O161" s="38">
        <v>10</v>
      </c>
      <c r="P161" s="38">
        <v>10.5</v>
      </c>
      <c r="Q161" s="36"/>
      <c r="R161" s="36"/>
      <c r="S161" s="36"/>
      <c r="T161" s="36"/>
      <c r="U161" s="38">
        <v>5.18</v>
      </c>
      <c r="V161" s="36"/>
      <c r="W161" s="36"/>
      <c r="X161" s="38">
        <v>5</v>
      </c>
      <c r="Y161" s="38">
        <v>0</v>
      </c>
      <c r="Z161" s="38">
        <v>1</v>
      </c>
      <c r="AA161" s="38">
        <v>6</v>
      </c>
      <c r="AB161" s="36"/>
      <c r="AC161" s="36"/>
      <c r="AD161" s="36"/>
      <c r="AE161" s="38">
        <v>0</v>
      </c>
      <c r="AF161" s="38">
        <v>6</v>
      </c>
      <c r="AG161" s="38">
        <v>4</v>
      </c>
      <c r="AH161" s="38">
        <v>0</v>
      </c>
      <c r="AI161" s="36"/>
      <c r="AJ161" s="36"/>
      <c r="AK161" s="36"/>
      <c r="AL161" s="36"/>
      <c r="AM161" s="36"/>
      <c r="AN161" s="36"/>
      <c r="AO161" s="38">
        <v>1</v>
      </c>
      <c r="AP161" s="38">
        <v>3</v>
      </c>
      <c r="AQ161" s="38">
        <v>1</v>
      </c>
      <c r="AR161" s="38">
        <v>1</v>
      </c>
      <c r="AS161" s="36"/>
      <c r="AT161" s="36"/>
      <c r="AU161" s="36"/>
      <c r="AV161" s="36"/>
      <c r="AW161" s="38">
        <v>2.33</v>
      </c>
      <c r="AX161" s="36"/>
      <c r="AY161" s="36"/>
      <c r="AZ161" s="38">
        <v>40</v>
      </c>
      <c r="BA161" s="38">
        <v>57.83</v>
      </c>
      <c r="BB161" s="38">
        <v>47.6</v>
      </c>
      <c r="BC161" s="36"/>
      <c r="BD161" s="36"/>
      <c r="BE161" s="36"/>
      <c r="BF161" s="36"/>
      <c r="BG161" s="59">
        <v>3.9166666666666665</v>
      </c>
      <c r="BH161" s="59"/>
      <c r="BI161" s="59">
        <v>7.8760082706984036E-2</v>
      </c>
      <c r="BJ161" s="59"/>
      <c r="BK161" s="36"/>
      <c r="BL161" s="36"/>
      <c r="BM161" s="36"/>
      <c r="BN161" s="38">
        <v>26.7</v>
      </c>
      <c r="BO161" s="36"/>
      <c r="BP161" s="39">
        <f t="shared" si="66"/>
        <v>1.077434456928839</v>
      </c>
      <c r="BQ161" s="37"/>
      <c r="BR161" s="39">
        <f t="shared" si="67"/>
        <v>0.41086399667918932</v>
      </c>
      <c r="BS161" s="37"/>
      <c r="BT161" s="39">
        <f>BP161*12*AZ161/(24*0.9144)</f>
        <v>23.565933003692894</v>
      </c>
      <c r="BU161" s="37"/>
      <c r="BV161" s="39">
        <f t="shared" si="74"/>
        <v>0.17963356133880837</v>
      </c>
      <c r="BW161" s="37"/>
      <c r="BX161" s="39">
        <f t="shared" si="75"/>
        <v>0.12444467948243114</v>
      </c>
      <c r="BY161" s="39">
        <f t="shared" si="63"/>
        <v>3.5630074723391472</v>
      </c>
      <c r="BZ161" s="37"/>
      <c r="CA161" s="37"/>
      <c r="CB161" s="39">
        <f t="shared" si="64"/>
        <v>1.383846652203151</v>
      </c>
      <c r="CC161" s="39">
        <f t="shared" si="84"/>
        <v>9.301850811485643E-2</v>
      </c>
      <c r="CD161" s="37"/>
      <c r="CE161" s="37"/>
      <c r="CF161" s="37"/>
      <c r="CG161" s="39">
        <f t="shared" si="85"/>
        <v>3.5519817261390298</v>
      </c>
      <c r="CH161" s="39">
        <f t="shared" si="87"/>
        <v>5.5345382737001421</v>
      </c>
      <c r="CI161" s="37"/>
      <c r="CJ161" s="37"/>
      <c r="CK161" s="37"/>
      <c r="CL161" s="39">
        <f t="shared" si="90"/>
        <v>0.51716853932584272</v>
      </c>
      <c r="CM161" s="37"/>
      <c r="CN161" s="37"/>
      <c r="CO161" s="39">
        <f>0.063495+(0.016949+0.014096)*Wages!P159+1.22592*BR161</f>
        <v>0.81247371072156094</v>
      </c>
      <c r="CP161" s="39"/>
      <c r="CQ161" s="39">
        <f t="shared" si="76"/>
        <v>0.81247371072156094</v>
      </c>
      <c r="CR161" s="39">
        <f t="shared" si="89"/>
        <v>0.17963356133880837</v>
      </c>
      <c r="CS161" s="39">
        <f t="shared" si="77"/>
        <v>0.99705721525195967</v>
      </c>
      <c r="CT161" s="39">
        <f t="shared" si="78"/>
        <v>2.8699776221778395</v>
      </c>
      <c r="CU161" s="39">
        <f t="shared" si="65"/>
        <v>1.383846652203151</v>
      </c>
      <c r="CV161" s="39">
        <f t="shared" si="65"/>
        <v>9.301850811485643E-2</v>
      </c>
      <c r="CW161" s="39">
        <v>0.17238951310861425</v>
      </c>
      <c r="CX161" s="39"/>
      <c r="CY161" s="39"/>
      <c r="CZ161" s="39">
        <f t="shared" si="68"/>
        <v>0.12444467948243114</v>
      </c>
      <c r="DA161" s="39">
        <f t="shared" si="88"/>
        <v>5.5345382737001421</v>
      </c>
      <c r="DB161" s="39">
        <f>DB$258*BT161/15.73026</f>
        <v>5.1845053530855481</v>
      </c>
      <c r="DC161" s="39">
        <f t="shared" si="69"/>
        <v>3.5630074723391472</v>
      </c>
      <c r="DD161" s="39">
        <f t="shared" si="86"/>
        <v>3.5519817261390298</v>
      </c>
      <c r="DE161" s="39">
        <v>3.5999999999999997E-2</v>
      </c>
      <c r="DF161" s="37"/>
      <c r="DG161" s="39">
        <f t="shared" si="70"/>
        <v>0.51716853932584272</v>
      </c>
      <c r="DH161" s="39">
        <f t="shared" si="71"/>
        <v>4.0751641385555812</v>
      </c>
      <c r="DI161" s="37"/>
      <c r="DJ161" s="37"/>
      <c r="DK161" s="37"/>
      <c r="DL161" s="37"/>
      <c r="DM161" s="39">
        <f t="shared" si="80"/>
        <v>0.75181615979495353</v>
      </c>
      <c r="DN161" s="39"/>
      <c r="DO161" s="39">
        <f t="shared" si="81"/>
        <v>0.75181615979495353</v>
      </c>
      <c r="DP161" s="37"/>
      <c r="DQ161" s="37">
        <f>DO161/'Conversions, Sources &amp; Comments'!E159</f>
        <v>0.69778366095507982</v>
      </c>
    </row>
    <row r="162" spans="1:121">
      <c r="A162" s="42">
        <f t="shared" si="72"/>
        <v>1410</v>
      </c>
      <c r="B162" s="36"/>
      <c r="C162" s="38">
        <v>4</v>
      </c>
      <c r="D162" s="38">
        <v>10.5</v>
      </c>
      <c r="E162" s="38">
        <v>4</v>
      </c>
      <c r="F162" s="38">
        <v>2</v>
      </c>
      <c r="G162" s="38">
        <v>2</v>
      </c>
      <c r="H162" s="38">
        <v>3</v>
      </c>
      <c r="I162" s="38">
        <v>4</v>
      </c>
      <c r="J162" s="38">
        <v>1</v>
      </c>
      <c r="K162" s="36"/>
      <c r="L162" s="36"/>
      <c r="M162" s="36"/>
      <c r="N162" s="36"/>
      <c r="O162" s="38">
        <v>10</v>
      </c>
      <c r="P162" s="38">
        <v>10</v>
      </c>
      <c r="Q162" s="36"/>
      <c r="R162" s="36"/>
      <c r="S162" s="36"/>
      <c r="T162" s="36"/>
      <c r="U162" s="38">
        <v>5.18</v>
      </c>
      <c r="V162" s="36"/>
      <c r="W162" s="36"/>
      <c r="X162" s="38">
        <v>5</v>
      </c>
      <c r="Y162" s="38">
        <v>3.5</v>
      </c>
      <c r="Z162" s="38">
        <v>1</v>
      </c>
      <c r="AA162" s="38">
        <v>6</v>
      </c>
      <c r="AB162" s="36"/>
      <c r="AC162" s="36"/>
      <c r="AD162" s="36"/>
      <c r="AE162" s="38">
        <v>0</v>
      </c>
      <c r="AF162" s="38">
        <v>6</v>
      </c>
      <c r="AG162" s="38">
        <v>8</v>
      </c>
      <c r="AH162" s="38">
        <v>2.5</v>
      </c>
      <c r="AI162" s="36"/>
      <c r="AJ162" s="36"/>
      <c r="AK162" s="36"/>
      <c r="AL162" s="36"/>
      <c r="AM162" s="36"/>
      <c r="AN162" s="36"/>
      <c r="AO162" s="38">
        <v>1</v>
      </c>
      <c r="AP162" s="38">
        <v>3.5</v>
      </c>
      <c r="AQ162" s="38">
        <v>1</v>
      </c>
      <c r="AR162" s="38">
        <v>0.25</v>
      </c>
      <c r="AS162" s="36"/>
      <c r="AT162" s="36"/>
      <c r="AU162" s="36"/>
      <c r="AV162" s="36"/>
      <c r="AW162" s="38">
        <v>2.33</v>
      </c>
      <c r="AX162" s="36"/>
      <c r="AY162" s="36"/>
      <c r="AZ162" s="38">
        <v>39</v>
      </c>
      <c r="BA162" s="36"/>
      <c r="BB162" s="38">
        <v>42</v>
      </c>
      <c r="BC162" s="36"/>
      <c r="BD162" s="36"/>
      <c r="BE162" s="36"/>
      <c r="BF162" s="36"/>
      <c r="BG162" s="59">
        <v>3.5</v>
      </c>
      <c r="BH162" s="59"/>
      <c r="BI162" s="59">
        <v>6.7706036011266915E-2</v>
      </c>
      <c r="BJ162" s="59"/>
      <c r="BK162" s="36"/>
      <c r="BL162" s="36"/>
      <c r="BM162" s="36"/>
      <c r="BN162" s="38">
        <v>26.7</v>
      </c>
      <c r="BO162" s="36"/>
      <c r="BP162" s="39">
        <f t="shared" si="66"/>
        <v>1.077434456928839</v>
      </c>
      <c r="BQ162" s="37"/>
      <c r="BR162" s="39">
        <f t="shared" si="67"/>
        <v>0.22358645400681468</v>
      </c>
      <c r="BS162" s="37"/>
      <c r="BT162" s="39">
        <f>BP162*12*AZ162/(24*0.9144)</f>
        <v>22.97678467860057</v>
      </c>
      <c r="BU162" s="37"/>
      <c r="BV162" s="39">
        <f t="shared" si="74"/>
        <v>0.16052360800489257</v>
      </c>
      <c r="BW162" s="37"/>
      <c r="BX162" s="39">
        <f t="shared" si="75"/>
        <v>0.10697875955507229</v>
      </c>
      <c r="BY162" s="39">
        <f t="shared" si="63"/>
        <v>3.5630074723391472</v>
      </c>
      <c r="BZ162" s="37"/>
      <c r="CA162" s="37"/>
      <c r="CB162" s="39">
        <f t="shared" si="64"/>
        <v>1.3785445577502653</v>
      </c>
      <c r="CC162" s="39">
        <f t="shared" si="84"/>
        <v>9.301850811485643E-2</v>
      </c>
      <c r="CD162" s="37"/>
      <c r="CE162" s="37"/>
      <c r="CF162" s="37"/>
      <c r="CG162" s="39">
        <f t="shared" si="85"/>
        <v>3.6703811170103307</v>
      </c>
      <c r="CH162" s="39">
        <f t="shared" si="87"/>
        <v>5.5345382737001421</v>
      </c>
      <c r="CI162" s="37"/>
      <c r="CJ162" s="37"/>
      <c r="CK162" s="37"/>
      <c r="CL162" s="39">
        <f t="shared" si="90"/>
        <v>1.0612729400749066</v>
      </c>
      <c r="CM162" s="37"/>
      <c r="CN162" s="37"/>
      <c r="CO162" s="39">
        <f>0.063495+(0.016949+0.014096)*Wages!P160+1.22592*BR162</f>
        <v>0.58288642560864345</v>
      </c>
      <c r="CP162" s="39"/>
      <c r="CQ162" s="39">
        <f t="shared" si="76"/>
        <v>0.58288642560864345</v>
      </c>
      <c r="CR162" s="39">
        <f t="shared" si="89"/>
        <v>0.16052360800489257</v>
      </c>
      <c r="CS162" s="39">
        <f t="shared" si="77"/>
        <v>0.99323707266478745</v>
      </c>
      <c r="CT162" s="39">
        <f t="shared" si="78"/>
        <v>2.8589815393342461</v>
      </c>
      <c r="CU162" s="39">
        <f t="shared" si="65"/>
        <v>1.3785445577502653</v>
      </c>
      <c r="CV162" s="39">
        <f t="shared" si="65"/>
        <v>9.301850811485643E-2</v>
      </c>
      <c r="CW162" s="39">
        <v>0.17238951310861425</v>
      </c>
      <c r="CX162" s="39"/>
      <c r="CY162" s="39"/>
      <c r="CZ162" s="39">
        <f t="shared" si="68"/>
        <v>0.10697875955507229</v>
      </c>
      <c r="DA162" s="39">
        <f t="shared" si="88"/>
        <v>5.5345382737001421</v>
      </c>
      <c r="DB162" s="39">
        <f>DB$258*BT162/15.73026</f>
        <v>5.0548927192584099</v>
      </c>
      <c r="DC162" s="39">
        <f t="shared" si="69"/>
        <v>3.5630074723391472</v>
      </c>
      <c r="DD162" s="39">
        <f t="shared" si="86"/>
        <v>3.6703811170103307</v>
      </c>
      <c r="DE162" s="39">
        <v>3.5999999999999997E-2</v>
      </c>
      <c r="DF162" s="37"/>
      <c r="DG162" s="39">
        <f t="shared" si="70"/>
        <v>1.0612729400749066</v>
      </c>
      <c r="DH162" s="39">
        <f t="shared" si="71"/>
        <v>4.0751641385555812</v>
      </c>
      <c r="DI162" s="37"/>
      <c r="DJ162" s="37"/>
      <c r="DK162" s="37"/>
      <c r="DL162" s="37"/>
      <c r="DM162" s="39">
        <f t="shared" si="80"/>
        <v>0.63978471724579067</v>
      </c>
      <c r="DN162" s="39"/>
      <c r="DO162" s="39">
        <f t="shared" si="81"/>
        <v>0.63978471724579067</v>
      </c>
      <c r="DP162" s="37"/>
      <c r="DQ162" s="37">
        <f>DO162/'Conversions, Sources &amp; Comments'!E160</f>
        <v>0.59380383941818404</v>
      </c>
    </row>
    <row r="163" spans="1:121">
      <c r="A163" s="42">
        <f t="shared" si="72"/>
        <v>1411</v>
      </c>
      <c r="B163" s="36"/>
      <c r="C163" s="38">
        <v>4</v>
      </c>
      <c r="D163" s="38">
        <v>10</v>
      </c>
      <c r="E163" s="38">
        <v>3</v>
      </c>
      <c r="F163" s="38">
        <v>3.25</v>
      </c>
      <c r="G163" s="38">
        <v>2</v>
      </c>
      <c r="H163" s="38">
        <v>1</v>
      </c>
      <c r="I163" s="38">
        <v>2</v>
      </c>
      <c r="J163" s="38">
        <v>9</v>
      </c>
      <c r="K163" s="36"/>
      <c r="L163" s="36"/>
      <c r="M163" s="36"/>
      <c r="N163" s="36"/>
      <c r="O163" s="38">
        <v>9</v>
      </c>
      <c r="P163" s="38">
        <v>8</v>
      </c>
      <c r="Q163" s="36"/>
      <c r="R163" s="36"/>
      <c r="S163" s="36"/>
      <c r="T163" s="36"/>
      <c r="U163" s="38">
        <v>4.28</v>
      </c>
      <c r="V163" s="36"/>
      <c r="W163" s="36"/>
      <c r="X163" s="38">
        <v>5</v>
      </c>
      <c r="Y163" s="38">
        <v>1.5</v>
      </c>
      <c r="Z163" s="38">
        <v>1</v>
      </c>
      <c r="AA163" s="38">
        <v>6</v>
      </c>
      <c r="AB163" s="36"/>
      <c r="AC163" s="36"/>
      <c r="AD163" s="36"/>
      <c r="AE163" s="36"/>
      <c r="AF163" s="36"/>
      <c r="AG163" s="38">
        <v>4</v>
      </c>
      <c r="AH163" s="38">
        <v>0</v>
      </c>
      <c r="AI163" s="36"/>
      <c r="AJ163" s="36"/>
      <c r="AK163" s="36"/>
      <c r="AL163" s="36"/>
      <c r="AM163" s="36"/>
      <c r="AN163" s="36"/>
      <c r="AO163" s="38">
        <v>1</v>
      </c>
      <c r="AP163" s="38">
        <v>3</v>
      </c>
      <c r="AQ163" s="38">
        <v>0</v>
      </c>
      <c r="AR163" s="38">
        <v>8</v>
      </c>
      <c r="AS163" s="36"/>
      <c r="AT163" s="36"/>
      <c r="AU163" s="36"/>
      <c r="AV163" s="36"/>
      <c r="AW163" s="38">
        <v>2.33</v>
      </c>
      <c r="AX163" s="38">
        <v>6.9</v>
      </c>
      <c r="AY163" s="36"/>
      <c r="AZ163" s="38">
        <v>38.5</v>
      </c>
      <c r="BA163" s="38">
        <v>52</v>
      </c>
      <c r="BB163" s="38">
        <v>44.5</v>
      </c>
      <c r="BC163" s="36"/>
      <c r="BD163" s="36"/>
      <c r="BE163" s="36"/>
      <c r="BF163" s="36"/>
      <c r="BG163" s="59">
        <v>3.0833333333333335</v>
      </c>
      <c r="BH163" s="59"/>
      <c r="BI163" s="59">
        <v>6.6324280174302697E-2</v>
      </c>
      <c r="BJ163" s="59"/>
      <c r="BK163" s="36"/>
      <c r="BL163" s="36"/>
      <c r="BM163" s="36"/>
      <c r="BN163" s="38">
        <v>26.7</v>
      </c>
      <c r="BO163" s="36"/>
      <c r="BP163" s="39">
        <f t="shared" si="66"/>
        <v>1.077434456928839</v>
      </c>
      <c r="BQ163" s="37"/>
      <c r="BR163" s="39">
        <f t="shared" si="67"/>
        <v>0.22167545867342309</v>
      </c>
      <c r="BS163" s="37"/>
      <c r="BT163" s="39">
        <f>BP163*12*AZ163/(24*0.9144)</f>
        <v>22.682210516054408</v>
      </c>
      <c r="BU163" s="37"/>
      <c r="BV163" s="39">
        <f t="shared" si="74"/>
        <v>0.1414136546709768</v>
      </c>
      <c r="BW163" s="37"/>
      <c r="BX163" s="39">
        <f t="shared" si="75"/>
        <v>0.10479551956415309</v>
      </c>
      <c r="BY163" s="39">
        <f t="shared" si="63"/>
        <v>3.5630074723391472</v>
      </c>
      <c r="BZ163" s="37"/>
      <c r="CA163" s="37"/>
      <c r="CB163" s="39">
        <f t="shared" si="64"/>
        <v>1.2300859130694675</v>
      </c>
      <c r="CC163" s="39">
        <f t="shared" si="84"/>
        <v>7.6856991260923851E-2</v>
      </c>
      <c r="CD163" s="37"/>
      <c r="CE163" s="37"/>
      <c r="CF163" s="37"/>
      <c r="CG163" s="39">
        <f t="shared" si="85"/>
        <v>3.5519817261390298</v>
      </c>
      <c r="CH163" s="39">
        <f t="shared" si="87"/>
        <v>5.5345382737001421</v>
      </c>
      <c r="CI163" s="37"/>
      <c r="CJ163" s="37"/>
      <c r="CK163" s="37"/>
      <c r="CL163" s="39">
        <f t="shared" si="90"/>
        <v>0.51716853932584272</v>
      </c>
      <c r="CM163" s="37"/>
      <c r="CN163" s="37"/>
      <c r="CO163" s="39">
        <f>0.063495+(0.016949+0.014096)*Wages!P161+1.22592*BR163</f>
        <v>0.580543698209532</v>
      </c>
      <c r="CP163" s="39"/>
      <c r="CQ163" s="39">
        <f t="shared" si="76"/>
        <v>0.580543698209532</v>
      </c>
      <c r="CR163" s="39">
        <f t="shared" si="89"/>
        <v>0.1414136546709768</v>
      </c>
      <c r="CS163" s="39">
        <f t="shared" si="77"/>
        <v>0.88627308022396412</v>
      </c>
      <c r="CT163" s="39">
        <f t="shared" si="78"/>
        <v>2.5510912197136348</v>
      </c>
      <c r="CU163" s="39">
        <f t="shared" si="65"/>
        <v>1.2300859130694675</v>
      </c>
      <c r="CV163" s="39">
        <f t="shared" si="65"/>
        <v>7.6856991260923851E-2</v>
      </c>
      <c r="CW163" s="39">
        <v>0.17238951310861425</v>
      </c>
      <c r="CX163" s="39"/>
      <c r="CY163" s="39"/>
      <c r="CZ163" s="39">
        <f t="shared" si="68"/>
        <v>0.10479551956415309</v>
      </c>
      <c r="DA163" s="39">
        <f t="shared" si="88"/>
        <v>5.5345382737001421</v>
      </c>
      <c r="DB163" s="39">
        <f>DB$258*BT163/15.73026</f>
        <v>4.9900864023448408</v>
      </c>
      <c r="DC163" s="39">
        <f t="shared" si="69"/>
        <v>3.5630074723391472</v>
      </c>
      <c r="DD163" s="39">
        <f t="shared" si="86"/>
        <v>3.5519817261390298</v>
      </c>
      <c r="DE163" s="39">
        <v>3.5999999999999997E-2</v>
      </c>
      <c r="DF163" s="37"/>
      <c r="DG163" s="39">
        <f t="shared" si="70"/>
        <v>0.51716853932584272</v>
      </c>
      <c r="DH163" s="39">
        <f t="shared" si="71"/>
        <v>4.0751641385555812</v>
      </c>
      <c r="DI163" s="37"/>
      <c r="DJ163" s="37"/>
      <c r="DK163" s="37"/>
      <c r="DL163" s="37"/>
      <c r="DM163" s="39">
        <f t="shared" si="80"/>
        <v>0.61943326535303778</v>
      </c>
      <c r="DN163" s="39"/>
      <c r="DO163" s="39">
        <f t="shared" si="81"/>
        <v>0.61943326535303778</v>
      </c>
      <c r="DP163" s="37"/>
      <c r="DQ163" s="37">
        <f>DO163/'Conversions, Sources &amp; Comments'!E161</f>
        <v>0.5749150320648686</v>
      </c>
    </row>
    <row r="164" spans="1:121">
      <c r="A164" s="42">
        <f t="shared" si="72"/>
        <v>1412</v>
      </c>
      <c r="B164" s="36"/>
      <c r="C164" s="38">
        <v>4</v>
      </c>
      <c r="D164" s="38">
        <v>10.75</v>
      </c>
      <c r="E164" s="38">
        <v>2</v>
      </c>
      <c r="F164" s="38">
        <v>11.5</v>
      </c>
      <c r="G164" s="38">
        <v>2</v>
      </c>
      <c r="H164" s="38">
        <v>0.75</v>
      </c>
      <c r="I164" s="38">
        <v>3</v>
      </c>
      <c r="J164" s="38">
        <v>4.75</v>
      </c>
      <c r="K164" s="36"/>
      <c r="L164" s="36"/>
      <c r="M164" s="36"/>
      <c r="N164" s="36"/>
      <c r="O164" s="38">
        <v>12</v>
      </c>
      <c r="P164" s="38">
        <v>0</v>
      </c>
      <c r="Q164" s="36"/>
      <c r="R164" s="36"/>
      <c r="S164" s="36"/>
      <c r="T164" s="36"/>
      <c r="U164" s="38">
        <v>4.28</v>
      </c>
      <c r="V164" s="36"/>
      <c r="W164" s="36"/>
      <c r="X164" s="38">
        <v>5</v>
      </c>
      <c r="Y164" s="38">
        <v>8</v>
      </c>
      <c r="Z164" s="38">
        <v>1</v>
      </c>
      <c r="AA164" s="38">
        <v>6</v>
      </c>
      <c r="AB164" s="36"/>
      <c r="AC164" s="36"/>
      <c r="AD164" s="36"/>
      <c r="AE164" s="36"/>
      <c r="AF164" s="36"/>
      <c r="AG164" s="38">
        <v>10</v>
      </c>
      <c r="AH164" s="38">
        <v>7</v>
      </c>
      <c r="AI164" s="38">
        <v>1</v>
      </c>
      <c r="AJ164" s="38">
        <v>11.25</v>
      </c>
      <c r="AK164" s="36"/>
      <c r="AL164" s="36"/>
      <c r="AM164" s="36"/>
      <c r="AN164" s="36"/>
      <c r="AO164" s="38">
        <v>1</v>
      </c>
      <c r="AP164" s="38">
        <v>3</v>
      </c>
      <c r="AQ164" s="36"/>
      <c r="AR164" s="36"/>
      <c r="AS164" s="36"/>
      <c r="AT164" s="36"/>
      <c r="AU164" s="36"/>
      <c r="AV164" s="36"/>
      <c r="AW164" s="38">
        <v>2.33</v>
      </c>
      <c r="AX164" s="36"/>
      <c r="AY164" s="36"/>
      <c r="AZ164" s="36"/>
      <c r="BA164" s="36"/>
      <c r="BB164" s="36"/>
      <c r="BC164" s="36"/>
      <c r="BD164" s="36"/>
      <c r="BE164" s="36"/>
      <c r="BF164" s="36"/>
      <c r="BG164" s="59">
        <v>3.0833333333333335</v>
      </c>
      <c r="BH164" s="59"/>
      <c r="BI164" s="59">
        <v>7.185130352216125E-2</v>
      </c>
      <c r="BJ164" s="59"/>
      <c r="BK164" s="36"/>
      <c r="BL164" s="36"/>
      <c r="BM164" s="36"/>
      <c r="BN164" s="38">
        <v>32</v>
      </c>
      <c r="BO164" s="36"/>
      <c r="BP164" s="39">
        <f t="shared" si="66"/>
        <v>0.89898437500000006</v>
      </c>
      <c r="BQ164" s="37"/>
      <c r="BR164" s="39">
        <f t="shared" si="67"/>
        <v>0.18735219092758529</v>
      </c>
      <c r="BS164" s="37"/>
      <c r="BT164" s="37"/>
      <c r="BU164" s="37"/>
      <c r="BV164" s="39">
        <f t="shared" si="74"/>
        <v>0.11799201811609629</v>
      </c>
      <c r="BW164" s="37"/>
      <c r="BX164" s="39">
        <f t="shared" si="75"/>
        <v>9.4725325106035249E-2</v>
      </c>
      <c r="BY164" s="39">
        <f t="shared" si="63"/>
        <v>2.9728843597329764</v>
      </c>
      <c r="BZ164" s="37"/>
      <c r="CA164" s="37"/>
      <c r="CB164" s="39">
        <f t="shared" si="64"/>
        <v>1.2740932970284184</v>
      </c>
      <c r="CC164" s="39">
        <f t="shared" si="84"/>
        <v>6.4127552083333345E-2</v>
      </c>
      <c r="CD164" s="37"/>
      <c r="CE164" s="37"/>
      <c r="CF164" s="37"/>
      <c r="CG164" s="39">
        <f t="shared" si="85"/>
        <v>2.9636847527472532</v>
      </c>
      <c r="CH164" s="39">
        <f t="shared" si="87"/>
        <v>4.6178803721185568</v>
      </c>
      <c r="CI164" s="37"/>
      <c r="CJ164" s="37"/>
      <c r="CK164" s="37"/>
      <c r="CL164" s="39">
        <f t="shared" si="90"/>
        <v>1.1417101562500001</v>
      </c>
      <c r="CM164" s="37"/>
      <c r="CN164" s="37"/>
      <c r="CO164" s="39">
        <f>0.063495+(0.016949+0.014096)*Wages!P162+1.22592*BR164</f>
        <v>0.49783957732902862</v>
      </c>
      <c r="CP164" s="39"/>
      <c r="CQ164" s="39">
        <f t="shared" si="76"/>
        <v>0.49783957732902862</v>
      </c>
      <c r="CR164" s="39">
        <f t="shared" si="89"/>
        <v>0.11799201811609629</v>
      </c>
      <c r="CS164" s="39">
        <f t="shared" si="77"/>
        <v>0.91798026369749397</v>
      </c>
      <c r="CT164" s="39">
        <f t="shared" si="78"/>
        <v>2.6423587073154593</v>
      </c>
      <c r="CU164" s="39">
        <f t="shared" si="65"/>
        <v>1.2740932970284184</v>
      </c>
      <c r="CV164" s="39">
        <f t="shared" si="65"/>
        <v>6.4127552083333345E-2</v>
      </c>
      <c r="CW164" s="39">
        <v>0.17238951310861425</v>
      </c>
      <c r="CX164" s="39"/>
      <c r="CY164" s="39"/>
      <c r="CZ164" s="39">
        <f t="shared" si="68"/>
        <v>9.4725325106035249E-2</v>
      </c>
      <c r="DA164" s="39">
        <f t="shared" si="88"/>
        <v>4.6178803721185568</v>
      </c>
      <c r="DB164" s="39">
        <v>4.5</v>
      </c>
      <c r="DC164" s="39">
        <f t="shared" si="69"/>
        <v>2.9728843597329764</v>
      </c>
      <c r="DD164" s="39">
        <f t="shared" si="86"/>
        <v>2.9636847527472532</v>
      </c>
      <c r="DE164" s="39">
        <v>3.5999999999999997E-2</v>
      </c>
      <c r="DF164" s="37"/>
      <c r="DG164" s="39">
        <f t="shared" si="70"/>
        <v>1.1417101562500001</v>
      </c>
      <c r="DH164" s="39">
        <f t="shared" si="71"/>
        <v>4.0751641385555812</v>
      </c>
      <c r="DI164" s="37"/>
      <c r="DJ164" s="37"/>
      <c r="DK164" s="37"/>
      <c r="DL164" s="37"/>
      <c r="DM164" s="39">
        <f t="shared" si="80"/>
        <v>0.55885317675136059</v>
      </c>
      <c r="DN164" s="39"/>
      <c r="DO164" s="39">
        <f t="shared" si="81"/>
        <v>0.55885317675136059</v>
      </c>
      <c r="DP164" s="37"/>
      <c r="DQ164" s="37">
        <f>DO164/'Conversions, Sources &amp; Comments'!E162</f>
        <v>0.62164948834773748</v>
      </c>
    </row>
    <row r="165" spans="1:121">
      <c r="A165" s="42">
        <f t="shared" si="72"/>
        <v>1413</v>
      </c>
      <c r="B165" s="36"/>
      <c r="C165" s="38">
        <v>4</v>
      </c>
      <c r="D165" s="38">
        <v>3.5</v>
      </c>
      <c r="E165" s="38">
        <v>3</v>
      </c>
      <c r="F165" s="38">
        <v>3.25</v>
      </c>
      <c r="G165" s="38">
        <v>2</v>
      </c>
      <c r="H165" s="38">
        <v>0.75</v>
      </c>
      <c r="I165" s="38">
        <v>2</v>
      </c>
      <c r="J165" s="38">
        <v>9</v>
      </c>
      <c r="K165" s="36"/>
      <c r="L165" s="36"/>
      <c r="M165" s="36"/>
      <c r="N165" s="36"/>
      <c r="O165" s="38">
        <v>12</v>
      </c>
      <c r="P165" s="38">
        <v>0</v>
      </c>
      <c r="Q165" s="36"/>
      <c r="R165" s="36"/>
      <c r="S165" s="36"/>
      <c r="T165" s="36"/>
      <c r="U165" s="38">
        <v>4.28</v>
      </c>
      <c r="V165" s="36"/>
      <c r="W165" s="36"/>
      <c r="X165" s="38">
        <v>5</v>
      </c>
      <c r="Y165" s="38">
        <v>9</v>
      </c>
      <c r="Z165" s="38">
        <v>1</v>
      </c>
      <c r="AA165" s="38">
        <v>6.75</v>
      </c>
      <c r="AB165" s="36"/>
      <c r="AC165" s="36"/>
      <c r="AD165" s="36"/>
      <c r="AE165" s="36"/>
      <c r="AF165" s="36"/>
      <c r="AG165" s="38">
        <v>3</v>
      </c>
      <c r="AH165" s="38">
        <v>6</v>
      </c>
      <c r="AI165" s="36"/>
      <c r="AJ165" s="36"/>
      <c r="AK165" s="36"/>
      <c r="AL165" s="36"/>
      <c r="AM165" s="36"/>
      <c r="AN165" s="36"/>
      <c r="AO165" s="38">
        <v>1</v>
      </c>
      <c r="AP165" s="38">
        <v>3</v>
      </c>
      <c r="AQ165" s="36"/>
      <c r="AR165" s="36"/>
      <c r="AS165" s="36"/>
      <c r="AT165" s="36"/>
      <c r="AU165" s="36"/>
      <c r="AV165" s="36"/>
      <c r="AW165" s="38">
        <v>2.33</v>
      </c>
      <c r="AX165" s="38">
        <v>7.6</v>
      </c>
      <c r="AY165" s="36"/>
      <c r="AZ165" s="36"/>
      <c r="BA165" s="38">
        <v>52.33</v>
      </c>
      <c r="BB165" s="38">
        <v>42</v>
      </c>
      <c r="BC165" s="36"/>
      <c r="BD165" s="36"/>
      <c r="BE165" s="36"/>
      <c r="BF165" s="36"/>
      <c r="BG165" s="59">
        <v>3.5833333333333335</v>
      </c>
      <c r="BH165" s="59"/>
      <c r="BI165" s="59">
        <v>6.6324280174302697E-2</v>
      </c>
      <c r="BJ165" s="59"/>
      <c r="BK165" s="36"/>
      <c r="BL165" s="36"/>
      <c r="BM165" s="36"/>
      <c r="BN165" s="38">
        <v>32</v>
      </c>
      <c r="BO165" s="36"/>
      <c r="BP165" s="39">
        <f t="shared" si="66"/>
        <v>0.89898437500000006</v>
      </c>
      <c r="BQ165" s="37"/>
      <c r="BR165" s="39">
        <f t="shared" si="67"/>
        <v>0.16423213332375561</v>
      </c>
      <c r="BS165" s="37"/>
      <c r="BT165" s="37"/>
      <c r="BU165" s="37"/>
      <c r="BV165" s="39">
        <f t="shared" si="74"/>
        <v>0.13712585889167947</v>
      </c>
      <c r="BW165" s="37"/>
      <c r="BX165" s="39">
        <f t="shared" si="75"/>
        <v>8.7438761636340234E-2</v>
      </c>
      <c r="BY165" s="39">
        <f t="shared" ref="BY165:BY181" si="91">$BP165*(12*Z165+AA165)/(12*0.453592)</f>
        <v>3.0967545413885165</v>
      </c>
      <c r="BZ165" s="37"/>
      <c r="CA165" s="37"/>
      <c r="CB165" s="39">
        <f t="shared" si="64"/>
        <v>1.2740932970284184</v>
      </c>
      <c r="CC165" s="39">
        <f t="shared" si="84"/>
        <v>6.4127552083333345E-2</v>
      </c>
      <c r="CD165" s="37"/>
      <c r="CE165" s="37"/>
      <c r="CF165" s="37"/>
      <c r="CG165" s="39">
        <f t="shared" si="85"/>
        <v>2.9636847527472532</v>
      </c>
      <c r="CH165" s="39">
        <f t="shared" si="87"/>
        <v>4.6178803721185568</v>
      </c>
      <c r="CI165" s="37"/>
      <c r="CJ165" s="37"/>
      <c r="CK165" s="37"/>
      <c r="CL165" s="39">
        <f t="shared" si="90"/>
        <v>0.37757343750000005</v>
      </c>
      <c r="CM165" s="37"/>
      <c r="CN165" s="37"/>
      <c r="CO165" s="39">
        <f>0.063495+(0.016949+0.014096)*Wages!P163+1.22592*BR165</f>
        <v>0.48810221625925843</v>
      </c>
      <c r="CP165" s="39"/>
      <c r="CQ165" s="39">
        <f t="shared" si="76"/>
        <v>0.48810221625925843</v>
      </c>
      <c r="CR165" s="39">
        <f t="shared" si="89"/>
        <v>0.13712585889167947</v>
      </c>
      <c r="CS165" s="39">
        <f t="shared" si="77"/>
        <v>0.91798026369749397</v>
      </c>
      <c r="CT165" s="39">
        <f t="shared" si="78"/>
        <v>2.6423587073154593</v>
      </c>
      <c r="CU165" s="39">
        <f t="shared" si="65"/>
        <v>1.2740932970284184</v>
      </c>
      <c r="CV165" s="39">
        <f t="shared" si="65"/>
        <v>6.4127552083333345E-2</v>
      </c>
      <c r="CW165" s="39">
        <v>0.17238951310861425</v>
      </c>
      <c r="CX165" s="39"/>
      <c r="CY165" s="39"/>
      <c r="CZ165" s="39">
        <f t="shared" si="68"/>
        <v>8.7438761636340234E-2</v>
      </c>
      <c r="DA165" s="39">
        <f t="shared" si="88"/>
        <v>4.6178803721185568</v>
      </c>
      <c r="DB165" s="39">
        <v>4.5</v>
      </c>
      <c r="DC165" s="39">
        <f t="shared" si="69"/>
        <v>3.0967545413885165</v>
      </c>
      <c r="DD165" s="39">
        <f t="shared" si="86"/>
        <v>2.9636847527472532</v>
      </c>
      <c r="DE165" s="39">
        <v>3.5999999999999997E-2</v>
      </c>
      <c r="DF165" s="37"/>
      <c r="DG165" s="39">
        <f t="shared" si="70"/>
        <v>0.37757343750000005</v>
      </c>
      <c r="DH165" s="39">
        <f t="shared" si="71"/>
        <v>4.0751641385555812</v>
      </c>
      <c r="DI165" s="37"/>
      <c r="DJ165" s="37"/>
      <c r="DK165" s="37"/>
      <c r="DL165" s="37"/>
      <c r="DM165" s="39">
        <f t="shared" si="80"/>
        <v>0.55455976230212767</v>
      </c>
      <c r="DN165" s="39"/>
      <c r="DO165" s="39">
        <f t="shared" si="81"/>
        <v>0.55455976230212767</v>
      </c>
      <c r="DP165" s="37"/>
      <c r="DQ165" s="37">
        <f>DO165/'Conversions, Sources &amp; Comments'!E163</f>
        <v>0.61687363843462528</v>
      </c>
    </row>
    <row r="166" spans="1:121">
      <c r="A166" s="42">
        <f t="shared" si="72"/>
        <v>1414</v>
      </c>
      <c r="B166" s="36"/>
      <c r="C166" s="38">
        <v>4</v>
      </c>
      <c r="D166" s="38">
        <v>3.75</v>
      </c>
      <c r="E166" s="38">
        <v>3</v>
      </c>
      <c r="F166" s="38">
        <v>8.25</v>
      </c>
      <c r="G166" s="38">
        <v>2</v>
      </c>
      <c r="H166" s="38">
        <v>2.75</v>
      </c>
      <c r="I166" s="38">
        <v>2</v>
      </c>
      <c r="J166" s="38">
        <v>11</v>
      </c>
      <c r="K166" s="36"/>
      <c r="L166" s="36"/>
      <c r="M166" s="36"/>
      <c r="N166" s="36"/>
      <c r="O166" s="38">
        <v>11</v>
      </c>
      <c r="P166" s="38">
        <v>4</v>
      </c>
      <c r="Q166" s="36"/>
      <c r="R166" s="36"/>
      <c r="S166" s="36"/>
      <c r="T166" s="36"/>
      <c r="U166" s="38">
        <v>4.28</v>
      </c>
      <c r="V166" s="36"/>
      <c r="W166" s="36"/>
      <c r="X166" s="38">
        <v>6</v>
      </c>
      <c r="Y166" s="38">
        <v>1.75</v>
      </c>
      <c r="Z166" s="38">
        <v>1</v>
      </c>
      <c r="AA166" s="38">
        <v>6.75</v>
      </c>
      <c r="AB166" s="36"/>
      <c r="AC166" s="36"/>
      <c r="AD166" s="36"/>
      <c r="AE166" s="36"/>
      <c r="AF166" s="36"/>
      <c r="AG166" s="38">
        <v>6</v>
      </c>
      <c r="AH166" s="38">
        <v>10.75</v>
      </c>
      <c r="AI166" s="38">
        <v>1</v>
      </c>
      <c r="AJ166" s="38">
        <v>5</v>
      </c>
      <c r="AK166" s="36"/>
      <c r="AL166" s="36"/>
      <c r="AM166" s="36"/>
      <c r="AN166" s="36"/>
      <c r="AO166" s="38">
        <v>1</v>
      </c>
      <c r="AP166" s="38">
        <v>4</v>
      </c>
      <c r="AQ166" s="38">
        <v>1</v>
      </c>
      <c r="AR166" s="38">
        <v>0</v>
      </c>
      <c r="AS166" s="36"/>
      <c r="AT166" s="36"/>
      <c r="AU166" s="36"/>
      <c r="AV166" s="36"/>
      <c r="AW166" s="38">
        <v>2.33</v>
      </c>
      <c r="AX166" s="38">
        <v>9.9</v>
      </c>
      <c r="AY166" s="36"/>
      <c r="AZ166" s="38">
        <v>37</v>
      </c>
      <c r="BA166" s="38">
        <v>50</v>
      </c>
      <c r="BB166" s="38">
        <v>42</v>
      </c>
      <c r="BC166" s="36"/>
      <c r="BD166" s="36"/>
      <c r="BE166" s="36"/>
      <c r="BF166" s="36"/>
      <c r="BG166" s="59">
        <v>4.666666666666667</v>
      </c>
      <c r="BH166" s="59"/>
      <c r="BI166" s="59">
        <v>8.2905350217878371E-2</v>
      </c>
      <c r="BJ166" s="59"/>
      <c r="BK166" s="36"/>
      <c r="BL166" s="36"/>
      <c r="BM166" s="36"/>
      <c r="BN166" s="38">
        <v>32</v>
      </c>
      <c r="BO166" s="36"/>
      <c r="BP166" s="39">
        <f t="shared" si="66"/>
        <v>0.89898437500000006</v>
      </c>
      <c r="BQ166" s="37"/>
      <c r="BR166" s="39">
        <f t="shared" si="67"/>
        <v>0.16502937668940493</v>
      </c>
      <c r="BS166" s="37"/>
      <c r="BT166" s="39">
        <f>BP166*12*AZ166/(24*0.9144)</f>
        <v>18.188113448709537</v>
      </c>
      <c r="BU166" s="37"/>
      <c r="BV166" s="39">
        <f t="shared" si="74"/>
        <v>0.17858251390544302</v>
      </c>
      <c r="BW166" s="37"/>
      <c r="BX166" s="39">
        <f t="shared" si="75"/>
        <v>0.10929845204542528</v>
      </c>
      <c r="BY166" s="39">
        <f t="shared" si="91"/>
        <v>3.0967545413885165</v>
      </c>
      <c r="BZ166" s="37"/>
      <c r="CA166" s="37"/>
      <c r="CB166" s="39">
        <f t="shared" si="64"/>
        <v>1.2033103360823951</v>
      </c>
      <c r="CC166" s="39">
        <f t="shared" si="84"/>
        <v>6.4127552083333345E-2</v>
      </c>
      <c r="CD166" s="37"/>
      <c r="CE166" s="37"/>
      <c r="CF166" s="37"/>
      <c r="CG166" s="39">
        <f t="shared" si="85"/>
        <v>3.1612637362637366</v>
      </c>
      <c r="CH166" s="39">
        <f t="shared" si="87"/>
        <v>4.6178803721185568</v>
      </c>
      <c r="CI166" s="37"/>
      <c r="CJ166" s="37"/>
      <c r="CK166" s="37"/>
      <c r="CL166" s="39">
        <f t="shared" si="90"/>
        <v>0.74390957031250016</v>
      </c>
      <c r="CM166" s="37"/>
      <c r="CN166" s="37"/>
      <c r="CO166" s="39">
        <f>0.063495+(0.016949+0.014096)*Wages!P164+1.22592*BR166</f>
        <v>0.48907957284607523</v>
      </c>
      <c r="CP166" s="39"/>
      <c r="CQ166" s="39">
        <f t="shared" si="76"/>
        <v>0.48907957284607523</v>
      </c>
      <c r="CR166" s="39">
        <f t="shared" si="89"/>
        <v>0.17858251390544302</v>
      </c>
      <c r="CS166" s="39">
        <f t="shared" si="77"/>
        <v>0.86698136015874427</v>
      </c>
      <c r="CT166" s="39">
        <f t="shared" si="78"/>
        <v>2.4955610013534892</v>
      </c>
      <c r="CU166" s="39">
        <f t="shared" si="65"/>
        <v>1.2033103360823951</v>
      </c>
      <c r="CV166" s="39">
        <f t="shared" si="65"/>
        <v>6.4127552083333345E-2</v>
      </c>
      <c r="CW166" s="39">
        <v>0.17238951310861425</v>
      </c>
      <c r="CX166" s="39"/>
      <c r="CY166" s="39"/>
      <c r="CZ166" s="39">
        <f t="shared" si="68"/>
        <v>0.10929845204542528</v>
      </c>
      <c r="DA166" s="39">
        <f t="shared" si="88"/>
        <v>4.6178803721185568</v>
      </c>
      <c r="DB166" s="39">
        <f>DB$258*BT166/15.73026</f>
        <v>4.0013850299321971</v>
      </c>
      <c r="DC166" s="39">
        <f t="shared" si="69"/>
        <v>3.0967545413885165</v>
      </c>
      <c r="DD166" s="39">
        <f t="shared" si="86"/>
        <v>3.1612637362637366</v>
      </c>
      <c r="DE166" s="39">
        <v>3.5999999999999997E-2</v>
      </c>
      <c r="DF166" s="37"/>
      <c r="DG166" s="39">
        <f t="shared" si="70"/>
        <v>0.74390957031250016</v>
      </c>
      <c r="DH166" s="39">
        <f t="shared" si="71"/>
        <v>4.0751641385555812</v>
      </c>
      <c r="DI166" s="37"/>
      <c r="DJ166" s="37"/>
      <c r="DK166" s="37"/>
      <c r="DL166" s="37"/>
      <c r="DM166" s="39">
        <f t="shared" si="80"/>
        <v>0.55907972864775535</v>
      </c>
      <c r="DN166" s="39"/>
      <c r="DO166" s="39">
        <f t="shared" si="81"/>
        <v>0.55907972864775535</v>
      </c>
      <c r="DP166" s="37"/>
      <c r="DQ166" s="37">
        <f>DO166/'Conversions, Sources &amp; Comments'!E164</f>
        <v>0.62190149706189868</v>
      </c>
    </row>
    <row r="167" spans="1:121">
      <c r="A167" s="42">
        <f t="shared" si="72"/>
        <v>1415</v>
      </c>
      <c r="B167" s="36"/>
      <c r="C167" s="38">
        <v>6</v>
      </c>
      <c r="D167" s="38">
        <v>3.5</v>
      </c>
      <c r="E167" s="38">
        <v>4</v>
      </c>
      <c r="F167" s="38">
        <v>6.5</v>
      </c>
      <c r="G167" s="38">
        <v>2</v>
      </c>
      <c r="H167" s="38">
        <v>10</v>
      </c>
      <c r="I167" s="38">
        <v>4</v>
      </c>
      <c r="J167" s="38">
        <v>0.5</v>
      </c>
      <c r="K167" s="36"/>
      <c r="L167" s="36"/>
      <c r="M167" s="36"/>
      <c r="N167" s="36"/>
      <c r="O167" s="38">
        <v>11</v>
      </c>
      <c r="P167" s="38">
        <v>3</v>
      </c>
      <c r="Q167" s="36"/>
      <c r="R167" s="36"/>
      <c r="S167" s="36"/>
      <c r="T167" s="36"/>
      <c r="U167" s="38">
        <v>4.28</v>
      </c>
      <c r="V167" s="36"/>
      <c r="W167" s="36"/>
      <c r="X167" s="38">
        <v>6</v>
      </c>
      <c r="Y167" s="38">
        <v>3</v>
      </c>
      <c r="Z167" s="38">
        <v>1</v>
      </c>
      <c r="AA167" s="38">
        <v>6</v>
      </c>
      <c r="AB167" s="36"/>
      <c r="AC167" s="36"/>
      <c r="AD167" s="36"/>
      <c r="AE167" s="36"/>
      <c r="AF167" s="36"/>
      <c r="AG167" s="38">
        <v>3</v>
      </c>
      <c r="AH167" s="38">
        <v>0</v>
      </c>
      <c r="AI167" s="36"/>
      <c r="AJ167" s="36"/>
      <c r="AK167" s="36"/>
      <c r="AL167" s="36"/>
      <c r="AM167" s="36"/>
      <c r="AN167" s="36"/>
      <c r="AO167" s="38">
        <v>1</v>
      </c>
      <c r="AP167" s="38">
        <v>3</v>
      </c>
      <c r="AQ167" s="38">
        <v>1</v>
      </c>
      <c r="AR167" s="38">
        <v>8</v>
      </c>
      <c r="AS167" s="36"/>
      <c r="AT167" s="36"/>
      <c r="AU167" s="36"/>
      <c r="AV167" s="36"/>
      <c r="AW167" s="38">
        <v>2.33</v>
      </c>
      <c r="AX167" s="38">
        <v>4</v>
      </c>
      <c r="AY167" s="36"/>
      <c r="AZ167" s="38">
        <v>38</v>
      </c>
      <c r="BA167" s="38">
        <v>48</v>
      </c>
      <c r="BB167" s="36"/>
      <c r="BC167" s="36"/>
      <c r="BD167" s="36"/>
      <c r="BE167" s="36"/>
      <c r="BF167" s="36"/>
      <c r="BG167" s="59">
        <v>4</v>
      </c>
      <c r="BH167" s="59"/>
      <c r="BI167" s="59">
        <v>8.5668861891806808E-2</v>
      </c>
      <c r="BJ167" s="59"/>
      <c r="BK167" s="36"/>
      <c r="BL167" s="36"/>
      <c r="BM167" s="36"/>
      <c r="BN167" s="38">
        <v>32</v>
      </c>
      <c r="BO167" s="36"/>
      <c r="BP167" s="39">
        <f t="shared" si="66"/>
        <v>0.89898437500000006</v>
      </c>
      <c r="BQ167" s="37"/>
      <c r="BR167" s="39">
        <f t="shared" si="67"/>
        <v>0.2407674964260883</v>
      </c>
      <c r="BS167" s="37"/>
      <c r="BT167" s="39">
        <f>BP167*12*AZ167/(24*0.9144)</f>
        <v>18.679684082458447</v>
      </c>
      <c r="BU167" s="37"/>
      <c r="BV167" s="39">
        <f t="shared" si="74"/>
        <v>0.15307072620466544</v>
      </c>
      <c r="BW167" s="37"/>
      <c r="BX167" s="39">
        <f t="shared" si="75"/>
        <v>0.1129417337802717</v>
      </c>
      <c r="BY167" s="39">
        <f t="shared" si="91"/>
        <v>2.9728843597329764</v>
      </c>
      <c r="BZ167" s="37"/>
      <c r="CA167" s="37"/>
      <c r="CB167" s="39">
        <f t="shared" si="64"/>
        <v>1.1944624659641421</v>
      </c>
      <c r="CC167" s="39">
        <f t="shared" si="84"/>
        <v>6.4127552083333345E-2</v>
      </c>
      <c r="CD167" s="37"/>
      <c r="CE167" s="37"/>
      <c r="CF167" s="37"/>
      <c r="CG167" s="39">
        <f t="shared" si="85"/>
        <v>2.9636847527472532</v>
      </c>
      <c r="CH167" s="39">
        <f t="shared" si="87"/>
        <v>4.6178803721185568</v>
      </c>
      <c r="CI167" s="37"/>
      <c r="CJ167" s="37"/>
      <c r="CK167" s="37"/>
      <c r="CL167" s="39">
        <f t="shared" si="90"/>
        <v>0.32363437500000003</v>
      </c>
      <c r="CM167" s="37"/>
      <c r="CN167" s="37"/>
      <c r="CO167" s="39">
        <f>0.063495+(0.016949+0.014096)*Wages!P165+1.22592*BR167</f>
        <v>0.5819284485936701</v>
      </c>
      <c r="CP167" s="39"/>
      <c r="CQ167" s="39">
        <f t="shared" si="76"/>
        <v>0.5819284485936701</v>
      </c>
      <c r="CR167" s="39">
        <f t="shared" si="89"/>
        <v>0.15307072620466544</v>
      </c>
      <c r="CS167" s="39">
        <f t="shared" si="77"/>
        <v>0.86060649721640059</v>
      </c>
      <c r="CT167" s="39">
        <f t="shared" si="78"/>
        <v>2.4772112881082431</v>
      </c>
      <c r="CU167" s="39">
        <f t="shared" si="65"/>
        <v>1.1944624659641421</v>
      </c>
      <c r="CV167" s="39">
        <f t="shared" si="65"/>
        <v>6.4127552083333345E-2</v>
      </c>
      <c r="CW167" s="39">
        <v>0.17238951310861425</v>
      </c>
      <c r="CX167" s="39"/>
      <c r="CY167" s="39"/>
      <c r="CZ167" s="39">
        <f t="shared" si="68"/>
        <v>0.1129417337802717</v>
      </c>
      <c r="DA167" s="39">
        <f t="shared" si="88"/>
        <v>4.6178803721185568</v>
      </c>
      <c r="DB167" s="39">
        <f>DB$258*BT167/15.73026</f>
        <v>4.1095305712817174</v>
      </c>
      <c r="DC167" s="39">
        <f t="shared" si="69"/>
        <v>2.9728843597329764</v>
      </c>
      <c r="DD167" s="39">
        <f t="shared" si="86"/>
        <v>2.9636847527472532</v>
      </c>
      <c r="DE167" s="39">
        <v>3.5999999999999997E-2</v>
      </c>
      <c r="DF167" s="37"/>
      <c r="DG167" s="39">
        <f t="shared" si="70"/>
        <v>0.32363437500000003</v>
      </c>
      <c r="DH167" s="39">
        <f t="shared" si="71"/>
        <v>4.0751641385555812</v>
      </c>
      <c r="DI167" s="37"/>
      <c r="DJ167" s="37"/>
      <c r="DK167" s="37"/>
      <c r="DL167" s="37"/>
      <c r="DM167" s="39">
        <f t="shared" si="80"/>
        <v>0.59675819259250384</v>
      </c>
      <c r="DN167" s="39"/>
      <c r="DO167" s="39">
        <f t="shared" si="81"/>
        <v>0.59675819259250384</v>
      </c>
      <c r="DP167" s="37"/>
      <c r="DQ167" s="37">
        <f>DO167/'Conversions, Sources &amp; Comments'!E165</f>
        <v>0.6638137538180281</v>
      </c>
    </row>
    <row r="168" spans="1:121">
      <c r="A168" s="42">
        <f t="shared" si="72"/>
        <v>1416</v>
      </c>
      <c r="B168" s="36"/>
      <c r="C168" s="38">
        <v>7</v>
      </c>
      <c r="D168" s="38">
        <v>11.75</v>
      </c>
      <c r="E168" s="38">
        <v>4</v>
      </c>
      <c r="F168" s="38">
        <v>6</v>
      </c>
      <c r="G168" s="38">
        <v>2</v>
      </c>
      <c r="H168" s="38">
        <v>2.75</v>
      </c>
      <c r="I168" s="38">
        <v>3</v>
      </c>
      <c r="J168" s="38">
        <v>6</v>
      </c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8">
        <v>4.28</v>
      </c>
      <c r="V168" s="36"/>
      <c r="W168" s="36"/>
      <c r="X168" s="38">
        <v>6</v>
      </c>
      <c r="Y168" s="38">
        <v>0</v>
      </c>
      <c r="Z168" s="38">
        <v>1</v>
      </c>
      <c r="AA168" s="38">
        <v>6</v>
      </c>
      <c r="AB168" s="36"/>
      <c r="AC168" s="36"/>
      <c r="AD168" s="36"/>
      <c r="AE168" s="36"/>
      <c r="AF168" s="36"/>
      <c r="AG168" s="38">
        <v>2</v>
      </c>
      <c r="AH168" s="38">
        <v>8</v>
      </c>
      <c r="AI168" s="36"/>
      <c r="AJ168" s="36"/>
      <c r="AK168" s="36"/>
      <c r="AL168" s="36"/>
      <c r="AM168" s="36"/>
      <c r="AN168" s="36"/>
      <c r="AO168" s="38">
        <v>1</v>
      </c>
      <c r="AP168" s="38">
        <v>2.5</v>
      </c>
      <c r="AQ168" s="38">
        <v>1</v>
      </c>
      <c r="AR168" s="38">
        <v>1.5</v>
      </c>
      <c r="AS168" s="36"/>
      <c r="AT168" s="36"/>
      <c r="AU168" s="36"/>
      <c r="AV168" s="36"/>
      <c r="AW168" s="38">
        <v>2.33</v>
      </c>
      <c r="AX168" s="38">
        <v>5.9</v>
      </c>
      <c r="AY168" s="36"/>
      <c r="AZ168" s="38">
        <v>38</v>
      </c>
      <c r="BA168" s="38">
        <v>48</v>
      </c>
      <c r="BB168" s="36"/>
      <c r="BC168" s="36"/>
      <c r="BD168" s="36"/>
      <c r="BE168" s="36"/>
      <c r="BF168" s="36"/>
      <c r="BG168" s="59">
        <v>3.3333333333333335</v>
      </c>
      <c r="BH168" s="59"/>
      <c r="BI168" s="59">
        <v>9.3959396913595492E-2</v>
      </c>
      <c r="BJ168" s="59"/>
      <c r="BK168" s="36"/>
      <c r="BL168" s="36"/>
      <c r="BM168" s="36"/>
      <c r="BN168" s="38">
        <v>32</v>
      </c>
      <c r="BO168" s="36"/>
      <c r="BP168" s="39">
        <f t="shared" si="66"/>
        <v>0.89898437500000006</v>
      </c>
      <c r="BQ168" s="37"/>
      <c r="BR168" s="39">
        <f t="shared" si="67"/>
        <v>0.30534420904368159</v>
      </c>
      <c r="BS168" s="37"/>
      <c r="BT168" s="39">
        <f>BP168*12*AZ168/(24*0.9144)</f>
        <v>18.679684082458447</v>
      </c>
      <c r="BU168" s="37"/>
      <c r="BV168" s="39">
        <f t="shared" si="74"/>
        <v>0.12755893850388789</v>
      </c>
      <c r="BW168" s="37"/>
      <c r="BX168" s="39">
        <f t="shared" si="75"/>
        <v>0.12387157898481534</v>
      </c>
      <c r="BY168" s="39">
        <f t="shared" si="91"/>
        <v>2.9728843597329764</v>
      </c>
      <c r="BZ168" s="37"/>
      <c r="CA168" s="37"/>
      <c r="CB168" s="37"/>
      <c r="CC168" s="39">
        <f t="shared" si="84"/>
        <v>6.4127552083333345E-2</v>
      </c>
      <c r="CD168" s="37"/>
      <c r="CE168" s="37"/>
      <c r="CF168" s="37"/>
      <c r="CG168" s="39">
        <f t="shared" si="85"/>
        <v>2.8648952609890115</v>
      </c>
      <c r="CH168" s="39">
        <f t="shared" si="87"/>
        <v>4.6178803721185568</v>
      </c>
      <c r="CI168" s="37"/>
      <c r="CJ168" s="37"/>
      <c r="CK168" s="37"/>
      <c r="CL168" s="39">
        <f t="shared" si="90"/>
        <v>0.28767500000000001</v>
      </c>
      <c r="CM168" s="37"/>
      <c r="CN168" s="37"/>
      <c r="CO168" s="39">
        <f>0.063495+(0.016949+0.014096)*Wages!P166+1.22592*BR168</f>
        <v>0.66109433212583002</v>
      </c>
      <c r="CP168" s="39"/>
      <c r="CQ168" s="39">
        <f t="shared" si="76"/>
        <v>0.66109433212583002</v>
      </c>
      <c r="CR168" s="39">
        <f t="shared" si="89"/>
        <v>0.12755893850388789</v>
      </c>
      <c r="CS168" s="39">
        <f t="shared" si="77"/>
        <v>0.8465838509316771</v>
      </c>
      <c r="CT168" s="39">
        <f t="shared" si="78"/>
        <v>2.4368478260869568</v>
      </c>
      <c r="CU168" s="39">
        <v>1.175</v>
      </c>
      <c r="CV168" s="39">
        <f t="shared" ref="CV168:CW205" si="92">CC168</f>
        <v>6.4127552083333345E-2</v>
      </c>
      <c r="CW168" s="39">
        <v>0.17238951310861425</v>
      </c>
      <c r="CX168" s="39"/>
      <c r="CY168" s="39"/>
      <c r="CZ168" s="39">
        <f t="shared" si="68"/>
        <v>0.12387157898481534</v>
      </c>
      <c r="DA168" s="39">
        <f t="shared" si="88"/>
        <v>4.6178803721185568</v>
      </c>
      <c r="DB168" s="39">
        <f>DB$258*BT168/15.73026</f>
        <v>4.1095305712817174</v>
      </c>
      <c r="DC168" s="39">
        <f t="shared" si="69"/>
        <v>2.9728843597329764</v>
      </c>
      <c r="DD168" s="39">
        <f t="shared" si="86"/>
        <v>2.8648952609890115</v>
      </c>
      <c r="DE168" s="39">
        <v>3.5999999999999997E-2</v>
      </c>
      <c r="DF168" s="37"/>
      <c r="DG168" s="39">
        <f t="shared" si="70"/>
        <v>0.28767500000000001</v>
      </c>
      <c r="DH168" s="39">
        <f t="shared" si="71"/>
        <v>4.0751641385555812</v>
      </c>
      <c r="DI168" s="37"/>
      <c r="DJ168" s="37"/>
      <c r="DK168" s="37"/>
      <c r="DL168" s="37"/>
      <c r="DM168" s="39">
        <f t="shared" si="80"/>
        <v>0.63083463911340443</v>
      </c>
      <c r="DN168" s="39"/>
      <c r="DO168" s="39">
        <f t="shared" si="81"/>
        <v>0.63083463911340443</v>
      </c>
      <c r="DP168" s="37"/>
      <c r="DQ168" s="37">
        <f>DO168/'Conversions, Sources &amp; Comments'!E166</f>
        <v>0.70171924747124148</v>
      </c>
    </row>
    <row r="169" spans="1:121">
      <c r="A169" s="42">
        <f t="shared" si="72"/>
        <v>1417</v>
      </c>
      <c r="B169" s="36"/>
      <c r="C169" s="38">
        <v>5</v>
      </c>
      <c r="D169" s="38">
        <v>3.5</v>
      </c>
      <c r="E169" s="38">
        <v>3</v>
      </c>
      <c r="F169" s="38">
        <v>8.25</v>
      </c>
      <c r="G169" s="38">
        <v>2</v>
      </c>
      <c r="H169" s="38">
        <v>2</v>
      </c>
      <c r="I169" s="38">
        <v>4</v>
      </c>
      <c r="J169" s="38">
        <v>8.5</v>
      </c>
      <c r="K169" s="36"/>
      <c r="L169" s="36"/>
      <c r="M169" s="36"/>
      <c r="N169" s="36"/>
      <c r="O169" s="38">
        <v>11</v>
      </c>
      <c r="P169" s="38">
        <v>0</v>
      </c>
      <c r="Q169" s="36"/>
      <c r="R169" s="36"/>
      <c r="S169" s="36"/>
      <c r="T169" s="36"/>
      <c r="U169" s="38">
        <v>4.28</v>
      </c>
      <c r="V169" s="36"/>
      <c r="W169" s="36"/>
      <c r="X169" s="38">
        <v>5</v>
      </c>
      <c r="Y169" s="38">
        <v>10.5</v>
      </c>
      <c r="Z169" s="38">
        <v>1</v>
      </c>
      <c r="AA169" s="38">
        <v>5</v>
      </c>
      <c r="AB169" s="36"/>
      <c r="AC169" s="36"/>
      <c r="AD169" s="36"/>
      <c r="AE169" s="36"/>
      <c r="AF169" s="36"/>
      <c r="AG169" s="38">
        <v>8</v>
      </c>
      <c r="AH169" s="38">
        <v>0</v>
      </c>
      <c r="AI169" s="36"/>
      <c r="AJ169" s="36"/>
      <c r="AK169" s="36"/>
      <c r="AL169" s="36"/>
      <c r="AM169" s="38">
        <v>16</v>
      </c>
      <c r="AN169" s="38">
        <v>0</v>
      </c>
      <c r="AO169" s="38">
        <v>1</v>
      </c>
      <c r="AP169" s="38">
        <v>1.5</v>
      </c>
      <c r="AQ169" s="38">
        <v>1</v>
      </c>
      <c r="AR169" s="38">
        <v>0.75</v>
      </c>
      <c r="AS169" s="36"/>
      <c r="AT169" s="36"/>
      <c r="AU169" s="36"/>
      <c r="AV169" s="36"/>
      <c r="AW169" s="38">
        <v>2.33</v>
      </c>
      <c r="AX169" s="36"/>
      <c r="AY169" s="36"/>
      <c r="AZ169" s="38">
        <v>36.67</v>
      </c>
      <c r="BA169" s="38">
        <v>46.33</v>
      </c>
      <c r="BB169" s="36"/>
      <c r="BC169" s="36"/>
      <c r="BD169" s="36"/>
      <c r="BE169" s="36"/>
      <c r="BF169" s="36"/>
      <c r="BG169" s="59">
        <v>2.6666666666666665</v>
      </c>
      <c r="BH169" s="59"/>
      <c r="BI169" s="59">
        <v>7.4614815196089687E-2</v>
      </c>
      <c r="BJ169" s="59"/>
      <c r="BK169" s="36"/>
      <c r="BL169" s="36"/>
      <c r="BM169" s="36"/>
      <c r="BN169" s="38">
        <v>32</v>
      </c>
      <c r="BO169" s="36"/>
      <c r="BP169" s="39">
        <f t="shared" si="66"/>
        <v>0.89898437500000006</v>
      </c>
      <c r="BQ169" s="37"/>
      <c r="BR169" s="39">
        <f t="shared" si="67"/>
        <v>0.20249981487492197</v>
      </c>
      <c r="BS169" s="37"/>
      <c r="BT169" s="39">
        <f>BP169*12*AZ169/(24*0.9144)</f>
        <v>18.025895139572402</v>
      </c>
      <c r="BU169" s="37"/>
      <c r="BV169" s="39">
        <f t="shared" si="74"/>
        <v>0.10204715080311029</v>
      </c>
      <c r="BW169" s="37"/>
      <c r="BX169" s="39">
        <f t="shared" si="75"/>
        <v>9.8368606840881639E-2</v>
      </c>
      <c r="BY169" s="39">
        <f t="shared" si="91"/>
        <v>2.8077241175255883</v>
      </c>
      <c r="BZ169" s="37"/>
      <c r="CA169" s="37"/>
      <c r="CB169" s="39">
        <f>$BP169*(12*O169+P169)/(224*0.453592)</f>
        <v>1.1679188556093836</v>
      </c>
      <c r="CC169" s="39">
        <f t="shared" si="84"/>
        <v>6.4127552083333345E-2</v>
      </c>
      <c r="CD169" s="39">
        <f>BP169*(12*AM169+AN169)/1000</f>
        <v>0.17260500000000001</v>
      </c>
      <c r="CE169" s="37"/>
      <c r="CF169" s="37"/>
      <c r="CG169" s="39">
        <f t="shared" si="85"/>
        <v>2.6673162774725276</v>
      </c>
      <c r="CH169" s="39">
        <f t="shared" si="87"/>
        <v>4.6178803721185568</v>
      </c>
      <c r="CI169" s="37"/>
      <c r="CJ169" s="37"/>
      <c r="CK169" s="37"/>
      <c r="CL169" s="39">
        <f t="shared" si="90"/>
        <v>0.86302500000000004</v>
      </c>
      <c r="CM169" s="37"/>
      <c r="CN169" s="37"/>
      <c r="CO169" s="39">
        <f>0.063495+(0.016949+0.014096)*Wages!P167+1.22592*BR169</f>
        <v>0.53501533242646426</v>
      </c>
      <c r="CP169" s="39"/>
      <c r="CQ169" s="39">
        <f t="shared" si="76"/>
        <v>0.53501533242646426</v>
      </c>
      <c r="CR169" s="39">
        <f t="shared" si="89"/>
        <v>0.10204715080311029</v>
      </c>
      <c r="CS169" s="39">
        <f t="shared" si="77"/>
        <v>0.84148190838936954</v>
      </c>
      <c r="CT169" s="39">
        <f t="shared" si="78"/>
        <v>2.4221621483725047</v>
      </c>
      <c r="CU169" s="39">
        <f>CB169</f>
        <v>1.1679188556093836</v>
      </c>
      <c r="CV169" s="39">
        <f t="shared" si="92"/>
        <v>6.4127552083333345E-2</v>
      </c>
      <c r="CW169" s="39">
        <f>CD169</f>
        <v>0.17260500000000001</v>
      </c>
      <c r="CX169" s="39"/>
      <c r="CY169" s="39"/>
      <c r="CZ169" s="39">
        <f t="shared" si="68"/>
        <v>9.8368606840881639E-2</v>
      </c>
      <c r="DA169" s="39">
        <f t="shared" si="88"/>
        <v>4.6178803721185568</v>
      </c>
      <c r="DB169" s="39">
        <f>DB$258*BT169/15.73026</f>
        <v>3.9656970012868569</v>
      </c>
      <c r="DC169" s="39">
        <f t="shared" si="69"/>
        <v>2.8077241175255883</v>
      </c>
      <c r="DD169" s="39">
        <f t="shared" si="86"/>
        <v>2.6673162774725276</v>
      </c>
      <c r="DE169" s="39">
        <v>3.5999999999999997E-2</v>
      </c>
      <c r="DF169" s="37"/>
      <c r="DG169" s="39">
        <f t="shared" si="70"/>
        <v>0.86302500000000004</v>
      </c>
      <c r="DH169" s="39">
        <f t="shared" si="71"/>
        <v>4.0751641385555812</v>
      </c>
      <c r="DI169" s="37"/>
      <c r="DJ169" s="37"/>
      <c r="DK169" s="37"/>
      <c r="DL169" s="37"/>
      <c r="DM169" s="39">
        <f t="shared" si="80"/>
        <v>0.55654503624450258</v>
      </c>
      <c r="DN169" s="39"/>
      <c r="DO169" s="39">
        <f t="shared" si="81"/>
        <v>0.55654503624450258</v>
      </c>
      <c r="DP169" s="37"/>
      <c r="DQ169" s="37">
        <f>DO169/'Conversions, Sources &amp; Comments'!E167</f>
        <v>0.6190819904344862</v>
      </c>
    </row>
    <row r="170" spans="1:121">
      <c r="A170" s="42">
        <f t="shared" si="72"/>
        <v>1418</v>
      </c>
      <c r="B170" s="36"/>
      <c r="C170" s="38">
        <v>6</v>
      </c>
      <c r="D170" s="38">
        <v>11.5</v>
      </c>
      <c r="E170" s="38">
        <v>3</v>
      </c>
      <c r="F170" s="38">
        <v>7</v>
      </c>
      <c r="G170" s="38">
        <v>2</v>
      </c>
      <c r="H170" s="38">
        <v>0.25</v>
      </c>
      <c r="I170" s="38">
        <v>3</v>
      </c>
      <c r="J170" s="38">
        <v>0.5</v>
      </c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8">
        <v>4.28</v>
      </c>
      <c r="V170" s="36"/>
      <c r="W170" s="36"/>
      <c r="X170" s="38">
        <v>5</v>
      </c>
      <c r="Y170" s="38">
        <v>8</v>
      </c>
      <c r="Z170" s="38">
        <v>1</v>
      </c>
      <c r="AA170" s="38">
        <v>4.5</v>
      </c>
      <c r="AB170" s="36"/>
      <c r="AC170" s="36"/>
      <c r="AD170" s="36"/>
      <c r="AE170" s="36"/>
      <c r="AF170" s="36"/>
      <c r="AG170" s="38">
        <v>8</v>
      </c>
      <c r="AH170" s="38">
        <v>3</v>
      </c>
      <c r="AI170" s="38">
        <v>2</v>
      </c>
      <c r="AJ170" s="38">
        <v>2</v>
      </c>
      <c r="AK170" s="36"/>
      <c r="AL170" s="36"/>
      <c r="AM170" s="36"/>
      <c r="AN170" s="36"/>
      <c r="AO170" s="38">
        <v>1</v>
      </c>
      <c r="AP170" s="38">
        <v>2.5</v>
      </c>
      <c r="AQ170" s="36"/>
      <c r="AR170" s="36"/>
      <c r="AS170" s="36"/>
      <c r="AT170" s="36"/>
      <c r="AU170" s="36"/>
      <c r="AV170" s="36"/>
      <c r="AW170" s="38">
        <v>2.33</v>
      </c>
      <c r="AX170" s="38">
        <v>6.6</v>
      </c>
      <c r="AY170" s="36"/>
      <c r="AZ170" s="38">
        <v>36.67</v>
      </c>
      <c r="BA170" s="38">
        <v>46.33</v>
      </c>
      <c r="BB170" s="38">
        <v>42</v>
      </c>
      <c r="BC170" s="36"/>
      <c r="BD170" s="36"/>
      <c r="BE170" s="36"/>
      <c r="BF170" s="36"/>
      <c r="BG170" s="59">
        <v>3.3333333333333335</v>
      </c>
      <c r="BH170" s="59"/>
      <c r="BI170" s="59">
        <v>5.3888477641621364E-2</v>
      </c>
      <c r="BJ170" s="59"/>
      <c r="BK170" s="36"/>
      <c r="BL170" s="36"/>
      <c r="BM170" s="36"/>
      <c r="BN170" s="38">
        <v>32</v>
      </c>
      <c r="BO170" s="36"/>
      <c r="BP170" s="39">
        <f t="shared" si="66"/>
        <v>0.89898437500000006</v>
      </c>
      <c r="BQ170" s="37"/>
      <c r="BR170" s="39">
        <f t="shared" si="67"/>
        <v>0.26627928412686591</v>
      </c>
      <c r="BS170" s="37"/>
      <c r="BT170" s="39">
        <f>BP170*12*AZ170/(24*0.9144)</f>
        <v>18.025895139572402</v>
      </c>
      <c r="BU170" s="37"/>
      <c r="BV170" s="39">
        <f t="shared" si="74"/>
        <v>0.12755893850388789</v>
      </c>
      <c r="BW170" s="37"/>
      <c r="BX170" s="39">
        <f t="shared" si="75"/>
        <v>7.1043993829527002E-2</v>
      </c>
      <c r="BY170" s="39">
        <f t="shared" si="91"/>
        <v>2.7251439964218949</v>
      </c>
      <c r="BZ170" s="37"/>
      <c r="CA170" s="37"/>
      <c r="CB170" s="37"/>
      <c r="CC170" s="39">
        <f t="shared" si="84"/>
        <v>6.4127552083333345E-2</v>
      </c>
      <c r="CD170" s="37"/>
      <c r="CE170" s="37"/>
      <c r="CF170" s="37"/>
      <c r="CG170" s="39">
        <f t="shared" si="85"/>
        <v>2.8648952609890115</v>
      </c>
      <c r="CH170" s="39">
        <f t="shared" si="87"/>
        <v>4.6178803721185568</v>
      </c>
      <c r="CI170" s="37"/>
      <c r="CJ170" s="37"/>
      <c r="CK170" s="37"/>
      <c r="CL170" s="39">
        <f t="shared" si="90"/>
        <v>0.88999453125000005</v>
      </c>
      <c r="CM170" s="37"/>
      <c r="CN170" s="37"/>
      <c r="CO170" s="39">
        <f>0.063495+(0.016949+0.014096)*Wages!P168+1.22592*BR170</f>
        <v>0.61320385937180744</v>
      </c>
      <c r="CP170" s="39"/>
      <c r="CQ170" s="39">
        <f t="shared" si="76"/>
        <v>0.61320385937180744</v>
      </c>
      <c r="CR170" s="39">
        <f t="shared" si="89"/>
        <v>0.12755893850388789</v>
      </c>
      <c r="CS170" s="39">
        <f t="shared" si="77"/>
        <v>0.80695652173913046</v>
      </c>
      <c r="CT170" s="39">
        <f t="shared" si="78"/>
        <v>2.3227826086956527</v>
      </c>
      <c r="CU170" s="39">
        <v>1.1200000000000001</v>
      </c>
      <c r="CV170" s="39">
        <f t="shared" si="92"/>
        <v>6.4127552083333345E-2</v>
      </c>
      <c r="CW170" s="39">
        <v>0.16</v>
      </c>
      <c r="CX170" s="39"/>
      <c r="CY170" s="39"/>
      <c r="CZ170" s="39">
        <f t="shared" si="68"/>
        <v>7.1043993829527002E-2</v>
      </c>
      <c r="DA170" s="39">
        <f t="shared" si="88"/>
        <v>4.6178803721185568</v>
      </c>
      <c r="DB170" s="39">
        <f>DB$258*BT170/15.73026</f>
        <v>3.9656970012868569</v>
      </c>
      <c r="DC170" s="39">
        <f t="shared" si="69"/>
        <v>2.7251439964218949</v>
      </c>
      <c r="DD170" s="39">
        <f t="shared" si="86"/>
        <v>2.8648952609890115</v>
      </c>
      <c r="DE170" s="39">
        <v>3.5999999999999997E-2</v>
      </c>
      <c r="DF170" s="37"/>
      <c r="DG170" s="39">
        <f t="shared" si="70"/>
        <v>0.88999453125000005</v>
      </c>
      <c r="DH170" s="39">
        <f t="shared" si="71"/>
        <v>4.0751641385555812</v>
      </c>
      <c r="DI170" s="37"/>
      <c r="DJ170" s="37"/>
      <c r="DK170" s="37"/>
      <c r="DL170" s="37"/>
      <c r="DM170" s="39">
        <f t="shared" si="80"/>
        <v>0.57876547373998044</v>
      </c>
      <c r="DN170" s="39"/>
      <c r="DO170" s="39">
        <f t="shared" si="81"/>
        <v>0.57876547373998044</v>
      </c>
      <c r="DP170" s="37"/>
      <c r="DQ170" s="37">
        <f>DO170/'Conversions, Sources &amp; Comments'!E168</f>
        <v>0.64379925817952111</v>
      </c>
    </row>
    <row r="171" spans="1:121">
      <c r="A171" s="42">
        <f t="shared" si="72"/>
        <v>1419</v>
      </c>
      <c r="B171" s="36"/>
      <c r="C171" s="38">
        <v>4</v>
      </c>
      <c r="D171" s="38">
        <v>9.25</v>
      </c>
      <c r="E171" s="38">
        <v>4</v>
      </c>
      <c r="F171" s="38">
        <v>2.75</v>
      </c>
      <c r="G171" s="38">
        <v>2</v>
      </c>
      <c r="H171" s="38">
        <v>3.25</v>
      </c>
      <c r="I171" s="38">
        <v>2</v>
      </c>
      <c r="J171" s="38">
        <v>9.5</v>
      </c>
      <c r="K171" s="36"/>
      <c r="L171" s="36"/>
      <c r="M171" s="36"/>
      <c r="N171" s="36"/>
      <c r="O171" s="38">
        <v>10</v>
      </c>
      <c r="P171" s="38">
        <v>0</v>
      </c>
      <c r="Q171" s="36"/>
      <c r="R171" s="36"/>
      <c r="S171" s="36"/>
      <c r="T171" s="36"/>
      <c r="U171" s="38">
        <v>4.28</v>
      </c>
      <c r="V171" s="36"/>
      <c r="W171" s="36"/>
      <c r="X171" s="38">
        <v>5</v>
      </c>
      <c r="Y171" s="38">
        <v>6</v>
      </c>
      <c r="Z171" s="38">
        <v>1</v>
      </c>
      <c r="AA171" s="38">
        <v>4.5</v>
      </c>
      <c r="AB171" s="36"/>
      <c r="AC171" s="36"/>
      <c r="AD171" s="36"/>
      <c r="AE171" s="36"/>
      <c r="AF171" s="36"/>
      <c r="AG171" s="38">
        <v>5</v>
      </c>
      <c r="AH171" s="38">
        <v>0</v>
      </c>
      <c r="AI171" s="36"/>
      <c r="AJ171" s="36"/>
      <c r="AK171" s="36"/>
      <c r="AL171" s="36"/>
      <c r="AM171" s="36"/>
      <c r="AN171" s="36"/>
      <c r="AO171" s="38">
        <v>1</v>
      </c>
      <c r="AP171" s="38">
        <v>0</v>
      </c>
      <c r="AQ171" s="36"/>
      <c r="AR171" s="36"/>
      <c r="AS171" s="36"/>
      <c r="AT171" s="36"/>
      <c r="AU171" s="36"/>
      <c r="AV171" s="36"/>
      <c r="AW171" s="38">
        <v>2.33</v>
      </c>
      <c r="AX171" s="36"/>
      <c r="AY171" s="36"/>
      <c r="AZ171" s="36"/>
      <c r="BA171" s="36"/>
      <c r="BB171" s="36"/>
      <c r="BC171" s="36"/>
      <c r="BD171" s="36"/>
      <c r="BE171" s="36"/>
      <c r="BF171" s="36"/>
      <c r="BG171" s="59">
        <v>3.5</v>
      </c>
      <c r="BH171" s="59"/>
      <c r="BI171" s="59">
        <v>7.0469547685197045E-2</v>
      </c>
      <c r="BJ171" s="59"/>
      <c r="BK171" s="36"/>
      <c r="BL171" s="36"/>
      <c r="BM171" s="36"/>
      <c r="BN171" s="38">
        <v>32</v>
      </c>
      <c r="BO171" s="36"/>
      <c r="BP171" s="39">
        <f t="shared" si="66"/>
        <v>0.89898437500000006</v>
      </c>
      <c r="BQ171" s="37"/>
      <c r="BR171" s="39">
        <f t="shared" si="67"/>
        <v>0.18256873073368951</v>
      </c>
      <c r="BS171" s="37"/>
      <c r="BT171" s="37"/>
      <c r="BU171" s="37"/>
      <c r="BV171" s="39">
        <f t="shared" si="74"/>
        <v>0.13393688542908225</v>
      </c>
      <c r="BW171" s="37"/>
      <c r="BX171" s="39">
        <f t="shared" si="75"/>
        <v>9.2903684238612061E-2</v>
      </c>
      <c r="BY171" s="39">
        <f t="shared" si="91"/>
        <v>2.7251439964218949</v>
      </c>
      <c r="BZ171" s="37"/>
      <c r="CA171" s="37"/>
      <c r="CB171" s="39">
        <f>$BP171*(12*O171+P171)/(224*0.453592)</f>
        <v>1.0617444141903487</v>
      </c>
      <c r="CC171" s="39">
        <f t="shared" si="84"/>
        <v>6.4127552083333345E-2</v>
      </c>
      <c r="CD171" s="37"/>
      <c r="CE171" s="37"/>
      <c r="CF171" s="37"/>
      <c r="CG171" s="39">
        <f t="shared" si="85"/>
        <v>2.3709478021978025</v>
      </c>
      <c r="CH171" s="39">
        <f t="shared" si="87"/>
        <v>4.6178803721185568</v>
      </c>
      <c r="CI171" s="37"/>
      <c r="CJ171" s="37"/>
      <c r="CK171" s="37"/>
      <c r="CL171" s="39">
        <f t="shared" si="90"/>
        <v>0.53939062500000001</v>
      </c>
      <c r="CM171" s="37"/>
      <c r="CN171" s="37"/>
      <c r="CO171" s="39">
        <f>0.063495+(0.016949+0.014096)*Wages!P169+1.22592*BR171</f>
        <v>0.5105814177560446</v>
      </c>
      <c r="CP171" s="39"/>
      <c r="CQ171" s="39">
        <f t="shared" si="76"/>
        <v>0.5105814177560446</v>
      </c>
      <c r="CR171" s="39">
        <f t="shared" si="89"/>
        <v>0.13393688542908225</v>
      </c>
      <c r="CS171" s="39">
        <f t="shared" si="77"/>
        <v>0.7649835530812451</v>
      </c>
      <c r="CT171" s="39">
        <f t="shared" si="78"/>
        <v>2.2019655894295496</v>
      </c>
      <c r="CU171" s="39">
        <f>CB171</f>
        <v>1.0617444141903487</v>
      </c>
      <c r="CV171" s="39">
        <f t="shared" si="92"/>
        <v>6.4127552083333345E-2</v>
      </c>
      <c r="CW171" s="39">
        <v>0.16</v>
      </c>
      <c r="CX171" s="39"/>
      <c r="CY171" s="39"/>
      <c r="CZ171" s="39">
        <f t="shared" si="68"/>
        <v>9.2903684238612061E-2</v>
      </c>
      <c r="DA171" s="39">
        <f t="shared" si="88"/>
        <v>4.6178803721185568</v>
      </c>
      <c r="DB171" s="39">
        <v>3.8</v>
      </c>
      <c r="DC171" s="39">
        <f t="shared" si="69"/>
        <v>2.7251439964218949</v>
      </c>
      <c r="DD171" s="39">
        <f t="shared" si="86"/>
        <v>2.3709478021978025</v>
      </c>
      <c r="DE171" s="39">
        <v>3.5999999999999997E-2</v>
      </c>
      <c r="DF171" s="37"/>
      <c r="DG171" s="39">
        <f t="shared" si="70"/>
        <v>0.53939062500000001</v>
      </c>
      <c r="DH171" s="39">
        <f t="shared" si="71"/>
        <v>4.0751641385555812</v>
      </c>
      <c r="DI171" s="37"/>
      <c r="DJ171" s="37"/>
      <c r="DK171" s="37"/>
      <c r="DL171" s="37"/>
      <c r="DM171" s="39">
        <f t="shared" si="80"/>
        <v>0.5341705145118707</v>
      </c>
      <c r="DN171" s="39"/>
      <c r="DO171" s="39">
        <f t="shared" si="81"/>
        <v>0.5341705145118707</v>
      </c>
      <c r="DP171" s="37"/>
      <c r="DQ171" s="37">
        <f>DO171/'Conversions, Sources &amp; Comments'!E169</f>
        <v>0.59419332456347829</v>
      </c>
    </row>
    <row r="172" spans="1:121">
      <c r="A172" s="42">
        <f t="shared" si="72"/>
        <v>1420</v>
      </c>
      <c r="B172" s="36"/>
      <c r="C172" s="38">
        <v>6</v>
      </c>
      <c r="D172" s="38">
        <v>3</v>
      </c>
      <c r="E172" s="38">
        <v>3</v>
      </c>
      <c r="F172" s="38">
        <v>4</v>
      </c>
      <c r="G172" s="38">
        <v>2</v>
      </c>
      <c r="H172" s="38">
        <v>1.5</v>
      </c>
      <c r="I172" s="38">
        <v>3</v>
      </c>
      <c r="J172" s="38">
        <v>4</v>
      </c>
      <c r="K172" s="36"/>
      <c r="L172" s="36"/>
      <c r="M172" s="36"/>
      <c r="N172" s="36"/>
      <c r="O172" s="38">
        <v>8</v>
      </c>
      <c r="P172" s="38">
        <v>0</v>
      </c>
      <c r="Q172" s="36"/>
      <c r="R172" s="36"/>
      <c r="S172" s="36"/>
      <c r="T172" s="36"/>
      <c r="U172" s="38">
        <v>4.28</v>
      </c>
      <c r="V172" s="36"/>
      <c r="W172" s="36"/>
      <c r="X172" s="38">
        <v>4</v>
      </c>
      <c r="Y172" s="38">
        <v>9</v>
      </c>
      <c r="Z172" s="38">
        <v>1</v>
      </c>
      <c r="AA172" s="38">
        <v>5</v>
      </c>
      <c r="AB172" s="36"/>
      <c r="AC172" s="36"/>
      <c r="AD172" s="36"/>
      <c r="AE172" s="36"/>
      <c r="AF172" s="36"/>
      <c r="AG172" s="38">
        <v>7</v>
      </c>
      <c r="AH172" s="38">
        <v>10</v>
      </c>
      <c r="AI172" s="38">
        <v>2</v>
      </c>
      <c r="AJ172" s="38">
        <v>2</v>
      </c>
      <c r="AK172" s="36"/>
      <c r="AL172" s="36"/>
      <c r="AM172" s="36"/>
      <c r="AN172" s="36"/>
      <c r="AO172" s="38" t="s">
        <v>8</v>
      </c>
      <c r="AP172" s="36"/>
      <c r="AQ172" s="38">
        <v>0</v>
      </c>
      <c r="AR172" s="38">
        <v>8.5</v>
      </c>
      <c r="AS172" s="36"/>
      <c r="AT172" s="36"/>
      <c r="AU172" s="36"/>
      <c r="AV172" s="36"/>
      <c r="AW172" s="38">
        <v>2.33</v>
      </c>
      <c r="AX172" s="38">
        <v>6.6</v>
      </c>
      <c r="AY172" s="36"/>
      <c r="AZ172" s="36"/>
      <c r="BA172" s="36"/>
      <c r="BB172" s="38">
        <v>42</v>
      </c>
      <c r="BC172" s="36"/>
      <c r="BD172" s="36"/>
      <c r="BE172" s="36"/>
      <c r="BF172" s="36"/>
      <c r="BG172" s="59">
        <v>3.5833333333333335</v>
      </c>
      <c r="BH172" s="59"/>
      <c r="BI172" s="59">
        <v>6.9087791848231134E-2</v>
      </c>
      <c r="BJ172" s="59"/>
      <c r="BK172" s="36"/>
      <c r="BL172" s="36"/>
      <c r="BM172" s="36"/>
      <c r="BN172" s="38">
        <v>32</v>
      </c>
      <c r="BO172" s="36"/>
      <c r="BP172" s="39">
        <f t="shared" si="66"/>
        <v>0.89898437500000006</v>
      </c>
      <c r="BQ172" s="37"/>
      <c r="BR172" s="39">
        <f t="shared" si="67"/>
        <v>0.23917300969478972</v>
      </c>
      <c r="BS172" s="37"/>
      <c r="BT172" s="37"/>
      <c r="BU172" s="37"/>
      <c r="BV172" s="39">
        <f t="shared" si="74"/>
        <v>0.13712585889167947</v>
      </c>
      <c r="BW172" s="37"/>
      <c r="BX172" s="39">
        <f t="shared" si="75"/>
        <v>9.1082043371186638E-2</v>
      </c>
      <c r="BY172" s="39">
        <f t="shared" si="91"/>
        <v>2.8077241175255883</v>
      </c>
      <c r="BZ172" s="37"/>
      <c r="CA172" s="37"/>
      <c r="CB172" s="39">
        <f>$BP172*(12*O172+P172)/(224*0.453592)</f>
        <v>0.84939553135227897</v>
      </c>
      <c r="CC172" s="39">
        <f t="shared" si="84"/>
        <v>6.4127552083333345E-2</v>
      </c>
      <c r="CD172" s="37"/>
      <c r="CE172" s="37"/>
      <c r="CF172" s="37"/>
      <c r="CG172" s="37"/>
      <c r="CH172" s="39">
        <f t="shared" si="87"/>
        <v>4.6178803721185568</v>
      </c>
      <c r="CI172" s="37"/>
      <c r="CJ172" s="37"/>
      <c r="CK172" s="37"/>
      <c r="CL172" s="39">
        <f t="shared" si="90"/>
        <v>0.84504531250000003</v>
      </c>
      <c r="CM172" s="37"/>
      <c r="CN172" s="37"/>
      <c r="CO172" s="39">
        <f>0.063495+(0.016949+0.014096)*Wages!P170+1.22592*BR172</f>
        <v>0.5799737354200365</v>
      </c>
      <c r="CP172" s="39"/>
      <c r="CQ172" s="39">
        <f t="shared" si="76"/>
        <v>0.5799737354200365</v>
      </c>
      <c r="CR172" s="39">
        <f t="shared" si="89"/>
        <v>0.13712585889167947</v>
      </c>
      <c r="CS172" s="39">
        <f t="shared" si="77"/>
        <v>0.61198684246499602</v>
      </c>
      <c r="CT172" s="39">
        <f t="shared" si="78"/>
        <v>1.7615724715436396</v>
      </c>
      <c r="CU172" s="39">
        <f>CB172</f>
        <v>0.84939553135227897</v>
      </c>
      <c r="CV172" s="39">
        <f t="shared" si="92"/>
        <v>6.4127552083333345E-2</v>
      </c>
      <c r="CW172" s="39">
        <v>0.16</v>
      </c>
      <c r="CX172" s="39"/>
      <c r="CY172" s="39"/>
      <c r="CZ172" s="39">
        <f t="shared" si="68"/>
        <v>9.1082043371186638E-2</v>
      </c>
      <c r="DA172" s="39">
        <f t="shared" si="88"/>
        <v>4.6178803721185568</v>
      </c>
      <c r="DB172" s="39">
        <v>3.8</v>
      </c>
      <c r="DC172" s="39">
        <f t="shared" si="69"/>
        <v>2.8077241175255883</v>
      </c>
      <c r="DD172" s="39">
        <v>2.5</v>
      </c>
      <c r="DE172" s="39">
        <v>3.5999999999999997E-2</v>
      </c>
      <c r="DF172" s="37"/>
      <c r="DG172" s="39">
        <f t="shared" si="70"/>
        <v>0.84504531250000003</v>
      </c>
      <c r="DH172" s="39">
        <f t="shared" si="71"/>
        <v>4.0751641385555812</v>
      </c>
      <c r="DI172" s="37"/>
      <c r="DJ172" s="37"/>
      <c r="DK172" s="37"/>
      <c r="DL172" s="37"/>
      <c r="DM172" s="39">
        <f t="shared" si="80"/>
        <v>0.54776843840606071</v>
      </c>
      <c r="DN172" s="39"/>
      <c r="DO172" s="39">
        <f t="shared" si="81"/>
        <v>0.54776843840606071</v>
      </c>
      <c r="DP172" s="37"/>
      <c r="DQ172" s="37">
        <f>DO172/'Conversions, Sources &amp; Comments'!E170</f>
        <v>0.60931919801838674</v>
      </c>
    </row>
    <row r="173" spans="1:121">
      <c r="A173" s="42">
        <f t="shared" si="72"/>
        <v>1421</v>
      </c>
      <c r="B173" s="36"/>
      <c r="C173" s="38">
        <v>5</v>
      </c>
      <c r="D173" s="38">
        <v>2.75</v>
      </c>
      <c r="E173" s="38">
        <v>3</v>
      </c>
      <c r="F173" s="38">
        <v>4.25</v>
      </c>
      <c r="G173" s="38">
        <v>2</v>
      </c>
      <c r="H173" s="38">
        <v>5.25</v>
      </c>
      <c r="I173" s="38">
        <v>3</v>
      </c>
      <c r="J173" s="38">
        <v>11</v>
      </c>
      <c r="K173" s="36"/>
      <c r="L173" s="36"/>
      <c r="M173" s="36"/>
      <c r="N173" s="36"/>
      <c r="O173" s="38">
        <v>10</v>
      </c>
      <c r="P173" s="38">
        <v>0</v>
      </c>
      <c r="Q173" s="36"/>
      <c r="R173" s="36"/>
      <c r="S173" s="36"/>
      <c r="T173" s="36"/>
      <c r="U173" s="38">
        <v>4.8099999999999996</v>
      </c>
      <c r="V173" s="36"/>
      <c r="W173" s="36"/>
      <c r="X173" s="38">
        <v>5</v>
      </c>
      <c r="Y173" s="38">
        <v>9</v>
      </c>
      <c r="Z173" s="38">
        <v>1</v>
      </c>
      <c r="AA173" s="38">
        <v>6</v>
      </c>
      <c r="AB173" s="36"/>
      <c r="AC173" s="36"/>
      <c r="AD173" s="36"/>
      <c r="AE173" s="38">
        <v>0</v>
      </c>
      <c r="AF173" s="38">
        <v>9.5</v>
      </c>
      <c r="AG173" s="38">
        <v>8</v>
      </c>
      <c r="AH173" s="38">
        <v>6</v>
      </c>
      <c r="AI173" s="36"/>
      <c r="AJ173" s="36"/>
      <c r="AK173" s="36"/>
      <c r="AL173" s="36"/>
      <c r="AM173" s="36"/>
      <c r="AN173" s="36"/>
      <c r="AO173" s="38" t="s">
        <v>8</v>
      </c>
      <c r="AP173" s="36"/>
      <c r="AQ173" s="38">
        <v>0</v>
      </c>
      <c r="AR173" s="38">
        <v>10</v>
      </c>
      <c r="AS173" s="36"/>
      <c r="AT173" s="36"/>
      <c r="AU173" s="36"/>
      <c r="AV173" s="36"/>
      <c r="AW173" s="38">
        <v>2.33</v>
      </c>
      <c r="AX173" s="38">
        <v>7</v>
      </c>
      <c r="AY173" s="36"/>
      <c r="AZ173" s="38">
        <v>33.33</v>
      </c>
      <c r="BA173" s="36"/>
      <c r="BB173" s="36"/>
      <c r="BC173" s="36"/>
      <c r="BD173" s="36"/>
      <c r="BE173" s="36"/>
      <c r="BF173" s="36"/>
      <c r="BG173" s="59">
        <v>3.6666666666666665</v>
      </c>
      <c r="BH173" s="59"/>
      <c r="BI173" s="59">
        <v>6.0797256826444136E-2</v>
      </c>
      <c r="BJ173" s="59"/>
      <c r="BK173" s="36"/>
      <c r="BL173" s="36"/>
      <c r="BM173" s="36"/>
      <c r="BN173" s="38">
        <v>32</v>
      </c>
      <c r="BO173" s="36"/>
      <c r="BP173" s="39">
        <f t="shared" si="66"/>
        <v>0.89898437500000006</v>
      </c>
      <c r="BQ173" s="37"/>
      <c r="BR173" s="39">
        <f t="shared" si="67"/>
        <v>0.20010808477797409</v>
      </c>
      <c r="BS173" s="37"/>
      <c r="BT173" s="39">
        <f>BP173*12*AZ173/(24*0.9144)</f>
        <v>16.384049222851051</v>
      </c>
      <c r="BU173" s="37"/>
      <c r="BV173" s="39">
        <f t="shared" si="74"/>
        <v>0.14031483235427664</v>
      </c>
      <c r="BW173" s="37"/>
      <c r="BX173" s="39">
        <f t="shared" si="75"/>
        <v>8.0152198166645219E-2</v>
      </c>
      <c r="BY173" s="39">
        <f t="shared" si="91"/>
        <v>2.9728843597329764</v>
      </c>
      <c r="BZ173" s="37"/>
      <c r="CA173" s="37"/>
      <c r="CB173" s="39">
        <f>$BP173*(12*O173+P173)/(224*0.453592)</f>
        <v>1.0617444141903487</v>
      </c>
      <c r="CC173" s="39">
        <f t="shared" si="84"/>
        <v>7.2068580729166679E-2</v>
      </c>
      <c r="CD173" s="37"/>
      <c r="CE173" s="37"/>
      <c r="CF173" s="37"/>
      <c r="CG173" s="37"/>
      <c r="CH173" s="39">
        <f t="shared" si="87"/>
        <v>4.6178803721185568</v>
      </c>
      <c r="CI173" s="37"/>
      <c r="CJ173" s="37"/>
      <c r="CK173" s="37"/>
      <c r="CL173" s="39">
        <f t="shared" si="90"/>
        <v>0.91696406250000007</v>
      </c>
      <c r="CM173" s="37"/>
      <c r="CN173" s="37"/>
      <c r="CO173" s="39">
        <f>0.063495+(0.016949+0.014096)*Wages!P171+1.22592*BR173</f>
        <v>0.53208326266601391</v>
      </c>
      <c r="CP173" s="39"/>
      <c r="CQ173" s="39">
        <f t="shared" si="76"/>
        <v>0.53208326266601391</v>
      </c>
      <c r="CR173" s="39">
        <f t="shared" si="89"/>
        <v>0.14031483235427664</v>
      </c>
      <c r="CS173" s="39">
        <f t="shared" si="77"/>
        <v>0.7649835530812451</v>
      </c>
      <c r="CT173" s="39">
        <f t="shared" si="78"/>
        <v>2.2019655894295496</v>
      </c>
      <c r="CU173" s="39">
        <f>CB173</f>
        <v>1.0617444141903487</v>
      </c>
      <c r="CV173" s="39">
        <f t="shared" si="92"/>
        <v>7.2068580729166679E-2</v>
      </c>
      <c r="CW173" s="39">
        <v>0.16</v>
      </c>
      <c r="CX173" s="39"/>
      <c r="CY173" s="39"/>
      <c r="CZ173" s="39">
        <f t="shared" si="68"/>
        <v>8.0152198166645219E-2</v>
      </c>
      <c r="DA173" s="39">
        <f t="shared" si="88"/>
        <v>4.6178803721185568</v>
      </c>
      <c r="DB173" s="39">
        <f>DB$258*BT173/15.73026</f>
        <v>3.6044908931794635</v>
      </c>
      <c r="DC173" s="39">
        <f t="shared" si="69"/>
        <v>2.9728843597329764</v>
      </c>
      <c r="DD173" s="39">
        <v>2.5</v>
      </c>
      <c r="DE173" s="39">
        <v>3.5999999999999997E-2</v>
      </c>
      <c r="DF173" s="37"/>
      <c r="DG173" s="39">
        <f t="shared" si="70"/>
        <v>0.91696406250000007</v>
      </c>
      <c r="DH173" s="39">
        <f t="shared" si="71"/>
        <v>4.0751641385555812</v>
      </c>
      <c r="DI173" s="37"/>
      <c r="DJ173" s="37"/>
      <c r="DK173" s="37"/>
      <c r="DL173" s="37"/>
      <c r="DM173" s="39">
        <f t="shared" si="80"/>
        <v>0.53980867911205321</v>
      </c>
      <c r="DN173" s="39"/>
      <c r="DO173" s="39">
        <f t="shared" si="81"/>
        <v>0.53980867911205321</v>
      </c>
      <c r="DP173" s="37"/>
      <c r="DQ173" s="37">
        <f>DO173/'Conversions, Sources &amp; Comments'!E171</f>
        <v>0.60046502934164259</v>
      </c>
    </row>
    <row r="174" spans="1:121">
      <c r="A174" s="42">
        <f t="shared" si="72"/>
        <v>1422</v>
      </c>
      <c r="B174" s="36"/>
      <c r="C174" s="38">
        <v>4</v>
      </c>
      <c r="D174" s="38">
        <v>4</v>
      </c>
      <c r="E174" s="38">
        <v>3</v>
      </c>
      <c r="F174" s="38">
        <v>8.75</v>
      </c>
      <c r="G174" s="38">
        <v>2</v>
      </c>
      <c r="H174" s="38">
        <v>2.25</v>
      </c>
      <c r="I174" s="38">
        <v>3</v>
      </c>
      <c r="J174" s="38">
        <v>0.5</v>
      </c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8">
        <v>4.8099999999999996</v>
      </c>
      <c r="V174" s="36"/>
      <c r="W174" s="36"/>
      <c r="X174" s="38">
        <v>5</v>
      </c>
      <c r="Y174" s="38">
        <v>0</v>
      </c>
      <c r="Z174" s="38">
        <v>1</v>
      </c>
      <c r="AA174" s="38">
        <v>6</v>
      </c>
      <c r="AB174" s="36"/>
      <c r="AC174" s="36"/>
      <c r="AD174" s="36"/>
      <c r="AE174" s="38">
        <v>0</v>
      </c>
      <c r="AF174" s="38">
        <v>9.5</v>
      </c>
      <c r="AG174" s="38">
        <v>8</v>
      </c>
      <c r="AH174" s="38">
        <v>4</v>
      </c>
      <c r="AI174" s="36"/>
      <c r="AJ174" s="36"/>
      <c r="AK174" s="36"/>
      <c r="AL174" s="36"/>
      <c r="AM174" s="36"/>
      <c r="AN174" s="36"/>
      <c r="AO174" s="38" t="s">
        <v>8</v>
      </c>
      <c r="AP174" s="36"/>
      <c r="AQ174" s="36"/>
      <c r="AR174" s="36"/>
      <c r="AS174" s="36"/>
      <c r="AT174" s="36"/>
      <c r="AU174" s="36"/>
      <c r="AV174" s="36"/>
      <c r="AW174" s="38">
        <v>2.33</v>
      </c>
      <c r="AX174" s="36"/>
      <c r="AY174" s="36"/>
      <c r="AZ174" s="36"/>
      <c r="BA174" s="36"/>
      <c r="BB174" s="36"/>
      <c r="BC174" s="36"/>
      <c r="BD174" s="36"/>
      <c r="BE174" s="36"/>
      <c r="BF174" s="36"/>
      <c r="BG174" s="59">
        <v>4</v>
      </c>
      <c r="BH174" s="59"/>
      <c r="BI174" s="59">
        <v>7.7378326870019817E-2</v>
      </c>
      <c r="BJ174" s="59"/>
      <c r="BK174" s="36"/>
      <c r="BL174" s="36"/>
      <c r="BM174" s="36"/>
      <c r="BN174" s="38">
        <v>32</v>
      </c>
      <c r="BO174" s="36"/>
      <c r="BP174" s="39">
        <f t="shared" si="66"/>
        <v>0.89898437500000006</v>
      </c>
      <c r="BQ174" s="37"/>
      <c r="BR174" s="39">
        <f t="shared" si="67"/>
        <v>0.16582662005505422</v>
      </c>
      <c r="BS174" s="37"/>
      <c r="BT174" s="37"/>
      <c r="BU174" s="37"/>
      <c r="BV174" s="39">
        <f t="shared" si="74"/>
        <v>0.15307072620466544</v>
      </c>
      <c r="BW174" s="37"/>
      <c r="BX174" s="39">
        <f t="shared" si="75"/>
        <v>0.10201188857573026</v>
      </c>
      <c r="BY174" s="39">
        <f t="shared" si="91"/>
        <v>2.9728843597329764</v>
      </c>
      <c r="BZ174" s="37"/>
      <c r="CA174" s="37"/>
      <c r="CB174" s="37"/>
      <c r="CC174" s="39">
        <f t="shared" si="84"/>
        <v>7.2068580729166679E-2</v>
      </c>
      <c r="CD174" s="37"/>
      <c r="CE174" s="37"/>
      <c r="CF174" s="37"/>
      <c r="CG174" s="37"/>
      <c r="CH174" s="39">
        <f t="shared" si="87"/>
        <v>4.6178803721185568</v>
      </c>
      <c r="CI174" s="37"/>
      <c r="CJ174" s="37"/>
      <c r="CK174" s="37"/>
      <c r="CL174" s="39">
        <f t="shared" si="90"/>
        <v>0.89898437499999995</v>
      </c>
      <c r="CM174" s="37"/>
      <c r="CN174" s="37"/>
      <c r="CO174" s="39">
        <f>0.063495+(0.016949+0.014096)*Wages!P172+1.22592*BR174</f>
        <v>0.49005692943289203</v>
      </c>
      <c r="CP174" s="39"/>
      <c r="CQ174" s="39">
        <f t="shared" si="76"/>
        <v>0.49005692943289203</v>
      </c>
      <c r="CR174" s="39">
        <f t="shared" si="89"/>
        <v>0.15307072620466544</v>
      </c>
      <c r="CS174" s="39">
        <f t="shared" si="77"/>
        <v>0.72049689440993792</v>
      </c>
      <c r="CT174" s="39">
        <f t="shared" si="78"/>
        <v>2.0739130434782611</v>
      </c>
      <c r="CU174" s="39">
        <v>1</v>
      </c>
      <c r="CV174" s="39">
        <f t="shared" si="92"/>
        <v>7.2068580729166679E-2</v>
      </c>
      <c r="CW174" s="39">
        <v>0.16</v>
      </c>
      <c r="CX174" s="39"/>
      <c r="CY174" s="39"/>
      <c r="CZ174" s="39">
        <f t="shared" si="68"/>
        <v>0.10201188857573026</v>
      </c>
      <c r="DA174" s="39">
        <f t="shared" si="88"/>
        <v>4.6178803721185568</v>
      </c>
      <c r="DB174" s="39">
        <v>3.6</v>
      </c>
      <c r="DC174" s="39">
        <f t="shared" si="69"/>
        <v>2.9728843597329764</v>
      </c>
      <c r="DD174" s="39">
        <v>2.5</v>
      </c>
      <c r="DE174" s="39">
        <v>3.5999999999999997E-2</v>
      </c>
      <c r="DF174" s="37"/>
      <c r="DG174" s="39">
        <f t="shared" si="70"/>
        <v>0.89898437499999995</v>
      </c>
      <c r="DH174" s="39">
        <f t="shared" si="71"/>
        <v>4.0751641385555812</v>
      </c>
      <c r="DI174" s="37"/>
      <c r="DJ174" s="37"/>
      <c r="DK174" s="37"/>
      <c r="DL174" s="37"/>
      <c r="DM174" s="39">
        <f t="shared" si="80"/>
        <v>0.52734039637739472</v>
      </c>
      <c r="DN174" s="39"/>
      <c r="DO174" s="39">
        <f t="shared" si="81"/>
        <v>0.52734039637739472</v>
      </c>
      <c r="DP174" s="37"/>
      <c r="DQ174" s="37">
        <f>DO174/'Conversions, Sources &amp; Comments'!E172</f>
        <v>0.58659573074047555</v>
      </c>
    </row>
    <row r="175" spans="1:121">
      <c r="A175" s="42">
        <f t="shared" si="72"/>
        <v>1423</v>
      </c>
      <c r="B175" s="36"/>
      <c r="C175" s="38">
        <v>4</v>
      </c>
      <c r="D175" s="38">
        <v>5.5</v>
      </c>
      <c r="E175" s="38">
        <v>3</v>
      </c>
      <c r="F175" s="38">
        <v>5</v>
      </c>
      <c r="G175" s="38">
        <v>1</v>
      </c>
      <c r="H175" s="38">
        <v>11.25</v>
      </c>
      <c r="I175" s="38">
        <v>3</v>
      </c>
      <c r="J175" s="38">
        <v>6</v>
      </c>
      <c r="K175" s="36"/>
      <c r="L175" s="36"/>
      <c r="M175" s="36"/>
      <c r="N175" s="36"/>
      <c r="O175" s="38">
        <v>9</v>
      </c>
      <c r="P175" s="38">
        <v>0</v>
      </c>
      <c r="Q175" s="36"/>
      <c r="R175" s="36"/>
      <c r="S175" s="36"/>
      <c r="T175" s="36"/>
      <c r="U175" s="38">
        <v>4.8099999999999996</v>
      </c>
      <c r="V175" s="36"/>
      <c r="W175" s="36"/>
      <c r="X175" s="36"/>
      <c r="Y175" s="36"/>
      <c r="Z175" s="38">
        <v>1</v>
      </c>
      <c r="AA175" s="38">
        <v>3</v>
      </c>
      <c r="AB175" s="36"/>
      <c r="AC175" s="36"/>
      <c r="AD175" s="36"/>
      <c r="AE175" s="38">
        <v>0</v>
      </c>
      <c r="AF175" s="38">
        <v>9.5</v>
      </c>
      <c r="AG175" s="38">
        <v>8</v>
      </c>
      <c r="AH175" s="38">
        <v>8</v>
      </c>
      <c r="AI175" s="38">
        <v>2</v>
      </c>
      <c r="AJ175" s="38">
        <v>1</v>
      </c>
      <c r="AK175" s="36"/>
      <c r="AL175" s="36"/>
      <c r="AM175" s="36"/>
      <c r="AN175" s="36"/>
      <c r="AO175" s="38" t="s">
        <v>8</v>
      </c>
      <c r="AP175" s="36"/>
      <c r="AQ175" s="38">
        <v>1</v>
      </c>
      <c r="AR175" s="38">
        <v>4</v>
      </c>
      <c r="AS175" s="36"/>
      <c r="AT175" s="36"/>
      <c r="AU175" s="36"/>
      <c r="AV175" s="36"/>
      <c r="AW175" s="38">
        <v>2.33</v>
      </c>
      <c r="AX175" s="36"/>
      <c r="AY175" s="36"/>
      <c r="AZ175" s="38">
        <v>34</v>
      </c>
      <c r="BA175" s="38">
        <v>46</v>
      </c>
      <c r="BB175" s="36"/>
      <c r="BC175" s="36"/>
      <c r="BD175" s="36"/>
      <c r="BE175" s="36"/>
      <c r="BF175" s="36"/>
      <c r="BG175" s="59">
        <v>4</v>
      </c>
      <c r="BH175" s="59"/>
      <c r="BI175" s="59">
        <v>7.0469547685197045E-2</v>
      </c>
      <c r="BJ175" s="59"/>
      <c r="BK175" s="36"/>
      <c r="BL175" s="36"/>
      <c r="BM175" s="36"/>
      <c r="BN175" s="38">
        <v>32</v>
      </c>
      <c r="BO175" s="36"/>
      <c r="BP175" s="39">
        <f t="shared" si="66"/>
        <v>0.89898437500000006</v>
      </c>
      <c r="BQ175" s="37"/>
      <c r="BR175" s="39">
        <f t="shared" si="67"/>
        <v>0.17061008024895002</v>
      </c>
      <c r="BS175" s="37"/>
      <c r="BT175" s="39">
        <f>BP175*12*AZ175/(24*0.9144)</f>
        <v>16.713401547462819</v>
      </c>
      <c r="BU175" s="37"/>
      <c r="BV175" s="39">
        <f t="shared" si="74"/>
        <v>0.15307072620466544</v>
      </c>
      <c r="BW175" s="37"/>
      <c r="BX175" s="39">
        <f t="shared" si="75"/>
        <v>9.2903684238612061E-2</v>
      </c>
      <c r="BY175" s="39">
        <f t="shared" si="91"/>
        <v>2.4774036331108134</v>
      </c>
      <c r="BZ175" s="37"/>
      <c r="CA175" s="37"/>
      <c r="CB175" s="39">
        <f>$BP175*(12*O175+P175)/(224*0.453592)</f>
        <v>0.95556997277131384</v>
      </c>
      <c r="CC175" s="39">
        <f t="shared" si="84"/>
        <v>7.2068580729166679E-2</v>
      </c>
      <c r="CD175" s="37"/>
      <c r="CE175" s="37"/>
      <c r="CF175" s="37"/>
      <c r="CG175" s="37"/>
      <c r="CH175" s="39">
        <f t="shared" si="87"/>
        <v>4.6178803721185568</v>
      </c>
      <c r="CI175" s="37"/>
      <c r="CJ175" s="37"/>
      <c r="CK175" s="37"/>
      <c r="CL175" s="39">
        <f t="shared" si="90"/>
        <v>0.93494375000000007</v>
      </c>
      <c r="CM175" s="37"/>
      <c r="CN175" s="37"/>
      <c r="CO175" s="39">
        <f>0.063495+(0.016949+0.014096)*Wages!P173+1.22592*BR175</f>
        <v>0.49592106895379273</v>
      </c>
      <c r="CP175" s="39"/>
      <c r="CQ175" s="39">
        <f t="shared" si="76"/>
        <v>0.49592106895379273</v>
      </c>
      <c r="CR175" s="39">
        <f t="shared" si="89"/>
        <v>0.15307072620466544</v>
      </c>
      <c r="CS175" s="39">
        <f t="shared" si="77"/>
        <v>0.68848519777312045</v>
      </c>
      <c r="CT175" s="39">
        <f t="shared" si="78"/>
        <v>1.9817690304865945</v>
      </c>
      <c r="CU175" s="39">
        <f>CB175</f>
        <v>0.95556997277131384</v>
      </c>
      <c r="CV175" s="39">
        <f t="shared" si="92"/>
        <v>7.2068580729166679E-2</v>
      </c>
      <c r="CW175" s="39">
        <v>0.16</v>
      </c>
      <c r="CX175" s="39"/>
      <c r="CY175" s="39"/>
      <c r="CZ175" s="39">
        <f t="shared" si="68"/>
        <v>9.2903684238612061E-2</v>
      </c>
      <c r="DA175" s="39">
        <f t="shared" si="88"/>
        <v>4.6178803721185568</v>
      </c>
      <c r="DB175" s="39">
        <f>DB$258*BT175/15.73026</f>
        <v>3.6769484058836412</v>
      </c>
      <c r="DC175" s="39">
        <f t="shared" si="69"/>
        <v>2.4774036331108134</v>
      </c>
      <c r="DD175" s="39">
        <v>2.5</v>
      </c>
      <c r="DE175" s="39">
        <v>3.5999999999999997E-2</v>
      </c>
      <c r="DF175" s="37"/>
      <c r="DG175" s="39">
        <f t="shared" si="70"/>
        <v>0.93494375000000007</v>
      </c>
      <c r="DH175" s="39">
        <f t="shared" si="71"/>
        <v>4.0751641385555812</v>
      </c>
      <c r="DI175" s="37"/>
      <c r="DJ175" s="37"/>
      <c r="DK175" s="37"/>
      <c r="DL175" s="37"/>
      <c r="DM175" s="39">
        <f t="shared" si="80"/>
        <v>0.5200219430343157</v>
      </c>
      <c r="DN175" s="39"/>
      <c r="DO175" s="39">
        <f t="shared" si="81"/>
        <v>0.5200219430343157</v>
      </c>
      <c r="DP175" s="37"/>
      <c r="DQ175" s="37">
        <f>DO175/'Conversions, Sources &amp; Comments'!E173</f>
        <v>0.57845492924647957</v>
      </c>
    </row>
    <row r="176" spans="1:121">
      <c r="A176" s="42">
        <f t="shared" si="72"/>
        <v>1424</v>
      </c>
      <c r="B176" s="36"/>
      <c r="C176" s="38">
        <v>4</v>
      </c>
      <c r="D176" s="38">
        <v>11.25</v>
      </c>
      <c r="E176" s="38">
        <v>3</v>
      </c>
      <c r="F176" s="38">
        <v>3.5</v>
      </c>
      <c r="G176" s="38">
        <v>1</v>
      </c>
      <c r="H176" s="38">
        <v>11.25</v>
      </c>
      <c r="I176" s="38">
        <v>3</v>
      </c>
      <c r="J176" s="38">
        <v>10.75</v>
      </c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8">
        <v>4.8099999999999996</v>
      </c>
      <c r="V176" s="36"/>
      <c r="W176" s="36"/>
      <c r="X176" s="38">
        <v>5</v>
      </c>
      <c r="Y176" s="38">
        <v>7.5</v>
      </c>
      <c r="Z176" s="38">
        <v>1</v>
      </c>
      <c r="AA176" s="38">
        <v>6</v>
      </c>
      <c r="AB176" s="36"/>
      <c r="AC176" s="38">
        <v>1</v>
      </c>
      <c r="AD176" s="38">
        <v>4</v>
      </c>
      <c r="AE176" s="38">
        <v>0</v>
      </c>
      <c r="AF176" s="38">
        <v>9.5</v>
      </c>
      <c r="AG176" s="38">
        <v>8</v>
      </c>
      <c r="AH176" s="38">
        <v>4</v>
      </c>
      <c r="AI176" s="36"/>
      <c r="AJ176" s="36"/>
      <c r="AK176" s="36"/>
      <c r="AL176" s="36"/>
      <c r="AM176" s="38">
        <v>14</v>
      </c>
      <c r="AN176" s="38">
        <v>0</v>
      </c>
      <c r="AO176" s="38">
        <v>1</v>
      </c>
      <c r="AP176" s="38">
        <v>2.5</v>
      </c>
      <c r="AQ176" s="36"/>
      <c r="AR176" s="36"/>
      <c r="AS176" s="36"/>
      <c r="AT176" s="36"/>
      <c r="AU176" s="36"/>
      <c r="AV176" s="36"/>
      <c r="AW176" s="38">
        <v>2.33</v>
      </c>
      <c r="AX176" s="38">
        <v>5</v>
      </c>
      <c r="AY176" s="36"/>
      <c r="AZ176" s="38">
        <v>36</v>
      </c>
      <c r="BA176" s="38">
        <v>47</v>
      </c>
      <c r="BB176" s="38">
        <v>42.6</v>
      </c>
      <c r="BC176" s="36"/>
      <c r="BD176" s="36"/>
      <c r="BE176" s="36"/>
      <c r="BF176" s="36"/>
      <c r="BG176" s="59">
        <v>4</v>
      </c>
      <c r="BH176" s="59"/>
      <c r="BI176" s="59">
        <v>7.4614815196089687E-2</v>
      </c>
      <c r="BJ176" s="59"/>
      <c r="BK176" s="36"/>
      <c r="BL176" s="36"/>
      <c r="BM176" s="36"/>
      <c r="BN176" s="38">
        <v>32</v>
      </c>
      <c r="BO176" s="36"/>
      <c r="BP176" s="39">
        <f t="shared" si="66"/>
        <v>0.89898437500000006</v>
      </c>
      <c r="BQ176" s="37"/>
      <c r="BR176" s="39">
        <f t="shared" si="67"/>
        <v>0.18894667765888387</v>
      </c>
      <c r="BS176" s="37"/>
      <c r="BT176" s="39">
        <f>BP176*12*AZ176/(24*0.9144)</f>
        <v>17.696542814960633</v>
      </c>
      <c r="BU176" s="37"/>
      <c r="BV176" s="39">
        <f t="shared" si="74"/>
        <v>0.15307072620466544</v>
      </c>
      <c r="BW176" s="37"/>
      <c r="BX176" s="39">
        <f t="shared" si="75"/>
        <v>9.8368606840881639E-2</v>
      </c>
      <c r="BY176" s="39">
        <f t="shared" si="91"/>
        <v>2.9728843597329764</v>
      </c>
      <c r="BZ176" s="37"/>
      <c r="CA176" s="37"/>
      <c r="CB176" s="37"/>
      <c r="CC176" s="39">
        <f t="shared" si="84"/>
        <v>7.2068580729166679E-2</v>
      </c>
      <c r="CD176" s="39">
        <f>BP176*(12*AM176+AN176)/1000</f>
        <v>0.15102937500000002</v>
      </c>
      <c r="CE176" s="37"/>
      <c r="CF176" s="37"/>
      <c r="CG176" s="39">
        <f t="shared" ref="CG176:CG186" si="93">BP176*(12*AO176+AP176)/4.55</f>
        <v>2.8648952609890115</v>
      </c>
      <c r="CH176" s="39">
        <f t="shared" si="87"/>
        <v>4.6178803721185568</v>
      </c>
      <c r="CI176" s="37"/>
      <c r="CJ176" s="37"/>
      <c r="CK176" s="39">
        <f>BP176*(12*AC176+AD176)/(35.238*8)</f>
        <v>5.1023575401555145E-2</v>
      </c>
      <c r="CL176" s="39">
        <f t="shared" si="90"/>
        <v>0.89898437499999995</v>
      </c>
      <c r="CM176" s="39">
        <f>BP176*(12*$AC176+$AD176)/(35.238*8)/0.283</f>
        <v>0.1802953194401242</v>
      </c>
      <c r="CN176" s="37"/>
      <c r="CO176" s="39">
        <f>0.063495+(0.016949+0.014096)*Wages!P174+1.22592*BR176</f>
        <v>0.51840027045057879</v>
      </c>
      <c r="CP176" s="39"/>
      <c r="CQ176" s="39">
        <f t="shared" si="76"/>
        <v>0.51840027045057879</v>
      </c>
      <c r="CR176" s="39">
        <f t="shared" si="89"/>
        <v>0.15307072620466544</v>
      </c>
      <c r="CS176" s="39">
        <f t="shared" si="77"/>
        <v>0.70608695652173903</v>
      </c>
      <c r="CT176" s="39">
        <f t="shared" si="78"/>
        <v>2.0324347826086959</v>
      </c>
      <c r="CU176" s="39">
        <v>0.98</v>
      </c>
      <c r="CV176" s="39">
        <f t="shared" si="92"/>
        <v>7.2068580729166679E-2</v>
      </c>
      <c r="CW176" s="39">
        <f>CD176</f>
        <v>0.15102937500000002</v>
      </c>
      <c r="CX176" s="39"/>
      <c r="CY176" s="39"/>
      <c r="CZ176" s="39">
        <f t="shared" si="68"/>
        <v>9.8368606840881639E-2</v>
      </c>
      <c r="DA176" s="39">
        <f t="shared" si="88"/>
        <v>4.6178803721185568</v>
      </c>
      <c r="DB176" s="39">
        <f>DB$258*BT176/15.73026</f>
        <v>3.8932394885826791</v>
      </c>
      <c r="DC176" s="39">
        <f t="shared" si="69"/>
        <v>2.9728843597329764</v>
      </c>
      <c r="DD176" s="39">
        <f t="shared" ref="DD176:DD186" si="94">CG176</f>
        <v>2.8648952609890115</v>
      </c>
      <c r="DE176" s="39">
        <f>CK176</f>
        <v>5.1023575401555145E-2</v>
      </c>
      <c r="DF176" s="37"/>
      <c r="DG176" s="39">
        <f t="shared" si="70"/>
        <v>0.89898437499999995</v>
      </c>
      <c r="DH176" s="39">
        <f t="shared" si="71"/>
        <v>5.7758179082584498</v>
      </c>
      <c r="DI176" s="37"/>
      <c r="DJ176" s="37"/>
      <c r="DK176" s="37"/>
      <c r="DL176" s="37"/>
      <c r="DM176" s="39">
        <f t="shared" si="80"/>
        <v>0.56281715110779229</v>
      </c>
      <c r="DN176" s="39"/>
      <c r="DO176" s="39">
        <f t="shared" si="81"/>
        <v>0.56281715110779229</v>
      </c>
      <c r="DP176" s="37"/>
      <c r="DQ176" s="37">
        <f>DO176/'Conversions, Sources &amp; Comments'!E174</f>
        <v>0.6260588801755228</v>
      </c>
    </row>
    <row r="177" spans="1:121">
      <c r="A177" s="42">
        <f t="shared" si="72"/>
        <v>1425</v>
      </c>
      <c r="B177" s="36"/>
      <c r="C177" s="38">
        <v>4</v>
      </c>
      <c r="D177" s="38">
        <v>0.25</v>
      </c>
      <c r="E177" s="38">
        <v>3</v>
      </c>
      <c r="F177" s="38">
        <v>1.5</v>
      </c>
      <c r="G177" s="38">
        <v>1</v>
      </c>
      <c r="H177" s="38">
        <v>10.5</v>
      </c>
      <c r="I177" s="38">
        <v>3</v>
      </c>
      <c r="J177" s="38">
        <v>0</v>
      </c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8">
        <v>4.8099999999999996</v>
      </c>
      <c r="V177" s="36"/>
      <c r="W177" s="36"/>
      <c r="X177" s="36"/>
      <c r="Y177" s="36"/>
      <c r="Z177" s="38">
        <v>1</v>
      </c>
      <c r="AA177" s="38">
        <v>6.25</v>
      </c>
      <c r="AB177" s="36"/>
      <c r="AC177" s="38">
        <v>0</v>
      </c>
      <c r="AD177" s="38">
        <v>10</v>
      </c>
      <c r="AE177" s="38">
        <v>0</v>
      </c>
      <c r="AF177" s="38">
        <v>9.5</v>
      </c>
      <c r="AG177" s="38">
        <v>7</v>
      </c>
      <c r="AH177" s="38">
        <v>5</v>
      </c>
      <c r="AI177" s="36"/>
      <c r="AJ177" s="36"/>
      <c r="AK177" s="36"/>
      <c r="AL177" s="36"/>
      <c r="AM177" s="38">
        <v>14</v>
      </c>
      <c r="AN177" s="38">
        <v>4</v>
      </c>
      <c r="AO177" s="38">
        <v>1</v>
      </c>
      <c r="AP177" s="38">
        <v>3.5</v>
      </c>
      <c r="AQ177" s="38">
        <v>1</v>
      </c>
      <c r="AR177" s="38">
        <v>0.5</v>
      </c>
      <c r="AS177" s="36"/>
      <c r="AT177" s="36"/>
      <c r="AU177" s="36"/>
      <c r="AV177" s="38">
        <v>40</v>
      </c>
      <c r="AW177" s="38">
        <v>2.33</v>
      </c>
      <c r="AX177" s="38">
        <v>4.2</v>
      </c>
      <c r="AY177" s="36"/>
      <c r="AZ177" s="36"/>
      <c r="BA177" s="36"/>
      <c r="BB177" s="38">
        <v>42.6</v>
      </c>
      <c r="BC177" s="36"/>
      <c r="BD177" s="36"/>
      <c r="BE177" s="36"/>
      <c r="BF177" s="36"/>
      <c r="BG177" s="59">
        <v>3.5</v>
      </c>
      <c r="BH177" s="59"/>
      <c r="BI177" s="59">
        <v>7.4614815196089687E-2</v>
      </c>
      <c r="BJ177" s="59"/>
      <c r="BK177" s="36"/>
      <c r="BL177" s="36"/>
      <c r="BM177" s="36"/>
      <c r="BN177" s="38">
        <v>32</v>
      </c>
      <c r="BO177" s="36"/>
      <c r="BP177" s="39">
        <f t="shared" si="66"/>
        <v>0.89898437500000006</v>
      </c>
      <c r="BQ177" s="37"/>
      <c r="BR177" s="39">
        <f t="shared" si="67"/>
        <v>0.15386796957031473</v>
      </c>
      <c r="BS177" s="37"/>
      <c r="BT177" s="37"/>
      <c r="BU177" s="37"/>
      <c r="BV177" s="39">
        <f t="shared" si="74"/>
        <v>0.13393688542908225</v>
      </c>
      <c r="BW177" s="37"/>
      <c r="BX177" s="39">
        <f t="shared" si="75"/>
        <v>9.8368606840881639E-2</v>
      </c>
      <c r="BY177" s="39">
        <f t="shared" si="91"/>
        <v>3.0141744202848231</v>
      </c>
      <c r="BZ177" s="37"/>
      <c r="CA177" s="37"/>
      <c r="CB177" s="37"/>
      <c r="CC177" s="39">
        <f t="shared" si="84"/>
        <v>7.2068580729166679E-2</v>
      </c>
      <c r="CD177" s="39">
        <f>BP177*(12*AM177+AN177)/1000</f>
        <v>0.1546253125</v>
      </c>
      <c r="CE177" s="39">
        <f>$BP177*12*AV177/120</f>
        <v>3.5959375000000002</v>
      </c>
      <c r="CF177" s="37"/>
      <c r="CG177" s="39">
        <f t="shared" si="93"/>
        <v>3.0624742445054949</v>
      </c>
      <c r="CH177" s="39">
        <f t="shared" si="87"/>
        <v>4.6178803721185568</v>
      </c>
      <c r="CI177" s="37"/>
      <c r="CJ177" s="37"/>
      <c r="CK177" s="39">
        <f>BP177*(12*AC177+AD177)/(35.238*8)</f>
        <v>3.1889734625971965E-2</v>
      </c>
      <c r="CL177" s="39">
        <f t="shared" si="90"/>
        <v>0.80009609375000013</v>
      </c>
      <c r="CM177" s="39">
        <f>BP177*(12*$AC177+$AD177)/(35.238*8)/0.283</f>
        <v>0.11268457465007763</v>
      </c>
      <c r="CN177" s="37"/>
      <c r="CO177" s="39">
        <f>0.063495+(0.016949+0.014096)*Wages!P175+1.22592*BR177</f>
        <v>0.47539658063064016</v>
      </c>
      <c r="CP177" s="39"/>
      <c r="CQ177" s="39">
        <f t="shared" si="76"/>
        <v>0.47539658063064016</v>
      </c>
      <c r="CR177" s="39">
        <f t="shared" si="89"/>
        <v>0.13393688542908225</v>
      </c>
      <c r="CS177" s="39">
        <f t="shared" si="77"/>
        <v>0.70608695652173903</v>
      </c>
      <c r="CT177" s="39">
        <f t="shared" si="78"/>
        <v>2.0324347826086959</v>
      </c>
      <c r="CU177" s="39">
        <v>0.98</v>
      </c>
      <c r="CV177" s="39">
        <f t="shared" si="92"/>
        <v>7.2068580729166679E-2</v>
      </c>
      <c r="CW177" s="39">
        <f>CD177</f>
        <v>0.1546253125</v>
      </c>
      <c r="CX177" s="39"/>
      <c r="CY177" s="39"/>
      <c r="CZ177" s="39">
        <f t="shared" si="68"/>
        <v>9.8368606840881639E-2</v>
      </c>
      <c r="DA177" s="39">
        <f t="shared" si="88"/>
        <v>4.6178803721185568</v>
      </c>
      <c r="DB177" s="39">
        <v>4</v>
      </c>
      <c r="DC177" s="39">
        <f t="shared" si="69"/>
        <v>3.0141744202848231</v>
      </c>
      <c r="DD177" s="39">
        <f t="shared" si="94"/>
        <v>3.0624742445054949</v>
      </c>
      <c r="DE177" s="39">
        <f>CK177</f>
        <v>3.1889734625971965E-2</v>
      </c>
      <c r="DF177" s="37"/>
      <c r="DG177" s="39">
        <f t="shared" si="70"/>
        <v>0.80009609375000013</v>
      </c>
      <c r="DH177" s="39">
        <f t="shared" si="71"/>
        <v>3.6098861926615311</v>
      </c>
      <c r="DI177" s="37"/>
      <c r="DJ177" s="37"/>
      <c r="DK177" s="37"/>
      <c r="DL177" s="37"/>
      <c r="DM177" s="39">
        <f t="shared" si="80"/>
        <v>0.51823656366830528</v>
      </c>
      <c r="DN177" s="39"/>
      <c r="DO177" s="39">
        <f t="shared" si="81"/>
        <v>0.51823656366830528</v>
      </c>
      <c r="DP177" s="37"/>
      <c r="DQ177" s="37">
        <f>DO177/'Conversions, Sources &amp; Comments'!E175</f>
        <v>0.57646893325404602</v>
      </c>
    </row>
    <row r="178" spans="1:121">
      <c r="A178" s="42">
        <f t="shared" si="72"/>
        <v>1426</v>
      </c>
      <c r="B178" s="36"/>
      <c r="C178" s="38">
        <v>3</v>
      </c>
      <c r="D178" s="38">
        <v>11.25</v>
      </c>
      <c r="E178" s="38">
        <v>3</v>
      </c>
      <c r="F178" s="38">
        <v>3.75</v>
      </c>
      <c r="G178" s="38">
        <v>1</v>
      </c>
      <c r="H178" s="38">
        <v>11.5</v>
      </c>
      <c r="I178" s="38">
        <v>3</v>
      </c>
      <c r="J178" s="38">
        <v>6</v>
      </c>
      <c r="K178" s="36"/>
      <c r="L178" s="36"/>
      <c r="M178" s="36"/>
      <c r="N178" s="36"/>
      <c r="O178" s="38">
        <v>9</v>
      </c>
      <c r="P178" s="38">
        <v>4</v>
      </c>
      <c r="Q178" s="36"/>
      <c r="R178" s="36"/>
      <c r="S178" s="36"/>
      <c r="T178" s="36"/>
      <c r="U178" s="38">
        <v>4.8099999999999996</v>
      </c>
      <c r="V178" s="36"/>
      <c r="W178" s="36"/>
      <c r="X178" s="38">
        <v>5</v>
      </c>
      <c r="Y178" s="38">
        <v>9</v>
      </c>
      <c r="Z178" s="38">
        <v>1</v>
      </c>
      <c r="AA178" s="38">
        <v>6</v>
      </c>
      <c r="AB178" s="36"/>
      <c r="AC178" s="36"/>
      <c r="AD178" s="36"/>
      <c r="AE178" s="38">
        <v>0</v>
      </c>
      <c r="AF178" s="38">
        <v>9.5</v>
      </c>
      <c r="AG178" s="38">
        <v>8</v>
      </c>
      <c r="AH178" s="38">
        <v>6</v>
      </c>
      <c r="AI178" s="36"/>
      <c r="AJ178" s="36"/>
      <c r="AK178" s="36"/>
      <c r="AL178" s="36"/>
      <c r="AM178" s="36"/>
      <c r="AN178" s="36"/>
      <c r="AO178" s="38">
        <v>1</v>
      </c>
      <c r="AP178" s="38">
        <v>3</v>
      </c>
      <c r="AQ178" s="38">
        <v>1</v>
      </c>
      <c r="AR178" s="38">
        <v>0</v>
      </c>
      <c r="AS178" s="36"/>
      <c r="AT178" s="36"/>
      <c r="AU178" s="36"/>
      <c r="AV178" s="36"/>
      <c r="AW178" s="38">
        <v>2.33</v>
      </c>
      <c r="AX178" s="38">
        <v>7.3</v>
      </c>
      <c r="AY178" s="36"/>
      <c r="AZ178" s="38">
        <v>38</v>
      </c>
      <c r="BA178" s="38">
        <v>42.5</v>
      </c>
      <c r="BB178" s="38">
        <v>42.6</v>
      </c>
      <c r="BC178" s="36"/>
      <c r="BD178" s="36"/>
      <c r="BE178" s="36"/>
      <c r="BF178" s="36"/>
      <c r="BG178" s="59">
        <v>3</v>
      </c>
      <c r="BH178" s="59"/>
      <c r="BI178" s="59">
        <v>5.8033745152514013E-2</v>
      </c>
      <c r="BJ178" s="59"/>
      <c r="BK178" s="36"/>
      <c r="BL178" s="36"/>
      <c r="BM178" s="36"/>
      <c r="BN178" s="38">
        <v>32</v>
      </c>
      <c r="BO178" s="36"/>
      <c r="BP178" s="39">
        <f t="shared" si="66"/>
        <v>0.89898437500000006</v>
      </c>
      <c r="BQ178" s="37"/>
      <c r="BR178" s="39">
        <f t="shared" si="67"/>
        <v>0.15067899610771754</v>
      </c>
      <c r="BS178" s="37"/>
      <c r="BT178" s="39">
        <f>BP178*12*AZ178/(24*0.9144)</f>
        <v>18.679684082458447</v>
      </c>
      <c r="BU178" s="37"/>
      <c r="BV178" s="39">
        <f t="shared" si="74"/>
        <v>0.11480304465349908</v>
      </c>
      <c r="BW178" s="37"/>
      <c r="BX178" s="39">
        <f t="shared" si="75"/>
        <v>7.6508916431796595E-2</v>
      </c>
      <c r="BY178" s="39">
        <f t="shared" si="91"/>
        <v>2.9728843597329764</v>
      </c>
      <c r="BZ178" s="37"/>
      <c r="CA178" s="37"/>
      <c r="CB178" s="39">
        <f>$BP178*(12*O178+P178)/(224*0.453592)</f>
        <v>0.99096145324432527</v>
      </c>
      <c r="CC178" s="39">
        <f t="shared" si="84"/>
        <v>7.2068580729166679E-2</v>
      </c>
      <c r="CD178" s="37"/>
      <c r="CE178" s="37"/>
      <c r="CF178" s="37"/>
      <c r="CG178" s="39">
        <f t="shared" si="93"/>
        <v>2.9636847527472532</v>
      </c>
      <c r="CH178" s="39">
        <f t="shared" si="87"/>
        <v>4.6178803721185568</v>
      </c>
      <c r="CI178" s="37"/>
      <c r="CJ178" s="37"/>
      <c r="CK178" s="37"/>
      <c r="CL178" s="39">
        <f t="shared" si="90"/>
        <v>0.91696406250000007</v>
      </c>
      <c r="CM178" s="37"/>
      <c r="CN178" s="37"/>
      <c r="CO178" s="39">
        <f>0.063495+(0.016949+0.014096)*Wages!P176+1.22592*BR178</f>
        <v>0.47148715428337307</v>
      </c>
      <c r="CP178" s="39"/>
      <c r="CQ178" s="39">
        <f t="shared" si="76"/>
        <v>0.47148715428337307</v>
      </c>
      <c r="CR178" s="39">
        <f t="shared" si="89"/>
        <v>0.11480304465349908</v>
      </c>
      <c r="CS178" s="39">
        <f t="shared" si="77"/>
        <v>0.7139846495424953</v>
      </c>
      <c r="CT178" s="39">
        <f t="shared" si="78"/>
        <v>2.0551678834675791</v>
      </c>
      <c r="CU178" s="39">
        <f>CB178</f>
        <v>0.99096145324432527</v>
      </c>
      <c r="CV178" s="39">
        <f t="shared" si="92"/>
        <v>7.2068580729166679E-2</v>
      </c>
      <c r="CW178" s="39">
        <v>0.17</v>
      </c>
      <c r="CX178" s="39"/>
      <c r="CY178" s="39"/>
      <c r="CZ178" s="39">
        <f t="shared" si="68"/>
        <v>7.6508916431796595E-2</v>
      </c>
      <c r="DA178" s="39">
        <f t="shared" si="88"/>
        <v>4.6178803721185568</v>
      </c>
      <c r="DB178" s="39">
        <f>DB$258*BT178/15.73026</f>
        <v>4.1095305712817174</v>
      </c>
      <c r="DC178" s="39">
        <f t="shared" si="69"/>
        <v>2.9728843597329764</v>
      </c>
      <c r="DD178" s="39">
        <f t="shared" si="94"/>
        <v>2.9636847527472532</v>
      </c>
      <c r="DE178" s="39">
        <v>3.1889734625971965E-2</v>
      </c>
      <c r="DF178" s="37"/>
      <c r="DG178" s="39">
        <f t="shared" si="70"/>
        <v>0.91696406250000007</v>
      </c>
      <c r="DH178" s="39">
        <f t="shared" si="71"/>
        <v>3.6098861926615311</v>
      </c>
      <c r="DI178" s="37"/>
      <c r="DJ178" s="37"/>
      <c r="DK178" s="37"/>
      <c r="DL178" s="37"/>
      <c r="DM178" s="39">
        <f t="shared" si="80"/>
        <v>0.50589393340769528</v>
      </c>
      <c r="DN178" s="39"/>
      <c r="DO178" s="39">
        <f t="shared" si="81"/>
        <v>0.50589393340769528</v>
      </c>
      <c r="DP178" s="37"/>
      <c r="DQ178" s="37">
        <f>DO178/'Conversions, Sources &amp; Comments'!E176</f>
        <v>0.56273940624128782</v>
      </c>
    </row>
    <row r="179" spans="1:121">
      <c r="A179" s="42">
        <f t="shared" si="72"/>
        <v>1427</v>
      </c>
      <c r="B179" s="36"/>
      <c r="C179" s="38">
        <v>4</v>
      </c>
      <c r="D179" s="38">
        <v>4</v>
      </c>
      <c r="E179" s="38">
        <v>3</v>
      </c>
      <c r="F179" s="38">
        <v>1.75</v>
      </c>
      <c r="G179" s="38">
        <v>2</v>
      </c>
      <c r="H179" s="38">
        <v>2</v>
      </c>
      <c r="I179" s="38">
        <v>2</v>
      </c>
      <c r="J179" s="38">
        <v>11</v>
      </c>
      <c r="K179" s="36"/>
      <c r="L179" s="36"/>
      <c r="M179" s="36"/>
      <c r="N179" s="36"/>
      <c r="O179" s="38">
        <v>9</v>
      </c>
      <c r="P179" s="38">
        <v>4</v>
      </c>
      <c r="Q179" s="36"/>
      <c r="R179" s="36"/>
      <c r="S179" s="36"/>
      <c r="T179" s="36"/>
      <c r="U179" s="38">
        <v>4.8099999999999996</v>
      </c>
      <c r="V179" s="36"/>
      <c r="W179" s="36"/>
      <c r="X179" s="38">
        <v>6</v>
      </c>
      <c r="Y179" s="38">
        <v>0</v>
      </c>
      <c r="Z179" s="38">
        <v>1</v>
      </c>
      <c r="AA179" s="38">
        <v>6</v>
      </c>
      <c r="AB179" s="36"/>
      <c r="AC179" s="38">
        <v>0</v>
      </c>
      <c r="AD179" s="38">
        <v>10</v>
      </c>
      <c r="AE179" s="38">
        <v>0</v>
      </c>
      <c r="AF179" s="38">
        <v>9.5</v>
      </c>
      <c r="AG179" s="38">
        <v>2</v>
      </c>
      <c r="AH179" s="38">
        <v>8</v>
      </c>
      <c r="AI179" s="36"/>
      <c r="AJ179" s="36"/>
      <c r="AK179" s="36"/>
      <c r="AL179" s="36"/>
      <c r="AM179" s="38">
        <v>17</v>
      </c>
      <c r="AN179" s="38">
        <v>0</v>
      </c>
      <c r="AO179" s="38">
        <v>1</v>
      </c>
      <c r="AP179" s="38">
        <v>2</v>
      </c>
      <c r="AQ179" s="38">
        <v>1</v>
      </c>
      <c r="AR179" s="38">
        <v>1</v>
      </c>
      <c r="AS179" s="36"/>
      <c r="AT179" s="36"/>
      <c r="AU179" s="36"/>
      <c r="AV179" s="36"/>
      <c r="AW179" s="38">
        <v>2.33</v>
      </c>
      <c r="AX179" s="38">
        <v>7.5</v>
      </c>
      <c r="AY179" s="36"/>
      <c r="AZ179" s="36"/>
      <c r="BA179" s="36"/>
      <c r="BB179" s="38">
        <v>72</v>
      </c>
      <c r="BC179" s="36"/>
      <c r="BD179" s="36"/>
      <c r="BE179" s="36"/>
      <c r="BF179" s="36"/>
      <c r="BG179" s="59">
        <v>4</v>
      </c>
      <c r="BH179" s="59"/>
      <c r="BI179" s="59">
        <v>5.6651989315549794E-2</v>
      </c>
      <c r="BJ179" s="59"/>
      <c r="BK179" s="36"/>
      <c r="BL179" s="36"/>
      <c r="BM179" s="36"/>
      <c r="BN179" s="38">
        <v>32</v>
      </c>
      <c r="BO179" s="36"/>
      <c r="BP179" s="39">
        <f t="shared" si="66"/>
        <v>0.89898437500000006</v>
      </c>
      <c r="BQ179" s="37"/>
      <c r="BR179" s="39">
        <f t="shared" si="67"/>
        <v>0.16582662005505422</v>
      </c>
      <c r="BS179" s="37"/>
      <c r="BT179" s="37"/>
      <c r="BU179" s="37"/>
      <c r="BV179" s="39">
        <f t="shared" si="74"/>
        <v>0.15307072620466544</v>
      </c>
      <c r="BW179" s="37"/>
      <c r="BX179" s="39">
        <f t="shared" si="75"/>
        <v>7.4687275564373393E-2</v>
      </c>
      <c r="BY179" s="39">
        <f t="shared" si="91"/>
        <v>2.9728843597329764</v>
      </c>
      <c r="BZ179" s="37"/>
      <c r="CA179" s="37"/>
      <c r="CB179" s="39">
        <f>$BP179*(12*O179+P179)/(224*0.453592)</f>
        <v>0.99096145324432527</v>
      </c>
      <c r="CC179" s="39">
        <f t="shared" ref="CC179:CC210" si="95">2*BP179*U179/120</f>
        <v>7.2068580729166679E-2</v>
      </c>
      <c r="CD179" s="39">
        <f>BP179*(12*AM179+AN179)/1000</f>
        <v>0.18339281250000003</v>
      </c>
      <c r="CE179" s="37"/>
      <c r="CF179" s="37"/>
      <c r="CG179" s="39">
        <f t="shared" si="93"/>
        <v>2.7661057692307693</v>
      </c>
      <c r="CH179" s="39">
        <f t="shared" si="87"/>
        <v>4.6178803721185568</v>
      </c>
      <c r="CI179" s="37"/>
      <c r="CJ179" s="37"/>
      <c r="CK179" s="39">
        <f>BP179*(12*AC179+AD179)/(35.238*8)</f>
        <v>3.1889734625971965E-2</v>
      </c>
      <c r="CL179" s="39">
        <f t="shared" si="90"/>
        <v>0.28767500000000001</v>
      </c>
      <c r="CM179" s="39">
        <f>BP179*(12*$AC179+$AD179)/(35.238*8)/0.283</f>
        <v>0.11268457465007763</v>
      </c>
      <c r="CN179" s="37"/>
      <c r="CO179" s="39">
        <f>0.063495+(0.016949+0.014096)*Wages!P177+1.22592*BR179</f>
        <v>0.49005692943289203</v>
      </c>
      <c r="CP179" s="39"/>
      <c r="CQ179" s="39">
        <f t="shared" si="76"/>
        <v>0.49005692943289203</v>
      </c>
      <c r="CR179" s="39">
        <f t="shared" si="89"/>
        <v>0.15307072620466544</v>
      </c>
      <c r="CS179" s="39">
        <f t="shared" si="77"/>
        <v>0.7139846495424953</v>
      </c>
      <c r="CT179" s="39">
        <f t="shared" si="78"/>
        <v>2.0551678834675791</v>
      </c>
      <c r="CU179" s="39">
        <f>CB179</f>
        <v>0.99096145324432527</v>
      </c>
      <c r="CV179" s="39">
        <f t="shared" si="92"/>
        <v>7.2068580729166679E-2</v>
      </c>
      <c r="CW179" s="39">
        <f>CD179</f>
        <v>0.18339281250000003</v>
      </c>
      <c r="CX179" s="39"/>
      <c r="CY179" s="39"/>
      <c r="CZ179" s="39">
        <f t="shared" si="68"/>
        <v>7.4687275564373393E-2</v>
      </c>
      <c r="DA179" s="39">
        <f t="shared" si="88"/>
        <v>4.6178803721185568</v>
      </c>
      <c r="DB179" s="39">
        <v>3.9</v>
      </c>
      <c r="DC179" s="39">
        <f t="shared" si="69"/>
        <v>2.9728843597329764</v>
      </c>
      <c r="DD179" s="39">
        <f t="shared" si="94"/>
        <v>2.7661057692307693</v>
      </c>
      <c r="DE179" s="39">
        <f>CK179</f>
        <v>3.1889734625971965E-2</v>
      </c>
      <c r="DF179" s="37"/>
      <c r="DG179" s="39">
        <f t="shared" si="70"/>
        <v>0.28767500000000001</v>
      </c>
      <c r="DH179" s="39">
        <f t="shared" si="71"/>
        <v>3.6098861926615311</v>
      </c>
      <c r="DI179" s="37"/>
      <c r="DJ179" s="37"/>
      <c r="DK179" s="37"/>
      <c r="DL179" s="37"/>
      <c r="DM179" s="39">
        <f t="shared" si="80"/>
        <v>0.51427362142901389</v>
      </c>
      <c r="DN179" s="39"/>
      <c r="DO179" s="39">
        <f t="shared" si="81"/>
        <v>0.51427362142901389</v>
      </c>
      <c r="DP179" s="37"/>
      <c r="DQ179" s="37">
        <f>DO179/'Conversions, Sources &amp; Comments'!E177</f>
        <v>0.57206068951867362</v>
      </c>
    </row>
    <row r="180" spans="1:121">
      <c r="A180" s="42">
        <f t="shared" si="72"/>
        <v>1428</v>
      </c>
      <c r="B180" s="36"/>
      <c r="C180" s="38">
        <v>8</v>
      </c>
      <c r="D180" s="38">
        <v>10.75</v>
      </c>
      <c r="E180" s="38">
        <v>4</v>
      </c>
      <c r="F180" s="38">
        <v>8.75</v>
      </c>
      <c r="G180" s="38">
        <v>2</v>
      </c>
      <c r="H180" s="38">
        <v>8.5</v>
      </c>
      <c r="I180" s="38">
        <v>5</v>
      </c>
      <c r="J180" s="38">
        <v>5</v>
      </c>
      <c r="K180" s="36"/>
      <c r="L180" s="36"/>
      <c r="M180" s="36"/>
      <c r="N180" s="36"/>
      <c r="O180" s="38">
        <v>13</v>
      </c>
      <c r="P180" s="38">
        <v>4</v>
      </c>
      <c r="Q180" s="36"/>
      <c r="R180" s="36"/>
      <c r="S180" s="36"/>
      <c r="T180" s="36"/>
      <c r="U180" s="38">
        <v>4.8099999999999996</v>
      </c>
      <c r="V180" s="36"/>
      <c r="W180" s="36"/>
      <c r="X180" s="38">
        <v>5</v>
      </c>
      <c r="Y180" s="38">
        <v>4</v>
      </c>
      <c r="Z180" s="38">
        <v>1</v>
      </c>
      <c r="AA180" s="38">
        <v>9.25</v>
      </c>
      <c r="AB180" s="36"/>
      <c r="AC180" s="36"/>
      <c r="AD180" s="36"/>
      <c r="AE180" s="38">
        <v>0</v>
      </c>
      <c r="AF180" s="38">
        <v>9.5</v>
      </c>
      <c r="AG180" s="38">
        <v>9</v>
      </c>
      <c r="AH180" s="38">
        <v>2</v>
      </c>
      <c r="AI180" s="36"/>
      <c r="AJ180" s="36"/>
      <c r="AK180" s="36"/>
      <c r="AL180" s="36"/>
      <c r="AM180" s="36"/>
      <c r="AN180" s="36"/>
      <c r="AO180" s="38">
        <v>1</v>
      </c>
      <c r="AP180" s="38">
        <v>4</v>
      </c>
      <c r="AQ180" s="36"/>
      <c r="AR180" s="36"/>
      <c r="AS180" s="36"/>
      <c r="AT180" s="36"/>
      <c r="AU180" s="36"/>
      <c r="AV180" s="36"/>
      <c r="AW180" s="38">
        <v>2.33</v>
      </c>
      <c r="AX180" s="36"/>
      <c r="AY180" s="36"/>
      <c r="AZ180" s="38">
        <v>35</v>
      </c>
      <c r="BA180" s="38">
        <v>44</v>
      </c>
      <c r="BB180" s="38">
        <v>42.6</v>
      </c>
      <c r="BC180" s="36"/>
      <c r="BD180" s="36"/>
      <c r="BE180" s="36"/>
      <c r="BF180" s="36"/>
      <c r="BG180" s="59">
        <v>4</v>
      </c>
      <c r="BH180" s="59"/>
      <c r="BI180" s="59">
        <v>8.9814129402701143E-2</v>
      </c>
      <c r="BJ180" s="59"/>
      <c r="BK180" s="36"/>
      <c r="BL180" s="36"/>
      <c r="BM180" s="36"/>
      <c r="BN180" s="38">
        <v>32</v>
      </c>
      <c r="BO180" s="36"/>
      <c r="BP180" s="39">
        <f t="shared" si="66"/>
        <v>0.89898437500000006</v>
      </c>
      <c r="BQ180" s="37"/>
      <c r="BR180" s="39">
        <f t="shared" si="67"/>
        <v>0.34042291713225076</v>
      </c>
      <c r="BS180" s="37"/>
      <c r="BT180" s="39">
        <f t="shared" ref="BT180:BT186" si="96">BP180*12*AZ180/(24*0.9144)</f>
        <v>17.204972181211726</v>
      </c>
      <c r="BU180" s="37"/>
      <c r="BV180" s="39">
        <f t="shared" si="74"/>
        <v>0.15307072620466544</v>
      </c>
      <c r="BW180" s="37"/>
      <c r="BX180" s="39">
        <f t="shared" si="75"/>
        <v>0.1184066563825435</v>
      </c>
      <c r="BY180" s="39">
        <f t="shared" si="91"/>
        <v>3.5096551469069857</v>
      </c>
      <c r="BZ180" s="37"/>
      <c r="CA180" s="37"/>
      <c r="CB180" s="39">
        <f>$BP180*(12*O180+P180)/(224*0.453592)</f>
        <v>1.4156592189204649</v>
      </c>
      <c r="CC180" s="39">
        <f t="shared" si="95"/>
        <v>7.2068580729166679E-2</v>
      </c>
      <c r="CD180" s="37"/>
      <c r="CE180" s="37"/>
      <c r="CF180" s="37"/>
      <c r="CG180" s="39">
        <f t="shared" si="93"/>
        <v>3.1612637362637366</v>
      </c>
      <c r="CH180" s="39">
        <f t="shared" si="87"/>
        <v>4.6178803721185568</v>
      </c>
      <c r="CI180" s="37"/>
      <c r="CJ180" s="37"/>
      <c r="CK180" s="37"/>
      <c r="CL180" s="39">
        <f t="shared" si="90"/>
        <v>0.9888828125000001</v>
      </c>
      <c r="CM180" s="37"/>
      <c r="CN180" s="37"/>
      <c r="CO180" s="39">
        <f>0.063495+(0.016949+0.014096)*Wages!P178+1.22592*BR180</f>
        <v>0.70409802194576876</v>
      </c>
      <c r="CP180" s="39"/>
      <c r="CQ180" s="39">
        <f t="shared" si="76"/>
        <v>0.70409802194576876</v>
      </c>
      <c r="CR180" s="39">
        <f t="shared" si="89"/>
        <v>0.15307072620466544</v>
      </c>
      <c r="CS180" s="39">
        <f t="shared" si="77"/>
        <v>1.0199780707749933</v>
      </c>
      <c r="CT180" s="39">
        <f t="shared" si="78"/>
        <v>2.935954119239399</v>
      </c>
      <c r="CU180" s="39">
        <f>CB180</f>
        <v>1.4156592189204649</v>
      </c>
      <c r="CV180" s="39">
        <f t="shared" si="92"/>
        <v>7.2068580729166679E-2</v>
      </c>
      <c r="CW180" s="39">
        <v>0.14000000000000001</v>
      </c>
      <c r="CX180" s="39"/>
      <c r="CY180" s="39"/>
      <c r="CZ180" s="39">
        <f t="shared" si="68"/>
        <v>0.1184066563825435</v>
      </c>
      <c r="DA180" s="39">
        <f t="shared" si="88"/>
        <v>4.6178803721185568</v>
      </c>
      <c r="DB180" s="39">
        <f t="shared" ref="DB180:DB186" si="97">DB$258*BT180/15.73026</f>
        <v>3.7850939472331606</v>
      </c>
      <c r="DC180" s="39">
        <f t="shared" si="69"/>
        <v>3.5096551469069857</v>
      </c>
      <c r="DD180" s="39">
        <f t="shared" si="94"/>
        <v>3.1612637362637366</v>
      </c>
      <c r="DE180" s="39">
        <v>0.03</v>
      </c>
      <c r="DF180" s="37"/>
      <c r="DG180" s="39">
        <f t="shared" si="70"/>
        <v>0.9888828125000001</v>
      </c>
      <c r="DH180" s="39">
        <f t="shared" si="71"/>
        <v>3.3959701154629842</v>
      </c>
      <c r="DI180" s="37"/>
      <c r="DJ180" s="37"/>
      <c r="DK180" s="37"/>
      <c r="DL180" s="37"/>
      <c r="DM180" s="39">
        <f t="shared" si="80"/>
        <v>0.6647577179492874</v>
      </c>
      <c r="DN180" s="39"/>
      <c r="DO180" s="39">
        <f t="shared" si="81"/>
        <v>0.6647577179492874</v>
      </c>
      <c r="DP180" s="37"/>
      <c r="DQ180" s="37">
        <f>DO180/'Conversions, Sources &amp; Comments'!E178</f>
        <v>0.73945414006699206</v>
      </c>
    </row>
    <row r="181" spans="1:121">
      <c r="A181" s="42">
        <f t="shared" si="72"/>
        <v>1429</v>
      </c>
      <c r="B181" s="36"/>
      <c r="C181" s="38">
        <v>7</v>
      </c>
      <c r="D181" s="38">
        <v>11</v>
      </c>
      <c r="E181" s="38">
        <v>4</v>
      </c>
      <c r="F181" s="38">
        <v>4.5</v>
      </c>
      <c r="G181" s="38">
        <v>2</v>
      </c>
      <c r="H181" s="38">
        <v>6.5</v>
      </c>
      <c r="I181" s="38">
        <v>7</v>
      </c>
      <c r="J181" s="38">
        <v>4</v>
      </c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8">
        <v>4.8099999999999996</v>
      </c>
      <c r="V181" s="36"/>
      <c r="W181" s="36"/>
      <c r="X181" s="38">
        <v>6</v>
      </c>
      <c r="Y181" s="38">
        <v>0.75</v>
      </c>
      <c r="Z181" s="38">
        <v>1</v>
      </c>
      <c r="AA181" s="38">
        <v>9</v>
      </c>
      <c r="AB181" s="36"/>
      <c r="AC181" s="38">
        <v>0</v>
      </c>
      <c r="AD181" s="38">
        <v>9</v>
      </c>
      <c r="AE181" s="38">
        <v>0</v>
      </c>
      <c r="AF181" s="38">
        <v>9.5</v>
      </c>
      <c r="AG181" s="38">
        <v>8</v>
      </c>
      <c r="AH181" s="38">
        <v>6</v>
      </c>
      <c r="AI181" s="36"/>
      <c r="AJ181" s="36"/>
      <c r="AK181" s="36"/>
      <c r="AL181" s="36"/>
      <c r="AM181" s="36"/>
      <c r="AN181" s="36"/>
      <c r="AO181" s="38">
        <v>1</v>
      </c>
      <c r="AP181" s="38">
        <v>4</v>
      </c>
      <c r="AQ181" s="36"/>
      <c r="AR181" s="36"/>
      <c r="AS181" s="36"/>
      <c r="AT181" s="36"/>
      <c r="AU181" s="36"/>
      <c r="AV181" s="36"/>
      <c r="AW181" s="38">
        <v>2.33</v>
      </c>
      <c r="AX181" s="36"/>
      <c r="AY181" s="36"/>
      <c r="AZ181" s="38">
        <v>36</v>
      </c>
      <c r="BA181" s="38">
        <v>44</v>
      </c>
      <c r="BB181" s="38">
        <v>42.9</v>
      </c>
      <c r="BC181" s="36"/>
      <c r="BD181" s="36"/>
      <c r="BE181" s="36"/>
      <c r="BF181" s="36"/>
      <c r="BG181" s="59">
        <v>4</v>
      </c>
      <c r="BH181" s="59"/>
      <c r="BI181" s="59">
        <v>0.11883100197895816</v>
      </c>
      <c r="BJ181" s="59"/>
      <c r="BK181" s="36"/>
      <c r="BL181" s="36"/>
      <c r="BM181" s="36"/>
      <c r="BN181" s="38">
        <v>32</v>
      </c>
      <c r="BO181" s="36"/>
      <c r="BP181" s="39">
        <f t="shared" si="66"/>
        <v>0.89898437500000006</v>
      </c>
      <c r="BQ181" s="37"/>
      <c r="BR181" s="39">
        <f t="shared" si="67"/>
        <v>0.30295247894673366</v>
      </c>
      <c r="BS181" s="37"/>
      <c r="BT181" s="39">
        <f t="shared" si="96"/>
        <v>17.696542814960633</v>
      </c>
      <c r="BU181" s="37"/>
      <c r="BV181" s="39">
        <f t="shared" si="74"/>
        <v>0.15307072620466544</v>
      </c>
      <c r="BW181" s="37"/>
      <c r="BX181" s="39">
        <f t="shared" si="75"/>
        <v>0.15666111459844181</v>
      </c>
      <c r="BY181" s="39">
        <f t="shared" si="91"/>
        <v>3.468365086355139</v>
      </c>
      <c r="BZ181" s="37"/>
      <c r="CA181" s="37"/>
      <c r="CB181" s="37"/>
      <c r="CC181" s="39">
        <f t="shared" si="95"/>
        <v>7.2068580729166679E-2</v>
      </c>
      <c r="CD181" s="37"/>
      <c r="CE181" s="37"/>
      <c r="CF181" s="37"/>
      <c r="CG181" s="39">
        <f t="shared" si="93"/>
        <v>3.1612637362637366</v>
      </c>
      <c r="CH181" s="39">
        <f t="shared" si="87"/>
        <v>4.6178803721185568</v>
      </c>
      <c r="CI181" s="37"/>
      <c r="CJ181" s="37"/>
      <c r="CK181" s="39">
        <f>BP181*(12*AC181+AD181)/(35.238*8)</f>
        <v>2.870076116337477E-2</v>
      </c>
      <c r="CL181" s="39">
        <f t="shared" si="90"/>
        <v>0.91696406250000007</v>
      </c>
      <c r="CM181" s="39">
        <f>BP181*(12*$AC181+$AD181)/(35.238*8)/0.283</f>
        <v>0.10141611718506986</v>
      </c>
      <c r="CN181" s="37"/>
      <c r="CO181" s="39">
        <f>0.063495+(0.016949+0.014096)*Wages!P179+1.22592*BR181</f>
        <v>0.65816226236537967</v>
      </c>
      <c r="CP181" s="39"/>
      <c r="CQ181" s="39">
        <f t="shared" si="76"/>
        <v>0.65816226236537967</v>
      </c>
      <c r="CR181" s="39">
        <f t="shared" si="89"/>
        <v>0.15307072620466544</v>
      </c>
      <c r="CS181" s="39">
        <f t="shared" si="77"/>
        <v>1.008695652173913</v>
      </c>
      <c r="CT181" s="39">
        <f t="shared" si="78"/>
        <v>2.9034782608695657</v>
      </c>
      <c r="CU181" s="39">
        <v>1.4</v>
      </c>
      <c r="CV181" s="39">
        <f t="shared" si="92"/>
        <v>7.2068580729166679E-2</v>
      </c>
      <c r="CW181" s="39">
        <v>0.14000000000000001</v>
      </c>
      <c r="CX181" s="39"/>
      <c r="CY181" s="39"/>
      <c r="CZ181" s="39">
        <f t="shared" si="68"/>
        <v>0.15666111459844181</v>
      </c>
      <c r="DA181" s="39">
        <f t="shared" si="88"/>
        <v>4.6178803721185568</v>
      </c>
      <c r="DB181" s="39">
        <f t="shared" si="97"/>
        <v>3.8932394885826791</v>
      </c>
      <c r="DC181" s="39">
        <f t="shared" si="69"/>
        <v>3.468365086355139</v>
      </c>
      <c r="DD181" s="39">
        <f t="shared" si="94"/>
        <v>3.1612637362637366</v>
      </c>
      <c r="DE181" s="39">
        <f>CK181</f>
        <v>2.870076116337477E-2</v>
      </c>
      <c r="DF181" s="37"/>
      <c r="DG181" s="39">
        <f t="shared" si="70"/>
        <v>0.91696406250000007</v>
      </c>
      <c r="DH181" s="39">
        <f t="shared" si="71"/>
        <v>3.2488975733953782</v>
      </c>
      <c r="DI181" s="37"/>
      <c r="DJ181" s="37"/>
      <c r="DK181" s="37"/>
      <c r="DL181" s="37"/>
      <c r="DM181" s="39">
        <f t="shared" si="80"/>
        <v>0.65935005748927589</v>
      </c>
      <c r="DN181" s="39"/>
      <c r="DO181" s="39">
        <f t="shared" si="81"/>
        <v>0.65935005748927589</v>
      </c>
      <c r="DP181" s="37"/>
      <c r="DQ181" s="37">
        <f>DO181/'Conversions, Sources &amp; Comments'!E179</f>
        <v>0.73343884034611373</v>
      </c>
    </row>
    <row r="182" spans="1:121">
      <c r="A182" s="42">
        <f t="shared" si="72"/>
        <v>1430</v>
      </c>
      <c r="B182" s="36"/>
      <c r="C182" s="38">
        <v>5</v>
      </c>
      <c r="D182" s="38">
        <v>11.25</v>
      </c>
      <c r="E182" s="38">
        <v>3</v>
      </c>
      <c r="F182" s="38">
        <v>4.25</v>
      </c>
      <c r="G182" s="38">
        <v>2</v>
      </c>
      <c r="H182" s="38">
        <v>0.5</v>
      </c>
      <c r="I182" s="38">
        <v>4</v>
      </c>
      <c r="J182" s="38">
        <v>10</v>
      </c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8">
        <v>4.8099999999999996</v>
      </c>
      <c r="V182" s="36"/>
      <c r="W182" s="36"/>
      <c r="X182" s="38">
        <v>5</v>
      </c>
      <c r="Y182" s="38">
        <v>8.25</v>
      </c>
      <c r="Z182" s="36"/>
      <c r="AA182" s="36"/>
      <c r="AB182" s="36"/>
      <c r="AC182" s="38">
        <v>0</v>
      </c>
      <c r="AD182" s="38">
        <v>9</v>
      </c>
      <c r="AE182" s="38">
        <v>0</v>
      </c>
      <c r="AF182" s="38">
        <v>9.5</v>
      </c>
      <c r="AG182" s="38">
        <v>7</v>
      </c>
      <c r="AH182" s="38">
        <v>4</v>
      </c>
      <c r="AI182" s="36"/>
      <c r="AJ182" s="36"/>
      <c r="AK182" s="36"/>
      <c r="AL182" s="36"/>
      <c r="AM182" s="38">
        <v>10</v>
      </c>
      <c r="AN182" s="38">
        <v>0</v>
      </c>
      <c r="AO182" s="38">
        <v>1</v>
      </c>
      <c r="AP182" s="38">
        <v>2</v>
      </c>
      <c r="AQ182" s="38">
        <v>1</v>
      </c>
      <c r="AR182" s="38">
        <v>1.25</v>
      </c>
      <c r="AS182" s="36"/>
      <c r="AT182" s="36"/>
      <c r="AU182" s="36"/>
      <c r="AV182" s="36"/>
      <c r="AW182" s="38">
        <v>2.33</v>
      </c>
      <c r="AX182" s="36"/>
      <c r="AY182" s="36"/>
      <c r="AZ182" s="38">
        <v>35</v>
      </c>
      <c r="BA182" s="38">
        <v>44</v>
      </c>
      <c r="BB182" s="36"/>
      <c r="BC182" s="36"/>
      <c r="BD182" s="36"/>
      <c r="BE182" s="36"/>
      <c r="BF182" s="36"/>
      <c r="BG182" s="59">
        <v>3.3333333333333335</v>
      </c>
      <c r="BH182" s="59"/>
      <c r="BI182" s="59">
        <v>9.1195885239665361E-2</v>
      </c>
      <c r="BJ182" s="59"/>
      <c r="BK182" s="36"/>
      <c r="BL182" s="36"/>
      <c r="BM182" s="36"/>
      <c r="BN182" s="38">
        <v>32</v>
      </c>
      <c r="BO182" s="36"/>
      <c r="BP182" s="39">
        <f t="shared" si="66"/>
        <v>0.89898437500000006</v>
      </c>
      <c r="BQ182" s="37"/>
      <c r="BR182" s="39">
        <f t="shared" si="67"/>
        <v>0.22721435921005026</v>
      </c>
      <c r="BS182" s="37"/>
      <c r="BT182" s="39">
        <f t="shared" si="96"/>
        <v>17.204972181211726</v>
      </c>
      <c r="BU182" s="37"/>
      <c r="BV182" s="39">
        <f t="shared" si="74"/>
        <v>0.12755893850388789</v>
      </c>
      <c r="BW182" s="37"/>
      <c r="BX182" s="39">
        <f t="shared" si="75"/>
        <v>0.12022829724996671</v>
      </c>
      <c r="BY182" s="39">
        <v>3.2</v>
      </c>
      <c r="BZ182" s="37"/>
      <c r="CA182" s="37"/>
      <c r="CB182" s="37"/>
      <c r="CC182" s="39">
        <f t="shared" si="95"/>
        <v>7.2068580729166679E-2</v>
      </c>
      <c r="CD182" s="39">
        <f>BP182*(12*AM182+AN182)/1000</f>
        <v>0.10787812500000001</v>
      </c>
      <c r="CE182" s="37"/>
      <c r="CF182" s="37"/>
      <c r="CG182" s="39">
        <f t="shared" si="93"/>
        <v>2.7661057692307693</v>
      </c>
      <c r="CH182" s="39">
        <f t="shared" si="87"/>
        <v>4.6178803721185568</v>
      </c>
      <c r="CI182" s="37"/>
      <c r="CJ182" s="37"/>
      <c r="CK182" s="39">
        <f>BP182*(12*AC182+AD182)/(35.238*8)</f>
        <v>2.870076116337477E-2</v>
      </c>
      <c r="CL182" s="39">
        <f t="shared" si="90"/>
        <v>0.79110625000000001</v>
      </c>
      <c r="CM182" s="39">
        <f>BP182*(12*$AC182+$AD182)/(35.238*8)/0.283</f>
        <v>0.10141611718506986</v>
      </c>
      <c r="CN182" s="37"/>
      <c r="CO182" s="39">
        <f>0.063495+(0.016949+0.014096)*Wages!P180+1.22592*BR182</f>
        <v>0.56531338661778474</v>
      </c>
      <c r="CP182" s="39"/>
      <c r="CQ182" s="39">
        <f t="shared" si="76"/>
        <v>0.56531338661778474</v>
      </c>
      <c r="CR182" s="39">
        <f t="shared" si="89"/>
        <v>0.12755893850388789</v>
      </c>
      <c r="CS182" s="39">
        <f t="shared" si="77"/>
        <v>1.008695652173913</v>
      </c>
      <c r="CT182" s="39">
        <f t="shared" si="78"/>
        <v>2.9034782608695657</v>
      </c>
      <c r="CU182" s="39">
        <v>1.4</v>
      </c>
      <c r="CV182" s="39">
        <f t="shared" si="92"/>
        <v>7.2068580729166679E-2</v>
      </c>
      <c r="CW182" s="39">
        <f>CD182</f>
        <v>0.10787812500000001</v>
      </c>
      <c r="CX182" s="39"/>
      <c r="CY182" s="39"/>
      <c r="CZ182" s="39">
        <f t="shared" si="68"/>
        <v>0.12022829724996671</v>
      </c>
      <c r="DA182" s="39">
        <f t="shared" si="88"/>
        <v>4.6178803721185568</v>
      </c>
      <c r="DB182" s="39">
        <f t="shared" si="97"/>
        <v>3.7850939472331606</v>
      </c>
      <c r="DC182" s="39">
        <f t="shared" si="69"/>
        <v>3.2</v>
      </c>
      <c r="DD182" s="39">
        <f t="shared" si="94"/>
        <v>2.7661057692307693</v>
      </c>
      <c r="DE182" s="39">
        <f>CK182</f>
        <v>2.870076116337477E-2</v>
      </c>
      <c r="DF182" s="37"/>
      <c r="DG182" s="39">
        <f t="shared" si="70"/>
        <v>0.79110625000000001</v>
      </c>
      <c r="DH182" s="39">
        <f t="shared" si="71"/>
        <v>3.2488975733953782</v>
      </c>
      <c r="DI182" s="37"/>
      <c r="DJ182" s="37"/>
      <c r="DK182" s="37"/>
      <c r="DL182" s="37"/>
      <c r="DM182" s="39">
        <f t="shared" si="80"/>
        <v>0.5939804413649501</v>
      </c>
      <c r="DN182" s="39"/>
      <c r="DO182" s="39">
        <f t="shared" si="81"/>
        <v>0.5939804413649501</v>
      </c>
      <c r="DP182" s="37"/>
      <c r="DQ182" s="37">
        <f>DO182/'Conversions, Sources &amp; Comments'!E180</f>
        <v>0.66072387672472066</v>
      </c>
    </row>
    <row r="183" spans="1:121">
      <c r="A183" s="42">
        <f t="shared" si="72"/>
        <v>1431</v>
      </c>
      <c r="B183" s="36"/>
      <c r="C183" s="38">
        <v>4</v>
      </c>
      <c r="D183" s="38">
        <v>8</v>
      </c>
      <c r="E183" s="38">
        <v>3</v>
      </c>
      <c r="F183" s="38">
        <v>1</v>
      </c>
      <c r="G183" s="38">
        <v>1</v>
      </c>
      <c r="H183" s="38">
        <v>9.5</v>
      </c>
      <c r="I183" s="38">
        <v>4</v>
      </c>
      <c r="J183" s="38">
        <v>0</v>
      </c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8">
        <v>5.7</v>
      </c>
      <c r="V183" s="36"/>
      <c r="W183" s="36"/>
      <c r="X183" s="38">
        <v>6</v>
      </c>
      <c r="Y183" s="38">
        <v>2</v>
      </c>
      <c r="Z183" s="38">
        <v>1</v>
      </c>
      <c r="AA183" s="38">
        <v>6</v>
      </c>
      <c r="AB183" s="36"/>
      <c r="AC183" s="36"/>
      <c r="AD183" s="36"/>
      <c r="AE183" s="38">
        <v>0</v>
      </c>
      <c r="AF183" s="38">
        <v>10</v>
      </c>
      <c r="AG183" s="38">
        <v>9</v>
      </c>
      <c r="AH183" s="38">
        <v>8</v>
      </c>
      <c r="AI183" s="36"/>
      <c r="AJ183" s="36"/>
      <c r="AK183" s="36"/>
      <c r="AL183" s="36"/>
      <c r="AM183" s="38">
        <v>6</v>
      </c>
      <c r="AN183" s="38">
        <v>8</v>
      </c>
      <c r="AO183" s="38">
        <v>1</v>
      </c>
      <c r="AP183" s="38">
        <v>2</v>
      </c>
      <c r="AQ183" s="38">
        <v>1</v>
      </c>
      <c r="AR183" s="38">
        <v>1.5</v>
      </c>
      <c r="AS183" s="36"/>
      <c r="AT183" s="36"/>
      <c r="AU183" s="36"/>
      <c r="AV183" s="36"/>
      <c r="AW183" s="38">
        <v>2.33</v>
      </c>
      <c r="AX183" s="38">
        <v>6.3</v>
      </c>
      <c r="AY183" s="36"/>
      <c r="AZ183" s="38">
        <v>36</v>
      </c>
      <c r="BA183" s="38">
        <v>45</v>
      </c>
      <c r="BB183" s="36"/>
      <c r="BC183" s="36"/>
      <c r="BD183" s="36"/>
      <c r="BE183" s="36"/>
      <c r="BF183" s="36"/>
      <c r="BG183" s="59">
        <v>5</v>
      </c>
      <c r="BH183" s="59"/>
      <c r="BI183" s="59">
        <v>6.6324280174302697E-2</v>
      </c>
      <c r="BJ183" s="59"/>
      <c r="BK183" s="36"/>
      <c r="BL183" s="36"/>
      <c r="BM183" s="36"/>
      <c r="BN183" s="38">
        <v>32</v>
      </c>
      <c r="BO183" s="36"/>
      <c r="BP183" s="39">
        <f t="shared" si="66"/>
        <v>0.89898437500000006</v>
      </c>
      <c r="BQ183" s="37"/>
      <c r="BR183" s="39">
        <f t="shared" si="67"/>
        <v>0.178582513905443</v>
      </c>
      <c r="BS183" s="37"/>
      <c r="BT183" s="39">
        <f t="shared" si="96"/>
        <v>17.696542814960633</v>
      </c>
      <c r="BU183" s="37"/>
      <c r="BV183" s="39">
        <f t="shared" si="74"/>
        <v>0.1913384077558318</v>
      </c>
      <c r="BW183" s="37"/>
      <c r="BX183" s="39">
        <f t="shared" si="75"/>
        <v>8.7438761636340234E-2</v>
      </c>
      <c r="BY183" s="39">
        <f>$BP183*(12*Z183+AA183)/(12*0.453592)</f>
        <v>2.9728843597329764</v>
      </c>
      <c r="BZ183" s="37"/>
      <c r="CA183" s="37"/>
      <c r="CB183" s="37"/>
      <c r="CC183" s="39">
        <f t="shared" si="95"/>
        <v>8.5403515625000009E-2</v>
      </c>
      <c r="CD183" s="39">
        <f>BP183*(12*AM183+AN183)/1000</f>
        <v>7.1918750000000004E-2</v>
      </c>
      <c r="CE183" s="37"/>
      <c r="CF183" s="37"/>
      <c r="CG183" s="39">
        <f t="shared" si="93"/>
        <v>2.7661057692307693</v>
      </c>
      <c r="CH183" s="39">
        <f t="shared" si="87"/>
        <v>4.6178803721185568</v>
      </c>
      <c r="CI183" s="37"/>
      <c r="CJ183" s="37"/>
      <c r="CK183" s="37"/>
      <c r="CL183" s="39">
        <f t="shared" si="90"/>
        <v>1.042821875</v>
      </c>
      <c r="CM183" s="37"/>
      <c r="CN183" s="37"/>
      <c r="CO183" s="39">
        <f>0.063495+(0.016949+0.014096)*Wages!P181+1.22592*BR183</f>
        <v>0.50569463482196064</v>
      </c>
      <c r="CP183" s="39"/>
      <c r="CQ183" s="39">
        <f t="shared" si="76"/>
        <v>0.50569463482196064</v>
      </c>
      <c r="CR183" s="39">
        <f t="shared" si="89"/>
        <v>0.1913384077558318</v>
      </c>
      <c r="CS183" s="39">
        <f t="shared" si="77"/>
        <v>1.008695652173913</v>
      </c>
      <c r="CT183" s="39">
        <f t="shared" si="78"/>
        <v>2.9034782608695657</v>
      </c>
      <c r="CU183" s="39">
        <v>1.4</v>
      </c>
      <c r="CV183" s="39">
        <f t="shared" si="92"/>
        <v>8.5403515625000009E-2</v>
      </c>
      <c r="CW183" s="39">
        <f>CD183</f>
        <v>7.1918750000000004E-2</v>
      </c>
      <c r="CX183" s="39"/>
      <c r="CY183" s="39"/>
      <c r="CZ183" s="39">
        <f t="shared" si="68"/>
        <v>8.7438761636340234E-2</v>
      </c>
      <c r="DA183" s="39">
        <f t="shared" si="88"/>
        <v>4.6178803721185568</v>
      </c>
      <c r="DB183" s="39">
        <f t="shared" si="97"/>
        <v>3.8932394885826791</v>
      </c>
      <c r="DC183" s="39">
        <f t="shared" si="69"/>
        <v>2.9728843597329764</v>
      </c>
      <c r="DD183" s="39">
        <f t="shared" si="94"/>
        <v>2.7661057692307693</v>
      </c>
      <c r="DE183" s="39">
        <v>0.03</v>
      </c>
      <c r="DF183" s="37"/>
      <c r="DG183" s="39">
        <f t="shared" si="70"/>
        <v>1.042821875</v>
      </c>
      <c r="DH183" s="39">
        <f t="shared" si="71"/>
        <v>3.3959701154629842</v>
      </c>
      <c r="DI183" s="37"/>
      <c r="DJ183" s="37"/>
      <c r="DK183" s="37"/>
      <c r="DL183" s="37"/>
      <c r="DM183" s="39">
        <f t="shared" si="80"/>
        <v>0.5647618163356497</v>
      </c>
      <c r="DN183" s="39"/>
      <c r="DO183" s="39">
        <f t="shared" si="81"/>
        <v>0.5647618163356497</v>
      </c>
      <c r="DP183" s="37"/>
      <c r="DQ183" s="37">
        <f>DO183/'Conversions, Sources &amp; Comments'!E181</f>
        <v>0.62822206040638884</v>
      </c>
    </row>
    <row r="184" spans="1:121">
      <c r="A184" s="42">
        <f t="shared" si="72"/>
        <v>1432</v>
      </c>
      <c r="B184" s="36"/>
      <c r="C184" s="38">
        <v>6</v>
      </c>
      <c r="D184" s="38">
        <v>11</v>
      </c>
      <c r="E184" s="38">
        <v>3</v>
      </c>
      <c r="F184" s="38">
        <v>8.5</v>
      </c>
      <c r="G184" s="38">
        <v>2</v>
      </c>
      <c r="H184" s="38">
        <v>5</v>
      </c>
      <c r="I184" s="38">
        <v>4</v>
      </c>
      <c r="J184" s="38">
        <v>8</v>
      </c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8">
        <v>5.7</v>
      </c>
      <c r="V184" s="36"/>
      <c r="W184" s="36"/>
      <c r="X184" s="38">
        <v>6</v>
      </c>
      <c r="Y184" s="38">
        <v>0</v>
      </c>
      <c r="Z184" s="38">
        <v>1</v>
      </c>
      <c r="AA184" s="38">
        <v>7</v>
      </c>
      <c r="AB184" s="36"/>
      <c r="AC184" s="38">
        <v>0</v>
      </c>
      <c r="AD184" s="38">
        <v>9.75</v>
      </c>
      <c r="AE184" s="38">
        <v>0</v>
      </c>
      <c r="AF184" s="38">
        <v>10</v>
      </c>
      <c r="AG184" s="38">
        <v>10</v>
      </c>
      <c r="AH184" s="38">
        <v>0</v>
      </c>
      <c r="AI184" s="36"/>
      <c r="AJ184" s="36"/>
      <c r="AK184" s="36"/>
      <c r="AL184" s="36"/>
      <c r="AM184" s="38">
        <v>12</v>
      </c>
      <c r="AN184" s="38">
        <v>3</v>
      </c>
      <c r="AO184" s="38">
        <v>1</v>
      </c>
      <c r="AP184" s="38">
        <v>4</v>
      </c>
      <c r="AQ184" s="36"/>
      <c r="AR184" s="36"/>
      <c r="AS184" s="36"/>
      <c r="AT184" s="36"/>
      <c r="AU184" s="36"/>
      <c r="AV184" s="36"/>
      <c r="AW184" s="38">
        <v>2.33</v>
      </c>
      <c r="AX184" s="38">
        <v>5.0999999999999996</v>
      </c>
      <c r="AY184" s="36"/>
      <c r="AZ184" s="38">
        <v>36</v>
      </c>
      <c r="BA184" s="38">
        <v>44</v>
      </c>
      <c r="BB184" s="38">
        <v>48</v>
      </c>
      <c r="BC184" s="36"/>
      <c r="BD184" s="36"/>
      <c r="BE184" s="36"/>
      <c r="BF184" s="36"/>
      <c r="BG184" s="59">
        <v>6.666666666666667</v>
      </c>
      <c r="BH184" s="59"/>
      <c r="BI184" s="59">
        <v>7.185130352216125E-2</v>
      </c>
      <c r="BJ184" s="59"/>
      <c r="BK184" s="36"/>
      <c r="BL184" s="36"/>
      <c r="BM184" s="36"/>
      <c r="BN184" s="38">
        <v>32</v>
      </c>
      <c r="BO184" s="36"/>
      <c r="BP184" s="39">
        <f t="shared" si="66"/>
        <v>0.89898437500000006</v>
      </c>
      <c r="BQ184" s="37"/>
      <c r="BR184" s="39">
        <f t="shared" si="67"/>
        <v>0.26468479739556733</v>
      </c>
      <c r="BS184" s="37"/>
      <c r="BT184" s="39">
        <f t="shared" si="96"/>
        <v>17.696542814960633</v>
      </c>
      <c r="BU184" s="37"/>
      <c r="BV184" s="39">
        <f t="shared" si="74"/>
        <v>0.25511787700777577</v>
      </c>
      <c r="BW184" s="37"/>
      <c r="BX184" s="39">
        <f t="shared" si="75"/>
        <v>9.4725325106035249E-2</v>
      </c>
      <c r="BY184" s="39">
        <f>$BP184*(12*Z184+AA184)/(12*0.453592)</f>
        <v>3.1380446019403632</v>
      </c>
      <c r="BZ184" s="37"/>
      <c r="CA184" s="37"/>
      <c r="CB184" s="37"/>
      <c r="CC184" s="39">
        <f t="shared" si="95"/>
        <v>8.5403515625000009E-2</v>
      </c>
      <c r="CD184" s="39">
        <f>BP184*(12*AM184+AN184)/1000</f>
        <v>0.13215070312500002</v>
      </c>
      <c r="CE184" s="37"/>
      <c r="CF184" s="37"/>
      <c r="CG184" s="39">
        <f t="shared" si="93"/>
        <v>3.1612637362637366</v>
      </c>
      <c r="CH184" s="39">
        <f t="shared" si="87"/>
        <v>4.6178803721185568</v>
      </c>
      <c r="CI184" s="37"/>
      <c r="CJ184" s="37"/>
      <c r="CK184" s="39">
        <f>BP184*(12*AC184+AD184)/(35.238*8)</f>
        <v>3.1092491260322666E-2</v>
      </c>
      <c r="CL184" s="39">
        <f t="shared" si="90"/>
        <v>1.07878125</v>
      </c>
      <c r="CM184" s="39">
        <f>BP184*(12*$AC184+$AD184)/(35.238*8)/0.283</f>
        <v>0.10986746028382569</v>
      </c>
      <c r="CN184" s="37"/>
      <c r="CO184" s="39">
        <f>0.063495+(0.016949+0.014096)*Wages!P182+1.22592*BR184</f>
        <v>0.61124914619817383</v>
      </c>
      <c r="CP184" s="39"/>
      <c r="CQ184" s="39">
        <f t="shared" si="76"/>
        <v>0.61124914619817383</v>
      </c>
      <c r="CR184" s="39">
        <f t="shared" si="89"/>
        <v>0.25511787700777577</v>
      </c>
      <c r="CS184" s="39">
        <f t="shared" si="77"/>
        <v>1.008695652173913</v>
      </c>
      <c r="CT184" s="39">
        <f t="shared" si="78"/>
        <v>2.9034782608695657</v>
      </c>
      <c r="CU184" s="39">
        <v>1.4</v>
      </c>
      <c r="CV184" s="39">
        <f t="shared" si="92"/>
        <v>8.5403515625000009E-2</v>
      </c>
      <c r="CW184" s="39">
        <f>CD184</f>
        <v>0.13215070312500002</v>
      </c>
      <c r="CX184" s="39"/>
      <c r="CY184" s="39"/>
      <c r="CZ184" s="39">
        <f t="shared" si="68"/>
        <v>9.4725325106035249E-2</v>
      </c>
      <c r="DA184" s="39">
        <f t="shared" si="88"/>
        <v>4.6178803721185568</v>
      </c>
      <c r="DB184" s="39">
        <f t="shared" si="97"/>
        <v>3.8932394885826791</v>
      </c>
      <c r="DC184" s="39">
        <f t="shared" si="69"/>
        <v>3.1380446019403632</v>
      </c>
      <c r="DD184" s="39">
        <f t="shared" si="94"/>
        <v>3.1612637362637366</v>
      </c>
      <c r="DE184" s="39">
        <f>CK184</f>
        <v>3.1092491260322666E-2</v>
      </c>
      <c r="DF184" s="37"/>
      <c r="DG184" s="39">
        <f t="shared" si="70"/>
        <v>1.07878125</v>
      </c>
      <c r="DH184" s="39">
        <f t="shared" si="71"/>
        <v>3.5196390378449931</v>
      </c>
      <c r="DI184" s="37"/>
      <c r="DJ184" s="37"/>
      <c r="DK184" s="37"/>
      <c r="DL184" s="37"/>
      <c r="DM184" s="39">
        <f t="shared" si="80"/>
        <v>0.62725605885554991</v>
      </c>
      <c r="DN184" s="39"/>
      <c r="DO184" s="39">
        <f t="shared" si="81"/>
        <v>0.62725605885554991</v>
      </c>
      <c r="DP184" s="37"/>
      <c r="DQ184" s="37">
        <f>DO184/'Conversions, Sources &amp; Comments'!E182</f>
        <v>0.69773855508395222</v>
      </c>
    </row>
    <row r="185" spans="1:121">
      <c r="A185" s="42">
        <f t="shared" si="72"/>
        <v>1433</v>
      </c>
      <c r="B185" s="36"/>
      <c r="C185" s="38">
        <v>5</v>
      </c>
      <c r="D185" s="38">
        <v>10.25</v>
      </c>
      <c r="E185" s="38">
        <v>4</v>
      </c>
      <c r="F185" s="38">
        <v>2.75</v>
      </c>
      <c r="G185" s="38">
        <v>2</v>
      </c>
      <c r="H185" s="38">
        <v>3</v>
      </c>
      <c r="I185" s="38">
        <v>5</v>
      </c>
      <c r="J185" s="38">
        <v>4</v>
      </c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8">
        <v>5.7</v>
      </c>
      <c r="V185" s="36"/>
      <c r="W185" s="36"/>
      <c r="X185" s="38">
        <v>5</v>
      </c>
      <c r="Y185" s="38">
        <v>7.5</v>
      </c>
      <c r="Z185" s="38">
        <v>1</v>
      </c>
      <c r="AA185" s="38">
        <v>6.5</v>
      </c>
      <c r="AB185" s="36"/>
      <c r="AC185" s="36"/>
      <c r="AD185" s="36"/>
      <c r="AE185" s="38">
        <v>0</v>
      </c>
      <c r="AF185" s="38">
        <v>10</v>
      </c>
      <c r="AG185" s="38">
        <v>7</v>
      </c>
      <c r="AH185" s="38">
        <v>6</v>
      </c>
      <c r="AI185" s="36"/>
      <c r="AJ185" s="36"/>
      <c r="AK185" s="36"/>
      <c r="AL185" s="36"/>
      <c r="AM185" s="38">
        <v>6</v>
      </c>
      <c r="AN185" s="38">
        <v>6.75</v>
      </c>
      <c r="AO185" s="38">
        <v>1</v>
      </c>
      <c r="AP185" s="38">
        <v>4</v>
      </c>
      <c r="AQ185" s="36"/>
      <c r="AR185" s="36"/>
      <c r="AS185" s="36"/>
      <c r="AT185" s="36"/>
      <c r="AU185" s="36"/>
      <c r="AV185" s="36"/>
      <c r="AW185" s="38">
        <v>2.33</v>
      </c>
      <c r="AX185" s="38">
        <v>5</v>
      </c>
      <c r="AY185" s="36"/>
      <c r="AZ185" s="38">
        <v>35.42</v>
      </c>
      <c r="BA185" s="38">
        <v>45.5</v>
      </c>
      <c r="BB185" s="38">
        <v>58</v>
      </c>
      <c r="BC185" s="36"/>
      <c r="BD185" s="36"/>
      <c r="BE185" s="36"/>
      <c r="BF185" s="36"/>
      <c r="BG185" s="59">
        <v>4</v>
      </c>
      <c r="BH185" s="59"/>
      <c r="BI185" s="59">
        <v>7.5996571033055599E-2</v>
      </c>
      <c r="BJ185" s="59"/>
      <c r="BK185" s="36"/>
      <c r="BL185" s="36"/>
      <c r="BM185" s="36"/>
      <c r="BN185" s="38">
        <v>32</v>
      </c>
      <c r="BO185" s="36"/>
      <c r="BP185" s="39">
        <f t="shared" si="66"/>
        <v>0.89898437500000006</v>
      </c>
      <c r="BQ185" s="37"/>
      <c r="BR185" s="39">
        <f t="shared" si="67"/>
        <v>0.22402538574745304</v>
      </c>
      <c r="BS185" s="37"/>
      <c r="BT185" s="39">
        <f t="shared" si="96"/>
        <v>17.411431847386268</v>
      </c>
      <c r="BU185" s="37"/>
      <c r="BV185" s="39">
        <f t="shared" si="74"/>
        <v>0.15307072620466544</v>
      </c>
      <c r="BW185" s="37"/>
      <c r="BX185" s="39">
        <f t="shared" si="75"/>
        <v>0.10019024770830708</v>
      </c>
      <c r="BY185" s="39">
        <f>$BP185*(12*Z185+AA185)/(12*0.453592)</f>
        <v>3.0554644808366698</v>
      </c>
      <c r="BZ185" s="37"/>
      <c r="CA185" s="37"/>
      <c r="CB185" s="37"/>
      <c r="CC185" s="39">
        <f t="shared" si="95"/>
        <v>8.5403515625000009E-2</v>
      </c>
      <c r="CD185" s="39">
        <f>BP185*(12*AM185+AN185)/1000</f>
        <v>7.0795019531250003E-2</v>
      </c>
      <c r="CE185" s="37"/>
      <c r="CF185" s="37"/>
      <c r="CG185" s="39">
        <f t="shared" si="93"/>
        <v>3.1612637362637366</v>
      </c>
      <c r="CH185" s="39">
        <f t="shared" ref="CH185:CH216" si="98">BP185*12*AW185/(12*0.453592)</f>
        <v>4.6178803721185568</v>
      </c>
      <c r="CI185" s="37"/>
      <c r="CJ185" s="37"/>
      <c r="CK185" s="37"/>
      <c r="CL185" s="39">
        <f t="shared" si="90"/>
        <v>0.80908593750000013</v>
      </c>
      <c r="CM185" s="37"/>
      <c r="CN185" s="37"/>
      <c r="CO185" s="39">
        <f>0.063495+(0.016949+0.014096)*Wages!P183+1.22592*BR185</f>
        <v>0.56140396027051764</v>
      </c>
      <c r="CP185" s="39"/>
      <c r="CQ185" s="39">
        <f t="shared" si="76"/>
        <v>0.56140396027051764</v>
      </c>
      <c r="CR185" s="39">
        <f t="shared" si="89"/>
        <v>0.15307072620466544</v>
      </c>
      <c r="CS185" s="39">
        <f t="shared" si="77"/>
        <v>1.008695652173913</v>
      </c>
      <c r="CT185" s="39">
        <f t="shared" si="78"/>
        <v>2.9034782608695657</v>
      </c>
      <c r="CU185" s="39">
        <v>1.4</v>
      </c>
      <c r="CV185" s="39">
        <f t="shared" si="92"/>
        <v>8.5403515625000009E-2</v>
      </c>
      <c r="CW185" s="39">
        <f>CD185</f>
        <v>7.0795019531250003E-2</v>
      </c>
      <c r="CX185" s="39"/>
      <c r="CY185" s="39"/>
      <c r="CZ185" s="39">
        <f t="shared" si="68"/>
        <v>0.10019024770830708</v>
      </c>
      <c r="DA185" s="39">
        <f t="shared" si="88"/>
        <v>4.6178803721185568</v>
      </c>
      <c r="DB185" s="39">
        <f t="shared" si="97"/>
        <v>3.8305150745999583</v>
      </c>
      <c r="DC185" s="39">
        <f t="shared" si="69"/>
        <v>3.0554644808366698</v>
      </c>
      <c r="DD185" s="39">
        <f t="shared" si="94"/>
        <v>3.1612637362637366</v>
      </c>
      <c r="DE185" s="39">
        <v>3.1092491260322666E-2</v>
      </c>
      <c r="DF185" s="37"/>
      <c r="DG185" s="39">
        <f t="shared" si="70"/>
        <v>0.80908593750000013</v>
      </c>
      <c r="DH185" s="39">
        <f t="shared" si="71"/>
        <v>3.5196390378449931</v>
      </c>
      <c r="DI185" s="37"/>
      <c r="DJ185" s="37"/>
      <c r="DK185" s="37"/>
      <c r="DL185" s="37"/>
      <c r="DM185" s="39">
        <f t="shared" si="80"/>
        <v>0.59372500621121804</v>
      </c>
      <c r="DN185" s="39"/>
      <c r="DO185" s="39">
        <f t="shared" si="81"/>
        <v>0.59372500621121804</v>
      </c>
      <c r="DP185" s="37"/>
      <c r="DQ185" s="37">
        <f>DO185/'Conversions, Sources &amp; Comments'!E183</f>
        <v>0.66043973924598853</v>
      </c>
    </row>
    <row r="186" spans="1:121">
      <c r="A186" s="42">
        <f t="shared" si="72"/>
        <v>1434</v>
      </c>
      <c r="B186" s="36"/>
      <c r="C186" s="38">
        <v>5</v>
      </c>
      <c r="D186" s="38">
        <v>4.5</v>
      </c>
      <c r="E186" s="38">
        <v>2</v>
      </c>
      <c r="F186" s="38">
        <v>10</v>
      </c>
      <c r="G186" s="38">
        <v>1</v>
      </c>
      <c r="H186" s="38">
        <v>11.5</v>
      </c>
      <c r="I186" s="38">
        <v>3</v>
      </c>
      <c r="J186" s="38">
        <v>5</v>
      </c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8">
        <v>5.7</v>
      </c>
      <c r="V186" s="36"/>
      <c r="W186" s="36"/>
      <c r="X186" s="36"/>
      <c r="Y186" s="36"/>
      <c r="Z186" s="36"/>
      <c r="AA186" s="36"/>
      <c r="AB186" s="36"/>
      <c r="AC186" s="36"/>
      <c r="AD186" s="36"/>
      <c r="AE186" s="38">
        <v>0</v>
      </c>
      <c r="AF186" s="38">
        <v>10</v>
      </c>
      <c r="AG186" s="38">
        <v>4</v>
      </c>
      <c r="AH186" s="38">
        <v>7</v>
      </c>
      <c r="AI186" s="38">
        <v>2</v>
      </c>
      <c r="AJ186" s="38">
        <v>6</v>
      </c>
      <c r="AK186" s="36"/>
      <c r="AL186" s="36"/>
      <c r="AM186" s="36"/>
      <c r="AN186" s="36"/>
      <c r="AO186" s="38">
        <v>1</v>
      </c>
      <c r="AP186" s="38">
        <v>4</v>
      </c>
      <c r="AQ186" s="36"/>
      <c r="AR186" s="36"/>
      <c r="AS186" s="36"/>
      <c r="AT186" s="36"/>
      <c r="AU186" s="36"/>
      <c r="AV186" s="36"/>
      <c r="AW186" s="38">
        <v>2.33</v>
      </c>
      <c r="AX186" s="36"/>
      <c r="AY186" s="36"/>
      <c r="AZ186" s="38">
        <v>36.5</v>
      </c>
      <c r="BA186" s="38">
        <v>45.5</v>
      </c>
      <c r="BB186" s="36"/>
      <c r="BC186" s="36"/>
      <c r="BD186" s="36"/>
      <c r="BE186" s="36"/>
      <c r="BF186" s="36"/>
      <c r="BG186" s="59">
        <v>4</v>
      </c>
      <c r="BH186" s="59"/>
      <c r="BI186" s="59">
        <v>5.6651989315549794E-2</v>
      </c>
      <c r="BJ186" s="59"/>
      <c r="BK186" s="36"/>
      <c r="BL186" s="36"/>
      <c r="BM186" s="36"/>
      <c r="BN186" s="38">
        <v>32</v>
      </c>
      <c r="BO186" s="36"/>
      <c r="BP186" s="39">
        <f t="shared" si="66"/>
        <v>0.89898437500000006</v>
      </c>
      <c r="BQ186" s="37"/>
      <c r="BR186" s="39">
        <f t="shared" si="67"/>
        <v>0.20568878833751916</v>
      </c>
      <c r="BS186" s="37"/>
      <c r="BT186" s="39">
        <f t="shared" si="96"/>
        <v>17.942328131835087</v>
      </c>
      <c r="BU186" s="37"/>
      <c r="BV186" s="39">
        <f t="shared" si="74"/>
        <v>0.15307072620466544</v>
      </c>
      <c r="BW186" s="37"/>
      <c r="BX186" s="39">
        <f t="shared" si="75"/>
        <v>7.4687275564373393E-2</v>
      </c>
      <c r="BY186" s="39">
        <v>3</v>
      </c>
      <c r="BZ186" s="37"/>
      <c r="CA186" s="37"/>
      <c r="CB186" s="37"/>
      <c r="CC186" s="39">
        <f t="shared" si="95"/>
        <v>8.5403515625000009E-2</v>
      </c>
      <c r="CD186" s="37"/>
      <c r="CE186" s="37"/>
      <c r="CF186" s="37"/>
      <c r="CG186" s="39">
        <f t="shared" si="93"/>
        <v>3.1612637362637366</v>
      </c>
      <c r="CH186" s="39">
        <f t="shared" si="98"/>
        <v>4.6178803721185568</v>
      </c>
      <c r="CI186" s="37"/>
      <c r="CJ186" s="37"/>
      <c r="CK186" s="37"/>
      <c r="CL186" s="39">
        <f t="shared" si="90"/>
        <v>0.49444140625000005</v>
      </c>
      <c r="CM186" s="37"/>
      <c r="CN186" s="37"/>
      <c r="CO186" s="39">
        <f>0.063495+(0.016949+0.014096)*Wages!P184+1.22592*BR186</f>
        <v>0.53892475877373136</v>
      </c>
      <c r="CP186" s="39"/>
      <c r="CQ186" s="39">
        <f t="shared" si="76"/>
        <v>0.53892475877373136</v>
      </c>
      <c r="CR186" s="39">
        <f t="shared" si="89"/>
        <v>0.15307072620466544</v>
      </c>
      <c r="CS186" s="39">
        <f t="shared" si="77"/>
        <v>1.008695652173913</v>
      </c>
      <c r="CT186" s="39">
        <f t="shared" si="78"/>
        <v>2.9034782608695657</v>
      </c>
      <c r="CU186" s="39">
        <v>1.4</v>
      </c>
      <c r="CV186" s="39">
        <f t="shared" si="92"/>
        <v>8.5403515625000009E-2</v>
      </c>
      <c r="CW186" s="39">
        <v>0.1</v>
      </c>
      <c r="CX186" s="39"/>
      <c r="CY186" s="39"/>
      <c r="CZ186" s="39">
        <f t="shared" si="68"/>
        <v>7.4687275564373393E-2</v>
      </c>
      <c r="DA186" s="39">
        <f t="shared" si="88"/>
        <v>4.6178803721185568</v>
      </c>
      <c r="DB186" s="39">
        <f t="shared" si="97"/>
        <v>3.9473122592574388</v>
      </c>
      <c r="DC186" s="39">
        <f t="shared" si="69"/>
        <v>3</v>
      </c>
      <c r="DD186" s="39">
        <f t="shared" si="94"/>
        <v>3.1612637362637366</v>
      </c>
      <c r="DE186" s="39">
        <v>3.1092491260322666E-2</v>
      </c>
      <c r="DF186" s="37"/>
      <c r="DG186" s="39">
        <f t="shared" si="70"/>
        <v>0.49444140625000005</v>
      </c>
      <c r="DH186" s="39">
        <f t="shared" si="71"/>
        <v>3.5196390378449931</v>
      </c>
      <c r="DI186" s="37"/>
      <c r="DJ186" s="37"/>
      <c r="DK186" s="37"/>
      <c r="DL186" s="37"/>
      <c r="DM186" s="39">
        <f t="shared" si="80"/>
        <v>0.57373704932077951</v>
      </c>
      <c r="DN186" s="39"/>
      <c r="DO186" s="39">
        <f t="shared" si="81"/>
        <v>0.57373704932077951</v>
      </c>
      <c r="DP186" s="37"/>
      <c r="DQ186" s="37">
        <f>DO186/'Conversions, Sources &amp; Comments'!E184</f>
        <v>0.63820580788267811</v>
      </c>
    </row>
    <row r="187" spans="1:121">
      <c r="A187" s="42">
        <f t="shared" si="72"/>
        <v>1435</v>
      </c>
      <c r="B187" s="36"/>
      <c r="C187" s="38">
        <v>5</v>
      </c>
      <c r="D187" s="38">
        <v>6.25</v>
      </c>
      <c r="E187" s="38">
        <v>2</v>
      </c>
      <c r="F187" s="38">
        <v>5</v>
      </c>
      <c r="G187" s="38">
        <v>1</v>
      </c>
      <c r="H187" s="38">
        <v>8.5</v>
      </c>
      <c r="I187" s="38">
        <v>3</v>
      </c>
      <c r="J187" s="38">
        <v>5.25</v>
      </c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8">
        <v>5.7</v>
      </c>
      <c r="V187" s="36"/>
      <c r="W187" s="36"/>
      <c r="X187" s="38">
        <v>5</v>
      </c>
      <c r="Y187" s="38">
        <v>5.25</v>
      </c>
      <c r="Z187" s="38">
        <v>1</v>
      </c>
      <c r="AA187" s="38">
        <v>6</v>
      </c>
      <c r="AB187" s="36"/>
      <c r="AC187" s="38">
        <v>0</v>
      </c>
      <c r="AD187" s="38">
        <v>10</v>
      </c>
      <c r="AE187" s="38">
        <v>0</v>
      </c>
      <c r="AF187" s="38">
        <v>10</v>
      </c>
      <c r="AG187" s="38">
        <v>3</v>
      </c>
      <c r="AH187" s="38">
        <v>4</v>
      </c>
      <c r="AI187" s="36"/>
      <c r="AJ187" s="36"/>
      <c r="AK187" s="36"/>
      <c r="AL187" s="36"/>
      <c r="AM187" s="36"/>
      <c r="AN187" s="36"/>
      <c r="AO187" s="38" t="s">
        <v>8</v>
      </c>
      <c r="AP187" s="36"/>
      <c r="AQ187" s="36"/>
      <c r="AR187" s="36"/>
      <c r="AS187" s="36"/>
      <c r="AT187" s="36"/>
      <c r="AU187" s="36"/>
      <c r="AV187" s="36"/>
      <c r="AW187" s="38">
        <v>2.33</v>
      </c>
      <c r="AX187" s="38">
        <v>6.6</v>
      </c>
      <c r="AY187" s="36"/>
      <c r="AZ187" s="36"/>
      <c r="BA187" s="36"/>
      <c r="BB187" s="38">
        <v>42</v>
      </c>
      <c r="BC187" s="36"/>
      <c r="BD187" s="36"/>
      <c r="BE187" s="36"/>
      <c r="BF187" s="36"/>
      <c r="BG187" s="59">
        <v>4</v>
      </c>
      <c r="BH187" s="59"/>
      <c r="BI187" s="59">
        <v>4.4216186782868462E-2</v>
      </c>
      <c r="BJ187" s="59"/>
      <c r="BK187" s="36"/>
      <c r="BL187" s="36"/>
      <c r="BM187" s="36"/>
      <c r="BN187" s="38">
        <v>32</v>
      </c>
      <c r="BO187" s="36"/>
      <c r="BP187" s="39">
        <f t="shared" si="66"/>
        <v>0.89898437500000006</v>
      </c>
      <c r="BQ187" s="37"/>
      <c r="BR187" s="39">
        <f t="shared" si="67"/>
        <v>0.21126949189706426</v>
      </c>
      <c r="BS187" s="37"/>
      <c r="BT187" s="37"/>
      <c r="BU187" s="37"/>
      <c r="BV187" s="39">
        <f t="shared" si="74"/>
        <v>0.15307072620466544</v>
      </c>
      <c r="BW187" s="37"/>
      <c r="BX187" s="39">
        <f t="shared" si="75"/>
        <v>5.8292507757560154E-2</v>
      </c>
      <c r="BY187" s="39">
        <f t="shared" ref="BY187:BY204" si="99">$BP187*(12*Z187+AA187)/(12*0.453592)</f>
        <v>2.9728843597329764</v>
      </c>
      <c r="BZ187" s="37"/>
      <c r="CA187" s="37"/>
      <c r="CB187" s="37"/>
      <c r="CC187" s="39">
        <f t="shared" si="95"/>
        <v>8.5403515625000009E-2</v>
      </c>
      <c r="CD187" s="37"/>
      <c r="CE187" s="37"/>
      <c r="CF187" s="37"/>
      <c r="CG187" s="37"/>
      <c r="CH187" s="39">
        <f t="shared" si="98"/>
        <v>4.6178803721185568</v>
      </c>
      <c r="CI187" s="37"/>
      <c r="CJ187" s="37"/>
      <c r="CK187" s="39">
        <f>BP187*(12*AC187+AD187)/(35.238*8)</f>
        <v>3.1889734625971965E-2</v>
      </c>
      <c r="CL187" s="39">
        <f t="shared" si="90"/>
        <v>0.35959374999999999</v>
      </c>
      <c r="CM187" s="39">
        <f>BP187*(12*$AC187+$AD187)/(35.238*8)/0.283</f>
        <v>0.11268457465007763</v>
      </c>
      <c r="CN187" s="37"/>
      <c r="CO187" s="39">
        <f>0.063495+(0.016949+0.014096)*Wages!P185+1.22592*BR187</f>
        <v>0.54576625488144903</v>
      </c>
      <c r="CP187" s="39"/>
      <c r="CQ187" s="39">
        <f t="shared" si="76"/>
        <v>0.54576625488144903</v>
      </c>
      <c r="CR187" s="39">
        <f t="shared" si="89"/>
        <v>0.15307072620466544</v>
      </c>
      <c r="CS187" s="39">
        <f t="shared" si="77"/>
        <v>1.008695652173913</v>
      </c>
      <c r="CT187" s="39">
        <f t="shared" si="78"/>
        <v>2.9034782608695657</v>
      </c>
      <c r="CU187" s="39">
        <v>1.4</v>
      </c>
      <c r="CV187" s="39">
        <f t="shared" si="92"/>
        <v>8.5403515625000009E-2</v>
      </c>
      <c r="CW187" s="39">
        <v>0.1</v>
      </c>
      <c r="CX187" s="39"/>
      <c r="CY187" s="39"/>
      <c r="CZ187" s="39">
        <f t="shared" si="68"/>
        <v>5.8292507757560154E-2</v>
      </c>
      <c r="DA187" s="39">
        <f t="shared" si="88"/>
        <v>4.6178803721185568</v>
      </c>
      <c r="DB187" s="39">
        <v>4</v>
      </c>
      <c r="DC187" s="39">
        <f t="shared" si="69"/>
        <v>2.9728843597329764</v>
      </c>
      <c r="DD187" s="39">
        <v>2.9</v>
      </c>
      <c r="DE187" s="39">
        <f>CK187</f>
        <v>3.1889734625971965E-2</v>
      </c>
      <c r="DF187" s="37"/>
      <c r="DG187" s="39">
        <f t="shared" si="70"/>
        <v>0.35959374999999999</v>
      </c>
      <c r="DH187" s="39">
        <f t="shared" si="71"/>
        <v>3.6098861926615311</v>
      </c>
      <c r="DI187" s="37"/>
      <c r="DJ187" s="37"/>
      <c r="DK187" s="37"/>
      <c r="DL187" s="37"/>
      <c r="DM187" s="39">
        <f t="shared" si="80"/>
        <v>0.56946177116150853</v>
      </c>
      <c r="DN187" s="39"/>
      <c r="DO187" s="39">
        <f t="shared" si="81"/>
        <v>0.56946177116150853</v>
      </c>
      <c r="DP187" s="37"/>
      <c r="DQ187" s="37">
        <f>DO187/'Conversions, Sources &amp; Comments'!E185</f>
        <v>0.63345013216888058</v>
      </c>
    </row>
    <row r="188" spans="1:121">
      <c r="A188" s="42">
        <f t="shared" si="72"/>
        <v>1436</v>
      </c>
      <c r="B188" s="36"/>
      <c r="C188" s="38">
        <v>5</v>
      </c>
      <c r="D188" s="38">
        <v>5.5</v>
      </c>
      <c r="E188" s="38">
        <v>3</v>
      </c>
      <c r="F188" s="38">
        <v>0.75</v>
      </c>
      <c r="G188" s="38">
        <v>1</v>
      </c>
      <c r="H188" s="38">
        <v>10.75</v>
      </c>
      <c r="I188" s="38">
        <v>3</v>
      </c>
      <c r="J188" s="38">
        <v>11.25</v>
      </c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8">
        <v>5.7</v>
      </c>
      <c r="V188" s="36"/>
      <c r="W188" s="36"/>
      <c r="X188" s="38">
        <v>5</v>
      </c>
      <c r="Y188" s="38">
        <v>9.5</v>
      </c>
      <c r="Z188" s="38">
        <v>1</v>
      </c>
      <c r="AA188" s="38">
        <v>5</v>
      </c>
      <c r="AB188" s="36"/>
      <c r="AC188" s="36"/>
      <c r="AD188" s="36"/>
      <c r="AE188" s="38">
        <v>0</v>
      </c>
      <c r="AF188" s="38">
        <v>10</v>
      </c>
      <c r="AG188" s="38">
        <v>8</v>
      </c>
      <c r="AH188" s="38">
        <v>4</v>
      </c>
      <c r="AI188" s="36"/>
      <c r="AJ188" s="36"/>
      <c r="AK188" s="36"/>
      <c r="AL188" s="36"/>
      <c r="AM188" s="36"/>
      <c r="AN188" s="36"/>
      <c r="AO188" s="38" t="s">
        <v>8</v>
      </c>
      <c r="AP188" s="36"/>
      <c r="AQ188" s="36"/>
      <c r="AR188" s="36"/>
      <c r="AS188" s="36"/>
      <c r="AT188" s="36"/>
      <c r="AU188" s="36"/>
      <c r="AV188" s="36"/>
      <c r="AW188" s="38">
        <v>2.33</v>
      </c>
      <c r="AX188" s="36"/>
      <c r="AY188" s="36"/>
      <c r="AZ188" s="38">
        <v>37.33</v>
      </c>
      <c r="BA188" s="38">
        <v>44</v>
      </c>
      <c r="BB188" s="38">
        <v>40</v>
      </c>
      <c r="BC188" s="36"/>
      <c r="BD188" s="36"/>
      <c r="BE188" s="36"/>
      <c r="BF188" s="36"/>
      <c r="BG188" s="59">
        <v>4</v>
      </c>
      <c r="BH188" s="59"/>
      <c r="BI188" s="59">
        <v>5.8033745152514013E-2</v>
      </c>
      <c r="BJ188" s="59"/>
      <c r="BK188" s="36"/>
      <c r="BL188" s="36"/>
      <c r="BM188" s="36"/>
      <c r="BN188" s="38">
        <v>32</v>
      </c>
      <c r="BO188" s="36"/>
      <c r="BP188" s="39">
        <f t="shared" si="66"/>
        <v>0.89898437500000006</v>
      </c>
      <c r="BQ188" s="37"/>
      <c r="BR188" s="39">
        <f t="shared" si="67"/>
        <v>0.20887776180011636</v>
      </c>
      <c r="BS188" s="37"/>
      <c r="BT188" s="39">
        <f t="shared" ref="BT188:BT196" si="100">BP188*12*AZ188/(24*0.9144)</f>
        <v>18.350331757846675</v>
      </c>
      <c r="BU188" s="37"/>
      <c r="BV188" s="39">
        <f t="shared" si="74"/>
        <v>0.15307072620466544</v>
      </c>
      <c r="BW188" s="37"/>
      <c r="BX188" s="39">
        <f t="shared" si="75"/>
        <v>7.6508916431796595E-2</v>
      </c>
      <c r="BY188" s="39">
        <f t="shared" si="99"/>
        <v>2.8077241175255883</v>
      </c>
      <c r="BZ188" s="37"/>
      <c r="CA188" s="37"/>
      <c r="CB188" s="37"/>
      <c r="CC188" s="39">
        <f t="shared" si="95"/>
        <v>8.5403515625000009E-2</v>
      </c>
      <c r="CD188" s="37"/>
      <c r="CE188" s="37"/>
      <c r="CF188" s="37"/>
      <c r="CG188" s="37"/>
      <c r="CH188" s="39">
        <f t="shared" si="98"/>
        <v>4.6178803721185568</v>
      </c>
      <c r="CI188" s="37"/>
      <c r="CJ188" s="37"/>
      <c r="CK188" s="37"/>
      <c r="CL188" s="39">
        <f t="shared" si="90"/>
        <v>0.89898437499999995</v>
      </c>
      <c r="CM188" s="37"/>
      <c r="CN188" s="37"/>
      <c r="CO188" s="39">
        <f>0.063495+(0.016949+0.014096)*Wages!P186+1.22592*BR188</f>
        <v>0.54283418512099857</v>
      </c>
      <c r="CP188" s="39"/>
      <c r="CQ188" s="39">
        <f t="shared" si="76"/>
        <v>0.54283418512099857</v>
      </c>
      <c r="CR188" s="39">
        <f t="shared" si="89"/>
        <v>0.15307072620466544</v>
      </c>
      <c r="CS188" s="39">
        <f t="shared" si="77"/>
        <v>1.008695652173913</v>
      </c>
      <c r="CT188" s="39">
        <f t="shared" si="78"/>
        <v>2.9034782608695657</v>
      </c>
      <c r="CU188" s="39">
        <v>1.4</v>
      </c>
      <c r="CV188" s="39">
        <f t="shared" si="92"/>
        <v>8.5403515625000009E-2</v>
      </c>
      <c r="CW188" s="39">
        <v>0.1</v>
      </c>
      <c r="CX188" s="39"/>
      <c r="CY188" s="39"/>
      <c r="CZ188" s="39">
        <f t="shared" si="68"/>
        <v>7.6508916431796595E-2</v>
      </c>
      <c r="DA188" s="39">
        <f t="shared" si="88"/>
        <v>4.6178803721185568</v>
      </c>
      <c r="DB188" s="39">
        <f t="shared" ref="DB188:DB196" si="101">DB$258*BT188/15.73026</f>
        <v>4.0370730585775387</v>
      </c>
      <c r="DC188" s="39">
        <f t="shared" si="69"/>
        <v>2.8077241175255883</v>
      </c>
      <c r="DD188" s="39">
        <v>2.9</v>
      </c>
      <c r="DE188" s="39">
        <v>3.1889734625971965E-2</v>
      </c>
      <c r="DF188" s="37"/>
      <c r="DG188" s="39">
        <f t="shared" si="70"/>
        <v>0.89898437499999995</v>
      </c>
      <c r="DH188" s="39">
        <f t="shared" si="71"/>
        <v>3.6098861926615311</v>
      </c>
      <c r="DI188" s="37"/>
      <c r="DJ188" s="37"/>
      <c r="DK188" s="37"/>
      <c r="DL188" s="37"/>
      <c r="DM188" s="39">
        <f t="shared" si="80"/>
        <v>0.57557819993185066</v>
      </c>
      <c r="DN188" s="39"/>
      <c r="DO188" s="39">
        <f t="shared" si="81"/>
        <v>0.57557819993185066</v>
      </c>
      <c r="DP188" s="37"/>
      <c r="DQ188" s="37">
        <f>DO188/'Conversions, Sources &amp; Comments'!E186</f>
        <v>0.64025384193340473</v>
      </c>
    </row>
    <row r="189" spans="1:121">
      <c r="A189" s="42">
        <f t="shared" si="72"/>
        <v>1437</v>
      </c>
      <c r="B189" s="36"/>
      <c r="C189" s="38">
        <v>9</v>
      </c>
      <c r="D189" s="38">
        <v>3.75</v>
      </c>
      <c r="E189" s="38">
        <v>4</v>
      </c>
      <c r="F189" s="38">
        <v>0</v>
      </c>
      <c r="G189" s="38">
        <v>2</v>
      </c>
      <c r="H189" s="38">
        <v>11.25</v>
      </c>
      <c r="I189" s="38">
        <v>6</v>
      </c>
      <c r="J189" s="38">
        <v>8</v>
      </c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8">
        <v>5.7</v>
      </c>
      <c r="V189" s="36"/>
      <c r="W189" s="36"/>
      <c r="X189" s="38">
        <v>5</v>
      </c>
      <c r="Y189" s="38">
        <v>6.5</v>
      </c>
      <c r="Z189" s="38">
        <v>1</v>
      </c>
      <c r="AA189" s="38">
        <v>5.25</v>
      </c>
      <c r="AB189" s="36"/>
      <c r="AC189" s="38">
        <v>0</v>
      </c>
      <c r="AD189" s="38">
        <v>10</v>
      </c>
      <c r="AE189" s="38">
        <v>0</v>
      </c>
      <c r="AF189" s="38">
        <v>10</v>
      </c>
      <c r="AG189" s="38">
        <v>8</v>
      </c>
      <c r="AH189" s="38">
        <v>10</v>
      </c>
      <c r="AI189" s="38">
        <v>2</v>
      </c>
      <c r="AJ189" s="38">
        <v>3</v>
      </c>
      <c r="AK189" s="36"/>
      <c r="AL189" s="36"/>
      <c r="AM189" s="36"/>
      <c r="AN189" s="36"/>
      <c r="AO189" s="38">
        <v>1</v>
      </c>
      <c r="AP189" s="38">
        <v>2</v>
      </c>
      <c r="AQ189" s="38">
        <v>1</v>
      </c>
      <c r="AR189" s="38">
        <v>2</v>
      </c>
      <c r="AS189" s="36"/>
      <c r="AT189" s="36"/>
      <c r="AU189" s="36"/>
      <c r="AV189" s="36"/>
      <c r="AW189" s="38">
        <v>2.33</v>
      </c>
      <c r="AX189" s="36"/>
      <c r="AY189" s="36"/>
      <c r="AZ189" s="38">
        <v>38</v>
      </c>
      <c r="BA189" s="38">
        <v>44</v>
      </c>
      <c r="BB189" s="38">
        <v>43</v>
      </c>
      <c r="BC189" s="36"/>
      <c r="BD189" s="36"/>
      <c r="BE189" s="36"/>
      <c r="BF189" s="36"/>
      <c r="BG189" s="59">
        <v>3.75</v>
      </c>
      <c r="BH189" s="59"/>
      <c r="BI189" s="59">
        <v>9.1195885239665361E-2</v>
      </c>
      <c r="BJ189" s="59"/>
      <c r="BK189" s="36"/>
      <c r="BL189" s="36"/>
      <c r="BM189" s="36"/>
      <c r="BN189" s="38">
        <v>32</v>
      </c>
      <c r="BO189" s="36"/>
      <c r="BP189" s="39">
        <f t="shared" si="66"/>
        <v>0.89898437500000006</v>
      </c>
      <c r="BQ189" s="37"/>
      <c r="BR189" s="39">
        <f t="shared" si="67"/>
        <v>0.3563677844452367</v>
      </c>
      <c r="BS189" s="37"/>
      <c r="BT189" s="39">
        <f t="shared" si="100"/>
        <v>18.679684082458447</v>
      </c>
      <c r="BU189" s="37"/>
      <c r="BV189" s="39">
        <f t="shared" si="74"/>
        <v>0.14350380581687386</v>
      </c>
      <c r="BW189" s="37"/>
      <c r="BX189" s="39">
        <f t="shared" si="75"/>
        <v>0.12022829724996671</v>
      </c>
      <c r="BY189" s="39">
        <f t="shared" si="99"/>
        <v>2.8490141780774354</v>
      </c>
      <c r="BZ189" s="37"/>
      <c r="CA189" s="37"/>
      <c r="CB189" s="37"/>
      <c r="CC189" s="39">
        <f t="shared" si="95"/>
        <v>8.5403515625000009E-2</v>
      </c>
      <c r="CD189" s="37"/>
      <c r="CE189" s="37"/>
      <c r="CF189" s="37"/>
      <c r="CG189" s="39">
        <f>BP189*(12*AO189+AP189)/4.55</f>
        <v>2.7661057692307693</v>
      </c>
      <c r="CH189" s="39">
        <f t="shared" si="98"/>
        <v>4.6178803721185568</v>
      </c>
      <c r="CI189" s="37"/>
      <c r="CJ189" s="37"/>
      <c r="CK189" s="39">
        <f>BP189*(12*AC189+AD189)/(35.238*8)</f>
        <v>3.1889734625971965E-2</v>
      </c>
      <c r="CL189" s="39">
        <f t="shared" si="90"/>
        <v>0.95292343749999997</v>
      </c>
      <c r="CM189" s="39">
        <f>BP189*(12*$AC189+$AD189)/(35.238*8)/0.283</f>
        <v>0.11268457465007763</v>
      </c>
      <c r="CN189" s="37"/>
      <c r="CO189" s="39">
        <f>0.063495+(0.016949+0.014096)*Wages!P187+1.22592*BR189</f>
        <v>0.72364515368210447</v>
      </c>
      <c r="CP189" s="39"/>
      <c r="CQ189" s="39">
        <f t="shared" si="76"/>
        <v>0.72364515368210447</v>
      </c>
      <c r="CR189" s="39">
        <f t="shared" si="89"/>
        <v>0.14350380581687386</v>
      </c>
      <c r="CS189" s="39">
        <f t="shared" si="77"/>
        <v>1.008695652173913</v>
      </c>
      <c r="CT189" s="39">
        <f t="shared" si="78"/>
        <v>2.9034782608695657</v>
      </c>
      <c r="CU189" s="39">
        <v>1.4</v>
      </c>
      <c r="CV189" s="39">
        <f t="shared" si="92"/>
        <v>8.5403515625000009E-2</v>
      </c>
      <c r="CW189" s="39">
        <v>0.1</v>
      </c>
      <c r="CX189" s="39"/>
      <c r="CY189" s="39"/>
      <c r="CZ189" s="39">
        <f t="shared" si="68"/>
        <v>0.12022829724996671</v>
      </c>
      <c r="DA189" s="39">
        <f t="shared" si="88"/>
        <v>4.6178803721185568</v>
      </c>
      <c r="DB189" s="39">
        <f t="shared" si="101"/>
        <v>4.1095305712817174</v>
      </c>
      <c r="DC189" s="39">
        <f t="shared" si="69"/>
        <v>2.8490141780774354</v>
      </c>
      <c r="DD189" s="39">
        <f>CG189</f>
        <v>2.7661057692307693</v>
      </c>
      <c r="DE189" s="39">
        <f>CK189</f>
        <v>3.1889734625971965E-2</v>
      </c>
      <c r="DF189" s="37"/>
      <c r="DG189" s="39">
        <f t="shared" si="70"/>
        <v>0.95292343749999997</v>
      </c>
      <c r="DH189" s="39">
        <f t="shared" si="71"/>
        <v>3.6098861926615311</v>
      </c>
      <c r="DI189" s="37"/>
      <c r="DJ189" s="37"/>
      <c r="DK189" s="37"/>
      <c r="DL189" s="37"/>
      <c r="DM189" s="39">
        <f t="shared" si="80"/>
        <v>0.67316481673209316</v>
      </c>
      <c r="DN189" s="39"/>
      <c r="DO189" s="39">
        <f t="shared" si="81"/>
        <v>0.67316481673209316</v>
      </c>
      <c r="DP189" s="37"/>
      <c r="DQ189" s="37">
        <f>DO189/'Conversions, Sources &amp; Comments'!E187</f>
        <v>0.74880591415406206</v>
      </c>
    </row>
    <row r="190" spans="1:121">
      <c r="A190" s="42">
        <f t="shared" si="72"/>
        <v>1438</v>
      </c>
      <c r="B190" s="36"/>
      <c r="C190" s="38">
        <v>14</v>
      </c>
      <c r="D190" s="38">
        <v>7.5</v>
      </c>
      <c r="E190" s="38">
        <v>6</v>
      </c>
      <c r="F190" s="38">
        <v>8.75</v>
      </c>
      <c r="G190" s="38">
        <v>3</v>
      </c>
      <c r="H190" s="38">
        <v>4.25</v>
      </c>
      <c r="I190" s="38">
        <v>11</v>
      </c>
      <c r="J190" s="38">
        <v>6</v>
      </c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8">
        <v>5.7</v>
      </c>
      <c r="V190" s="36"/>
      <c r="W190" s="36"/>
      <c r="X190" s="38">
        <v>4</v>
      </c>
      <c r="Y190" s="38">
        <v>9</v>
      </c>
      <c r="Z190" s="38">
        <v>1</v>
      </c>
      <c r="AA190" s="38">
        <v>6</v>
      </c>
      <c r="AB190" s="36"/>
      <c r="AC190" s="38">
        <v>0</v>
      </c>
      <c r="AD190" s="38">
        <v>10.75</v>
      </c>
      <c r="AE190" s="38">
        <v>0</v>
      </c>
      <c r="AF190" s="38">
        <v>10</v>
      </c>
      <c r="AG190" s="38">
        <v>3</v>
      </c>
      <c r="AH190" s="38">
        <v>0</v>
      </c>
      <c r="AI190" s="36"/>
      <c r="AJ190" s="36"/>
      <c r="AK190" s="36"/>
      <c r="AL190" s="36"/>
      <c r="AM190" s="38">
        <v>12</v>
      </c>
      <c r="AN190" s="38">
        <v>0</v>
      </c>
      <c r="AO190" s="38">
        <v>1</v>
      </c>
      <c r="AP190" s="38">
        <v>4</v>
      </c>
      <c r="AQ190" s="38">
        <v>1</v>
      </c>
      <c r="AR190" s="38">
        <v>0</v>
      </c>
      <c r="AS190" s="36"/>
      <c r="AT190" s="36"/>
      <c r="AU190" s="36"/>
      <c r="AV190" s="36"/>
      <c r="AW190" s="38">
        <v>2.33</v>
      </c>
      <c r="AX190" s="38">
        <v>5.3</v>
      </c>
      <c r="AY190" s="36"/>
      <c r="AZ190" s="38">
        <v>37.5</v>
      </c>
      <c r="BA190" s="38">
        <v>44.5</v>
      </c>
      <c r="BB190" s="36"/>
      <c r="BC190" s="36"/>
      <c r="BD190" s="36"/>
      <c r="BE190" s="36"/>
      <c r="BF190" s="36"/>
      <c r="BG190" s="59">
        <v>7.416666666666667</v>
      </c>
      <c r="BH190" s="59"/>
      <c r="BI190" s="59">
        <v>0.11054046695717117</v>
      </c>
      <c r="BJ190" s="59"/>
      <c r="BK190" s="36"/>
      <c r="BL190" s="36"/>
      <c r="BM190" s="36"/>
      <c r="BN190" s="38">
        <v>32</v>
      </c>
      <c r="BO190" s="36"/>
      <c r="BP190" s="39">
        <f t="shared" si="66"/>
        <v>0.89898437500000006</v>
      </c>
      <c r="BQ190" s="37"/>
      <c r="BR190" s="39">
        <f t="shared" si="67"/>
        <v>0.55966484268580796</v>
      </c>
      <c r="BS190" s="37"/>
      <c r="BT190" s="39">
        <f t="shared" si="100"/>
        <v>18.433898765583994</v>
      </c>
      <c r="BU190" s="37"/>
      <c r="BV190" s="39">
        <f t="shared" si="74"/>
        <v>0.28381863817115049</v>
      </c>
      <c r="BW190" s="37"/>
      <c r="BX190" s="39">
        <f t="shared" si="75"/>
        <v>0.14573126939390038</v>
      </c>
      <c r="BY190" s="39">
        <f t="shared" si="99"/>
        <v>2.9728843597329764</v>
      </c>
      <c r="BZ190" s="37"/>
      <c r="CA190" s="37"/>
      <c r="CB190" s="37"/>
      <c r="CC190" s="39">
        <f t="shared" si="95"/>
        <v>8.5403515625000009E-2</v>
      </c>
      <c r="CD190" s="39">
        <f>BP190*(12*AM190+AN190)/1000</f>
        <v>0.12945375000000001</v>
      </c>
      <c r="CE190" s="37"/>
      <c r="CF190" s="37"/>
      <c r="CG190" s="39">
        <f>BP190*(12*AO190+AP190)/4.55</f>
        <v>3.1612637362637366</v>
      </c>
      <c r="CH190" s="39">
        <f t="shared" si="98"/>
        <v>4.6178803721185568</v>
      </c>
      <c r="CI190" s="37"/>
      <c r="CJ190" s="37"/>
      <c r="CK190" s="39">
        <f>BP190*(12*AC190+AD190)/(35.238*8)</f>
        <v>3.428146472291986E-2</v>
      </c>
      <c r="CL190" s="39">
        <f t="shared" si="90"/>
        <v>0.32363437500000003</v>
      </c>
      <c r="CM190" s="39">
        <f>BP190*(12*$AC190+$AD190)/(35.238*8)/0.283</f>
        <v>0.12113591774883344</v>
      </c>
      <c r="CN190" s="37"/>
      <c r="CO190" s="39">
        <f>0.063495+(0.016949+0.014096)*Wages!P188+1.22592*BR190</f>
        <v>0.97287108332038563</v>
      </c>
      <c r="CP190" s="39"/>
      <c r="CQ190" s="39">
        <f t="shared" si="76"/>
        <v>0.97287108332038563</v>
      </c>
      <c r="CR190" s="39">
        <f t="shared" si="89"/>
        <v>0.28381863817115049</v>
      </c>
      <c r="CS190" s="39">
        <f t="shared" si="77"/>
        <v>1.008695652173913</v>
      </c>
      <c r="CT190" s="39">
        <f t="shared" si="78"/>
        <v>2.9034782608695657</v>
      </c>
      <c r="CU190" s="39">
        <v>1.4</v>
      </c>
      <c r="CV190" s="39">
        <f t="shared" si="92"/>
        <v>8.5403515625000009E-2</v>
      </c>
      <c r="CW190" s="39">
        <f>CD190</f>
        <v>0.12945375000000001</v>
      </c>
      <c r="CX190" s="39"/>
      <c r="CY190" s="39"/>
      <c r="CZ190" s="39">
        <f t="shared" si="68"/>
        <v>0.14573126939390038</v>
      </c>
      <c r="DA190" s="39">
        <f t="shared" si="88"/>
        <v>4.6178803721185568</v>
      </c>
      <c r="DB190" s="39">
        <f t="shared" si="101"/>
        <v>4.0554578006069582</v>
      </c>
      <c r="DC190" s="39">
        <f t="shared" si="69"/>
        <v>2.9728843597329764</v>
      </c>
      <c r="DD190" s="39">
        <f>CG190</f>
        <v>3.1612637362637366</v>
      </c>
      <c r="DE190" s="39">
        <f>CK190</f>
        <v>3.428146472291986E-2</v>
      </c>
      <c r="DF190" s="37"/>
      <c r="DG190" s="39">
        <f t="shared" si="70"/>
        <v>0.32363437500000003</v>
      </c>
      <c r="DH190" s="39">
        <f t="shared" si="71"/>
        <v>3.8806276571111455</v>
      </c>
      <c r="DI190" s="37"/>
      <c r="DJ190" s="37"/>
      <c r="DK190" s="37"/>
      <c r="DL190" s="37"/>
      <c r="DM190" s="39">
        <f t="shared" si="80"/>
        <v>0.8171273021827582</v>
      </c>
      <c r="DN190" s="39"/>
      <c r="DO190" s="39">
        <f t="shared" si="81"/>
        <v>0.8171273021827582</v>
      </c>
      <c r="DP190" s="37"/>
      <c r="DQ190" s="37">
        <f>DO190/'Conversions, Sources &amp; Comments'!E188</f>
        <v>0.90894494376808066</v>
      </c>
    </row>
    <row r="191" spans="1:121">
      <c r="A191" s="42">
        <f t="shared" si="72"/>
        <v>1439</v>
      </c>
      <c r="B191" s="36"/>
      <c r="C191" s="38">
        <v>7</v>
      </c>
      <c r="D191" s="38">
        <v>6.75</v>
      </c>
      <c r="E191" s="38">
        <v>5</v>
      </c>
      <c r="F191" s="38">
        <v>2.25</v>
      </c>
      <c r="G191" s="38">
        <v>2</v>
      </c>
      <c r="H191" s="38">
        <v>3</v>
      </c>
      <c r="I191" s="38">
        <v>4</v>
      </c>
      <c r="J191" s="38">
        <v>10.5</v>
      </c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8">
        <v>5.7</v>
      </c>
      <c r="V191" s="36"/>
      <c r="W191" s="36"/>
      <c r="X191" s="38">
        <v>5</v>
      </c>
      <c r="Y191" s="38">
        <v>9.5</v>
      </c>
      <c r="Z191" s="38">
        <v>1</v>
      </c>
      <c r="AA191" s="38">
        <v>6</v>
      </c>
      <c r="AB191" s="36"/>
      <c r="AC191" s="36"/>
      <c r="AD191" s="36"/>
      <c r="AE191" s="38">
        <v>0</v>
      </c>
      <c r="AF191" s="38">
        <v>10</v>
      </c>
      <c r="AG191" s="38">
        <v>8</v>
      </c>
      <c r="AH191" s="38">
        <v>2</v>
      </c>
      <c r="AI191" s="38">
        <v>2</v>
      </c>
      <c r="AJ191" s="38">
        <v>4</v>
      </c>
      <c r="AK191" s="36"/>
      <c r="AL191" s="36"/>
      <c r="AM191" s="38">
        <v>16</v>
      </c>
      <c r="AN191" s="38">
        <v>0</v>
      </c>
      <c r="AO191" s="38">
        <v>0</v>
      </c>
      <c r="AP191" s="38">
        <v>11</v>
      </c>
      <c r="AQ191" s="36"/>
      <c r="AR191" s="36"/>
      <c r="AS191" s="36"/>
      <c r="AT191" s="36"/>
      <c r="AU191" s="36"/>
      <c r="AV191" s="36"/>
      <c r="AW191" s="38">
        <v>2.33</v>
      </c>
      <c r="AX191" s="38">
        <v>5.3</v>
      </c>
      <c r="AY191" s="36"/>
      <c r="AZ191" s="38">
        <v>37.5</v>
      </c>
      <c r="BA191" s="38">
        <v>44.5</v>
      </c>
      <c r="BB191" s="38">
        <v>41</v>
      </c>
      <c r="BC191" s="36"/>
      <c r="BD191" s="36"/>
      <c r="BE191" s="36"/>
      <c r="BF191" s="36"/>
      <c r="BG191" s="59">
        <v>4</v>
      </c>
      <c r="BH191" s="59"/>
      <c r="BI191" s="59">
        <v>0.11883100197895816</v>
      </c>
      <c r="BJ191" s="59"/>
      <c r="BK191" s="36"/>
      <c r="BL191" s="36"/>
      <c r="BM191" s="36"/>
      <c r="BN191" s="38">
        <v>32</v>
      </c>
      <c r="BO191" s="36"/>
      <c r="BP191" s="39">
        <f t="shared" si="66"/>
        <v>0.89898437500000006</v>
      </c>
      <c r="BQ191" s="37"/>
      <c r="BR191" s="39">
        <f t="shared" si="67"/>
        <v>0.28939934173069559</v>
      </c>
      <c r="BS191" s="37"/>
      <c r="BT191" s="39">
        <f t="shared" si="100"/>
        <v>18.433898765583994</v>
      </c>
      <c r="BU191" s="37"/>
      <c r="BV191" s="39">
        <f t="shared" si="74"/>
        <v>0.15307072620466544</v>
      </c>
      <c r="BW191" s="37"/>
      <c r="BX191" s="39">
        <f t="shared" si="75"/>
        <v>0.15666111459844181</v>
      </c>
      <c r="BY191" s="39">
        <f t="shared" si="99"/>
        <v>2.9728843597329764</v>
      </c>
      <c r="BZ191" s="37"/>
      <c r="CA191" s="37"/>
      <c r="CB191" s="37"/>
      <c r="CC191" s="39">
        <f t="shared" si="95"/>
        <v>8.5403515625000009E-2</v>
      </c>
      <c r="CD191" s="39">
        <f>BP191*(12*AM191+AN191)/1000</f>
        <v>0.17260500000000001</v>
      </c>
      <c r="CE191" s="37"/>
      <c r="CF191" s="37"/>
      <c r="CG191" s="39">
        <f>BP191*(12*AO191+AP191)/4.55</f>
        <v>2.1733688186813187</v>
      </c>
      <c r="CH191" s="39">
        <f t="shared" si="98"/>
        <v>4.6178803721185568</v>
      </c>
      <c r="CI191" s="37"/>
      <c r="CJ191" s="37"/>
      <c r="CK191" s="37"/>
      <c r="CL191" s="39">
        <f t="shared" si="90"/>
        <v>0.88100468750000005</v>
      </c>
      <c r="CM191" s="37"/>
      <c r="CN191" s="37"/>
      <c r="CO191" s="39">
        <f>0.063495+(0.016949+0.014096)*Wages!P189+1.22592*BR191</f>
        <v>0.6415472003894942</v>
      </c>
      <c r="CP191" s="39"/>
      <c r="CQ191" s="39">
        <f t="shared" si="76"/>
        <v>0.6415472003894942</v>
      </c>
      <c r="CR191" s="39">
        <f t="shared" si="89"/>
        <v>0.15307072620466544</v>
      </c>
      <c r="CS191" s="39">
        <f t="shared" si="77"/>
        <v>1.008695652173913</v>
      </c>
      <c r="CT191" s="39">
        <f t="shared" si="78"/>
        <v>2.9034782608695657</v>
      </c>
      <c r="CU191" s="39">
        <v>1.4</v>
      </c>
      <c r="CV191" s="39">
        <f t="shared" si="92"/>
        <v>8.5403515625000009E-2</v>
      </c>
      <c r="CW191" s="39">
        <f>CD191</f>
        <v>0.17260500000000001</v>
      </c>
      <c r="CX191" s="39"/>
      <c r="CY191" s="39"/>
      <c r="CZ191" s="39">
        <f t="shared" si="68"/>
        <v>0.15666111459844181</v>
      </c>
      <c r="DA191" s="39">
        <f t="shared" si="88"/>
        <v>4.6178803721185568</v>
      </c>
      <c r="DB191" s="39">
        <f t="shared" si="101"/>
        <v>4.0554578006069582</v>
      </c>
      <c r="DC191" s="39">
        <f t="shared" si="69"/>
        <v>2.9728843597329764</v>
      </c>
      <c r="DD191" s="39">
        <f>CG191</f>
        <v>2.1733688186813187</v>
      </c>
      <c r="DE191" s="39">
        <v>3.3000000000000002E-2</v>
      </c>
      <c r="DF191" s="37"/>
      <c r="DG191" s="39">
        <f t="shared" si="70"/>
        <v>0.88100468750000005</v>
      </c>
      <c r="DH191" s="39">
        <f t="shared" si="71"/>
        <v>3.7355671270092823</v>
      </c>
      <c r="DI191" s="37"/>
      <c r="DJ191" s="37"/>
      <c r="DK191" s="37"/>
      <c r="DL191" s="37"/>
      <c r="DM191" s="39">
        <f t="shared" si="80"/>
        <v>0.65225709235882645</v>
      </c>
      <c r="DN191" s="39"/>
      <c r="DO191" s="39">
        <f t="shared" si="81"/>
        <v>0.65225709235882645</v>
      </c>
      <c r="DP191" s="37"/>
      <c r="DQ191" s="37">
        <f>DO191/'Conversions, Sources &amp; Comments'!E189</f>
        <v>0.7255488643602136</v>
      </c>
    </row>
    <row r="192" spans="1:121">
      <c r="A192" s="42">
        <f t="shared" si="72"/>
        <v>1440</v>
      </c>
      <c r="B192" s="36"/>
      <c r="C192" s="38">
        <v>3</v>
      </c>
      <c r="D192" s="38">
        <v>10.5</v>
      </c>
      <c r="E192" s="38">
        <v>3</v>
      </c>
      <c r="F192" s="38">
        <v>0</v>
      </c>
      <c r="G192" s="38">
        <v>1</v>
      </c>
      <c r="H192" s="38">
        <v>7.25</v>
      </c>
      <c r="I192" s="38">
        <v>3</v>
      </c>
      <c r="J192" s="38">
        <v>0</v>
      </c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8">
        <v>5.7</v>
      </c>
      <c r="V192" s="36"/>
      <c r="W192" s="36"/>
      <c r="X192" s="36"/>
      <c r="Y192" s="36"/>
      <c r="Z192" s="38">
        <v>1</v>
      </c>
      <c r="AA192" s="38">
        <v>8</v>
      </c>
      <c r="AB192" s="36"/>
      <c r="AC192" s="38">
        <v>0</v>
      </c>
      <c r="AD192" s="38">
        <v>10.25</v>
      </c>
      <c r="AE192" s="38">
        <v>0</v>
      </c>
      <c r="AF192" s="38">
        <v>10</v>
      </c>
      <c r="AG192" s="38">
        <v>7</v>
      </c>
      <c r="AH192" s="38">
        <v>4.5</v>
      </c>
      <c r="AI192" s="36"/>
      <c r="AJ192" s="36"/>
      <c r="AK192" s="36"/>
      <c r="AL192" s="36"/>
      <c r="AM192" s="36"/>
      <c r="AN192" s="36"/>
      <c r="AO192" s="38" t="s">
        <v>8</v>
      </c>
      <c r="AP192" s="36"/>
      <c r="AQ192" s="36"/>
      <c r="AR192" s="36"/>
      <c r="AS192" s="36"/>
      <c r="AT192" s="36"/>
      <c r="AU192" s="36"/>
      <c r="AV192" s="36"/>
      <c r="AW192" s="38">
        <v>2.33</v>
      </c>
      <c r="AX192" s="36"/>
      <c r="AY192" s="36"/>
      <c r="AZ192" s="38">
        <v>38.33</v>
      </c>
      <c r="BA192" s="38">
        <v>47</v>
      </c>
      <c r="BB192" s="36"/>
      <c r="BC192" s="36"/>
      <c r="BD192" s="36"/>
      <c r="BE192" s="36"/>
      <c r="BF192" s="36"/>
      <c r="BG192" s="59">
        <v>4</v>
      </c>
      <c r="BH192" s="59"/>
      <c r="BI192" s="59">
        <v>4.9743210130727022E-2</v>
      </c>
      <c r="BJ192" s="59"/>
      <c r="BK192" s="36"/>
      <c r="BL192" s="36"/>
      <c r="BM192" s="36"/>
      <c r="BN192" s="38">
        <v>32</v>
      </c>
      <c r="BO192" s="36"/>
      <c r="BP192" s="39">
        <f t="shared" si="66"/>
        <v>0.89898437500000006</v>
      </c>
      <c r="BQ192" s="37"/>
      <c r="BR192" s="39">
        <f t="shared" si="67"/>
        <v>0.14828726601076964</v>
      </c>
      <c r="BS192" s="37"/>
      <c r="BT192" s="39">
        <f t="shared" si="100"/>
        <v>18.841902391595585</v>
      </c>
      <c r="BU192" s="37"/>
      <c r="BV192" s="39">
        <f t="shared" si="74"/>
        <v>0.15307072620466544</v>
      </c>
      <c r="BW192" s="37"/>
      <c r="BX192" s="39">
        <f t="shared" si="75"/>
        <v>6.5579071227255176E-2</v>
      </c>
      <c r="BY192" s="39">
        <f t="shared" si="99"/>
        <v>3.3032048441477513</v>
      </c>
      <c r="BZ192" s="37"/>
      <c r="CA192" s="37"/>
      <c r="CB192" s="37"/>
      <c r="CC192" s="39">
        <f t="shared" si="95"/>
        <v>8.5403515625000009E-2</v>
      </c>
      <c r="CD192" s="37"/>
      <c r="CE192" s="37"/>
      <c r="CF192" s="37"/>
      <c r="CG192" s="37"/>
      <c r="CH192" s="39">
        <f t="shared" si="98"/>
        <v>4.6178803721185568</v>
      </c>
      <c r="CI192" s="37"/>
      <c r="CJ192" s="37"/>
      <c r="CK192" s="39">
        <f>BP192*(12*AC192+AD192)/(35.238*8)</f>
        <v>3.2686977991621263E-2</v>
      </c>
      <c r="CL192" s="39">
        <f t="shared" si="90"/>
        <v>0.79560117187500012</v>
      </c>
      <c r="CM192" s="39">
        <f>BP192*(12*$AC192+$AD192)/(35.238*8)/0.283</f>
        <v>0.11550168901632957</v>
      </c>
      <c r="CN192" s="37"/>
      <c r="CO192" s="39">
        <f>0.063495+(0.016949+0.014096)*Wages!P190+1.22592*BR192</f>
        <v>0.46855508452292266</v>
      </c>
      <c r="CP192" s="39"/>
      <c r="CQ192" s="39">
        <f t="shared" si="76"/>
        <v>0.46855508452292266</v>
      </c>
      <c r="CR192" s="39">
        <f t="shared" si="89"/>
        <v>0.15307072620466544</v>
      </c>
      <c r="CS192" s="39">
        <f t="shared" si="77"/>
        <v>1.008695652173913</v>
      </c>
      <c r="CT192" s="39">
        <f t="shared" si="78"/>
        <v>2.9034782608695657</v>
      </c>
      <c r="CU192" s="39">
        <v>1.4</v>
      </c>
      <c r="CV192" s="39">
        <f t="shared" si="92"/>
        <v>8.5403515625000009E-2</v>
      </c>
      <c r="CW192" s="39">
        <v>0.13</v>
      </c>
      <c r="CX192" s="39"/>
      <c r="CY192" s="39"/>
      <c r="CZ192" s="39">
        <f t="shared" si="68"/>
        <v>6.5579071227255176E-2</v>
      </c>
      <c r="DA192" s="39">
        <f t="shared" si="88"/>
        <v>4.6178803721185568</v>
      </c>
      <c r="DB192" s="39">
        <f t="shared" si="101"/>
        <v>4.1452185999270581</v>
      </c>
      <c r="DC192" s="39">
        <f t="shared" si="69"/>
        <v>3.3032048441477513</v>
      </c>
      <c r="DD192" s="39">
        <v>2.7</v>
      </c>
      <c r="DE192" s="39">
        <f>CK192</f>
        <v>3.2686977991621263E-2</v>
      </c>
      <c r="DF192" s="37"/>
      <c r="DG192" s="39">
        <f t="shared" si="70"/>
        <v>0.79560117187500012</v>
      </c>
      <c r="DH192" s="39">
        <f t="shared" si="71"/>
        <v>3.7001333474780691</v>
      </c>
      <c r="DI192" s="37"/>
      <c r="DJ192" s="37"/>
      <c r="DK192" s="37"/>
      <c r="DL192" s="37"/>
      <c r="DM192" s="39">
        <f t="shared" si="80"/>
        <v>0.54244284721556502</v>
      </c>
      <c r="DN192" s="39"/>
      <c r="DO192" s="39">
        <f t="shared" si="81"/>
        <v>0.54244284721556502</v>
      </c>
      <c r="DP192" s="37"/>
      <c r="DQ192" s="37">
        <f>DO192/'Conversions, Sources &amp; Comments'!E190</f>
        <v>0.60339518939421499</v>
      </c>
    </row>
    <row r="193" spans="1:121">
      <c r="A193" s="42">
        <f t="shared" si="72"/>
        <v>1441</v>
      </c>
      <c r="B193" s="36"/>
      <c r="C193" s="38">
        <v>4</v>
      </c>
      <c r="D193" s="38">
        <v>0.25</v>
      </c>
      <c r="E193" s="38">
        <v>2</v>
      </c>
      <c r="F193" s="38">
        <v>4.5</v>
      </c>
      <c r="G193" s="38">
        <v>1</v>
      </c>
      <c r="H193" s="38">
        <v>10.5</v>
      </c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8">
        <v>5.71</v>
      </c>
      <c r="V193" s="36"/>
      <c r="W193" s="36"/>
      <c r="X193" s="38">
        <v>10</v>
      </c>
      <c r="Y193" s="38">
        <v>0</v>
      </c>
      <c r="Z193" s="38">
        <v>1</v>
      </c>
      <c r="AA193" s="38">
        <v>5.25</v>
      </c>
      <c r="AB193" s="36"/>
      <c r="AC193" s="38">
        <v>0</v>
      </c>
      <c r="AD193" s="38">
        <v>11</v>
      </c>
      <c r="AE193" s="38">
        <v>0</v>
      </c>
      <c r="AF193" s="38">
        <v>9.5</v>
      </c>
      <c r="AG193" s="38">
        <v>8</v>
      </c>
      <c r="AH193" s="38">
        <v>4</v>
      </c>
      <c r="AI193" s="36"/>
      <c r="AJ193" s="36"/>
      <c r="AK193" s="36"/>
      <c r="AL193" s="36"/>
      <c r="AM193" s="38">
        <v>10</v>
      </c>
      <c r="AN193" s="38">
        <v>0</v>
      </c>
      <c r="AO193" s="38">
        <v>1</v>
      </c>
      <c r="AP193" s="38">
        <v>4</v>
      </c>
      <c r="AQ193" s="38">
        <v>1</v>
      </c>
      <c r="AR193" s="38">
        <v>2</v>
      </c>
      <c r="AS193" s="36"/>
      <c r="AT193" s="36"/>
      <c r="AU193" s="36"/>
      <c r="AV193" s="36"/>
      <c r="AW193" s="38">
        <v>2.33</v>
      </c>
      <c r="AX193" s="38">
        <v>5.6</v>
      </c>
      <c r="AY193" s="36"/>
      <c r="AZ193" s="38">
        <v>38.33</v>
      </c>
      <c r="BA193" s="38">
        <v>46.5</v>
      </c>
      <c r="BB193" s="38">
        <v>41.6</v>
      </c>
      <c r="BC193" s="36"/>
      <c r="BD193" s="36"/>
      <c r="BE193" s="36"/>
      <c r="BF193" s="36"/>
      <c r="BG193" s="59">
        <v>4</v>
      </c>
      <c r="BH193" s="59"/>
      <c r="BI193" s="59">
        <v>4.1452675108938339E-2</v>
      </c>
      <c r="BJ193" s="59"/>
      <c r="BK193" s="36"/>
      <c r="BL193" s="36"/>
      <c r="BM193" s="36"/>
      <c r="BN193" s="38">
        <v>32</v>
      </c>
      <c r="BO193" s="36"/>
      <c r="BP193" s="39">
        <f t="shared" si="66"/>
        <v>0.89898437500000006</v>
      </c>
      <c r="BQ193" s="37"/>
      <c r="BR193" s="39">
        <f t="shared" si="67"/>
        <v>0.15386796957031473</v>
      </c>
      <c r="BS193" s="37"/>
      <c r="BT193" s="39">
        <f t="shared" si="100"/>
        <v>18.841902391595585</v>
      </c>
      <c r="BU193" s="37"/>
      <c r="BV193" s="39">
        <f t="shared" si="74"/>
        <v>0.15307072620466544</v>
      </c>
      <c r="BW193" s="37"/>
      <c r="BX193" s="39">
        <f t="shared" si="75"/>
        <v>5.4649226022711522E-2</v>
      </c>
      <c r="BY193" s="39">
        <f t="shared" si="99"/>
        <v>2.8490141780774354</v>
      </c>
      <c r="BZ193" s="37"/>
      <c r="CA193" s="37"/>
      <c r="CB193" s="37"/>
      <c r="CC193" s="39">
        <f t="shared" si="95"/>
        <v>8.5553346354166671E-2</v>
      </c>
      <c r="CD193" s="39">
        <f>BP193*(12*AM193+AN193)/1000</f>
        <v>0.10787812500000001</v>
      </c>
      <c r="CE193" s="37"/>
      <c r="CF193" s="37"/>
      <c r="CG193" s="39">
        <f>BP193*(12*AO193+AP193)/4.55</f>
        <v>3.1612637362637366</v>
      </c>
      <c r="CH193" s="39">
        <f t="shared" si="98"/>
        <v>4.6178803721185568</v>
      </c>
      <c r="CI193" s="37"/>
      <c r="CJ193" s="37"/>
      <c r="CK193" s="39">
        <f>BP193*(12*AC193+AD193)/(35.238*8)</f>
        <v>3.5078708088569159E-2</v>
      </c>
      <c r="CL193" s="39">
        <f t="shared" si="90"/>
        <v>0.89898437499999995</v>
      </c>
      <c r="CM193" s="39">
        <f>BP193*(12*$AC193+$AD193)/(35.238*8)/0.283</f>
        <v>0.12395303211508538</v>
      </c>
      <c r="CN193" s="37"/>
      <c r="CO193" s="39">
        <f>0.063495+(0.016949+0.014096)*Wages!P191+1.22592*BR193</f>
        <v>0.47539658063064016</v>
      </c>
      <c r="CP193" s="39"/>
      <c r="CQ193" s="39">
        <f t="shared" si="76"/>
        <v>0.47539658063064016</v>
      </c>
      <c r="CR193" s="39">
        <f t="shared" si="89"/>
        <v>0.15307072620466544</v>
      </c>
      <c r="CS193" s="39">
        <f t="shared" si="77"/>
        <v>1.008695652173913</v>
      </c>
      <c r="CT193" s="39">
        <f t="shared" si="78"/>
        <v>2.9034782608695657</v>
      </c>
      <c r="CU193" s="39">
        <v>1.4</v>
      </c>
      <c r="CV193" s="39">
        <f t="shared" si="92"/>
        <v>8.5553346354166671E-2</v>
      </c>
      <c r="CW193" s="39">
        <f>CD193</f>
        <v>0.10787812500000001</v>
      </c>
      <c r="CX193" s="39"/>
      <c r="CY193" s="39"/>
      <c r="CZ193" s="39">
        <f t="shared" si="68"/>
        <v>5.4649226022711522E-2</v>
      </c>
      <c r="DA193" s="39">
        <f t="shared" si="88"/>
        <v>4.6178803721185568</v>
      </c>
      <c r="DB193" s="39">
        <f t="shared" si="101"/>
        <v>4.1452185999270581</v>
      </c>
      <c r="DC193" s="39">
        <f t="shared" si="69"/>
        <v>2.8490141780774354</v>
      </c>
      <c r="DD193" s="39">
        <f>CG193</f>
        <v>3.1612637362637366</v>
      </c>
      <c r="DE193" s="39">
        <f>CK193</f>
        <v>3.5078708088569159E-2</v>
      </c>
      <c r="DF193" s="37"/>
      <c r="DG193" s="39">
        <f t="shared" si="70"/>
        <v>0.89898437499999995</v>
      </c>
      <c r="DH193" s="39">
        <f t="shared" si="71"/>
        <v>3.970874811927684</v>
      </c>
      <c r="DI193" s="37"/>
      <c r="DJ193" s="37"/>
      <c r="DK193" s="37"/>
      <c r="DL193" s="37"/>
      <c r="DM193" s="39">
        <f t="shared" si="80"/>
        <v>0.54397529107968223</v>
      </c>
      <c r="DN193" s="39"/>
      <c r="DO193" s="39">
        <f t="shared" si="81"/>
        <v>0.54397529107968223</v>
      </c>
      <c r="DP193" s="37"/>
      <c r="DQ193" s="37">
        <f>DO193/'Conversions, Sources &amp; Comments'!E191</f>
        <v>0.60509982843659793</v>
      </c>
    </row>
    <row r="194" spans="1:121">
      <c r="A194" s="42">
        <f t="shared" si="72"/>
        <v>1442</v>
      </c>
      <c r="B194" s="36"/>
      <c r="C194" s="38">
        <v>3</v>
      </c>
      <c r="D194" s="38">
        <v>11.25</v>
      </c>
      <c r="E194" s="38">
        <v>3</v>
      </c>
      <c r="F194" s="38">
        <v>2.75</v>
      </c>
      <c r="G194" s="38">
        <v>2</v>
      </c>
      <c r="H194" s="38">
        <v>1.25</v>
      </c>
      <c r="I194" s="38">
        <v>2</v>
      </c>
      <c r="J194" s="38">
        <v>8</v>
      </c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8">
        <v>5.71</v>
      </c>
      <c r="V194" s="36"/>
      <c r="W194" s="36"/>
      <c r="X194" s="36"/>
      <c r="Y194" s="36"/>
      <c r="Z194" s="38">
        <v>1</v>
      </c>
      <c r="AA194" s="38">
        <v>9</v>
      </c>
      <c r="AB194" s="36"/>
      <c r="AC194" s="36"/>
      <c r="AD194" s="36"/>
      <c r="AE194" s="38">
        <v>0</v>
      </c>
      <c r="AF194" s="38">
        <v>9.5</v>
      </c>
      <c r="AG194" s="38">
        <v>8</v>
      </c>
      <c r="AH194" s="38">
        <v>3</v>
      </c>
      <c r="AI194" s="38">
        <v>2</v>
      </c>
      <c r="AJ194" s="38">
        <v>0</v>
      </c>
      <c r="AK194" s="36"/>
      <c r="AL194" s="36"/>
      <c r="AM194" s="36"/>
      <c r="AN194" s="36"/>
      <c r="AO194" s="38" t="s">
        <v>8</v>
      </c>
      <c r="AP194" s="36"/>
      <c r="AQ194" s="36"/>
      <c r="AR194" s="36"/>
      <c r="AS194" s="36"/>
      <c r="AT194" s="36"/>
      <c r="AU194" s="36"/>
      <c r="AV194" s="36"/>
      <c r="AW194" s="38">
        <v>2.33</v>
      </c>
      <c r="AX194" s="36"/>
      <c r="AY194" s="36"/>
      <c r="AZ194" s="38">
        <v>38</v>
      </c>
      <c r="BA194" s="38">
        <v>47</v>
      </c>
      <c r="BB194" s="36"/>
      <c r="BC194" s="36"/>
      <c r="BD194" s="36"/>
      <c r="BE194" s="36"/>
      <c r="BF194" s="36"/>
      <c r="BG194" s="59">
        <v>4</v>
      </c>
      <c r="BH194" s="59"/>
      <c r="BI194" s="59">
        <v>6.0797256826444136E-2</v>
      </c>
      <c r="BJ194" s="59"/>
      <c r="BK194" s="36"/>
      <c r="BL194" s="36"/>
      <c r="BM194" s="36"/>
      <c r="BN194" s="38">
        <v>32</v>
      </c>
      <c r="BO194" s="36"/>
      <c r="BP194" s="39">
        <f t="shared" si="66"/>
        <v>0.89898437500000006</v>
      </c>
      <c r="BQ194" s="37"/>
      <c r="BR194" s="39">
        <f t="shared" si="67"/>
        <v>0.15067899610771754</v>
      </c>
      <c r="BS194" s="37"/>
      <c r="BT194" s="39">
        <f t="shared" si="100"/>
        <v>18.679684082458447</v>
      </c>
      <c r="BU194" s="37"/>
      <c r="BV194" s="39">
        <f t="shared" si="74"/>
        <v>0.15307072620466544</v>
      </c>
      <c r="BW194" s="37"/>
      <c r="BX194" s="39">
        <f t="shared" si="75"/>
        <v>8.0152198166645219E-2</v>
      </c>
      <c r="BY194" s="39">
        <f t="shared" si="99"/>
        <v>3.468365086355139</v>
      </c>
      <c r="BZ194" s="37"/>
      <c r="CA194" s="37"/>
      <c r="CB194" s="37"/>
      <c r="CC194" s="39">
        <f t="shared" si="95"/>
        <v>8.5553346354166671E-2</v>
      </c>
      <c r="CD194" s="37"/>
      <c r="CE194" s="37"/>
      <c r="CF194" s="37"/>
      <c r="CG194" s="37"/>
      <c r="CH194" s="39">
        <f t="shared" si="98"/>
        <v>4.6178803721185568</v>
      </c>
      <c r="CI194" s="37"/>
      <c r="CJ194" s="37"/>
      <c r="CK194" s="37"/>
      <c r="CL194" s="39">
        <f t="shared" si="90"/>
        <v>0.88999453125000005</v>
      </c>
      <c r="CM194" s="37"/>
      <c r="CN194" s="37"/>
      <c r="CO194" s="39">
        <f>0.063495+(0.016949+0.014096)*Wages!P192+1.22592*BR194</f>
        <v>0.47148715428337307</v>
      </c>
      <c r="CP194" s="39"/>
      <c r="CQ194" s="39">
        <f t="shared" si="76"/>
        <v>0.47148715428337307</v>
      </c>
      <c r="CR194" s="39">
        <f t="shared" si="89"/>
        <v>0.15307072620466544</v>
      </c>
      <c r="CS194" s="39">
        <f t="shared" si="77"/>
        <v>1.008695652173913</v>
      </c>
      <c r="CT194" s="39">
        <f t="shared" si="78"/>
        <v>2.9034782608695657</v>
      </c>
      <c r="CU194" s="39">
        <v>1.4</v>
      </c>
      <c r="CV194" s="39">
        <f t="shared" si="92"/>
        <v>8.5553346354166671E-2</v>
      </c>
      <c r="CW194" s="39">
        <v>0.1</v>
      </c>
      <c r="CX194" s="39"/>
      <c r="CY194" s="39"/>
      <c r="CZ194" s="39">
        <f t="shared" si="68"/>
        <v>8.0152198166645219E-2</v>
      </c>
      <c r="DA194" s="39">
        <f t="shared" si="88"/>
        <v>4.6178803721185568</v>
      </c>
      <c r="DB194" s="39">
        <f t="shared" si="101"/>
        <v>4.1095305712817174</v>
      </c>
      <c r="DC194" s="39">
        <f t="shared" si="69"/>
        <v>3.468365086355139</v>
      </c>
      <c r="DD194" s="39">
        <v>3</v>
      </c>
      <c r="DE194" s="39">
        <v>3.5000000000000003E-2</v>
      </c>
      <c r="DF194" s="37"/>
      <c r="DG194" s="39">
        <f t="shared" si="70"/>
        <v>0.88999453125000005</v>
      </c>
      <c r="DH194" s="39">
        <f t="shared" si="71"/>
        <v>3.9619651347068148</v>
      </c>
      <c r="DI194" s="37"/>
      <c r="DJ194" s="37"/>
      <c r="DK194" s="37"/>
      <c r="DL194" s="37"/>
      <c r="DM194" s="39">
        <f t="shared" si="80"/>
        <v>0.55578073528304706</v>
      </c>
      <c r="DN194" s="39"/>
      <c r="DO194" s="39">
        <f t="shared" si="81"/>
        <v>0.55578073528304706</v>
      </c>
      <c r="DP194" s="37"/>
      <c r="DQ194" s="37">
        <f>DO194/'Conversions, Sources &amp; Comments'!E192</f>
        <v>0.6182318077364215</v>
      </c>
    </row>
    <row r="195" spans="1:121">
      <c r="A195" s="42">
        <f t="shared" si="72"/>
        <v>1443</v>
      </c>
      <c r="B195" s="36"/>
      <c r="C195" s="38">
        <v>4</v>
      </c>
      <c r="D195" s="38">
        <v>2</v>
      </c>
      <c r="E195" s="38">
        <v>3</v>
      </c>
      <c r="F195" s="38">
        <v>1.5</v>
      </c>
      <c r="G195" s="38">
        <v>1</v>
      </c>
      <c r="H195" s="38">
        <v>9</v>
      </c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8">
        <v>5.71</v>
      </c>
      <c r="V195" s="36"/>
      <c r="W195" s="36"/>
      <c r="X195" s="38">
        <v>6</v>
      </c>
      <c r="Y195" s="38">
        <v>6</v>
      </c>
      <c r="Z195" s="38">
        <v>1</v>
      </c>
      <c r="AA195" s="38">
        <v>6</v>
      </c>
      <c r="AB195" s="36"/>
      <c r="AC195" s="36"/>
      <c r="AD195" s="36"/>
      <c r="AE195" s="38">
        <v>0</v>
      </c>
      <c r="AF195" s="38">
        <v>9.5</v>
      </c>
      <c r="AG195" s="38">
        <v>8</v>
      </c>
      <c r="AH195" s="38">
        <v>6</v>
      </c>
      <c r="AI195" s="36"/>
      <c r="AJ195" s="36"/>
      <c r="AK195" s="36"/>
      <c r="AL195" s="36"/>
      <c r="AM195" s="36"/>
      <c r="AN195" s="36"/>
      <c r="AO195" s="38">
        <v>1</v>
      </c>
      <c r="AP195" s="38">
        <v>2.25</v>
      </c>
      <c r="AQ195" s="38">
        <v>0</v>
      </c>
      <c r="AR195" s="38">
        <v>11.5</v>
      </c>
      <c r="AS195" s="36"/>
      <c r="AT195" s="36"/>
      <c r="AU195" s="36"/>
      <c r="AV195" s="36"/>
      <c r="AW195" s="38">
        <v>2.33</v>
      </c>
      <c r="AX195" s="36"/>
      <c r="AY195" s="36"/>
      <c r="AZ195" s="38">
        <v>37.5</v>
      </c>
      <c r="BA195" s="38">
        <v>48</v>
      </c>
      <c r="BB195" s="38">
        <v>42.6</v>
      </c>
      <c r="BC195" s="36"/>
      <c r="BD195" s="36"/>
      <c r="BE195" s="36"/>
      <c r="BF195" s="36"/>
      <c r="BG195" s="59">
        <v>4</v>
      </c>
      <c r="BH195" s="59"/>
      <c r="BI195" s="59">
        <v>5.3888477641621364E-2</v>
      </c>
      <c r="BJ195" s="59"/>
      <c r="BK195" s="36"/>
      <c r="BL195" s="36"/>
      <c r="BM195" s="36"/>
      <c r="BN195" s="38">
        <v>32</v>
      </c>
      <c r="BO195" s="36"/>
      <c r="BP195" s="39">
        <f t="shared" si="66"/>
        <v>0.89898437500000006</v>
      </c>
      <c r="BQ195" s="37"/>
      <c r="BR195" s="39">
        <f t="shared" si="67"/>
        <v>0.1594486731298598</v>
      </c>
      <c r="BS195" s="37"/>
      <c r="BT195" s="39">
        <f t="shared" si="100"/>
        <v>18.433898765583994</v>
      </c>
      <c r="BU195" s="37"/>
      <c r="BV195" s="39">
        <f t="shared" si="74"/>
        <v>0.15307072620466544</v>
      </c>
      <c r="BW195" s="37"/>
      <c r="BX195" s="39">
        <f t="shared" si="75"/>
        <v>7.1043993829527002E-2</v>
      </c>
      <c r="BY195" s="39">
        <f t="shared" si="99"/>
        <v>2.9728843597329764</v>
      </c>
      <c r="BZ195" s="37"/>
      <c r="CA195" s="37"/>
      <c r="CB195" s="37"/>
      <c r="CC195" s="39">
        <f t="shared" si="95"/>
        <v>8.5553346354166671E-2</v>
      </c>
      <c r="CD195" s="37"/>
      <c r="CE195" s="37"/>
      <c r="CF195" s="37"/>
      <c r="CG195" s="39">
        <f t="shared" ref="CG195:CG212" si="102">BP195*(12*AO195+AP195)/4.55</f>
        <v>2.8155005151098904</v>
      </c>
      <c r="CH195" s="39">
        <f t="shared" si="98"/>
        <v>4.6178803721185568</v>
      </c>
      <c r="CI195" s="37"/>
      <c r="CJ195" s="37"/>
      <c r="CK195" s="37"/>
      <c r="CL195" s="39">
        <f t="shared" si="90"/>
        <v>0.91696406250000007</v>
      </c>
      <c r="CM195" s="37"/>
      <c r="CN195" s="37"/>
      <c r="CO195" s="39">
        <f>0.063495+(0.016949+0.014096)*Wages!P193+1.22592*BR195</f>
        <v>0.48223807673835767</v>
      </c>
      <c r="CP195" s="39"/>
      <c r="CQ195" s="39">
        <f t="shared" si="76"/>
        <v>0.48223807673835767</v>
      </c>
      <c r="CR195" s="39">
        <f t="shared" si="89"/>
        <v>0.15307072620466544</v>
      </c>
      <c r="CS195" s="39">
        <f t="shared" si="77"/>
        <v>1.008695652173913</v>
      </c>
      <c r="CT195" s="39">
        <f t="shared" si="78"/>
        <v>2.9034782608695657</v>
      </c>
      <c r="CU195" s="39">
        <v>1.4</v>
      </c>
      <c r="CV195" s="39">
        <f t="shared" si="92"/>
        <v>8.5553346354166671E-2</v>
      </c>
      <c r="CW195" s="39">
        <v>0.1</v>
      </c>
      <c r="CX195" s="39"/>
      <c r="CY195" s="39"/>
      <c r="CZ195" s="39">
        <f t="shared" si="68"/>
        <v>7.1043993829527002E-2</v>
      </c>
      <c r="DA195" s="39">
        <f t="shared" si="88"/>
        <v>4.6178803721185568</v>
      </c>
      <c r="DB195" s="39">
        <f t="shared" si="101"/>
        <v>4.0554578006069582</v>
      </c>
      <c r="DC195" s="39">
        <f t="shared" si="69"/>
        <v>2.9728843597329764</v>
      </c>
      <c r="DD195" s="39">
        <f t="shared" ref="DD195:DD212" si="103">CG195</f>
        <v>2.8155005151098904</v>
      </c>
      <c r="DE195" s="39">
        <v>3.5000000000000003E-2</v>
      </c>
      <c r="DF195" s="37"/>
      <c r="DG195" s="39">
        <f t="shared" si="70"/>
        <v>0.91696406250000007</v>
      </c>
      <c r="DH195" s="39">
        <f t="shared" si="71"/>
        <v>3.9619651347068148</v>
      </c>
      <c r="DI195" s="37"/>
      <c r="DJ195" s="37"/>
      <c r="DK195" s="37"/>
      <c r="DL195" s="37"/>
      <c r="DM195" s="39">
        <f t="shared" si="80"/>
        <v>0.55158853678771791</v>
      </c>
      <c r="DN195" s="39"/>
      <c r="DO195" s="39">
        <f t="shared" si="81"/>
        <v>0.55158853678771791</v>
      </c>
      <c r="DP195" s="37"/>
      <c r="DQ195" s="37">
        <f>DO195/'Conversions, Sources &amp; Comments'!E193</f>
        <v>0.61356854704812624</v>
      </c>
    </row>
    <row r="196" spans="1:121">
      <c r="A196" s="42">
        <f t="shared" si="72"/>
        <v>1444</v>
      </c>
      <c r="B196" s="36"/>
      <c r="C196" s="38">
        <v>3</v>
      </c>
      <c r="D196" s="38">
        <v>11.75</v>
      </c>
      <c r="E196" s="38">
        <v>2</v>
      </c>
      <c r="F196" s="38">
        <v>5.5</v>
      </c>
      <c r="G196" s="38">
        <v>1</v>
      </c>
      <c r="H196" s="38">
        <v>8.5</v>
      </c>
      <c r="I196" s="38">
        <v>2</v>
      </c>
      <c r="J196" s="38">
        <v>0</v>
      </c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8">
        <v>5.71</v>
      </c>
      <c r="V196" s="36"/>
      <c r="W196" s="36"/>
      <c r="X196" s="38">
        <v>6</v>
      </c>
      <c r="Y196" s="38">
        <v>4</v>
      </c>
      <c r="Z196" s="38">
        <v>1</v>
      </c>
      <c r="AA196" s="38">
        <v>6</v>
      </c>
      <c r="AB196" s="36"/>
      <c r="AC196" s="38">
        <v>0</v>
      </c>
      <c r="AD196" s="38">
        <v>6</v>
      </c>
      <c r="AE196" s="38">
        <v>0</v>
      </c>
      <c r="AF196" s="38">
        <v>9.5</v>
      </c>
      <c r="AG196" s="38">
        <v>3</v>
      </c>
      <c r="AH196" s="38">
        <v>4</v>
      </c>
      <c r="AI196" s="36"/>
      <c r="AJ196" s="36"/>
      <c r="AK196" s="36"/>
      <c r="AL196" s="36"/>
      <c r="AM196" s="38">
        <v>8</v>
      </c>
      <c r="AN196" s="38">
        <v>10</v>
      </c>
      <c r="AO196" s="38">
        <v>1</v>
      </c>
      <c r="AP196" s="38">
        <v>4.5</v>
      </c>
      <c r="AQ196" s="38">
        <v>1</v>
      </c>
      <c r="AR196" s="38">
        <v>4</v>
      </c>
      <c r="AS196" s="36"/>
      <c r="AT196" s="36"/>
      <c r="AU196" s="36"/>
      <c r="AV196" s="36"/>
      <c r="AW196" s="38">
        <v>2.33</v>
      </c>
      <c r="AX196" s="38">
        <v>7.6</v>
      </c>
      <c r="AY196" s="36"/>
      <c r="AZ196" s="38">
        <v>39</v>
      </c>
      <c r="BA196" s="38">
        <v>47.5</v>
      </c>
      <c r="BB196" s="38">
        <v>60</v>
      </c>
      <c r="BC196" s="36"/>
      <c r="BD196" s="36"/>
      <c r="BE196" s="36"/>
      <c r="BF196" s="36"/>
      <c r="BG196" s="59">
        <v>4</v>
      </c>
      <c r="BH196" s="59"/>
      <c r="BI196" s="59">
        <v>4.283443094590425E-2</v>
      </c>
      <c r="BJ196" s="59"/>
      <c r="BK196" s="36"/>
      <c r="BL196" s="36"/>
      <c r="BM196" s="36"/>
      <c r="BN196" s="38">
        <v>32</v>
      </c>
      <c r="BO196" s="36"/>
      <c r="BP196" s="39">
        <f t="shared" si="66"/>
        <v>0.89898437500000006</v>
      </c>
      <c r="BQ196" s="37"/>
      <c r="BR196" s="39">
        <f t="shared" si="67"/>
        <v>0.15227348283901615</v>
      </c>
      <c r="BS196" s="37"/>
      <c r="BT196" s="39">
        <f t="shared" si="100"/>
        <v>19.171254716207354</v>
      </c>
      <c r="BU196" s="37"/>
      <c r="BV196" s="39">
        <f t="shared" si="74"/>
        <v>0.15307072620466544</v>
      </c>
      <c r="BW196" s="37"/>
      <c r="BX196" s="39">
        <f t="shared" si="75"/>
        <v>5.6470866890136966E-2</v>
      </c>
      <c r="BY196" s="39">
        <f t="shared" si="99"/>
        <v>2.9728843597329764</v>
      </c>
      <c r="BZ196" s="37"/>
      <c r="CA196" s="37"/>
      <c r="CB196" s="37"/>
      <c r="CC196" s="39">
        <f t="shared" si="95"/>
        <v>8.5553346354166671E-2</v>
      </c>
      <c r="CD196" s="39">
        <f>BP196*(12*AM196+AN196)/1000</f>
        <v>9.5292343749999994E-2</v>
      </c>
      <c r="CE196" s="37"/>
      <c r="CF196" s="37"/>
      <c r="CG196" s="39">
        <f t="shared" si="102"/>
        <v>3.2600532280219783</v>
      </c>
      <c r="CH196" s="39">
        <f t="shared" si="98"/>
        <v>4.6178803721185568</v>
      </c>
      <c r="CI196" s="37"/>
      <c r="CJ196" s="37"/>
      <c r="CK196" s="39">
        <f t="shared" ref="CK196:CK202" si="104">BP196*(12*AC196+AD196)/(35.238*8)</f>
        <v>1.913384077558318E-2</v>
      </c>
      <c r="CL196" s="39">
        <f t="shared" si="90"/>
        <v>0.35959374999999999</v>
      </c>
      <c r="CM196" s="39">
        <f t="shared" ref="CM196:CM202" si="105">BP196*(12*$AC196+$AD196)/(35.238*8)/0.283</f>
        <v>6.7610744790046584E-2</v>
      </c>
      <c r="CN196" s="37"/>
      <c r="CO196" s="39">
        <f>0.063495+(0.016949+0.014096)*Wages!P194+1.22592*BR196</f>
        <v>0.47344186745700662</v>
      </c>
      <c r="CP196" s="39"/>
      <c r="CQ196" s="39">
        <f t="shared" si="76"/>
        <v>0.47344186745700662</v>
      </c>
      <c r="CR196" s="39">
        <f t="shared" si="89"/>
        <v>0.15307072620466544</v>
      </c>
      <c r="CS196" s="39">
        <f t="shared" si="77"/>
        <v>1.008695652173913</v>
      </c>
      <c r="CT196" s="39">
        <f t="shared" si="78"/>
        <v>2.9034782608695657</v>
      </c>
      <c r="CU196" s="39">
        <v>1.4</v>
      </c>
      <c r="CV196" s="39">
        <f t="shared" si="92"/>
        <v>8.5553346354166671E-2</v>
      </c>
      <c r="CW196" s="39">
        <f>CD196</f>
        <v>9.5292343749999994E-2</v>
      </c>
      <c r="CX196" s="39"/>
      <c r="CY196" s="39"/>
      <c r="CZ196" s="39">
        <f t="shared" si="68"/>
        <v>5.6470866890136966E-2</v>
      </c>
      <c r="DA196" s="39">
        <f t="shared" si="88"/>
        <v>4.6178803721185568</v>
      </c>
      <c r="DB196" s="39">
        <f t="shared" si="101"/>
        <v>4.2176761126312368</v>
      </c>
      <c r="DC196" s="39">
        <f t="shared" si="69"/>
        <v>2.9728843597329764</v>
      </c>
      <c r="DD196" s="39">
        <f t="shared" si="103"/>
        <v>3.2600532280219783</v>
      </c>
      <c r="DE196" s="39">
        <f t="shared" ref="DE196:DE202" si="106">CK196</f>
        <v>1.913384077558318E-2</v>
      </c>
      <c r="DF196" s="37"/>
      <c r="DG196" s="39">
        <f t="shared" si="70"/>
        <v>0.35959374999999999</v>
      </c>
      <c r="DH196" s="39">
        <f t="shared" si="71"/>
        <v>2.1659317155969191</v>
      </c>
      <c r="DI196" s="37"/>
      <c r="DJ196" s="37"/>
      <c r="DK196" s="37"/>
      <c r="DL196" s="37"/>
      <c r="DM196" s="39">
        <f t="shared" si="80"/>
        <v>0.52443381763812424</v>
      </c>
      <c r="DN196" s="39"/>
      <c r="DO196" s="39">
        <f t="shared" si="81"/>
        <v>0.52443381763812424</v>
      </c>
      <c r="DP196" s="37"/>
      <c r="DQ196" s="37">
        <f>DO196/'Conversions, Sources &amp; Comments'!E194</f>
        <v>0.58336255025358386</v>
      </c>
    </row>
    <row r="197" spans="1:121">
      <c r="A197" s="42">
        <f t="shared" si="72"/>
        <v>1445</v>
      </c>
      <c r="B197" s="36"/>
      <c r="C197" s="38">
        <v>6</v>
      </c>
      <c r="D197" s="38">
        <v>3.5</v>
      </c>
      <c r="E197" s="38">
        <v>2</v>
      </c>
      <c r="F197" s="38">
        <v>7.5</v>
      </c>
      <c r="G197" s="38">
        <v>1</v>
      </c>
      <c r="H197" s="38">
        <v>11</v>
      </c>
      <c r="I197" s="38">
        <v>2</v>
      </c>
      <c r="J197" s="38">
        <v>10.5</v>
      </c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8">
        <v>5.71</v>
      </c>
      <c r="V197" s="36"/>
      <c r="W197" s="36"/>
      <c r="X197" s="38">
        <v>5</v>
      </c>
      <c r="Y197" s="38">
        <v>9</v>
      </c>
      <c r="Z197" s="38">
        <v>1</v>
      </c>
      <c r="AA197" s="38">
        <v>5.25</v>
      </c>
      <c r="AB197" s="36"/>
      <c r="AC197" s="38">
        <v>1</v>
      </c>
      <c r="AD197" s="38">
        <v>3.75</v>
      </c>
      <c r="AE197" s="38">
        <v>0</v>
      </c>
      <c r="AF197" s="38">
        <v>9.5</v>
      </c>
      <c r="AG197" s="38">
        <v>8</v>
      </c>
      <c r="AH197" s="38">
        <v>8</v>
      </c>
      <c r="AI197" s="36"/>
      <c r="AJ197" s="36"/>
      <c r="AK197" s="36"/>
      <c r="AL197" s="36"/>
      <c r="AM197" s="36"/>
      <c r="AN197" s="36"/>
      <c r="AO197" s="38">
        <v>1</v>
      </c>
      <c r="AP197" s="38">
        <v>2.5</v>
      </c>
      <c r="AQ197" s="36"/>
      <c r="AR197" s="36"/>
      <c r="AS197" s="36"/>
      <c r="AT197" s="36"/>
      <c r="AU197" s="36"/>
      <c r="AV197" s="38">
        <v>26.67</v>
      </c>
      <c r="AW197" s="38">
        <v>2.33</v>
      </c>
      <c r="AX197" s="38">
        <v>8</v>
      </c>
      <c r="AY197" s="36"/>
      <c r="AZ197" s="36"/>
      <c r="BA197" s="36"/>
      <c r="BB197" s="38">
        <v>42.8</v>
      </c>
      <c r="BC197" s="36"/>
      <c r="BD197" s="36"/>
      <c r="BE197" s="36"/>
      <c r="BF197" s="36"/>
      <c r="BG197" s="59">
        <v>3.9166666666666665</v>
      </c>
      <c r="BH197" s="59"/>
      <c r="BI197" s="59">
        <v>4.8361454293762804E-2</v>
      </c>
      <c r="BJ197" s="59"/>
      <c r="BK197" s="36"/>
      <c r="BL197" s="36"/>
      <c r="BM197" s="36"/>
      <c r="BN197" s="38">
        <v>32</v>
      </c>
      <c r="BO197" s="36"/>
      <c r="BP197" s="39">
        <f t="shared" si="66"/>
        <v>0.89898437500000006</v>
      </c>
      <c r="BQ197" s="37"/>
      <c r="BR197" s="39">
        <f t="shared" si="67"/>
        <v>0.2407674964260883</v>
      </c>
      <c r="BS197" s="37"/>
      <c r="BT197" s="37"/>
      <c r="BU197" s="37"/>
      <c r="BV197" s="39">
        <f t="shared" si="74"/>
        <v>0.14988175274206822</v>
      </c>
      <c r="BW197" s="37"/>
      <c r="BX197" s="39">
        <f t="shared" si="75"/>
        <v>6.3757430359831974E-2</v>
      </c>
      <c r="BY197" s="39">
        <f t="shared" si="99"/>
        <v>2.8490141780774354</v>
      </c>
      <c r="BZ197" s="37"/>
      <c r="CA197" s="37"/>
      <c r="CB197" s="37"/>
      <c r="CC197" s="39">
        <f t="shared" si="95"/>
        <v>8.5553346354166671E-2</v>
      </c>
      <c r="CD197" s="37"/>
      <c r="CE197" s="39">
        <f>$BP197*12*AV197/120</f>
        <v>2.3975913281250008</v>
      </c>
      <c r="CF197" s="37"/>
      <c r="CG197" s="39">
        <f t="shared" si="102"/>
        <v>2.8648952609890115</v>
      </c>
      <c r="CH197" s="39">
        <f t="shared" si="98"/>
        <v>4.6178803721185568</v>
      </c>
      <c r="CI197" s="37"/>
      <c r="CJ197" s="37"/>
      <c r="CK197" s="39">
        <f t="shared" si="104"/>
        <v>5.0226332035905846E-2</v>
      </c>
      <c r="CL197" s="39">
        <f t="shared" si="90"/>
        <v>0.93494375000000007</v>
      </c>
      <c r="CM197" s="39">
        <f t="shared" si="105"/>
        <v>0.17747820507387227</v>
      </c>
      <c r="CN197" s="37"/>
      <c r="CO197" s="39">
        <f>0.063495+(0.016949+0.014096)*Wages!P195+1.22592*BR197</f>
        <v>0.5819284485936701</v>
      </c>
      <c r="CP197" s="39"/>
      <c r="CQ197" s="39">
        <f t="shared" si="76"/>
        <v>0.5819284485936701</v>
      </c>
      <c r="CR197" s="39">
        <f t="shared" si="89"/>
        <v>0.14988175274206822</v>
      </c>
      <c r="CS197" s="39">
        <f t="shared" si="77"/>
        <v>1.008695652173913</v>
      </c>
      <c r="CT197" s="39">
        <f t="shared" si="78"/>
        <v>2.9034782608695657</v>
      </c>
      <c r="CU197" s="39">
        <v>1.4</v>
      </c>
      <c r="CV197" s="39">
        <f t="shared" si="92"/>
        <v>8.5553346354166671E-2</v>
      </c>
      <c r="CW197" s="39">
        <v>0.11</v>
      </c>
      <c r="CX197" s="39"/>
      <c r="CY197" s="39"/>
      <c r="CZ197" s="39">
        <f t="shared" si="68"/>
        <v>6.3757430359831974E-2</v>
      </c>
      <c r="DA197" s="39">
        <f t="shared" si="88"/>
        <v>4.6178803721185568</v>
      </c>
      <c r="DB197" s="39">
        <v>4.0999999999999996</v>
      </c>
      <c r="DC197" s="39">
        <f t="shared" si="69"/>
        <v>2.8490141780774354</v>
      </c>
      <c r="DD197" s="39">
        <f t="shared" si="103"/>
        <v>2.8648952609890115</v>
      </c>
      <c r="DE197" s="39">
        <f t="shared" si="106"/>
        <v>5.0226332035905846E-2</v>
      </c>
      <c r="DF197" s="37"/>
      <c r="DG197" s="39">
        <f t="shared" si="70"/>
        <v>0.93494375000000007</v>
      </c>
      <c r="DH197" s="39">
        <f t="shared" si="71"/>
        <v>5.6855707534419118</v>
      </c>
      <c r="DI197" s="37"/>
      <c r="DJ197" s="37"/>
      <c r="DK197" s="37"/>
      <c r="DL197" s="37"/>
      <c r="DM197" s="39">
        <f t="shared" si="80"/>
        <v>0.6125643110279102</v>
      </c>
      <c r="DN197" s="39"/>
      <c r="DO197" s="39">
        <f t="shared" si="81"/>
        <v>0.6125643110279102</v>
      </c>
      <c r="DP197" s="37"/>
      <c r="DQ197" s="37">
        <f>DO197/'Conversions, Sources &amp; Comments'!E195</f>
        <v>0.68139594865362385</v>
      </c>
    </row>
    <row r="198" spans="1:121">
      <c r="A198" s="42">
        <f t="shared" si="72"/>
        <v>1446</v>
      </c>
      <c r="B198" s="36"/>
      <c r="C198" s="38">
        <v>5</v>
      </c>
      <c r="D198" s="38">
        <v>11.75</v>
      </c>
      <c r="E198" s="38">
        <v>2</v>
      </c>
      <c r="F198" s="38">
        <v>10.5</v>
      </c>
      <c r="G198" s="38">
        <v>2</v>
      </c>
      <c r="H198" s="38">
        <v>1.75</v>
      </c>
      <c r="I198" s="38">
        <v>4</v>
      </c>
      <c r="J198" s="38">
        <v>0</v>
      </c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8">
        <v>5.71</v>
      </c>
      <c r="V198" s="36"/>
      <c r="W198" s="36"/>
      <c r="X198" s="36"/>
      <c r="Y198" s="36"/>
      <c r="Z198" s="38">
        <v>1</v>
      </c>
      <c r="AA198" s="38">
        <v>3</v>
      </c>
      <c r="AB198" s="36"/>
      <c r="AC198" s="38">
        <v>0</v>
      </c>
      <c r="AD198" s="38">
        <v>7</v>
      </c>
      <c r="AE198" s="38">
        <v>0</v>
      </c>
      <c r="AF198" s="38">
        <v>9.5</v>
      </c>
      <c r="AG198" s="38">
        <v>8</v>
      </c>
      <c r="AH198" s="38">
        <v>0</v>
      </c>
      <c r="AI198" s="38">
        <v>2</v>
      </c>
      <c r="AJ198" s="38">
        <v>0</v>
      </c>
      <c r="AK198" s="36"/>
      <c r="AL198" s="36"/>
      <c r="AM198" s="38">
        <v>11</v>
      </c>
      <c r="AN198" s="38">
        <v>4</v>
      </c>
      <c r="AO198" s="38">
        <v>1</v>
      </c>
      <c r="AP198" s="38">
        <v>4</v>
      </c>
      <c r="AQ198" s="38">
        <v>1</v>
      </c>
      <c r="AR198" s="38">
        <v>0</v>
      </c>
      <c r="AS198" s="36"/>
      <c r="AT198" s="36"/>
      <c r="AU198" s="36"/>
      <c r="AV198" s="36"/>
      <c r="AW198" s="38">
        <v>2.33</v>
      </c>
      <c r="AX198" s="36"/>
      <c r="AY198" s="36"/>
      <c r="AZ198" s="38">
        <v>37.75</v>
      </c>
      <c r="BA198" s="38">
        <v>48</v>
      </c>
      <c r="BB198" s="36"/>
      <c r="BC198" s="36"/>
      <c r="BD198" s="36"/>
      <c r="BE198" s="36"/>
      <c r="BF198" s="36"/>
      <c r="BG198" s="59">
        <v>3.0833333333333335</v>
      </c>
      <c r="BH198" s="59"/>
      <c r="BI198" s="59">
        <v>5.8033745152514013E-2</v>
      </c>
      <c r="BJ198" s="59"/>
      <c r="BK198" s="36"/>
      <c r="BL198" s="36"/>
      <c r="BM198" s="36"/>
      <c r="BN198" s="38">
        <v>32</v>
      </c>
      <c r="BO198" s="36"/>
      <c r="BP198" s="39">
        <f t="shared" si="66"/>
        <v>0.89898437500000006</v>
      </c>
      <c r="BQ198" s="37"/>
      <c r="BR198" s="39">
        <f t="shared" si="67"/>
        <v>0.22880884594134887</v>
      </c>
      <c r="BS198" s="37"/>
      <c r="BT198" s="39">
        <f t="shared" ref="BT198:BT206" si="107">BP198*12*AZ198/(24*0.9144)</f>
        <v>18.55679142402122</v>
      </c>
      <c r="BU198" s="37"/>
      <c r="BV198" s="39">
        <f t="shared" si="74"/>
        <v>0.11799201811609629</v>
      </c>
      <c r="BW198" s="37"/>
      <c r="BX198" s="39">
        <f t="shared" si="75"/>
        <v>7.6508916431796595E-2</v>
      </c>
      <c r="BY198" s="39">
        <f t="shared" si="99"/>
        <v>2.4774036331108134</v>
      </c>
      <c r="BZ198" s="37"/>
      <c r="CA198" s="37"/>
      <c r="CB198" s="37"/>
      <c r="CC198" s="39">
        <f t="shared" si="95"/>
        <v>8.5553346354166671E-2</v>
      </c>
      <c r="CD198" s="39">
        <f>BP198*(12*AM198+AN198)/1000</f>
        <v>0.12226187500000001</v>
      </c>
      <c r="CE198" s="37"/>
      <c r="CF198" s="37"/>
      <c r="CG198" s="39">
        <f t="shared" si="102"/>
        <v>3.1612637362637366</v>
      </c>
      <c r="CH198" s="39">
        <f t="shared" si="98"/>
        <v>4.6178803721185568</v>
      </c>
      <c r="CI198" s="37"/>
      <c r="CJ198" s="37"/>
      <c r="CK198" s="39">
        <f t="shared" si="104"/>
        <v>2.2322814238180375E-2</v>
      </c>
      <c r="CL198" s="39">
        <f t="shared" si="90"/>
        <v>0.86302500000000004</v>
      </c>
      <c r="CM198" s="39">
        <f t="shared" si="105"/>
        <v>7.8879202255054334E-2</v>
      </c>
      <c r="CN198" s="37"/>
      <c r="CO198" s="39">
        <f>0.063495+(0.016949+0.014096)*Wages!P196+1.22592*BR198</f>
        <v>0.56726809979141835</v>
      </c>
      <c r="CP198" s="39"/>
      <c r="CQ198" s="39">
        <f t="shared" si="76"/>
        <v>0.56726809979141835</v>
      </c>
      <c r="CR198" s="39">
        <f t="shared" si="89"/>
        <v>0.11799201811609629</v>
      </c>
      <c r="CS198" s="39">
        <f t="shared" si="77"/>
        <v>1.008695652173913</v>
      </c>
      <c r="CT198" s="39">
        <f t="shared" si="78"/>
        <v>2.9034782608695657</v>
      </c>
      <c r="CU198" s="39">
        <v>1.4</v>
      </c>
      <c r="CV198" s="39">
        <f t="shared" si="92"/>
        <v>8.5553346354166671E-2</v>
      </c>
      <c r="CW198" s="39">
        <f>CD198</f>
        <v>0.12226187500000001</v>
      </c>
      <c r="CX198" s="39"/>
      <c r="CY198" s="39"/>
      <c r="CZ198" s="39">
        <f t="shared" si="68"/>
        <v>7.6508916431796595E-2</v>
      </c>
      <c r="DA198" s="39">
        <f t="shared" si="88"/>
        <v>4.6178803721185568</v>
      </c>
      <c r="DB198" s="39">
        <f t="shared" ref="DB198:DB206" si="108">DB$258*BT198/15.73026</f>
        <v>4.0824941859443378</v>
      </c>
      <c r="DC198" s="39">
        <f t="shared" si="69"/>
        <v>2.4774036331108134</v>
      </c>
      <c r="DD198" s="39">
        <f t="shared" si="103"/>
        <v>3.1612637362637366</v>
      </c>
      <c r="DE198" s="39">
        <f t="shared" si="106"/>
        <v>2.2322814238180375E-2</v>
      </c>
      <c r="DF198" s="37"/>
      <c r="DG198" s="39">
        <f t="shared" si="70"/>
        <v>0.86302500000000004</v>
      </c>
      <c r="DH198" s="39">
        <f t="shared" si="71"/>
        <v>2.5269203348630715</v>
      </c>
      <c r="DI198" s="37"/>
      <c r="DJ198" s="37"/>
      <c r="DK198" s="37"/>
      <c r="DL198" s="37"/>
      <c r="DM198" s="39">
        <f t="shared" si="80"/>
        <v>0.56898237220324233</v>
      </c>
      <c r="DN198" s="39"/>
      <c r="DO198" s="39">
        <f t="shared" si="81"/>
        <v>0.56898237220324233</v>
      </c>
      <c r="DP198" s="37"/>
      <c r="DQ198" s="37">
        <f>DO198/'Conversions, Sources &amp; Comments'!E196</f>
        <v>0.63291686488237608</v>
      </c>
    </row>
    <row r="199" spans="1:121">
      <c r="A199" s="42">
        <f t="shared" si="72"/>
        <v>1447</v>
      </c>
      <c r="B199" s="36"/>
      <c r="C199" s="38">
        <v>5</v>
      </c>
      <c r="D199" s="38">
        <v>2</v>
      </c>
      <c r="E199" s="38">
        <v>3</v>
      </c>
      <c r="F199" s="38">
        <v>2.75</v>
      </c>
      <c r="G199" s="38">
        <v>1</v>
      </c>
      <c r="H199" s="38">
        <v>11</v>
      </c>
      <c r="I199" s="38">
        <v>3</v>
      </c>
      <c r="J199" s="38">
        <v>9.25</v>
      </c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8">
        <v>5.71</v>
      </c>
      <c r="V199" s="36"/>
      <c r="W199" s="36"/>
      <c r="X199" s="38">
        <v>5</v>
      </c>
      <c r="Y199" s="38">
        <v>7</v>
      </c>
      <c r="Z199" s="38">
        <v>1</v>
      </c>
      <c r="AA199" s="38">
        <v>3</v>
      </c>
      <c r="AB199" s="36"/>
      <c r="AC199" s="38">
        <v>0</v>
      </c>
      <c r="AD199" s="38">
        <v>9.75</v>
      </c>
      <c r="AE199" s="38">
        <v>0</v>
      </c>
      <c r="AF199" s="38">
        <v>9.5</v>
      </c>
      <c r="AG199" s="38">
        <v>8</v>
      </c>
      <c r="AH199" s="38">
        <v>4</v>
      </c>
      <c r="AI199" s="38">
        <v>2</v>
      </c>
      <c r="AJ199" s="38">
        <v>6</v>
      </c>
      <c r="AK199" s="36"/>
      <c r="AL199" s="36"/>
      <c r="AM199" s="36"/>
      <c r="AN199" s="36"/>
      <c r="AO199" s="38">
        <v>1</v>
      </c>
      <c r="AP199" s="38">
        <v>8</v>
      </c>
      <c r="AQ199" s="38">
        <v>1</v>
      </c>
      <c r="AR199" s="38">
        <v>0.75</v>
      </c>
      <c r="AS199" s="36"/>
      <c r="AT199" s="36"/>
      <c r="AU199" s="36"/>
      <c r="AV199" s="36"/>
      <c r="AW199" s="38">
        <v>2.33</v>
      </c>
      <c r="AX199" s="36"/>
      <c r="AY199" s="36"/>
      <c r="AZ199" s="38">
        <v>37.75</v>
      </c>
      <c r="BA199" s="38">
        <v>48</v>
      </c>
      <c r="BB199" s="38">
        <v>61.7</v>
      </c>
      <c r="BC199" s="36"/>
      <c r="BD199" s="36"/>
      <c r="BE199" s="36"/>
      <c r="BF199" s="36"/>
      <c r="BG199" s="59">
        <v>2.3333333333333335</v>
      </c>
      <c r="BH199" s="59"/>
      <c r="BI199" s="59">
        <v>5.9415500989479925E-2</v>
      </c>
      <c r="BJ199" s="59"/>
      <c r="BK199" s="36"/>
      <c r="BL199" s="36"/>
      <c r="BM199" s="36"/>
      <c r="BN199" s="38">
        <v>32</v>
      </c>
      <c r="BO199" s="36"/>
      <c r="BP199" s="39">
        <f t="shared" si="66"/>
        <v>0.89898437500000006</v>
      </c>
      <c r="BQ199" s="37"/>
      <c r="BR199" s="39">
        <f t="shared" si="67"/>
        <v>0.19771635468102616</v>
      </c>
      <c r="BS199" s="37"/>
      <c r="BT199" s="39">
        <f t="shared" si="107"/>
        <v>18.55679142402122</v>
      </c>
      <c r="BU199" s="37"/>
      <c r="BV199" s="39">
        <f t="shared" si="74"/>
        <v>8.9291256952721512E-2</v>
      </c>
      <c r="BW199" s="37"/>
      <c r="BX199" s="39">
        <f t="shared" si="75"/>
        <v>7.8330557299222017E-2</v>
      </c>
      <c r="BY199" s="39">
        <f t="shared" si="99"/>
        <v>2.4774036331108134</v>
      </c>
      <c r="BZ199" s="37"/>
      <c r="CA199" s="37"/>
      <c r="CB199" s="37"/>
      <c r="CC199" s="39">
        <f t="shared" si="95"/>
        <v>8.5553346354166671E-2</v>
      </c>
      <c r="CD199" s="37"/>
      <c r="CE199" s="37"/>
      <c r="CF199" s="37"/>
      <c r="CG199" s="39">
        <f t="shared" si="102"/>
        <v>3.9515796703296706</v>
      </c>
      <c r="CH199" s="39">
        <f t="shared" si="98"/>
        <v>4.6178803721185568</v>
      </c>
      <c r="CI199" s="37"/>
      <c r="CJ199" s="37"/>
      <c r="CK199" s="39">
        <f t="shared" si="104"/>
        <v>3.1092491260322666E-2</v>
      </c>
      <c r="CL199" s="39">
        <f t="shared" si="90"/>
        <v>0.89898437499999995</v>
      </c>
      <c r="CM199" s="39">
        <f t="shared" si="105"/>
        <v>0.10986746028382569</v>
      </c>
      <c r="CN199" s="37"/>
      <c r="CO199" s="39">
        <f>0.063495+(0.016949+0.014096)*Wages!P197+1.22592*BR199</f>
        <v>0.52915119290556356</v>
      </c>
      <c r="CP199" s="39"/>
      <c r="CQ199" s="39">
        <f t="shared" si="76"/>
        <v>0.52915119290556356</v>
      </c>
      <c r="CR199" s="39">
        <f t="shared" si="89"/>
        <v>8.9291256952721512E-2</v>
      </c>
      <c r="CS199" s="39">
        <f t="shared" si="77"/>
        <v>1.008695652173913</v>
      </c>
      <c r="CT199" s="39">
        <f t="shared" si="78"/>
        <v>2.9034782608695657</v>
      </c>
      <c r="CU199" s="39">
        <v>1.4</v>
      </c>
      <c r="CV199" s="39">
        <f t="shared" si="92"/>
        <v>8.5553346354166671E-2</v>
      </c>
      <c r="CW199" s="39">
        <v>0.115</v>
      </c>
      <c r="CX199" s="39"/>
      <c r="CY199" s="39"/>
      <c r="CZ199" s="39">
        <f t="shared" si="68"/>
        <v>7.8330557299222017E-2</v>
      </c>
      <c r="DA199" s="39">
        <f t="shared" si="88"/>
        <v>4.6178803721185568</v>
      </c>
      <c r="DB199" s="39">
        <f t="shared" si="108"/>
        <v>4.0824941859443378</v>
      </c>
      <c r="DC199" s="39">
        <f t="shared" si="69"/>
        <v>2.4774036331108134</v>
      </c>
      <c r="DD199" s="39">
        <f t="shared" si="103"/>
        <v>3.9515796703296706</v>
      </c>
      <c r="DE199" s="39">
        <f t="shared" si="106"/>
        <v>3.1092491260322666E-2</v>
      </c>
      <c r="DF199" s="37"/>
      <c r="DG199" s="39">
        <f t="shared" si="70"/>
        <v>0.89898437499999995</v>
      </c>
      <c r="DH199" s="39">
        <f t="shared" si="71"/>
        <v>3.5196390378449931</v>
      </c>
      <c r="DI199" s="37"/>
      <c r="DJ199" s="37"/>
      <c r="DK199" s="37"/>
      <c r="DL199" s="37"/>
      <c r="DM199" s="39">
        <f t="shared" si="80"/>
        <v>0.566379898268355</v>
      </c>
      <c r="DN199" s="39"/>
      <c r="DO199" s="39">
        <f t="shared" si="81"/>
        <v>0.566379898268355</v>
      </c>
      <c r="DP199" s="37"/>
      <c r="DQ199" s="37">
        <f>DO199/'Conversions, Sources &amp; Comments'!E197</f>
        <v>0.63002196035760349</v>
      </c>
    </row>
    <row r="200" spans="1:121">
      <c r="A200" s="42">
        <f t="shared" si="72"/>
        <v>1448</v>
      </c>
      <c r="B200" s="36"/>
      <c r="C200" s="38">
        <v>5</v>
      </c>
      <c r="D200" s="38">
        <v>7.5</v>
      </c>
      <c r="E200" s="38">
        <v>3</v>
      </c>
      <c r="F200" s="38">
        <v>1.5</v>
      </c>
      <c r="G200" s="38">
        <v>1</v>
      </c>
      <c r="H200" s="38">
        <v>10</v>
      </c>
      <c r="I200" s="38">
        <v>4</v>
      </c>
      <c r="J200" s="38">
        <v>0</v>
      </c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8">
        <v>5.71</v>
      </c>
      <c r="V200" s="36"/>
      <c r="W200" s="36"/>
      <c r="X200" s="38">
        <v>6</v>
      </c>
      <c r="Y200" s="38">
        <v>2.5</v>
      </c>
      <c r="Z200" s="38">
        <v>1</v>
      </c>
      <c r="AA200" s="38">
        <v>5</v>
      </c>
      <c r="AB200" s="36"/>
      <c r="AC200" s="38">
        <v>0</v>
      </c>
      <c r="AD200" s="38">
        <v>7.5</v>
      </c>
      <c r="AE200" s="38">
        <v>0</v>
      </c>
      <c r="AF200" s="38">
        <v>9.5</v>
      </c>
      <c r="AG200" s="38">
        <v>8</v>
      </c>
      <c r="AH200" s="38">
        <v>8</v>
      </c>
      <c r="AI200" s="38">
        <v>2</v>
      </c>
      <c r="AJ200" s="38">
        <v>1.25</v>
      </c>
      <c r="AK200" s="36"/>
      <c r="AL200" s="36"/>
      <c r="AM200" s="38">
        <v>10</v>
      </c>
      <c r="AN200" s="38">
        <v>2.75</v>
      </c>
      <c r="AO200" s="38">
        <v>1</v>
      </c>
      <c r="AP200" s="38">
        <v>4.75</v>
      </c>
      <c r="AQ200" s="38">
        <v>1</v>
      </c>
      <c r="AR200" s="38">
        <v>0</v>
      </c>
      <c r="AS200" s="36"/>
      <c r="AT200" s="36"/>
      <c r="AU200" s="36"/>
      <c r="AV200" s="36"/>
      <c r="AW200" s="38">
        <v>2.33</v>
      </c>
      <c r="AX200" s="38">
        <v>7.9</v>
      </c>
      <c r="AY200" s="36"/>
      <c r="AZ200" s="38">
        <v>37.75</v>
      </c>
      <c r="BA200" s="38">
        <v>48</v>
      </c>
      <c r="BB200" s="36"/>
      <c r="BC200" s="36"/>
      <c r="BD200" s="36"/>
      <c r="BE200" s="36"/>
      <c r="BF200" s="36"/>
      <c r="BG200" s="59">
        <v>2.1666666666666665</v>
      </c>
      <c r="BH200" s="59"/>
      <c r="BI200" s="59">
        <v>6.3560768500372566E-2</v>
      </c>
      <c r="BJ200" s="59"/>
      <c r="BK200" s="36"/>
      <c r="BL200" s="36"/>
      <c r="BM200" s="36"/>
      <c r="BN200" s="38">
        <v>32</v>
      </c>
      <c r="BO200" s="36"/>
      <c r="BP200" s="39">
        <f t="shared" si="66"/>
        <v>0.89898437500000006</v>
      </c>
      <c r="BQ200" s="37"/>
      <c r="BR200" s="39">
        <f t="shared" si="67"/>
        <v>0.21525570872531075</v>
      </c>
      <c r="BS200" s="37"/>
      <c r="BT200" s="39">
        <f t="shared" si="107"/>
        <v>18.55679142402122</v>
      </c>
      <c r="BU200" s="37"/>
      <c r="BV200" s="39">
        <f t="shared" si="74"/>
        <v>8.291331002752711E-2</v>
      </c>
      <c r="BW200" s="37"/>
      <c r="BX200" s="39">
        <f t="shared" si="75"/>
        <v>8.379547990149161E-2</v>
      </c>
      <c r="BY200" s="39">
        <f t="shared" si="99"/>
        <v>2.8077241175255883</v>
      </c>
      <c r="BZ200" s="37"/>
      <c r="CA200" s="37"/>
      <c r="CB200" s="37"/>
      <c r="CC200" s="39">
        <f t="shared" si="95"/>
        <v>8.5553346354166671E-2</v>
      </c>
      <c r="CD200" s="39">
        <f>BP200*(12*AM200+AN200)/1000</f>
        <v>0.11035033203125001</v>
      </c>
      <c r="CE200" s="37"/>
      <c r="CF200" s="37"/>
      <c r="CG200" s="39">
        <f t="shared" si="102"/>
        <v>3.3094479739010993</v>
      </c>
      <c r="CH200" s="39">
        <f t="shared" si="98"/>
        <v>4.6178803721185568</v>
      </c>
      <c r="CI200" s="37"/>
      <c r="CJ200" s="37"/>
      <c r="CK200" s="39">
        <f t="shared" si="104"/>
        <v>2.3917300969478975E-2</v>
      </c>
      <c r="CL200" s="39">
        <f t="shared" si="90"/>
        <v>0.93494375000000007</v>
      </c>
      <c r="CM200" s="39">
        <f t="shared" si="105"/>
        <v>8.451343098755823E-2</v>
      </c>
      <c r="CN200" s="37"/>
      <c r="CO200" s="39">
        <f>0.063495+(0.016949+0.014096)*Wages!P198+1.22592*BR200</f>
        <v>0.55065303781553288</v>
      </c>
      <c r="CP200" s="39"/>
      <c r="CQ200" s="39">
        <f t="shared" si="76"/>
        <v>0.55065303781553288</v>
      </c>
      <c r="CR200" s="39">
        <f t="shared" si="89"/>
        <v>8.291331002752711E-2</v>
      </c>
      <c r="CS200" s="39">
        <f t="shared" si="77"/>
        <v>1.008695652173913</v>
      </c>
      <c r="CT200" s="39">
        <f t="shared" si="78"/>
        <v>2.9034782608695657</v>
      </c>
      <c r="CU200" s="39">
        <v>1.4</v>
      </c>
      <c r="CV200" s="39">
        <f t="shared" si="92"/>
        <v>8.5553346354166671E-2</v>
      </c>
      <c r="CW200" s="39">
        <f>CD200</f>
        <v>0.11035033203125001</v>
      </c>
      <c r="CX200" s="39"/>
      <c r="CY200" s="39"/>
      <c r="CZ200" s="39">
        <f t="shared" si="68"/>
        <v>8.379547990149161E-2</v>
      </c>
      <c r="DA200" s="39">
        <f t="shared" si="88"/>
        <v>4.6178803721185568</v>
      </c>
      <c r="DB200" s="39">
        <f t="shared" si="108"/>
        <v>4.0824941859443378</v>
      </c>
      <c r="DC200" s="39">
        <f t="shared" si="69"/>
        <v>2.8077241175255883</v>
      </c>
      <c r="DD200" s="39">
        <f t="shared" si="103"/>
        <v>3.3094479739010993</v>
      </c>
      <c r="DE200" s="39">
        <f t="shared" si="106"/>
        <v>2.3917300969478975E-2</v>
      </c>
      <c r="DF200" s="37"/>
      <c r="DG200" s="39">
        <f t="shared" si="70"/>
        <v>0.93494375000000007</v>
      </c>
      <c r="DH200" s="39">
        <f t="shared" si="71"/>
        <v>2.7074146444961484</v>
      </c>
      <c r="DI200" s="37"/>
      <c r="DJ200" s="37"/>
      <c r="DK200" s="37"/>
      <c r="DL200" s="37"/>
      <c r="DM200" s="39">
        <f t="shared" si="80"/>
        <v>0.56566759748056583</v>
      </c>
      <c r="DN200" s="39"/>
      <c r="DO200" s="39">
        <f t="shared" si="81"/>
        <v>0.56566759748056583</v>
      </c>
      <c r="DP200" s="37"/>
      <c r="DQ200" s="37">
        <f>DO200/'Conversions, Sources &amp; Comments'!E198</f>
        <v>0.62922962090477463</v>
      </c>
    </row>
    <row r="201" spans="1:121">
      <c r="A201" s="42">
        <f t="shared" si="72"/>
        <v>1449</v>
      </c>
      <c r="B201" s="36"/>
      <c r="C201" s="38">
        <v>5</v>
      </c>
      <c r="D201" s="38">
        <v>3.5</v>
      </c>
      <c r="E201" s="38">
        <v>2</v>
      </c>
      <c r="F201" s="38">
        <v>10.25</v>
      </c>
      <c r="G201" s="38">
        <v>1</v>
      </c>
      <c r="H201" s="38">
        <v>8.5</v>
      </c>
      <c r="I201" s="38">
        <v>4</v>
      </c>
      <c r="J201" s="38">
        <v>0</v>
      </c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8">
        <v>5.71</v>
      </c>
      <c r="V201" s="36"/>
      <c r="W201" s="36"/>
      <c r="X201" s="38">
        <v>7</v>
      </c>
      <c r="Y201" s="38">
        <v>1.25</v>
      </c>
      <c r="Z201" s="38">
        <v>1</v>
      </c>
      <c r="AA201" s="38">
        <v>1.25</v>
      </c>
      <c r="AB201" s="36"/>
      <c r="AC201" s="38">
        <v>0</v>
      </c>
      <c r="AD201" s="38">
        <v>8.5</v>
      </c>
      <c r="AE201" s="38">
        <v>0</v>
      </c>
      <c r="AF201" s="38">
        <v>9.5</v>
      </c>
      <c r="AG201" s="38">
        <v>4</v>
      </c>
      <c r="AH201" s="38">
        <v>6</v>
      </c>
      <c r="AI201" s="38">
        <v>1</v>
      </c>
      <c r="AJ201" s="38">
        <v>11</v>
      </c>
      <c r="AK201" s="36"/>
      <c r="AL201" s="36"/>
      <c r="AM201" s="38">
        <v>12</v>
      </c>
      <c r="AN201" s="38">
        <v>1</v>
      </c>
      <c r="AO201" s="38">
        <v>1</v>
      </c>
      <c r="AP201" s="38">
        <v>1.5</v>
      </c>
      <c r="AQ201" s="38">
        <v>1</v>
      </c>
      <c r="AR201" s="38">
        <v>2.25</v>
      </c>
      <c r="AS201" s="36"/>
      <c r="AT201" s="36"/>
      <c r="AU201" s="36"/>
      <c r="AV201" s="36"/>
      <c r="AW201" s="38">
        <v>2.33</v>
      </c>
      <c r="AX201" s="38">
        <v>5.44</v>
      </c>
      <c r="AY201" s="36"/>
      <c r="AZ201" s="38">
        <v>37.5</v>
      </c>
      <c r="BA201" s="38">
        <v>48</v>
      </c>
      <c r="BB201" s="38">
        <v>42</v>
      </c>
      <c r="BC201" s="36"/>
      <c r="BD201" s="36"/>
      <c r="BE201" s="36"/>
      <c r="BF201" s="36"/>
      <c r="BG201" s="59">
        <v>2.0833333333333335</v>
      </c>
      <c r="BH201" s="59"/>
      <c r="BI201" s="59">
        <v>5.8033745152514013E-2</v>
      </c>
      <c r="BJ201" s="59"/>
      <c r="BK201" s="36"/>
      <c r="BL201" s="36"/>
      <c r="BM201" s="36"/>
      <c r="BN201" s="38">
        <v>32</v>
      </c>
      <c r="BO201" s="36"/>
      <c r="BP201" s="39">
        <f t="shared" si="66"/>
        <v>0.89898437500000006</v>
      </c>
      <c r="BQ201" s="37"/>
      <c r="BR201" s="39">
        <f t="shared" si="67"/>
        <v>0.20249981487492197</v>
      </c>
      <c r="BS201" s="37"/>
      <c r="BT201" s="39">
        <f t="shared" si="107"/>
        <v>18.433898765583994</v>
      </c>
      <c r="BU201" s="37"/>
      <c r="BV201" s="39">
        <f t="shared" si="74"/>
        <v>7.9724336564929915E-2</v>
      </c>
      <c r="BW201" s="37"/>
      <c r="BX201" s="39">
        <f t="shared" si="75"/>
        <v>7.6508916431796595E-2</v>
      </c>
      <c r="BY201" s="39">
        <f t="shared" si="99"/>
        <v>2.1883732092478851</v>
      </c>
      <c r="BZ201" s="37"/>
      <c r="CA201" s="37"/>
      <c r="CB201" s="37"/>
      <c r="CC201" s="39">
        <f t="shared" si="95"/>
        <v>8.5553346354166671E-2</v>
      </c>
      <c r="CD201" s="39">
        <f>BP201*(12*AM201+AN201)/1000</f>
        <v>0.130352734375</v>
      </c>
      <c r="CE201" s="37"/>
      <c r="CF201" s="37"/>
      <c r="CG201" s="39">
        <f t="shared" si="102"/>
        <v>2.6673162774725276</v>
      </c>
      <c r="CH201" s="39">
        <f t="shared" si="98"/>
        <v>4.6178803721185568</v>
      </c>
      <c r="CI201" s="37"/>
      <c r="CJ201" s="37"/>
      <c r="CK201" s="39">
        <f t="shared" si="104"/>
        <v>2.710627443207617E-2</v>
      </c>
      <c r="CL201" s="39">
        <f t="shared" si="90"/>
        <v>0.48545156250000004</v>
      </c>
      <c r="CM201" s="39">
        <f t="shared" si="105"/>
        <v>9.578188845256598E-2</v>
      </c>
      <c r="CN201" s="37"/>
      <c r="CO201" s="39">
        <f>0.063495+(0.016949+0.014096)*Wages!P199+1.22592*BR201</f>
        <v>0.53501533242646426</v>
      </c>
      <c r="CP201" s="39"/>
      <c r="CQ201" s="39">
        <f t="shared" si="76"/>
        <v>0.53501533242646426</v>
      </c>
      <c r="CR201" s="39">
        <f t="shared" si="89"/>
        <v>7.9724336564929915E-2</v>
      </c>
      <c r="CS201" s="39">
        <f t="shared" si="77"/>
        <v>1.008695652173913</v>
      </c>
      <c r="CT201" s="39">
        <f t="shared" si="78"/>
        <v>2.9034782608695657</v>
      </c>
      <c r="CU201" s="39">
        <v>1.4</v>
      </c>
      <c r="CV201" s="39">
        <f t="shared" si="92"/>
        <v>8.5553346354166671E-2</v>
      </c>
      <c r="CW201" s="39">
        <f>CD201</f>
        <v>0.130352734375</v>
      </c>
      <c r="CX201" s="39"/>
      <c r="CY201" s="39"/>
      <c r="CZ201" s="39">
        <f t="shared" si="68"/>
        <v>7.6508916431796595E-2</v>
      </c>
      <c r="DA201" s="39">
        <f t="shared" si="88"/>
        <v>4.6178803721185568</v>
      </c>
      <c r="DB201" s="39">
        <f t="shared" si="108"/>
        <v>4.0554578006069582</v>
      </c>
      <c r="DC201" s="39">
        <f t="shared" si="69"/>
        <v>2.1883732092478851</v>
      </c>
      <c r="DD201" s="39">
        <f t="shared" si="103"/>
        <v>2.6673162774725276</v>
      </c>
      <c r="DE201" s="39">
        <f t="shared" si="106"/>
        <v>2.710627443207617E-2</v>
      </c>
      <c r="DF201" s="37"/>
      <c r="DG201" s="39">
        <f t="shared" si="70"/>
        <v>0.48545156250000004</v>
      </c>
      <c r="DH201" s="39">
        <f t="shared" si="71"/>
        <v>3.0684032637623013</v>
      </c>
      <c r="DI201" s="37"/>
      <c r="DJ201" s="37"/>
      <c r="DK201" s="37"/>
      <c r="DL201" s="37"/>
      <c r="DM201" s="39">
        <f t="shared" si="80"/>
        <v>0.55133123741257217</v>
      </c>
      <c r="DN201" s="39"/>
      <c r="DO201" s="39">
        <f t="shared" si="81"/>
        <v>0.55133123741257217</v>
      </c>
      <c r="DP201" s="37"/>
      <c r="DQ201" s="37">
        <f>DO201/'Conversions, Sources &amp; Comments'!E199</f>
        <v>0.61328233587215808</v>
      </c>
    </row>
    <row r="202" spans="1:121">
      <c r="A202" s="42">
        <f t="shared" si="72"/>
        <v>1450</v>
      </c>
      <c r="B202" s="36"/>
      <c r="C202" s="38">
        <v>6</v>
      </c>
      <c r="D202" s="38">
        <v>6.75</v>
      </c>
      <c r="E202" s="38">
        <v>3</v>
      </c>
      <c r="F202" s="38">
        <v>2.5</v>
      </c>
      <c r="G202" s="38">
        <v>2</v>
      </c>
      <c r="H202" s="38">
        <v>0</v>
      </c>
      <c r="I202" s="38">
        <v>5</v>
      </c>
      <c r="J202" s="38">
        <v>4</v>
      </c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8">
        <v>5.71</v>
      </c>
      <c r="V202" s="36"/>
      <c r="W202" s="36"/>
      <c r="X202" s="38">
        <v>6</v>
      </c>
      <c r="Y202" s="38">
        <v>3.5</v>
      </c>
      <c r="Z202" s="38">
        <v>1</v>
      </c>
      <c r="AA202" s="38">
        <v>1</v>
      </c>
      <c r="AB202" s="36"/>
      <c r="AC202" s="38">
        <v>0</v>
      </c>
      <c r="AD202" s="38">
        <v>9.5</v>
      </c>
      <c r="AE202" s="38">
        <v>0</v>
      </c>
      <c r="AF202" s="38">
        <v>9.5</v>
      </c>
      <c r="AG202" s="36"/>
      <c r="AH202" s="36"/>
      <c r="AI202" s="38">
        <v>1</v>
      </c>
      <c r="AJ202" s="38">
        <v>9.5</v>
      </c>
      <c r="AK202" s="36"/>
      <c r="AL202" s="36"/>
      <c r="AM202" s="38">
        <v>5</v>
      </c>
      <c r="AN202" s="38">
        <v>6</v>
      </c>
      <c r="AO202" s="38">
        <v>1</v>
      </c>
      <c r="AP202" s="38">
        <v>2</v>
      </c>
      <c r="AQ202" s="38">
        <v>1</v>
      </c>
      <c r="AR202" s="38">
        <v>1</v>
      </c>
      <c r="AS202" s="36"/>
      <c r="AT202" s="36"/>
      <c r="AU202" s="36"/>
      <c r="AV202" s="36"/>
      <c r="AW202" s="38">
        <v>2.33</v>
      </c>
      <c r="AX202" s="38">
        <v>6.2</v>
      </c>
      <c r="AY202" s="36"/>
      <c r="AZ202" s="38">
        <v>37</v>
      </c>
      <c r="BA202" s="38">
        <v>48</v>
      </c>
      <c r="BB202" s="38">
        <v>42</v>
      </c>
      <c r="BC202" s="36"/>
      <c r="BD202" s="36"/>
      <c r="BE202" s="36"/>
      <c r="BF202" s="36"/>
      <c r="BG202" s="59">
        <v>6.37</v>
      </c>
      <c r="BH202" s="59">
        <v>0.57999999999999996</v>
      </c>
      <c r="BI202" s="59">
        <v>7.0469547685197045E-2</v>
      </c>
      <c r="BJ202" s="59"/>
      <c r="BK202" s="38">
        <v>1.4310000000000003</v>
      </c>
      <c r="BL202" s="59">
        <v>0.69</v>
      </c>
      <c r="BM202" s="36"/>
      <c r="BN202" s="38">
        <v>32</v>
      </c>
      <c r="BO202" s="36"/>
      <c r="BP202" s="39">
        <f t="shared" si="66"/>
        <v>0.89898437500000006</v>
      </c>
      <c r="BQ202" s="37"/>
      <c r="BR202" s="39">
        <f t="shared" si="67"/>
        <v>0.2511316601795292</v>
      </c>
      <c r="BS202" s="37"/>
      <c r="BT202" s="39">
        <f t="shared" si="107"/>
        <v>18.188113448709537</v>
      </c>
      <c r="BU202" s="37"/>
      <c r="BV202" s="39">
        <f t="shared" si="74"/>
        <v>0.24376513148092971</v>
      </c>
      <c r="BW202" s="39">
        <f t="shared" ref="BW202:BW265" si="109">$BP202*12*$BH202/(14*0.45359)</f>
        <v>0.98530316081546276</v>
      </c>
      <c r="BX202" s="39">
        <f t="shared" si="75"/>
        <v>9.2903684238612061E-2</v>
      </c>
      <c r="BY202" s="39">
        <f t="shared" si="99"/>
        <v>2.1470831486960384</v>
      </c>
      <c r="BZ202" s="37"/>
      <c r="CA202" s="39">
        <f t="shared" ref="CA202:CA265" si="110">$BP202*$BK202/0.45359</f>
        <v>2.836144184450716</v>
      </c>
      <c r="CB202" s="39">
        <f t="shared" ref="CB202:CB265" si="111">$BP202*12*$BL202/(12*0.45359)</f>
        <v>1.3675328352697371</v>
      </c>
      <c r="CC202" s="39">
        <f t="shared" si="95"/>
        <v>8.5553346354166671E-2</v>
      </c>
      <c r="CD202" s="39">
        <f>BP202*(12*AM202+AN202)/1000</f>
        <v>5.9332968750000006E-2</v>
      </c>
      <c r="CE202" s="37"/>
      <c r="CF202" s="37"/>
      <c r="CG202" s="39">
        <f t="shared" si="102"/>
        <v>2.7661057692307693</v>
      </c>
      <c r="CH202" s="39">
        <f t="shared" si="98"/>
        <v>4.6178803721185568</v>
      </c>
      <c r="CI202" s="37"/>
      <c r="CJ202" s="37"/>
      <c r="CK202" s="39">
        <f t="shared" si="104"/>
        <v>3.0295247894673364E-2</v>
      </c>
      <c r="CL202" s="37"/>
      <c r="CM202" s="39">
        <f t="shared" si="105"/>
        <v>0.10705034591757373</v>
      </c>
      <c r="CN202" s="37"/>
      <c r="CO202" s="39">
        <f>0.063495+(0.016949+0.014096)*Wages!P200+1.22592*BR202</f>
        <v>0.59463408422228836</v>
      </c>
      <c r="CP202" s="39"/>
      <c r="CQ202" s="39">
        <f t="shared" si="76"/>
        <v>0.59463408422228836</v>
      </c>
      <c r="CR202" s="39">
        <f t="shared" si="89"/>
        <v>0.24376513148092971</v>
      </c>
      <c r="CS202" s="39">
        <f t="shared" si="89"/>
        <v>0.98530316081546276</v>
      </c>
      <c r="CT202" s="39">
        <f t="shared" ref="CT202:CW265" si="112">CA202</f>
        <v>2.836144184450716</v>
      </c>
      <c r="CU202" s="39">
        <f t="shared" si="112"/>
        <v>1.3675328352697371</v>
      </c>
      <c r="CV202" s="39">
        <f t="shared" si="92"/>
        <v>8.5553346354166671E-2</v>
      </c>
      <c r="CW202" s="39">
        <f>CD202</f>
        <v>5.9332968750000006E-2</v>
      </c>
      <c r="CX202" s="39"/>
      <c r="CY202" s="39"/>
      <c r="CZ202" s="39">
        <f t="shared" si="68"/>
        <v>9.2903684238612061E-2</v>
      </c>
      <c r="DA202" s="39">
        <f t="shared" si="88"/>
        <v>4.6178803721185568</v>
      </c>
      <c r="DB202" s="39">
        <f t="shared" si="108"/>
        <v>4.0013850299321971</v>
      </c>
      <c r="DC202" s="39">
        <f t="shared" si="69"/>
        <v>2.1470831486960384</v>
      </c>
      <c r="DD202" s="39">
        <f t="shared" si="103"/>
        <v>2.7661057692307693</v>
      </c>
      <c r="DE202" s="39">
        <f t="shared" si="106"/>
        <v>3.0295247894673364E-2</v>
      </c>
      <c r="DF202" s="37"/>
      <c r="DG202" s="39">
        <f t="shared" si="70"/>
        <v>0</v>
      </c>
      <c r="DH202" s="39">
        <f t="shared" si="71"/>
        <v>3.4293918830284542</v>
      </c>
      <c r="DI202" s="37"/>
      <c r="DJ202" s="37"/>
      <c r="DK202" s="37"/>
      <c r="DL202" s="37"/>
      <c r="DM202" s="39">
        <f t="shared" si="80"/>
        <v>0.60657722501897082</v>
      </c>
      <c r="DN202" s="39"/>
      <c r="DO202" s="39">
        <f t="shared" si="81"/>
        <v>0.60657722501897082</v>
      </c>
      <c r="DP202" s="37"/>
      <c r="DQ202" s="37">
        <f>DO202/'Conversions, Sources &amp; Comments'!E200</f>
        <v>0.67473611542911494</v>
      </c>
    </row>
    <row r="203" spans="1:121">
      <c r="A203" s="42">
        <f t="shared" si="72"/>
        <v>1451</v>
      </c>
      <c r="B203" s="36"/>
      <c r="C203" s="38">
        <v>6</v>
      </c>
      <c r="D203" s="38">
        <v>6</v>
      </c>
      <c r="E203" s="38">
        <v>3</v>
      </c>
      <c r="F203" s="38">
        <v>0</v>
      </c>
      <c r="G203" s="38">
        <v>1</v>
      </c>
      <c r="H203" s="38">
        <v>9.75</v>
      </c>
      <c r="I203" s="38">
        <v>4</v>
      </c>
      <c r="J203" s="38">
        <v>11</v>
      </c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8">
        <v>5.46</v>
      </c>
      <c r="V203" s="36"/>
      <c r="W203" s="36"/>
      <c r="X203" s="38">
        <v>6</v>
      </c>
      <c r="Y203" s="38">
        <v>0</v>
      </c>
      <c r="Z203" s="38">
        <v>1</v>
      </c>
      <c r="AA203" s="38">
        <v>0.5</v>
      </c>
      <c r="AB203" s="36"/>
      <c r="AC203" s="36"/>
      <c r="AD203" s="36"/>
      <c r="AE203" s="38">
        <v>0</v>
      </c>
      <c r="AF203" s="38">
        <v>7.75</v>
      </c>
      <c r="AG203" s="38">
        <v>8</v>
      </c>
      <c r="AH203" s="38">
        <v>0</v>
      </c>
      <c r="AI203" s="38">
        <v>1</v>
      </c>
      <c r="AJ203" s="38">
        <v>10.75</v>
      </c>
      <c r="AK203" s="36"/>
      <c r="AL203" s="36"/>
      <c r="AM203" s="38">
        <v>12</v>
      </c>
      <c r="AN203" s="38">
        <v>0</v>
      </c>
      <c r="AO203" s="38">
        <v>1</v>
      </c>
      <c r="AP203" s="38">
        <v>4</v>
      </c>
      <c r="AQ203" s="38">
        <v>0</v>
      </c>
      <c r="AR203" s="38">
        <v>9.25</v>
      </c>
      <c r="AS203" s="36"/>
      <c r="AT203" s="36"/>
      <c r="AU203" s="36"/>
      <c r="AV203" s="38">
        <v>45</v>
      </c>
      <c r="AW203" s="38">
        <v>2.33</v>
      </c>
      <c r="AX203" s="38">
        <v>5.6</v>
      </c>
      <c r="AY203" s="36"/>
      <c r="AZ203" s="38">
        <v>37</v>
      </c>
      <c r="BA203" s="38">
        <v>48</v>
      </c>
      <c r="BB203" s="38">
        <v>42</v>
      </c>
      <c r="BC203" s="36"/>
      <c r="BD203" s="36"/>
      <c r="BE203" s="36"/>
      <c r="BF203" s="36"/>
      <c r="BG203" s="59">
        <v>4.22</v>
      </c>
      <c r="BH203" s="59">
        <v>0.57999999999999996</v>
      </c>
      <c r="BI203" s="59">
        <v>5.8033745152514013E-2</v>
      </c>
      <c r="BJ203" s="59"/>
      <c r="BK203" s="38">
        <v>1.4310000000000003</v>
      </c>
      <c r="BL203" s="59">
        <v>0.69</v>
      </c>
      <c r="BM203" s="36"/>
      <c r="BN203" s="38">
        <v>32</v>
      </c>
      <c r="BO203" s="36"/>
      <c r="BP203" s="39">
        <f t="shared" ref="BP203:BP266" si="113">(31.1*0.925/$BN203)</f>
        <v>0.89898437500000006</v>
      </c>
      <c r="BQ203" s="37"/>
      <c r="BR203" s="39">
        <f t="shared" ref="BR203:BR266" si="114">(31.1*0.925/$BN203)*(12*C203+D203)/35.238/8</f>
        <v>0.24873993008258133</v>
      </c>
      <c r="BS203" s="37"/>
      <c r="BT203" s="39">
        <f t="shared" si="107"/>
        <v>18.188113448709537</v>
      </c>
      <c r="BU203" s="37"/>
      <c r="BV203" s="39">
        <f t="shared" si="74"/>
        <v>0.16148961614592203</v>
      </c>
      <c r="BW203" s="39">
        <f t="shared" si="109"/>
        <v>0.98530316081546276</v>
      </c>
      <c r="BX203" s="39">
        <f t="shared" si="75"/>
        <v>7.6508916431796595E-2</v>
      </c>
      <c r="BY203" s="39">
        <f t="shared" si="99"/>
        <v>2.0645030275923446</v>
      </c>
      <c r="BZ203" s="37"/>
      <c r="CA203" s="39">
        <f t="shared" si="110"/>
        <v>2.836144184450716</v>
      </c>
      <c r="CB203" s="39">
        <f t="shared" si="111"/>
        <v>1.3675328352697371</v>
      </c>
      <c r="CC203" s="39">
        <f t="shared" si="95"/>
        <v>8.1807578125000002E-2</v>
      </c>
      <c r="CD203" s="39">
        <f>BP203*(12*AM203+AN203)/1000</f>
        <v>0.12945375000000001</v>
      </c>
      <c r="CE203" s="39">
        <f>$BP203*12*AV203/120</f>
        <v>4.0454296875000004</v>
      </c>
      <c r="CF203" s="37"/>
      <c r="CG203" s="39">
        <f t="shared" si="102"/>
        <v>3.1612637362637366</v>
      </c>
      <c r="CH203" s="39">
        <f t="shared" si="98"/>
        <v>4.6178803721185568</v>
      </c>
      <c r="CI203" s="37"/>
      <c r="CJ203" s="37"/>
      <c r="CK203" s="37"/>
      <c r="CL203" s="39">
        <f>BP203*(12*AG203+AH203)/100</f>
        <v>0.86302500000000004</v>
      </c>
      <c r="CM203" s="37"/>
      <c r="CN203" s="37"/>
      <c r="CO203" s="39">
        <f>0.063495+(0.016949+0.014096)*Wages!P201+1.22592*BR203</f>
        <v>0.59170201446183801</v>
      </c>
      <c r="CP203" s="39"/>
      <c r="CQ203" s="39">
        <f t="shared" si="76"/>
        <v>0.59170201446183801</v>
      </c>
      <c r="CR203" s="39">
        <f t="shared" si="89"/>
        <v>0.16148961614592203</v>
      </c>
      <c r="CS203" s="39">
        <f t="shared" si="89"/>
        <v>0.98530316081546276</v>
      </c>
      <c r="CT203" s="39">
        <f t="shared" si="112"/>
        <v>2.836144184450716</v>
      </c>
      <c r="CU203" s="39">
        <f t="shared" si="112"/>
        <v>1.3675328352697371</v>
      </c>
      <c r="CV203" s="39">
        <f t="shared" si="92"/>
        <v>8.1807578125000002E-2</v>
      </c>
      <c r="CW203" s="39">
        <f>CD203</f>
        <v>0.12945375000000001</v>
      </c>
      <c r="CX203" s="39"/>
      <c r="CY203" s="39"/>
      <c r="CZ203" s="39">
        <f t="shared" ref="CZ203:CZ266" si="115">BX203</f>
        <v>7.6508916431796595E-2</v>
      </c>
      <c r="DA203" s="39">
        <f t="shared" si="88"/>
        <v>4.6178803721185568</v>
      </c>
      <c r="DB203" s="39">
        <f t="shared" si="108"/>
        <v>4.0013850299321971</v>
      </c>
      <c r="DC203" s="39">
        <f t="shared" ref="DC203:DC266" si="116">BY203</f>
        <v>2.0645030275923446</v>
      </c>
      <c r="DD203" s="39">
        <f t="shared" si="103"/>
        <v>3.1612637362637366</v>
      </c>
      <c r="DE203" s="39">
        <v>2.5999999999999999E-2</v>
      </c>
      <c r="DF203" s="37"/>
      <c r="DG203" s="39">
        <f t="shared" ref="DG203:DG266" si="117">CL203</f>
        <v>0.86302500000000004</v>
      </c>
      <c r="DH203" s="39">
        <f t="shared" ref="DH203:DH266" si="118">1000*DE203/8.834</f>
        <v>2.9431741000679197</v>
      </c>
      <c r="DI203" s="37"/>
      <c r="DJ203" s="37"/>
      <c r="DK203" s="37"/>
      <c r="DL203" s="37"/>
      <c r="DM203" s="39">
        <f t="shared" si="80"/>
        <v>0.58341740866387981</v>
      </c>
      <c r="DN203" s="39"/>
      <c r="DO203" s="39">
        <f t="shared" si="81"/>
        <v>0.58341740866387981</v>
      </c>
      <c r="DP203" s="37"/>
      <c r="DQ203" s="37">
        <f>DO203/'Conversions, Sources &amp; Comments'!E201</f>
        <v>0.64897391421722961</v>
      </c>
    </row>
    <row r="204" spans="1:121">
      <c r="A204" s="42">
        <f t="shared" ref="A204:A267" si="119">A203+1</f>
        <v>1452</v>
      </c>
      <c r="B204" s="36"/>
      <c r="C204" s="38">
        <v>5</v>
      </c>
      <c r="D204" s="38">
        <v>8.75</v>
      </c>
      <c r="E204" s="38">
        <v>2</v>
      </c>
      <c r="F204" s="38">
        <v>11.5</v>
      </c>
      <c r="G204" s="38">
        <v>1</v>
      </c>
      <c r="H204" s="38">
        <v>8</v>
      </c>
      <c r="I204" s="38">
        <v>4</v>
      </c>
      <c r="J204" s="38">
        <v>2.75</v>
      </c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8">
        <v>5.46</v>
      </c>
      <c r="V204" s="36"/>
      <c r="W204" s="36"/>
      <c r="X204" s="38">
        <v>6</v>
      </c>
      <c r="Y204" s="38">
        <v>2</v>
      </c>
      <c r="Z204" s="38">
        <v>1</v>
      </c>
      <c r="AA204" s="38">
        <v>6</v>
      </c>
      <c r="AB204" s="36"/>
      <c r="AC204" s="38">
        <v>0</v>
      </c>
      <c r="AD204" s="38">
        <v>7.5</v>
      </c>
      <c r="AE204" s="38">
        <v>0</v>
      </c>
      <c r="AF204" s="38">
        <v>7.75</v>
      </c>
      <c r="AG204" s="38">
        <v>8</v>
      </c>
      <c r="AH204" s="38">
        <v>8</v>
      </c>
      <c r="AI204" s="38">
        <v>1</v>
      </c>
      <c r="AJ204" s="38">
        <v>11</v>
      </c>
      <c r="AK204" s="36"/>
      <c r="AL204" s="36"/>
      <c r="AM204" s="36"/>
      <c r="AN204" s="36"/>
      <c r="AO204" s="38">
        <v>1</v>
      </c>
      <c r="AP204" s="38">
        <v>2</v>
      </c>
      <c r="AQ204" s="38">
        <v>1</v>
      </c>
      <c r="AR204" s="38">
        <v>0</v>
      </c>
      <c r="AS204" s="36"/>
      <c r="AT204" s="36"/>
      <c r="AU204" s="36"/>
      <c r="AV204" s="36"/>
      <c r="AW204" s="38">
        <v>2.33</v>
      </c>
      <c r="AX204" s="38">
        <v>4.1100000000000003</v>
      </c>
      <c r="AY204" s="36"/>
      <c r="AZ204" s="38">
        <v>36</v>
      </c>
      <c r="BA204" s="38">
        <v>48</v>
      </c>
      <c r="BB204" s="38">
        <v>48</v>
      </c>
      <c r="BC204" s="36"/>
      <c r="BD204" s="36"/>
      <c r="BE204" s="36"/>
      <c r="BF204" s="36"/>
      <c r="BG204" s="59">
        <v>3.87</v>
      </c>
      <c r="BH204" s="59">
        <v>0.57999999999999996</v>
      </c>
      <c r="BI204" s="59">
        <v>5.2506721804655453E-2</v>
      </c>
      <c r="BJ204" s="59"/>
      <c r="BK204" s="38">
        <v>1.4310000000000003</v>
      </c>
      <c r="BL204" s="59">
        <v>0.69</v>
      </c>
      <c r="BM204" s="36"/>
      <c r="BN204" s="38">
        <v>32</v>
      </c>
      <c r="BO204" s="36"/>
      <c r="BP204" s="39">
        <f t="shared" si="113"/>
        <v>0.89898437500000006</v>
      </c>
      <c r="BQ204" s="37"/>
      <c r="BR204" s="39">
        <f t="shared" si="114"/>
        <v>0.21924192555355726</v>
      </c>
      <c r="BS204" s="37"/>
      <c r="BT204" s="39">
        <f t="shared" si="107"/>
        <v>17.696542814960633</v>
      </c>
      <c r="BU204" s="37"/>
      <c r="BV204" s="39">
        <f t="shared" si="74"/>
        <v>0.14809592760301382</v>
      </c>
      <c r="BW204" s="39">
        <f t="shared" si="109"/>
        <v>0.98530316081546276</v>
      </c>
      <c r="BX204" s="39">
        <f t="shared" si="75"/>
        <v>6.9222352962101566E-2</v>
      </c>
      <c r="BY204" s="39">
        <f t="shared" si="99"/>
        <v>2.9728843597329764</v>
      </c>
      <c r="BZ204" s="37"/>
      <c r="CA204" s="39">
        <f t="shared" si="110"/>
        <v>2.836144184450716</v>
      </c>
      <c r="CB204" s="39">
        <f t="shared" si="111"/>
        <v>1.3675328352697371</v>
      </c>
      <c r="CC204" s="39">
        <f t="shared" si="95"/>
        <v>8.1807578125000002E-2</v>
      </c>
      <c r="CD204" s="37"/>
      <c r="CE204" s="37"/>
      <c r="CF204" s="37"/>
      <c r="CG204" s="39">
        <f t="shared" si="102"/>
        <v>2.7661057692307693</v>
      </c>
      <c r="CH204" s="39">
        <f t="shared" si="98"/>
        <v>4.6178803721185568</v>
      </c>
      <c r="CI204" s="37"/>
      <c r="CJ204" s="37"/>
      <c r="CK204" s="39">
        <f t="shared" ref="CK204:CK216" si="120">BP204*(12*AC204+AD204)/(35.238*8)</f>
        <v>2.3917300969478975E-2</v>
      </c>
      <c r="CL204" s="39">
        <f>BP204*(12*AG204+AH204)/100</f>
        <v>0.93494375000000007</v>
      </c>
      <c r="CM204" s="39">
        <f t="shared" ref="CM204:CM216" si="121">BP204*(12*$AC204+$AD204)/(35.238*8)/0.283</f>
        <v>8.451343098755823E-2</v>
      </c>
      <c r="CN204" s="37"/>
      <c r="CO204" s="39">
        <f>0.063495+(0.016949+0.014096)*Wages!P202+1.22592*BR204</f>
        <v>0.55553982074961683</v>
      </c>
      <c r="CP204" s="39"/>
      <c r="CQ204" s="39">
        <f t="shared" si="76"/>
        <v>0.55553982074961683</v>
      </c>
      <c r="CR204" s="39">
        <f t="shared" si="89"/>
        <v>0.14809592760301382</v>
      </c>
      <c r="CS204" s="39">
        <f t="shared" si="89"/>
        <v>0.98530316081546276</v>
      </c>
      <c r="CT204" s="39">
        <f t="shared" si="112"/>
        <v>2.836144184450716</v>
      </c>
      <c r="CU204" s="39">
        <f t="shared" si="112"/>
        <v>1.3675328352697371</v>
      </c>
      <c r="CV204" s="39">
        <f t="shared" si="92"/>
        <v>8.1807578125000002E-2</v>
      </c>
      <c r="CW204" s="39">
        <v>0.14000000000000001</v>
      </c>
      <c r="CX204" s="39"/>
      <c r="CY204" s="39"/>
      <c r="CZ204" s="39">
        <f t="shared" si="115"/>
        <v>6.9222352962101566E-2</v>
      </c>
      <c r="DA204" s="39">
        <f t="shared" si="88"/>
        <v>4.6178803721185568</v>
      </c>
      <c r="DB204" s="39">
        <f t="shared" si="108"/>
        <v>3.8932394885826791</v>
      </c>
      <c r="DC204" s="39">
        <f t="shared" si="116"/>
        <v>2.9728843597329764</v>
      </c>
      <c r="DD204" s="39">
        <f t="shared" si="103"/>
        <v>2.7661057692307693</v>
      </c>
      <c r="DE204" s="39">
        <f t="shared" ref="DE204:DE216" si="122">CK204</f>
        <v>2.3917300969478975E-2</v>
      </c>
      <c r="DF204" s="37"/>
      <c r="DG204" s="39">
        <f t="shared" si="117"/>
        <v>0.93494375000000007</v>
      </c>
      <c r="DH204" s="39">
        <f t="shared" si="118"/>
        <v>2.7074146444961484</v>
      </c>
      <c r="DI204" s="37"/>
      <c r="DJ204" s="37"/>
      <c r="DK204" s="37"/>
      <c r="DL204" s="37"/>
      <c r="DM204" s="39">
        <f t="shared" si="80"/>
        <v>0.56175118062636975</v>
      </c>
      <c r="DN204" s="39"/>
      <c r="DO204" s="39">
        <f t="shared" si="81"/>
        <v>0.56175118062636975</v>
      </c>
      <c r="DP204" s="37"/>
      <c r="DQ204" s="37">
        <f>DO204/'Conversions, Sources &amp; Comments'!E202</f>
        <v>0.62487313044386306</v>
      </c>
    </row>
    <row r="205" spans="1:121">
      <c r="A205" s="42">
        <f t="shared" si="119"/>
        <v>1453</v>
      </c>
      <c r="B205" s="36"/>
      <c r="C205" s="38">
        <v>5</v>
      </c>
      <c r="D205" s="38">
        <v>1.25</v>
      </c>
      <c r="E205" s="38">
        <v>3</v>
      </c>
      <c r="F205" s="38">
        <v>6.5</v>
      </c>
      <c r="G205" s="38">
        <v>2</v>
      </c>
      <c r="H205" s="38">
        <v>2.75</v>
      </c>
      <c r="I205" s="38">
        <v>3</v>
      </c>
      <c r="J205" s="38">
        <v>4.5</v>
      </c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8">
        <v>5.46</v>
      </c>
      <c r="V205" s="36"/>
      <c r="W205" s="36"/>
      <c r="X205" s="38">
        <v>6</v>
      </c>
      <c r="Y205" s="38">
        <v>0</v>
      </c>
      <c r="Z205" s="36"/>
      <c r="AA205" s="36"/>
      <c r="AB205" s="36"/>
      <c r="AC205" s="38">
        <v>0</v>
      </c>
      <c r="AD205" s="38">
        <v>6</v>
      </c>
      <c r="AE205" s="38">
        <v>0</v>
      </c>
      <c r="AF205" s="38">
        <v>7.75</v>
      </c>
      <c r="AG205" s="36"/>
      <c r="AH205" s="36"/>
      <c r="AI205" s="38">
        <v>1</v>
      </c>
      <c r="AJ205" s="38">
        <v>2</v>
      </c>
      <c r="AK205" s="36"/>
      <c r="AL205" s="36"/>
      <c r="AM205" s="38">
        <v>15</v>
      </c>
      <c r="AN205" s="38">
        <v>0</v>
      </c>
      <c r="AO205" s="38">
        <v>1</v>
      </c>
      <c r="AP205" s="38">
        <v>4</v>
      </c>
      <c r="AQ205" s="38">
        <v>1</v>
      </c>
      <c r="AR205" s="38">
        <v>4</v>
      </c>
      <c r="AS205" s="36"/>
      <c r="AT205" s="36"/>
      <c r="AU205" s="36"/>
      <c r="AV205" s="38">
        <v>30</v>
      </c>
      <c r="AW205" s="38">
        <v>2.33</v>
      </c>
      <c r="AX205" s="38">
        <v>4.3</v>
      </c>
      <c r="AY205" s="36"/>
      <c r="AZ205" s="38">
        <v>36</v>
      </c>
      <c r="BA205" s="38">
        <v>48</v>
      </c>
      <c r="BB205" s="38">
        <v>58</v>
      </c>
      <c r="BC205" s="36"/>
      <c r="BD205" s="36"/>
      <c r="BE205" s="36"/>
      <c r="BF205" s="36"/>
      <c r="BG205" s="59">
        <v>4.18</v>
      </c>
      <c r="BH205" s="59">
        <v>0.57999999999999996</v>
      </c>
      <c r="BI205" s="59">
        <v>7.3233059359125469E-2</v>
      </c>
      <c r="BJ205" s="59"/>
      <c r="BK205" s="38">
        <v>1.4310000000000003</v>
      </c>
      <c r="BL205" s="59">
        <v>0.69</v>
      </c>
      <c r="BM205" s="36"/>
      <c r="BN205" s="38">
        <v>32</v>
      </c>
      <c r="BO205" s="36"/>
      <c r="BP205" s="39">
        <f t="shared" si="113"/>
        <v>0.89898437500000006</v>
      </c>
      <c r="BQ205" s="37"/>
      <c r="BR205" s="39">
        <f t="shared" si="114"/>
        <v>0.19532462458407829</v>
      </c>
      <c r="BS205" s="37"/>
      <c r="BT205" s="39">
        <f t="shared" si="107"/>
        <v>17.696542814960633</v>
      </c>
      <c r="BU205" s="37"/>
      <c r="BV205" s="39">
        <f t="shared" si="74"/>
        <v>0.15995890888387537</v>
      </c>
      <c r="BW205" s="39">
        <f t="shared" si="109"/>
        <v>0.98530316081546276</v>
      </c>
      <c r="BX205" s="39">
        <f t="shared" si="75"/>
        <v>9.6546965973458451E-2</v>
      </c>
      <c r="BY205" s="39">
        <v>2.9</v>
      </c>
      <c r="BZ205" s="37"/>
      <c r="CA205" s="39">
        <f t="shared" si="110"/>
        <v>2.836144184450716</v>
      </c>
      <c r="CB205" s="39">
        <f t="shared" si="111"/>
        <v>1.3675328352697371</v>
      </c>
      <c r="CC205" s="39">
        <f t="shared" si="95"/>
        <v>8.1807578125000002E-2</v>
      </c>
      <c r="CD205" s="39">
        <f t="shared" ref="CD205:CD210" si="123">BP205*(12*AM205+AN205)/1000</f>
        <v>0.16181718750000001</v>
      </c>
      <c r="CE205" s="39">
        <f>$BP205*12*AV205/120</f>
        <v>2.6969531250000003</v>
      </c>
      <c r="CF205" s="37"/>
      <c r="CG205" s="39">
        <f t="shared" si="102"/>
        <v>3.1612637362637366</v>
      </c>
      <c r="CH205" s="39">
        <f t="shared" si="98"/>
        <v>4.6178803721185568</v>
      </c>
      <c r="CI205" s="37"/>
      <c r="CJ205" s="37"/>
      <c r="CK205" s="39">
        <f t="shared" si="120"/>
        <v>1.913384077558318E-2</v>
      </c>
      <c r="CL205" s="37"/>
      <c r="CM205" s="39">
        <f t="shared" si="121"/>
        <v>6.7610744790046584E-2</v>
      </c>
      <c r="CN205" s="37"/>
      <c r="CO205" s="39">
        <f>0.063495+(0.016949+0.014096)*Wages!P203+1.22592*BR205</f>
        <v>0.52621912314511321</v>
      </c>
      <c r="CP205" s="39"/>
      <c r="CQ205" s="39">
        <f t="shared" si="76"/>
        <v>0.52621912314511321</v>
      </c>
      <c r="CR205" s="39">
        <f t="shared" si="89"/>
        <v>0.15995890888387537</v>
      </c>
      <c r="CS205" s="39">
        <f t="shared" si="89"/>
        <v>0.98530316081546276</v>
      </c>
      <c r="CT205" s="39">
        <f t="shared" si="112"/>
        <v>2.836144184450716</v>
      </c>
      <c r="CU205" s="39">
        <f t="shared" si="112"/>
        <v>1.3675328352697371</v>
      </c>
      <c r="CV205" s="39">
        <f t="shared" si="92"/>
        <v>8.1807578125000002E-2</v>
      </c>
      <c r="CW205" s="39">
        <f t="shared" si="92"/>
        <v>0.16181718750000001</v>
      </c>
      <c r="CX205" s="39"/>
      <c r="CY205" s="39"/>
      <c r="CZ205" s="39">
        <f t="shared" si="115"/>
        <v>9.6546965973458451E-2</v>
      </c>
      <c r="DA205" s="39">
        <f t="shared" si="88"/>
        <v>4.6178803721185568</v>
      </c>
      <c r="DB205" s="39">
        <f t="shared" si="108"/>
        <v>3.8932394885826791</v>
      </c>
      <c r="DC205" s="39">
        <f t="shared" si="116"/>
        <v>2.9</v>
      </c>
      <c r="DD205" s="39">
        <f t="shared" si="103"/>
        <v>3.1612637362637366</v>
      </c>
      <c r="DE205" s="39">
        <f t="shared" si="122"/>
        <v>1.913384077558318E-2</v>
      </c>
      <c r="DF205" s="37"/>
      <c r="DG205" s="39">
        <f t="shared" si="117"/>
        <v>0</v>
      </c>
      <c r="DH205" s="39">
        <f t="shared" si="118"/>
        <v>2.1659317155969191</v>
      </c>
      <c r="DI205" s="37"/>
      <c r="DJ205" s="37"/>
      <c r="DK205" s="37"/>
      <c r="DL205" s="37"/>
      <c r="DM205" s="39">
        <f t="shared" si="80"/>
        <v>0.55785645732435862</v>
      </c>
      <c r="DN205" s="39"/>
      <c r="DO205" s="39">
        <f t="shared" si="81"/>
        <v>0.55785645732435862</v>
      </c>
      <c r="DP205" s="37"/>
      <c r="DQ205" s="37">
        <f>DO205/'Conversions, Sources &amp; Comments'!E203</f>
        <v>0.620540771161188</v>
      </c>
    </row>
    <row r="206" spans="1:121">
      <c r="A206" s="42">
        <f t="shared" si="119"/>
        <v>1454</v>
      </c>
      <c r="B206" s="36"/>
      <c r="C206" s="38">
        <v>3</v>
      </c>
      <c r="D206" s="38">
        <v>10.25</v>
      </c>
      <c r="E206" s="38">
        <v>2</v>
      </c>
      <c r="F206" s="38">
        <v>9.5</v>
      </c>
      <c r="G206" s="38">
        <v>1</v>
      </c>
      <c r="H206" s="38">
        <v>8.5</v>
      </c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8">
        <v>5.46</v>
      </c>
      <c r="V206" s="36"/>
      <c r="W206" s="36"/>
      <c r="X206" s="38">
        <v>5</v>
      </c>
      <c r="Y206" s="38">
        <v>6</v>
      </c>
      <c r="Z206" s="38">
        <v>1</v>
      </c>
      <c r="AA206" s="38">
        <v>5.25</v>
      </c>
      <c r="AB206" s="36"/>
      <c r="AC206" s="38">
        <v>0</v>
      </c>
      <c r="AD206" s="38">
        <v>7</v>
      </c>
      <c r="AE206" s="38">
        <v>0</v>
      </c>
      <c r="AF206" s="38">
        <v>7.75</v>
      </c>
      <c r="AG206" s="38">
        <v>10</v>
      </c>
      <c r="AH206" s="38">
        <v>0</v>
      </c>
      <c r="AI206" s="38">
        <v>2</v>
      </c>
      <c r="AJ206" s="38">
        <v>0</v>
      </c>
      <c r="AK206" s="36"/>
      <c r="AL206" s="36"/>
      <c r="AM206" s="38">
        <v>10</v>
      </c>
      <c r="AN206" s="38">
        <v>0</v>
      </c>
      <c r="AO206" s="38">
        <v>1</v>
      </c>
      <c r="AP206" s="38">
        <v>2.5</v>
      </c>
      <c r="AQ206" s="38">
        <v>0</v>
      </c>
      <c r="AR206" s="38">
        <v>11.75</v>
      </c>
      <c r="AS206" s="36"/>
      <c r="AT206" s="36"/>
      <c r="AU206" s="36"/>
      <c r="AV206" s="36"/>
      <c r="AW206" s="38">
        <v>2.33</v>
      </c>
      <c r="AX206" s="38">
        <v>5.12</v>
      </c>
      <c r="AY206" s="36"/>
      <c r="AZ206" s="38">
        <v>37</v>
      </c>
      <c r="BA206" s="38">
        <v>48</v>
      </c>
      <c r="BB206" s="38">
        <v>48</v>
      </c>
      <c r="BC206" s="36"/>
      <c r="BD206" s="36"/>
      <c r="BE206" s="36"/>
      <c r="BF206" s="36"/>
      <c r="BG206" s="59">
        <v>3.79</v>
      </c>
      <c r="BH206" s="59">
        <v>0.57999999999999996</v>
      </c>
      <c r="BI206" s="59">
        <v>5.6651989315549794E-2</v>
      </c>
      <c r="BJ206" s="59"/>
      <c r="BK206" s="38">
        <v>1.4310000000000003</v>
      </c>
      <c r="BL206" s="59">
        <v>0.69</v>
      </c>
      <c r="BM206" s="36"/>
      <c r="BN206" s="38">
        <v>32</v>
      </c>
      <c r="BO206" s="36"/>
      <c r="BP206" s="39">
        <f t="shared" si="113"/>
        <v>0.89898437500000006</v>
      </c>
      <c r="BQ206" s="37"/>
      <c r="BR206" s="39">
        <f t="shared" si="114"/>
        <v>0.14749002264512034</v>
      </c>
      <c r="BS206" s="37"/>
      <c r="BT206" s="39">
        <f t="shared" si="107"/>
        <v>18.188113448709537</v>
      </c>
      <c r="BU206" s="37"/>
      <c r="BV206" s="39">
        <f t="shared" si="74"/>
        <v>0.14503451307892051</v>
      </c>
      <c r="BW206" s="39">
        <f t="shared" si="109"/>
        <v>0.98530316081546276</v>
      </c>
      <c r="BX206" s="39">
        <f t="shared" si="75"/>
        <v>7.4687275564373393E-2</v>
      </c>
      <c r="BY206" s="39">
        <f>$BP206*(12*Z206+AA206)/(12*0.453592)</f>
        <v>2.8490141780774354</v>
      </c>
      <c r="BZ206" s="37"/>
      <c r="CA206" s="39">
        <f t="shared" si="110"/>
        <v>2.836144184450716</v>
      </c>
      <c r="CB206" s="39">
        <f t="shared" si="111"/>
        <v>1.3675328352697371</v>
      </c>
      <c r="CC206" s="39">
        <f t="shared" si="95"/>
        <v>8.1807578125000002E-2</v>
      </c>
      <c r="CD206" s="39">
        <f t="shared" si="123"/>
        <v>0.10787812500000001</v>
      </c>
      <c r="CE206" s="37"/>
      <c r="CF206" s="37"/>
      <c r="CG206" s="39">
        <f t="shared" si="102"/>
        <v>2.8648952609890115</v>
      </c>
      <c r="CH206" s="39">
        <f t="shared" si="98"/>
        <v>4.6178803721185568</v>
      </c>
      <c r="CI206" s="37"/>
      <c r="CJ206" s="37"/>
      <c r="CK206" s="39">
        <f t="shared" si="120"/>
        <v>2.2322814238180375E-2</v>
      </c>
      <c r="CL206" s="39">
        <f>BP206*(12*AG206+AH206)/100</f>
        <v>1.07878125</v>
      </c>
      <c r="CM206" s="39">
        <f t="shared" si="121"/>
        <v>7.8879202255054334E-2</v>
      </c>
      <c r="CN206" s="37"/>
      <c r="CO206" s="39">
        <f>0.063495+(0.016949+0.014096)*Wages!P204+1.22592*BR206</f>
        <v>0.46757772793610586</v>
      </c>
      <c r="CP206" s="39"/>
      <c r="CQ206" s="39">
        <f t="shared" si="76"/>
        <v>0.46757772793610586</v>
      </c>
      <c r="CR206" s="39">
        <f t="shared" si="89"/>
        <v>0.14503451307892051</v>
      </c>
      <c r="CS206" s="39">
        <f t="shared" si="89"/>
        <v>0.98530316081546276</v>
      </c>
      <c r="CT206" s="39">
        <f t="shared" si="112"/>
        <v>2.836144184450716</v>
      </c>
      <c r="CU206" s="39">
        <f t="shared" si="112"/>
        <v>1.3675328352697371</v>
      </c>
      <c r="CV206" s="39">
        <f t="shared" si="112"/>
        <v>8.1807578125000002E-2</v>
      </c>
      <c r="CW206" s="39">
        <f t="shared" si="112"/>
        <v>0.10787812500000001</v>
      </c>
      <c r="CX206" s="39"/>
      <c r="CY206" s="39"/>
      <c r="CZ206" s="39">
        <f t="shared" si="115"/>
        <v>7.4687275564373393E-2</v>
      </c>
      <c r="DA206" s="39">
        <f t="shared" si="88"/>
        <v>4.6178803721185568</v>
      </c>
      <c r="DB206" s="39">
        <f t="shared" si="108"/>
        <v>4.0013850299321971</v>
      </c>
      <c r="DC206" s="39">
        <f t="shared" si="116"/>
        <v>2.8490141780774354</v>
      </c>
      <c r="DD206" s="39">
        <f t="shared" si="103"/>
        <v>2.8648952609890115</v>
      </c>
      <c r="DE206" s="39">
        <f t="shared" si="122"/>
        <v>2.2322814238180375E-2</v>
      </c>
      <c r="DF206" s="37"/>
      <c r="DG206" s="39">
        <f t="shared" si="117"/>
        <v>1.07878125</v>
      </c>
      <c r="DH206" s="39">
        <f t="shared" si="118"/>
        <v>2.5269203348630715</v>
      </c>
      <c r="DI206" s="37"/>
      <c r="DJ206" s="37"/>
      <c r="DK206" s="37"/>
      <c r="DL206" s="37"/>
      <c r="DM206" s="39">
        <f t="shared" si="80"/>
        <v>0.52415011759857721</v>
      </c>
      <c r="DN206" s="39"/>
      <c r="DO206" s="39">
        <f t="shared" si="81"/>
        <v>0.52415011759857721</v>
      </c>
      <c r="DP206" s="37"/>
      <c r="DQ206" s="37">
        <f>DO206/'Conversions, Sources &amp; Comments'!E204</f>
        <v>0.5830469718659762</v>
      </c>
    </row>
    <row r="207" spans="1:121">
      <c r="A207" s="42">
        <f t="shared" si="119"/>
        <v>1455</v>
      </c>
      <c r="B207" s="36"/>
      <c r="C207" s="38">
        <v>5</v>
      </c>
      <c r="D207" s="38">
        <v>5.5</v>
      </c>
      <c r="E207" s="38">
        <v>3</v>
      </c>
      <c r="F207" s="38">
        <v>1.25</v>
      </c>
      <c r="G207" s="38">
        <v>1</v>
      </c>
      <c r="H207" s="38">
        <v>10</v>
      </c>
      <c r="I207" s="38">
        <v>3</v>
      </c>
      <c r="J207" s="38">
        <v>0</v>
      </c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8">
        <v>5.46</v>
      </c>
      <c r="V207" s="36"/>
      <c r="W207" s="36"/>
      <c r="X207" s="36"/>
      <c r="Y207" s="36"/>
      <c r="Z207" s="38">
        <v>1</v>
      </c>
      <c r="AA207" s="38">
        <v>0</v>
      </c>
      <c r="AB207" s="36"/>
      <c r="AC207" s="38">
        <v>0</v>
      </c>
      <c r="AD207" s="38">
        <v>7.5</v>
      </c>
      <c r="AE207" s="38">
        <v>0</v>
      </c>
      <c r="AF207" s="38">
        <v>7.75</v>
      </c>
      <c r="AG207" s="36"/>
      <c r="AH207" s="36"/>
      <c r="AI207" s="36"/>
      <c r="AJ207" s="36"/>
      <c r="AK207" s="36"/>
      <c r="AL207" s="36"/>
      <c r="AM207" s="38">
        <v>8</v>
      </c>
      <c r="AN207" s="38">
        <v>2</v>
      </c>
      <c r="AO207" s="38">
        <v>0</v>
      </c>
      <c r="AP207" s="38">
        <v>10</v>
      </c>
      <c r="AQ207" s="36"/>
      <c r="AR207" s="36"/>
      <c r="AS207" s="36"/>
      <c r="AT207" s="36"/>
      <c r="AU207" s="36"/>
      <c r="AV207" s="38">
        <v>23.33</v>
      </c>
      <c r="AW207" s="38">
        <v>2.33</v>
      </c>
      <c r="AX207" s="36"/>
      <c r="AY207" s="36"/>
      <c r="AZ207" s="36"/>
      <c r="BA207" s="36"/>
      <c r="BB207" s="38">
        <v>50</v>
      </c>
      <c r="BC207" s="36"/>
      <c r="BD207" s="36"/>
      <c r="BE207" s="36"/>
      <c r="BF207" s="36"/>
      <c r="BG207" s="59">
        <v>2.37</v>
      </c>
      <c r="BH207" s="59">
        <v>0.57999999999999996</v>
      </c>
      <c r="BI207" s="59">
        <v>6.7706036011266915E-2</v>
      </c>
      <c r="BJ207" s="59"/>
      <c r="BK207" s="38">
        <v>1.4310000000000003</v>
      </c>
      <c r="BL207" s="59">
        <v>0.69</v>
      </c>
      <c r="BM207" s="36"/>
      <c r="BN207" s="38">
        <v>32</v>
      </c>
      <c r="BO207" s="36"/>
      <c r="BP207" s="39">
        <f t="shared" si="113"/>
        <v>0.89898437500000006</v>
      </c>
      <c r="BQ207" s="37"/>
      <c r="BR207" s="39">
        <f t="shared" si="114"/>
        <v>0.20887776180011636</v>
      </c>
      <c r="BS207" s="37"/>
      <c r="BT207" s="37"/>
      <c r="BU207" s="37"/>
      <c r="BV207" s="39">
        <f t="shared" si="74"/>
        <v>9.0694405276264267E-2</v>
      </c>
      <c r="BW207" s="39">
        <f t="shared" si="109"/>
        <v>0.98530316081546276</v>
      </c>
      <c r="BX207" s="39">
        <f t="shared" si="75"/>
        <v>8.9260402503763422E-2</v>
      </c>
      <c r="BY207" s="39">
        <f>$BP207*(12*Z207+AA207)/(12*0.453592)</f>
        <v>1.9819229064886508</v>
      </c>
      <c r="BZ207" s="37"/>
      <c r="CA207" s="39">
        <f t="shared" si="110"/>
        <v>2.836144184450716</v>
      </c>
      <c r="CB207" s="39">
        <f t="shared" si="111"/>
        <v>1.3675328352697371</v>
      </c>
      <c r="CC207" s="39">
        <f t="shared" si="95"/>
        <v>8.1807578125000002E-2</v>
      </c>
      <c r="CD207" s="39">
        <f t="shared" si="123"/>
        <v>8.8100468750000008E-2</v>
      </c>
      <c r="CE207" s="39">
        <f>$BP207*12*AV207/120</f>
        <v>2.0973305468750003</v>
      </c>
      <c r="CF207" s="37"/>
      <c r="CG207" s="39">
        <f t="shared" si="102"/>
        <v>1.9757898351648353</v>
      </c>
      <c r="CH207" s="39">
        <f t="shared" si="98"/>
        <v>4.6178803721185568</v>
      </c>
      <c r="CI207" s="37"/>
      <c r="CJ207" s="37"/>
      <c r="CK207" s="39">
        <f t="shared" si="120"/>
        <v>2.3917300969478975E-2</v>
      </c>
      <c r="CL207" s="37"/>
      <c r="CM207" s="39">
        <f t="shared" si="121"/>
        <v>8.451343098755823E-2</v>
      </c>
      <c r="CN207" s="37"/>
      <c r="CO207" s="39">
        <f>0.063495+(0.016949+0.014096)*Wages!P205+1.22592*BR207</f>
        <v>0.54283418512099857</v>
      </c>
      <c r="CP207" s="39"/>
      <c r="CQ207" s="39">
        <f t="shared" si="76"/>
        <v>0.54283418512099857</v>
      </c>
      <c r="CR207" s="39">
        <f t="shared" si="89"/>
        <v>9.0694405276264267E-2</v>
      </c>
      <c r="CS207" s="39">
        <f t="shared" si="89"/>
        <v>0.98530316081546276</v>
      </c>
      <c r="CT207" s="39">
        <f t="shared" si="112"/>
        <v>2.836144184450716</v>
      </c>
      <c r="CU207" s="39">
        <f t="shared" si="112"/>
        <v>1.3675328352697371</v>
      </c>
      <c r="CV207" s="39">
        <f t="shared" si="112"/>
        <v>8.1807578125000002E-2</v>
      </c>
      <c r="CW207" s="39">
        <f t="shared" si="112"/>
        <v>8.8100468750000008E-2</v>
      </c>
      <c r="CX207" s="39"/>
      <c r="CY207" s="39"/>
      <c r="CZ207" s="39">
        <f t="shared" si="115"/>
        <v>8.9260402503763422E-2</v>
      </c>
      <c r="DA207" s="39">
        <f t="shared" si="88"/>
        <v>4.6178803721185568</v>
      </c>
      <c r="DB207" s="39">
        <v>4</v>
      </c>
      <c r="DC207" s="39">
        <f t="shared" si="116"/>
        <v>1.9819229064886508</v>
      </c>
      <c r="DD207" s="39">
        <f t="shared" si="103"/>
        <v>1.9757898351648353</v>
      </c>
      <c r="DE207" s="39">
        <f t="shared" si="122"/>
        <v>2.3917300969478975E-2</v>
      </c>
      <c r="DF207" s="37"/>
      <c r="DG207" s="39">
        <f t="shared" si="117"/>
        <v>0</v>
      </c>
      <c r="DH207" s="39">
        <f t="shared" si="118"/>
        <v>2.7074146444961484</v>
      </c>
      <c r="DI207" s="37"/>
      <c r="DJ207" s="37"/>
      <c r="DK207" s="37"/>
      <c r="DL207" s="37"/>
      <c r="DM207" s="39">
        <f t="shared" si="80"/>
        <v>0.54789744119855976</v>
      </c>
      <c r="DN207" s="39"/>
      <c r="DO207" s="39">
        <f t="shared" si="81"/>
        <v>0.54789744119855976</v>
      </c>
      <c r="DP207" s="37"/>
      <c r="DQ207" s="37">
        <f>DO207/'Conversions, Sources &amp; Comments'!E205</f>
        <v>0.60946269638842132</v>
      </c>
    </row>
    <row r="208" spans="1:121">
      <c r="A208" s="42">
        <f t="shared" si="119"/>
        <v>1456</v>
      </c>
      <c r="B208" s="36"/>
      <c r="C208" s="38">
        <v>4</v>
      </c>
      <c r="D208" s="38">
        <v>11.75</v>
      </c>
      <c r="E208" s="38">
        <v>2</v>
      </c>
      <c r="F208" s="38">
        <v>10.75</v>
      </c>
      <c r="G208" s="38">
        <v>2</v>
      </c>
      <c r="H208" s="38">
        <v>0</v>
      </c>
      <c r="I208" s="38">
        <v>3</v>
      </c>
      <c r="J208" s="38">
        <v>4</v>
      </c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8">
        <v>5.46</v>
      </c>
      <c r="V208" s="36"/>
      <c r="W208" s="36"/>
      <c r="X208" s="38">
        <v>6</v>
      </c>
      <c r="Y208" s="38">
        <v>0</v>
      </c>
      <c r="Z208" s="38">
        <v>1</v>
      </c>
      <c r="AA208" s="38">
        <v>0</v>
      </c>
      <c r="AB208" s="36"/>
      <c r="AC208" s="38">
        <v>0</v>
      </c>
      <c r="AD208" s="38">
        <v>8.75</v>
      </c>
      <c r="AE208" s="38">
        <v>0</v>
      </c>
      <c r="AF208" s="38">
        <v>7.75</v>
      </c>
      <c r="AG208" s="38">
        <v>7</v>
      </c>
      <c r="AH208" s="38">
        <v>0</v>
      </c>
      <c r="AI208" s="38">
        <v>1</v>
      </c>
      <c r="AJ208" s="38">
        <v>11.5</v>
      </c>
      <c r="AK208" s="36"/>
      <c r="AL208" s="36"/>
      <c r="AM208" s="38">
        <v>10</v>
      </c>
      <c r="AN208" s="38">
        <v>7.5</v>
      </c>
      <c r="AO208" s="38">
        <v>1</v>
      </c>
      <c r="AP208" s="38">
        <v>2</v>
      </c>
      <c r="AQ208" s="38">
        <v>0</v>
      </c>
      <c r="AR208" s="38">
        <v>11.75</v>
      </c>
      <c r="AS208" s="36"/>
      <c r="AT208" s="36"/>
      <c r="AU208" s="36"/>
      <c r="AV208" s="38">
        <v>24</v>
      </c>
      <c r="AW208" s="38">
        <v>2.33</v>
      </c>
      <c r="AX208" s="38">
        <v>4.1100000000000003</v>
      </c>
      <c r="AY208" s="36"/>
      <c r="AZ208" s="38">
        <v>36</v>
      </c>
      <c r="BA208" s="38">
        <v>48</v>
      </c>
      <c r="BB208" s="38">
        <v>66</v>
      </c>
      <c r="BC208" s="36"/>
      <c r="BD208" s="36"/>
      <c r="BE208" s="36"/>
      <c r="BF208" s="36"/>
      <c r="BG208" s="59">
        <v>3.87</v>
      </c>
      <c r="BH208" s="59">
        <v>0.57999999999999996</v>
      </c>
      <c r="BI208" s="59">
        <v>5.1124965967691241E-2</v>
      </c>
      <c r="BJ208" s="59"/>
      <c r="BK208" s="38">
        <v>1.4310000000000003</v>
      </c>
      <c r="BL208" s="59">
        <v>0.69</v>
      </c>
      <c r="BM208" s="36"/>
      <c r="BN208" s="38">
        <v>32</v>
      </c>
      <c r="BO208" s="36"/>
      <c r="BP208" s="39">
        <f t="shared" si="113"/>
        <v>0.89898437500000006</v>
      </c>
      <c r="BQ208" s="37"/>
      <c r="BR208" s="39">
        <f t="shared" si="114"/>
        <v>0.19054116439018251</v>
      </c>
      <c r="BS208" s="37"/>
      <c r="BT208" s="39">
        <f>BP208*12*AZ208/(24*0.9144)</f>
        <v>17.696542814960633</v>
      </c>
      <c r="BU208" s="37"/>
      <c r="BV208" s="39">
        <f t="shared" ref="BV208:BV271" si="124">$BP208*12*$BG208/(8*35.238)</f>
        <v>0.14809592760301382</v>
      </c>
      <c r="BW208" s="39">
        <f t="shared" si="109"/>
        <v>0.98530316081546276</v>
      </c>
      <c r="BX208" s="39">
        <f t="shared" ref="BX208:BX271" si="125">$BP208*240*$BI208/(36*4.546)</f>
        <v>6.7400712094678378E-2</v>
      </c>
      <c r="BY208" s="39">
        <f>$BP208*(12*Z208+AA208)/(12*0.453592)</f>
        <v>1.9819229064886508</v>
      </c>
      <c r="BZ208" s="37"/>
      <c r="CA208" s="39">
        <f t="shared" si="110"/>
        <v>2.836144184450716</v>
      </c>
      <c r="CB208" s="39">
        <f t="shared" si="111"/>
        <v>1.3675328352697371</v>
      </c>
      <c r="CC208" s="39">
        <f t="shared" si="95"/>
        <v>8.1807578125000002E-2</v>
      </c>
      <c r="CD208" s="39">
        <f t="shared" si="123"/>
        <v>0.11462050781250001</v>
      </c>
      <c r="CE208" s="39">
        <f>$BP208*12*AV208/120</f>
        <v>2.1575625</v>
      </c>
      <c r="CF208" s="37"/>
      <c r="CG208" s="39">
        <f t="shared" si="102"/>
        <v>2.7661057692307693</v>
      </c>
      <c r="CH208" s="39">
        <f t="shared" si="98"/>
        <v>4.6178803721185568</v>
      </c>
      <c r="CI208" s="37"/>
      <c r="CJ208" s="37"/>
      <c r="CK208" s="39">
        <f t="shared" si="120"/>
        <v>2.7903517797725468E-2</v>
      </c>
      <c r="CL208" s="39">
        <f>BP208*(12*AG208+AH208)/100</f>
        <v>0.75514687500000011</v>
      </c>
      <c r="CM208" s="39">
        <f t="shared" si="121"/>
        <v>9.8599002818817921E-2</v>
      </c>
      <c r="CN208" s="37"/>
      <c r="CO208" s="39">
        <f>0.063495+(0.016949+0.014096)*Wages!P206+1.22592*BR208</f>
        <v>0.52035498362421251</v>
      </c>
      <c r="CP208" s="39"/>
      <c r="CQ208" s="39">
        <f t="shared" ref="CQ208:CQ271" si="126">CO208</f>
        <v>0.52035498362421251</v>
      </c>
      <c r="CR208" s="39">
        <f t="shared" si="89"/>
        <v>0.14809592760301382</v>
      </c>
      <c r="CS208" s="39">
        <f t="shared" si="89"/>
        <v>0.98530316081546276</v>
      </c>
      <c r="CT208" s="39">
        <f t="shared" si="112"/>
        <v>2.836144184450716</v>
      </c>
      <c r="CU208" s="39">
        <f t="shared" si="112"/>
        <v>1.3675328352697371</v>
      </c>
      <c r="CV208" s="39">
        <f t="shared" si="112"/>
        <v>8.1807578125000002E-2</v>
      </c>
      <c r="CW208" s="39">
        <f t="shared" si="112"/>
        <v>0.11462050781250001</v>
      </c>
      <c r="CX208" s="39"/>
      <c r="CY208" s="39"/>
      <c r="CZ208" s="39">
        <f t="shared" si="115"/>
        <v>6.7400712094678378E-2</v>
      </c>
      <c r="DA208" s="39">
        <f t="shared" si="88"/>
        <v>4.6178803721185568</v>
      </c>
      <c r="DB208" s="39">
        <f>DB$258*BT208/15.73026</f>
        <v>3.8932394885826791</v>
      </c>
      <c r="DC208" s="39">
        <f t="shared" si="116"/>
        <v>1.9819229064886508</v>
      </c>
      <c r="DD208" s="39">
        <f t="shared" si="103"/>
        <v>2.7661057692307693</v>
      </c>
      <c r="DE208" s="39">
        <f t="shared" si="122"/>
        <v>2.7903517797725468E-2</v>
      </c>
      <c r="DF208" s="37"/>
      <c r="DG208" s="39">
        <f t="shared" si="117"/>
        <v>0.75514687500000011</v>
      </c>
      <c r="DH208" s="39">
        <f t="shared" si="118"/>
        <v>3.1586504185788393</v>
      </c>
      <c r="DI208" s="37"/>
      <c r="DJ208" s="37"/>
      <c r="DK208" s="37"/>
      <c r="DL208" s="37"/>
      <c r="DM208" s="39">
        <f t="shared" ref="DM208:DM271" si="127">($CQ$6*$CQ208+$CR$6*$CR208+$CS$6*$CS208+$CT$6*$CT208+$CU$6*$CU208+$CV$6*$CV208+$CZ$6*$CZ208+$DA$6*$DA208+$DB$6*$DB208+$DC$6*$DC208+$DD$6*$DD208+$DH$6*$DH208)/414.8987</f>
        <v>0.54474582509569103</v>
      </c>
      <c r="DN208" s="39"/>
      <c r="DO208" s="39">
        <f t="shared" ref="DO208:DO271" si="128">($CQ$6*$CQ208+$CR$6*$CR208+$CS$6*$CS208+$CT$6*$CT208+$CU$6*$CU208+$CV$6*$CV208+$CZ$6*$CZ208+$DA$6*$DA208+$DB$6*$DB208+$DC$6*$DC208+$DD$6*$DD208+$DH$6*$DH208)/414.8987</f>
        <v>0.54474582509569103</v>
      </c>
      <c r="DP208" s="37"/>
      <c r="DQ208" s="37">
        <f>DO208/'Conversions, Sources &amp; Comments'!E206</f>
        <v>0.6059569445750278</v>
      </c>
    </row>
    <row r="209" spans="1:121">
      <c r="A209" s="42">
        <f t="shared" si="119"/>
        <v>1457</v>
      </c>
      <c r="B209" s="36"/>
      <c r="C209" s="38">
        <v>5</v>
      </c>
      <c r="D209" s="38">
        <v>9.5</v>
      </c>
      <c r="E209" s="38">
        <v>2</v>
      </c>
      <c r="F209" s="38">
        <v>10.5</v>
      </c>
      <c r="G209" s="38">
        <v>1</v>
      </c>
      <c r="H209" s="38">
        <v>10.5</v>
      </c>
      <c r="I209" s="38">
        <v>3</v>
      </c>
      <c r="J209" s="38">
        <v>9.75</v>
      </c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8">
        <v>5.46</v>
      </c>
      <c r="V209" s="36"/>
      <c r="W209" s="36"/>
      <c r="X209" s="38">
        <v>6</v>
      </c>
      <c r="Y209" s="38">
        <v>0.25</v>
      </c>
      <c r="Z209" s="38">
        <v>1</v>
      </c>
      <c r="AA209" s="38">
        <v>2</v>
      </c>
      <c r="AB209" s="36"/>
      <c r="AC209" s="38">
        <v>0</v>
      </c>
      <c r="AD209" s="38">
        <v>10</v>
      </c>
      <c r="AE209" s="38">
        <v>0</v>
      </c>
      <c r="AF209" s="38">
        <v>7.75</v>
      </c>
      <c r="AG209" s="36"/>
      <c r="AH209" s="36"/>
      <c r="AI209" s="38">
        <v>2</v>
      </c>
      <c r="AJ209" s="38">
        <v>0</v>
      </c>
      <c r="AK209" s="36"/>
      <c r="AL209" s="36"/>
      <c r="AM209" s="38">
        <v>11</v>
      </c>
      <c r="AN209" s="38">
        <v>0</v>
      </c>
      <c r="AO209" s="38">
        <v>1</v>
      </c>
      <c r="AP209" s="38">
        <v>1.5</v>
      </c>
      <c r="AQ209" s="38">
        <v>1</v>
      </c>
      <c r="AR209" s="38">
        <v>0.75</v>
      </c>
      <c r="AS209" s="36"/>
      <c r="AT209" s="36"/>
      <c r="AU209" s="36"/>
      <c r="AV209" s="36"/>
      <c r="AW209" s="38">
        <v>2.33</v>
      </c>
      <c r="AX209" s="38">
        <v>5.9</v>
      </c>
      <c r="AY209" s="36"/>
      <c r="AZ209" s="38">
        <v>36</v>
      </c>
      <c r="BA209" s="38">
        <v>48</v>
      </c>
      <c r="BB209" s="38">
        <v>55</v>
      </c>
      <c r="BC209" s="36"/>
      <c r="BD209" s="36"/>
      <c r="BE209" s="36"/>
      <c r="BF209" s="36"/>
      <c r="BG209" s="59">
        <v>3.87</v>
      </c>
      <c r="BH209" s="59">
        <v>0.57999999999999996</v>
      </c>
      <c r="BI209" s="59">
        <v>5.5270233478585583E-2</v>
      </c>
      <c r="BJ209" s="59"/>
      <c r="BK209" s="38">
        <v>1.4310000000000003</v>
      </c>
      <c r="BL209" s="59">
        <v>0.69</v>
      </c>
      <c r="BM209" s="36"/>
      <c r="BN209" s="38">
        <v>32</v>
      </c>
      <c r="BO209" s="36"/>
      <c r="BP209" s="39">
        <f t="shared" si="113"/>
        <v>0.89898437500000006</v>
      </c>
      <c r="BQ209" s="37"/>
      <c r="BR209" s="39">
        <f t="shared" si="114"/>
        <v>0.22163365565050516</v>
      </c>
      <c r="BS209" s="37"/>
      <c r="BT209" s="39">
        <f>BP209*12*AZ209/(24*0.9144)</f>
        <v>17.696542814960633</v>
      </c>
      <c r="BU209" s="37"/>
      <c r="BV209" s="39">
        <f t="shared" si="124"/>
        <v>0.14809592760301382</v>
      </c>
      <c r="BW209" s="39">
        <f t="shared" si="109"/>
        <v>0.98530316081546276</v>
      </c>
      <c r="BX209" s="39">
        <f t="shared" si="125"/>
        <v>7.2865634696950191E-2</v>
      </c>
      <c r="BY209" s="39">
        <f>$BP209*(12*Z209+AA209)/(12*0.453592)</f>
        <v>2.3122433909034257</v>
      </c>
      <c r="BZ209" s="37"/>
      <c r="CA209" s="39">
        <f t="shared" si="110"/>
        <v>2.836144184450716</v>
      </c>
      <c r="CB209" s="39">
        <f t="shared" si="111"/>
        <v>1.3675328352697371</v>
      </c>
      <c r="CC209" s="39">
        <f t="shared" si="95"/>
        <v>8.1807578125000002E-2</v>
      </c>
      <c r="CD209" s="39">
        <f t="shared" si="123"/>
        <v>0.11866593750000001</v>
      </c>
      <c r="CE209" s="37"/>
      <c r="CF209" s="37"/>
      <c r="CG209" s="39">
        <f t="shared" si="102"/>
        <v>2.6673162774725276</v>
      </c>
      <c r="CH209" s="39">
        <f t="shared" si="98"/>
        <v>4.6178803721185568</v>
      </c>
      <c r="CI209" s="37"/>
      <c r="CJ209" s="37"/>
      <c r="CK209" s="39">
        <f t="shared" si="120"/>
        <v>3.1889734625971965E-2</v>
      </c>
      <c r="CL209" s="37"/>
      <c r="CM209" s="39">
        <f t="shared" si="121"/>
        <v>0.11268457465007763</v>
      </c>
      <c r="CN209" s="37"/>
      <c r="CO209" s="39">
        <f>0.063495+(0.016949+0.014096)*Wages!P207+1.22592*BR209</f>
        <v>0.55847189051006718</v>
      </c>
      <c r="CP209" s="39"/>
      <c r="CQ209" s="39">
        <f t="shared" si="126"/>
        <v>0.55847189051006718</v>
      </c>
      <c r="CR209" s="39">
        <f t="shared" si="89"/>
        <v>0.14809592760301382</v>
      </c>
      <c r="CS209" s="39">
        <f t="shared" si="89"/>
        <v>0.98530316081546276</v>
      </c>
      <c r="CT209" s="39">
        <f t="shared" si="112"/>
        <v>2.836144184450716</v>
      </c>
      <c r="CU209" s="39">
        <f t="shared" si="112"/>
        <v>1.3675328352697371</v>
      </c>
      <c r="CV209" s="39">
        <f t="shared" si="112"/>
        <v>8.1807578125000002E-2</v>
      </c>
      <c r="CW209" s="39">
        <f t="shared" si="112"/>
        <v>0.11866593750000001</v>
      </c>
      <c r="CX209" s="39"/>
      <c r="CY209" s="39"/>
      <c r="CZ209" s="39">
        <f t="shared" si="115"/>
        <v>7.2865634696950191E-2</v>
      </c>
      <c r="DA209" s="39">
        <f t="shared" si="88"/>
        <v>4.6178803721185568</v>
      </c>
      <c r="DB209" s="39">
        <f>DB$258*BT209/15.73026</f>
        <v>3.8932394885826791</v>
      </c>
      <c r="DC209" s="39">
        <f t="shared" si="116"/>
        <v>2.3122433909034257</v>
      </c>
      <c r="DD209" s="39">
        <f t="shared" si="103"/>
        <v>2.6673162774725276</v>
      </c>
      <c r="DE209" s="39">
        <f t="shared" si="122"/>
        <v>3.1889734625971965E-2</v>
      </c>
      <c r="DF209" s="37"/>
      <c r="DG209" s="39">
        <f t="shared" si="117"/>
        <v>0</v>
      </c>
      <c r="DH209" s="39">
        <f t="shared" si="118"/>
        <v>3.6098861926615311</v>
      </c>
      <c r="DI209" s="37"/>
      <c r="DJ209" s="37"/>
      <c r="DK209" s="37"/>
      <c r="DL209" s="37"/>
      <c r="DM209" s="39">
        <f t="shared" si="127"/>
        <v>0.57075229949090955</v>
      </c>
      <c r="DN209" s="39"/>
      <c r="DO209" s="39">
        <f t="shared" si="128"/>
        <v>0.57075229949090955</v>
      </c>
      <c r="DP209" s="37"/>
      <c r="DQ209" s="37">
        <f>DO209/'Conversions, Sources &amp; Comments'!E207</f>
        <v>0.63488567250227179</v>
      </c>
    </row>
    <row r="210" spans="1:121">
      <c r="A210" s="42">
        <f t="shared" si="119"/>
        <v>1458</v>
      </c>
      <c r="B210" s="36"/>
      <c r="C210" s="38">
        <v>5</v>
      </c>
      <c r="D210" s="38">
        <v>9.25</v>
      </c>
      <c r="E210" s="38">
        <v>3</v>
      </c>
      <c r="F210" s="38">
        <v>6</v>
      </c>
      <c r="G210" s="38">
        <v>1</v>
      </c>
      <c r="H210" s="38">
        <v>9.25</v>
      </c>
      <c r="I210" s="38">
        <v>4</v>
      </c>
      <c r="J210" s="38">
        <v>0</v>
      </c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8">
        <v>5.46</v>
      </c>
      <c r="V210" s="36"/>
      <c r="W210" s="36"/>
      <c r="X210" s="38">
        <v>6</v>
      </c>
      <c r="Y210" s="38">
        <v>6</v>
      </c>
      <c r="Z210" s="38">
        <v>1</v>
      </c>
      <c r="AA210" s="38">
        <v>5.5</v>
      </c>
      <c r="AB210" s="36"/>
      <c r="AC210" s="38">
        <v>0</v>
      </c>
      <c r="AD210" s="38">
        <v>9</v>
      </c>
      <c r="AE210" s="38">
        <v>0</v>
      </c>
      <c r="AF210" s="38">
        <v>7.75</v>
      </c>
      <c r="AG210" s="38">
        <v>7</v>
      </c>
      <c r="AH210" s="38">
        <v>9.5</v>
      </c>
      <c r="AI210" s="36"/>
      <c r="AJ210" s="36"/>
      <c r="AK210" s="36"/>
      <c r="AL210" s="36"/>
      <c r="AM210" s="38">
        <v>11</v>
      </c>
      <c r="AN210" s="38">
        <v>2</v>
      </c>
      <c r="AO210" s="38">
        <v>1</v>
      </c>
      <c r="AP210" s="38">
        <v>0</v>
      </c>
      <c r="AQ210" s="38">
        <v>1</v>
      </c>
      <c r="AR210" s="38">
        <v>3</v>
      </c>
      <c r="AS210" s="36"/>
      <c r="AT210" s="36"/>
      <c r="AU210" s="36"/>
      <c r="AV210" s="38">
        <v>33.33</v>
      </c>
      <c r="AW210" s="38">
        <v>2.33</v>
      </c>
      <c r="AX210" s="38">
        <v>6.2</v>
      </c>
      <c r="AY210" s="36"/>
      <c r="AZ210" s="36"/>
      <c r="BA210" s="36"/>
      <c r="BB210" s="36"/>
      <c r="BC210" s="36"/>
      <c r="BD210" s="36"/>
      <c r="BE210" s="36"/>
      <c r="BF210" s="36"/>
      <c r="BG210" s="59">
        <v>3.19</v>
      </c>
      <c r="BH210" s="59">
        <v>0.57999999999999996</v>
      </c>
      <c r="BI210" s="59">
        <v>4.5597942619832681E-2</v>
      </c>
      <c r="BJ210" s="59"/>
      <c r="BK210" s="38">
        <v>1.4310000000000003</v>
      </c>
      <c r="BL210" s="59">
        <v>0.69</v>
      </c>
      <c r="BM210" s="36"/>
      <c r="BN210" s="38">
        <v>32</v>
      </c>
      <c r="BO210" s="36"/>
      <c r="BP210" s="39">
        <f t="shared" si="113"/>
        <v>0.89898437500000006</v>
      </c>
      <c r="BQ210" s="37"/>
      <c r="BR210" s="39">
        <f t="shared" si="114"/>
        <v>0.22083641228485587</v>
      </c>
      <c r="BS210" s="37"/>
      <c r="BT210" s="37"/>
      <c r="BU210" s="37"/>
      <c r="BV210" s="39">
        <f t="shared" si="124"/>
        <v>0.12207390414822068</v>
      </c>
      <c r="BW210" s="39">
        <f t="shared" si="109"/>
        <v>0.98530316081546276</v>
      </c>
      <c r="BX210" s="39">
        <f t="shared" si="125"/>
        <v>6.0114148624983356E-2</v>
      </c>
      <c r="BY210" s="39">
        <f>$BP210*(12*Z210+AA210)/(12*0.453592)</f>
        <v>2.8903042386292825</v>
      </c>
      <c r="BZ210" s="37"/>
      <c r="CA210" s="39">
        <f t="shared" si="110"/>
        <v>2.836144184450716</v>
      </c>
      <c r="CB210" s="39">
        <f t="shared" si="111"/>
        <v>1.3675328352697371</v>
      </c>
      <c r="CC210" s="39">
        <f t="shared" si="95"/>
        <v>8.1807578125000002E-2</v>
      </c>
      <c r="CD210" s="39">
        <f t="shared" si="123"/>
        <v>0.12046390625</v>
      </c>
      <c r="CE210" s="39">
        <f>$BP210*12*AV210/120</f>
        <v>2.9963149218749998</v>
      </c>
      <c r="CF210" s="37"/>
      <c r="CG210" s="39">
        <f t="shared" si="102"/>
        <v>2.3709478021978025</v>
      </c>
      <c r="CH210" s="39">
        <f t="shared" si="98"/>
        <v>4.6178803721185568</v>
      </c>
      <c r="CI210" s="37"/>
      <c r="CJ210" s="37"/>
      <c r="CK210" s="39">
        <f t="shared" si="120"/>
        <v>2.870076116337477E-2</v>
      </c>
      <c r="CL210" s="39">
        <f>BP210*(12*AG210+AH210)/100</f>
        <v>0.84055039062500003</v>
      </c>
      <c r="CM210" s="39">
        <f t="shared" si="121"/>
        <v>0.10141611718506986</v>
      </c>
      <c r="CN210" s="37"/>
      <c r="CO210" s="39">
        <f>0.063495+(0.016949+0.014096)*Wages!P208+1.22592*BR210</f>
        <v>0.55749453392325043</v>
      </c>
      <c r="CP210" s="39"/>
      <c r="CQ210" s="39">
        <f t="shared" si="126"/>
        <v>0.55749453392325043</v>
      </c>
      <c r="CR210" s="39">
        <f t="shared" si="89"/>
        <v>0.12207390414822068</v>
      </c>
      <c r="CS210" s="39">
        <f t="shared" si="89"/>
        <v>0.98530316081546276</v>
      </c>
      <c r="CT210" s="39">
        <f t="shared" si="112"/>
        <v>2.836144184450716</v>
      </c>
      <c r="CU210" s="39">
        <f t="shared" si="112"/>
        <v>1.3675328352697371</v>
      </c>
      <c r="CV210" s="39">
        <f t="shared" si="112"/>
        <v>8.1807578125000002E-2</v>
      </c>
      <c r="CW210" s="39">
        <f t="shared" si="112"/>
        <v>0.12046390625</v>
      </c>
      <c r="CX210" s="39"/>
      <c r="CY210" s="39"/>
      <c r="CZ210" s="39">
        <f t="shared" si="115"/>
        <v>6.0114148624983356E-2</v>
      </c>
      <c r="DA210" s="39">
        <f t="shared" si="88"/>
        <v>4.6178803721185568</v>
      </c>
      <c r="DB210" s="39">
        <v>3.8932394885826787</v>
      </c>
      <c r="DC210" s="39">
        <f t="shared" si="116"/>
        <v>2.8903042386292825</v>
      </c>
      <c r="DD210" s="39">
        <f t="shared" si="103"/>
        <v>2.3709478021978025</v>
      </c>
      <c r="DE210" s="39">
        <f t="shared" si="122"/>
        <v>2.870076116337477E-2</v>
      </c>
      <c r="DF210" s="37"/>
      <c r="DG210" s="39">
        <f t="shared" si="117"/>
        <v>0.84055039062500003</v>
      </c>
      <c r="DH210" s="39">
        <f t="shared" si="118"/>
        <v>3.2488975733953782</v>
      </c>
      <c r="DI210" s="37"/>
      <c r="DJ210" s="37"/>
      <c r="DK210" s="37"/>
      <c r="DL210" s="37"/>
      <c r="DM210" s="39">
        <f t="shared" si="127"/>
        <v>0.55888352884519377</v>
      </c>
      <c r="DN210" s="39"/>
      <c r="DO210" s="39">
        <f t="shared" si="128"/>
        <v>0.55888352884519377</v>
      </c>
      <c r="DP210" s="37"/>
      <c r="DQ210" s="37">
        <f>DO210/'Conversions, Sources &amp; Comments'!E208</f>
        <v>0.62168325099665245</v>
      </c>
    </row>
    <row r="211" spans="1:121">
      <c r="A211" s="42">
        <f t="shared" si="119"/>
        <v>1459</v>
      </c>
      <c r="B211" s="36"/>
      <c r="C211" s="38">
        <v>5</v>
      </c>
      <c r="D211" s="38">
        <v>1.75</v>
      </c>
      <c r="E211" s="38">
        <v>3</v>
      </c>
      <c r="F211" s="38">
        <v>1.25</v>
      </c>
      <c r="G211" s="38">
        <v>1</v>
      </c>
      <c r="H211" s="38">
        <v>10</v>
      </c>
      <c r="I211" s="38">
        <v>3</v>
      </c>
      <c r="J211" s="38">
        <v>4</v>
      </c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8">
        <v>5.46</v>
      </c>
      <c r="V211" s="36"/>
      <c r="W211" s="36"/>
      <c r="X211" s="38">
        <v>6</v>
      </c>
      <c r="Y211" s="38">
        <v>0.75</v>
      </c>
      <c r="Z211" s="36"/>
      <c r="AA211" s="36"/>
      <c r="AB211" s="36"/>
      <c r="AC211" s="38">
        <v>0</v>
      </c>
      <c r="AD211" s="38">
        <v>7</v>
      </c>
      <c r="AE211" s="38">
        <v>0</v>
      </c>
      <c r="AF211" s="38">
        <v>7.75</v>
      </c>
      <c r="AG211" s="36"/>
      <c r="AH211" s="36"/>
      <c r="AI211" s="38">
        <v>1</v>
      </c>
      <c r="AJ211" s="38">
        <v>9.75</v>
      </c>
      <c r="AK211" s="36"/>
      <c r="AL211" s="36"/>
      <c r="AM211" s="36"/>
      <c r="AN211" s="36"/>
      <c r="AO211" s="38">
        <v>1</v>
      </c>
      <c r="AP211" s="38">
        <v>2</v>
      </c>
      <c r="AQ211" s="38">
        <v>1</v>
      </c>
      <c r="AR211" s="38">
        <v>3</v>
      </c>
      <c r="AS211" s="36"/>
      <c r="AT211" s="36"/>
      <c r="AU211" s="36"/>
      <c r="AV211" s="38">
        <v>25</v>
      </c>
      <c r="AW211" s="38">
        <v>2.33</v>
      </c>
      <c r="AX211" s="38">
        <v>5.6</v>
      </c>
      <c r="AY211" s="36"/>
      <c r="AZ211" s="38">
        <v>36</v>
      </c>
      <c r="BA211" s="38">
        <v>48</v>
      </c>
      <c r="BB211" s="36"/>
      <c r="BC211" s="36"/>
      <c r="BD211" s="36"/>
      <c r="BE211" s="36"/>
      <c r="BF211" s="36"/>
      <c r="BG211" s="59">
        <v>4.4800000000000004</v>
      </c>
      <c r="BH211" s="59">
        <v>0.57999999999999996</v>
      </c>
      <c r="BI211" s="59">
        <v>5.2506721804655453E-2</v>
      </c>
      <c r="BJ211" s="59"/>
      <c r="BK211" s="38">
        <v>1.4310000000000003</v>
      </c>
      <c r="BL211" s="59">
        <v>0.69</v>
      </c>
      <c r="BM211" s="36"/>
      <c r="BN211" s="38">
        <v>32</v>
      </c>
      <c r="BO211" s="36"/>
      <c r="BP211" s="39">
        <f t="shared" si="113"/>
        <v>0.89898437500000006</v>
      </c>
      <c r="BQ211" s="37"/>
      <c r="BR211" s="39">
        <f t="shared" si="114"/>
        <v>0.19691911131537687</v>
      </c>
      <c r="BS211" s="37"/>
      <c r="BT211" s="39">
        <f>BP211*12*AZ211/(24*0.9144)</f>
        <v>17.696542814960633</v>
      </c>
      <c r="BU211" s="37"/>
      <c r="BV211" s="39">
        <f t="shared" si="124"/>
        <v>0.17143921334922529</v>
      </c>
      <c r="BW211" s="39">
        <f t="shared" si="109"/>
        <v>0.98530316081546276</v>
      </c>
      <c r="BX211" s="39">
        <f t="shared" si="125"/>
        <v>6.9222352962101566E-2</v>
      </c>
      <c r="BY211" s="39">
        <v>2.8</v>
      </c>
      <c r="BZ211" s="37"/>
      <c r="CA211" s="39">
        <f t="shared" si="110"/>
        <v>2.836144184450716</v>
      </c>
      <c r="CB211" s="39">
        <f t="shared" si="111"/>
        <v>1.3675328352697371</v>
      </c>
      <c r="CC211" s="39">
        <f t="shared" ref="CC211:CC242" si="129">2*BP211*U211/120</f>
        <v>8.1807578125000002E-2</v>
      </c>
      <c r="CD211" s="37"/>
      <c r="CE211" s="39">
        <f>$BP211*12*AV211/120</f>
        <v>2.2474609375000001</v>
      </c>
      <c r="CF211" s="37"/>
      <c r="CG211" s="39">
        <f t="shared" si="102"/>
        <v>2.7661057692307693</v>
      </c>
      <c r="CH211" s="39">
        <f t="shared" si="98"/>
        <v>4.6178803721185568</v>
      </c>
      <c r="CI211" s="37"/>
      <c r="CJ211" s="37"/>
      <c r="CK211" s="39">
        <f t="shared" si="120"/>
        <v>2.2322814238180375E-2</v>
      </c>
      <c r="CL211" s="37"/>
      <c r="CM211" s="39">
        <f t="shared" si="121"/>
        <v>7.8879202255054334E-2</v>
      </c>
      <c r="CN211" s="37"/>
      <c r="CO211" s="39">
        <f>0.063495+(0.016949+0.014096)*Wages!P209+1.22592*BR211</f>
        <v>0.5281738363187467</v>
      </c>
      <c r="CP211" s="39"/>
      <c r="CQ211" s="39">
        <f t="shared" si="126"/>
        <v>0.5281738363187467</v>
      </c>
      <c r="CR211" s="39">
        <f t="shared" si="89"/>
        <v>0.17143921334922529</v>
      </c>
      <c r="CS211" s="39">
        <f t="shared" si="89"/>
        <v>0.98530316081546276</v>
      </c>
      <c r="CT211" s="39">
        <f t="shared" si="112"/>
        <v>2.836144184450716</v>
      </c>
      <c r="CU211" s="39">
        <f t="shared" si="112"/>
        <v>1.3675328352697371</v>
      </c>
      <c r="CV211" s="39">
        <f t="shared" si="112"/>
        <v>8.1807578125000002E-2</v>
      </c>
      <c r="CW211" s="39">
        <v>0.11</v>
      </c>
      <c r="CX211" s="39"/>
      <c r="CY211" s="39"/>
      <c r="CZ211" s="39">
        <f t="shared" si="115"/>
        <v>6.9222352962101566E-2</v>
      </c>
      <c r="DA211" s="39">
        <f t="shared" si="88"/>
        <v>4.6178803721185568</v>
      </c>
      <c r="DB211" s="39">
        <v>3.8932394885826787</v>
      </c>
      <c r="DC211" s="39">
        <f t="shared" si="116"/>
        <v>2.8</v>
      </c>
      <c r="DD211" s="39">
        <f t="shared" si="103"/>
        <v>2.7661057692307693</v>
      </c>
      <c r="DE211" s="39">
        <f t="shared" si="122"/>
        <v>2.2322814238180375E-2</v>
      </c>
      <c r="DF211" s="37"/>
      <c r="DG211" s="39">
        <f t="shared" si="117"/>
        <v>0</v>
      </c>
      <c r="DH211" s="39">
        <f t="shared" si="118"/>
        <v>2.5269203348630715</v>
      </c>
      <c r="DI211" s="37"/>
      <c r="DJ211" s="37"/>
      <c r="DK211" s="37"/>
      <c r="DL211" s="37"/>
      <c r="DM211" s="39">
        <f t="shared" si="127"/>
        <v>0.54941388192891294</v>
      </c>
      <c r="DN211" s="39"/>
      <c r="DO211" s="39">
        <f t="shared" si="128"/>
        <v>0.54941388192891294</v>
      </c>
      <c r="DP211" s="37"/>
      <c r="DQ211" s="37">
        <f>DO211/'Conversions, Sources &amp; Comments'!E209</f>
        <v>0.61114953408273964</v>
      </c>
    </row>
    <row r="212" spans="1:121">
      <c r="A212" s="42">
        <f t="shared" si="119"/>
        <v>1460</v>
      </c>
      <c r="B212" s="36"/>
      <c r="C212" s="38">
        <v>7</v>
      </c>
      <c r="D212" s="38">
        <v>0.25</v>
      </c>
      <c r="E212" s="38">
        <v>4</v>
      </c>
      <c r="F212" s="38">
        <v>0.5</v>
      </c>
      <c r="G212" s="38">
        <v>2</v>
      </c>
      <c r="H212" s="38">
        <v>0.75</v>
      </c>
      <c r="I212" s="38">
        <v>5</v>
      </c>
      <c r="J212" s="38">
        <v>0</v>
      </c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8">
        <v>5.46</v>
      </c>
      <c r="V212" s="36"/>
      <c r="W212" s="36"/>
      <c r="X212" s="38">
        <v>5</v>
      </c>
      <c r="Y212" s="38">
        <v>6</v>
      </c>
      <c r="Z212" s="38">
        <v>1</v>
      </c>
      <c r="AA212" s="38">
        <v>4.5</v>
      </c>
      <c r="AB212" s="36"/>
      <c r="AC212" s="38">
        <v>0</v>
      </c>
      <c r="AD212" s="38">
        <v>7.25</v>
      </c>
      <c r="AE212" s="38">
        <v>0</v>
      </c>
      <c r="AF212" s="38">
        <v>7.75</v>
      </c>
      <c r="AG212" s="36"/>
      <c r="AH212" s="36"/>
      <c r="AI212" s="36"/>
      <c r="AJ212" s="36"/>
      <c r="AK212" s="36"/>
      <c r="AL212" s="36"/>
      <c r="AM212" s="38">
        <v>9</v>
      </c>
      <c r="AN212" s="38">
        <v>8</v>
      </c>
      <c r="AO212" s="38">
        <v>1</v>
      </c>
      <c r="AP212" s="38">
        <v>2</v>
      </c>
      <c r="AQ212" s="38">
        <v>1</v>
      </c>
      <c r="AR212" s="38">
        <v>4.75</v>
      </c>
      <c r="AS212" s="36"/>
      <c r="AT212" s="36"/>
      <c r="AU212" s="36"/>
      <c r="AV212" s="38">
        <v>28</v>
      </c>
      <c r="AW212" s="38">
        <v>2.33</v>
      </c>
      <c r="AX212" s="38">
        <v>3.6</v>
      </c>
      <c r="AY212" s="36"/>
      <c r="AZ212" s="36"/>
      <c r="BA212" s="36"/>
      <c r="BB212" s="36"/>
      <c r="BC212" s="36"/>
      <c r="BD212" s="36"/>
      <c r="BE212" s="36"/>
      <c r="BF212" s="36"/>
      <c r="BG212" s="59">
        <v>5.38</v>
      </c>
      <c r="BH212" s="59">
        <v>0.57999999999999996</v>
      </c>
      <c r="BI212" s="59">
        <v>7.185130352216125E-2</v>
      </c>
      <c r="BJ212" s="59"/>
      <c r="BK212" s="38">
        <v>1.4310000000000003</v>
      </c>
      <c r="BL212" s="59">
        <v>0.69</v>
      </c>
      <c r="BM212" s="36"/>
      <c r="BN212" s="38">
        <v>32</v>
      </c>
      <c r="BO212" s="36"/>
      <c r="BP212" s="39">
        <f t="shared" si="113"/>
        <v>0.89898437500000006</v>
      </c>
      <c r="BQ212" s="37"/>
      <c r="BR212" s="39">
        <f t="shared" si="114"/>
        <v>0.26867101422381379</v>
      </c>
      <c r="BS212" s="37"/>
      <c r="BT212" s="37"/>
      <c r="BU212" s="37"/>
      <c r="BV212" s="39">
        <f t="shared" si="124"/>
        <v>0.20588012674527501</v>
      </c>
      <c r="BW212" s="39">
        <f t="shared" si="109"/>
        <v>0.98530316081546276</v>
      </c>
      <c r="BX212" s="39">
        <f t="shared" si="125"/>
        <v>9.4725325106035249E-2</v>
      </c>
      <c r="BY212" s="39">
        <f t="shared" ref="BY212:BY222" si="130">$BP212*(12*Z212+AA212)/(12*0.453592)</f>
        <v>2.7251439964218949</v>
      </c>
      <c r="BZ212" s="37"/>
      <c r="CA212" s="39">
        <f t="shared" si="110"/>
        <v>2.836144184450716</v>
      </c>
      <c r="CB212" s="39">
        <f t="shared" si="111"/>
        <v>1.3675328352697371</v>
      </c>
      <c r="CC212" s="39">
        <f t="shared" si="129"/>
        <v>8.1807578125000002E-2</v>
      </c>
      <c r="CD212" s="39">
        <f>BP212*(12*AM212+AN212)/1000</f>
        <v>0.10428218750000001</v>
      </c>
      <c r="CE212" s="39">
        <f>$BP212*12*AV212/120</f>
        <v>2.5171562500000002</v>
      </c>
      <c r="CF212" s="37"/>
      <c r="CG212" s="39">
        <f t="shared" si="102"/>
        <v>2.7661057692307693</v>
      </c>
      <c r="CH212" s="39">
        <f t="shared" si="98"/>
        <v>4.6178803721185568</v>
      </c>
      <c r="CI212" s="37"/>
      <c r="CJ212" s="37"/>
      <c r="CK212" s="39">
        <f t="shared" si="120"/>
        <v>2.3120057603829673E-2</v>
      </c>
      <c r="CL212" s="37"/>
      <c r="CM212" s="39">
        <f t="shared" si="121"/>
        <v>8.1696316621306275E-2</v>
      </c>
      <c r="CN212" s="37"/>
      <c r="CO212" s="39">
        <f>0.063495+(0.016949+0.014096)*Wages!P210+1.22592*BR212</f>
        <v>0.61613592913225768</v>
      </c>
      <c r="CP212" s="39"/>
      <c r="CQ212" s="39">
        <f t="shared" si="126"/>
        <v>0.61613592913225768</v>
      </c>
      <c r="CR212" s="39">
        <f t="shared" si="89"/>
        <v>0.20588012674527501</v>
      </c>
      <c r="CS212" s="39">
        <f t="shared" si="89"/>
        <v>0.98530316081546276</v>
      </c>
      <c r="CT212" s="39">
        <f t="shared" si="112"/>
        <v>2.836144184450716</v>
      </c>
      <c r="CU212" s="39">
        <f t="shared" si="112"/>
        <v>1.3675328352697371</v>
      </c>
      <c r="CV212" s="39">
        <f t="shared" si="112"/>
        <v>8.1807578125000002E-2</v>
      </c>
      <c r="CW212" s="39">
        <f>CD212</f>
        <v>0.10428218750000001</v>
      </c>
      <c r="CX212" s="39"/>
      <c r="CY212" s="39"/>
      <c r="CZ212" s="39">
        <f t="shared" si="115"/>
        <v>9.4725325106035249E-2</v>
      </c>
      <c r="DA212" s="39">
        <f t="shared" si="88"/>
        <v>4.6178803721185568</v>
      </c>
      <c r="DB212" s="39">
        <v>3.8932394885826787</v>
      </c>
      <c r="DC212" s="39">
        <f t="shared" si="116"/>
        <v>2.7251439964218949</v>
      </c>
      <c r="DD212" s="39">
        <f t="shared" si="103"/>
        <v>2.7661057692307693</v>
      </c>
      <c r="DE212" s="39">
        <f t="shared" si="122"/>
        <v>2.3120057603829673E-2</v>
      </c>
      <c r="DF212" s="37"/>
      <c r="DG212" s="39">
        <f t="shared" si="117"/>
        <v>0</v>
      </c>
      <c r="DH212" s="39">
        <f t="shared" si="118"/>
        <v>2.6171674896796095</v>
      </c>
      <c r="DI212" s="37"/>
      <c r="DJ212" s="37"/>
      <c r="DK212" s="37"/>
      <c r="DL212" s="37"/>
      <c r="DM212" s="39">
        <f t="shared" si="127"/>
        <v>0.6041216442902535</v>
      </c>
      <c r="DN212" s="39"/>
      <c r="DO212" s="39">
        <f t="shared" si="128"/>
        <v>0.6041216442902535</v>
      </c>
      <c r="DP212" s="37"/>
      <c r="DQ212" s="37">
        <f>DO212/'Conversions, Sources &amp; Comments'!E210</f>
        <v>0.67200460996917044</v>
      </c>
    </row>
    <row r="213" spans="1:121">
      <c r="A213" s="42">
        <f t="shared" si="119"/>
        <v>1461</v>
      </c>
      <c r="B213" s="36"/>
      <c r="C213" s="38">
        <v>7</v>
      </c>
      <c r="D213" s="38">
        <v>5.25</v>
      </c>
      <c r="E213" s="38">
        <v>4</v>
      </c>
      <c r="F213" s="38">
        <v>1</v>
      </c>
      <c r="G213" s="38">
        <v>2</v>
      </c>
      <c r="H213" s="38">
        <v>3.75</v>
      </c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8">
        <v>5</v>
      </c>
      <c r="V213" s="36"/>
      <c r="W213" s="36"/>
      <c r="X213" s="38">
        <v>7</v>
      </c>
      <c r="Y213" s="38">
        <v>0</v>
      </c>
      <c r="Z213" s="38">
        <v>1</v>
      </c>
      <c r="AA213" s="38">
        <v>2</v>
      </c>
      <c r="AB213" s="36"/>
      <c r="AC213" s="38">
        <v>0</v>
      </c>
      <c r="AD213" s="38">
        <v>9</v>
      </c>
      <c r="AE213" s="38">
        <v>0</v>
      </c>
      <c r="AF213" s="38">
        <v>6.75</v>
      </c>
      <c r="AG213" s="38">
        <v>8</v>
      </c>
      <c r="AH213" s="38">
        <v>0</v>
      </c>
      <c r="AI213" s="38">
        <v>1</v>
      </c>
      <c r="AJ213" s="38">
        <v>10.5</v>
      </c>
      <c r="AK213" s="36"/>
      <c r="AL213" s="36"/>
      <c r="AM213" s="36"/>
      <c r="AN213" s="36"/>
      <c r="AO213" s="38" t="s">
        <v>8</v>
      </c>
      <c r="AP213" s="36"/>
      <c r="AQ213" s="36"/>
      <c r="AR213" s="36"/>
      <c r="AS213" s="36"/>
      <c r="AT213" s="36"/>
      <c r="AU213" s="36"/>
      <c r="AV213" s="36"/>
      <c r="AW213" s="38">
        <v>2.33</v>
      </c>
      <c r="AX213" s="38">
        <v>6.6</v>
      </c>
      <c r="AY213" s="36"/>
      <c r="AZ213" s="38">
        <v>36</v>
      </c>
      <c r="BA213" s="38">
        <v>48</v>
      </c>
      <c r="BB213" s="38">
        <v>48</v>
      </c>
      <c r="BC213" s="36"/>
      <c r="BD213" s="36"/>
      <c r="BE213" s="36"/>
      <c r="BF213" s="36"/>
      <c r="BG213" s="59">
        <v>4.6500000000000004</v>
      </c>
      <c r="BH213" s="59">
        <v>0.57999999999999996</v>
      </c>
      <c r="BI213" s="59">
        <v>7.3233059359125469E-2</v>
      </c>
      <c r="BJ213" s="59"/>
      <c r="BK213" s="38">
        <v>1.4310000000000003</v>
      </c>
      <c r="BL213" s="59">
        <v>0.69</v>
      </c>
      <c r="BM213" s="36"/>
      <c r="BN213" s="38">
        <v>32</v>
      </c>
      <c r="BO213" s="36"/>
      <c r="BP213" s="39">
        <f t="shared" si="113"/>
        <v>0.89898437500000006</v>
      </c>
      <c r="BQ213" s="37"/>
      <c r="BR213" s="39">
        <f t="shared" si="114"/>
        <v>0.28461588153679979</v>
      </c>
      <c r="BS213" s="37"/>
      <c r="BT213" s="39">
        <f>BP213*12*AZ213/(24*0.9144)</f>
        <v>17.696542814960633</v>
      </c>
      <c r="BU213" s="37"/>
      <c r="BV213" s="39">
        <f t="shared" si="124"/>
        <v>0.17794471921292357</v>
      </c>
      <c r="BW213" s="39">
        <f t="shared" si="109"/>
        <v>0.98530316081546276</v>
      </c>
      <c r="BX213" s="39">
        <f t="shared" si="125"/>
        <v>9.6546965973458451E-2</v>
      </c>
      <c r="BY213" s="39">
        <f t="shared" si="130"/>
        <v>2.3122433909034257</v>
      </c>
      <c r="BZ213" s="37"/>
      <c r="CA213" s="39">
        <f t="shared" si="110"/>
        <v>2.836144184450716</v>
      </c>
      <c r="CB213" s="39">
        <f t="shared" si="111"/>
        <v>1.3675328352697371</v>
      </c>
      <c r="CC213" s="39">
        <f t="shared" si="129"/>
        <v>7.4915364583333338E-2</v>
      </c>
      <c r="CD213" s="37"/>
      <c r="CE213" s="37"/>
      <c r="CF213" s="37"/>
      <c r="CG213" s="37"/>
      <c r="CH213" s="39">
        <f t="shared" si="98"/>
        <v>4.6178803721185568</v>
      </c>
      <c r="CI213" s="37"/>
      <c r="CJ213" s="37"/>
      <c r="CK213" s="39">
        <f t="shared" si="120"/>
        <v>2.870076116337477E-2</v>
      </c>
      <c r="CL213" s="39">
        <f>BP213*(12*AG213+AH213)/100</f>
        <v>0.86302500000000004</v>
      </c>
      <c r="CM213" s="39">
        <f t="shared" si="121"/>
        <v>0.10141611718506986</v>
      </c>
      <c r="CN213" s="37"/>
      <c r="CO213" s="39">
        <f>0.063495+(0.016949+0.014096)*Wages!P211+1.22592*BR213</f>
        <v>0.6356830608685935</v>
      </c>
      <c r="CP213" s="39"/>
      <c r="CQ213" s="39">
        <f t="shared" si="126"/>
        <v>0.6356830608685935</v>
      </c>
      <c r="CR213" s="39">
        <f t="shared" si="89"/>
        <v>0.17794471921292357</v>
      </c>
      <c r="CS213" s="39">
        <f t="shared" si="89"/>
        <v>0.98530316081546276</v>
      </c>
      <c r="CT213" s="39">
        <f t="shared" si="112"/>
        <v>2.836144184450716</v>
      </c>
      <c r="CU213" s="39">
        <f t="shared" si="112"/>
        <v>1.3675328352697371</v>
      </c>
      <c r="CV213" s="39">
        <f t="shared" si="112"/>
        <v>7.4915364583333338E-2</v>
      </c>
      <c r="CW213" s="39">
        <v>0.105</v>
      </c>
      <c r="CX213" s="39"/>
      <c r="CY213" s="39"/>
      <c r="CZ213" s="39">
        <f t="shared" si="115"/>
        <v>9.6546965973458451E-2</v>
      </c>
      <c r="DA213" s="39">
        <f t="shared" si="88"/>
        <v>4.6178803721185568</v>
      </c>
      <c r="DB213" s="39">
        <f>DB$258*BT213/15.73026</f>
        <v>3.8932394885826791</v>
      </c>
      <c r="DC213" s="39">
        <f t="shared" si="116"/>
        <v>2.3122433909034257</v>
      </c>
      <c r="DD213" s="39">
        <v>2.8</v>
      </c>
      <c r="DE213" s="39">
        <f t="shared" si="122"/>
        <v>2.870076116337477E-2</v>
      </c>
      <c r="DF213" s="37"/>
      <c r="DG213" s="39">
        <f t="shared" si="117"/>
        <v>0.86302500000000004</v>
      </c>
      <c r="DH213" s="39">
        <f t="shared" si="118"/>
        <v>3.2488975733953782</v>
      </c>
      <c r="DI213" s="37"/>
      <c r="DJ213" s="37"/>
      <c r="DK213" s="37"/>
      <c r="DL213" s="37"/>
      <c r="DM213" s="39">
        <f t="shared" si="127"/>
        <v>0.61436827596749433</v>
      </c>
      <c r="DN213" s="39"/>
      <c r="DO213" s="39">
        <f t="shared" si="128"/>
        <v>0.61436827596749433</v>
      </c>
      <c r="DP213" s="37"/>
      <c r="DQ213" s="37">
        <f>DO213/'Conversions, Sources &amp; Comments'!E211</f>
        <v>0.68340261861335938</v>
      </c>
    </row>
    <row r="214" spans="1:121">
      <c r="A214" s="42">
        <f t="shared" si="119"/>
        <v>1462</v>
      </c>
      <c r="B214" s="36"/>
      <c r="C214" s="38">
        <v>4</v>
      </c>
      <c r="D214" s="38">
        <v>4.25</v>
      </c>
      <c r="E214" s="38">
        <v>3</v>
      </c>
      <c r="F214" s="38">
        <v>3.5</v>
      </c>
      <c r="G214" s="38">
        <v>1</v>
      </c>
      <c r="H214" s="38">
        <v>5.5</v>
      </c>
      <c r="I214" s="38">
        <v>4</v>
      </c>
      <c r="J214" s="38">
        <v>8</v>
      </c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8">
        <v>5</v>
      </c>
      <c r="V214" s="36"/>
      <c r="W214" s="36"/>
      <c r="X214" s="38">
        <v>5</v>
      </c>
      <c r="Y214" s="38">
        <v>6.75</v>
      </c>
      <c r="Z214" s="38">
        <v>1</v>
      </c>
      <c r="AA214" s="38">
        <v>0</v>
      </c>
      <c r="AB214" s="36"/>
      <c r="AC214" s="38">
        <v>0</v>
      </c>
      <c r="AD214" s="38">
        <v>7</v>
      </c>
      <c r="AE214" s="38">
        <v>0</v>
      </c>
      <c r="AF214" s="38">
        <v>6.75</v>
      </c>
      <c r="AG214" s="36"/>
      <c r="AH214" s="36"/>
      <c r="AI214" s="36"/>
      <c r="AJ214" s="36"/>
      <c r="AK214" s="36"/>
      <c r="AL214" s="36"/>
      <c r="AM214" s="38">
        <v>10</v>
      </c>
      <c r="AN214" s="38">
        <v>2</v>
      </c>
      <c r="AO214" s="38" t="s">
        <v>8</v>
      </c>
      <c r="AP214" s="36"/>
      <c r="AQ214" s="36"/>
      <c r="AR214" s="36"/>
      <c r="AS214" s="36"/>
      <c r="AT214" s="36"/>
      <c r="AU214" s="36"/>
      <c r="AV214" s="38">
        <v>20</v>
      </c>
      <c r="AW214" s="38">
        <v>2.33</v>
      </c>
      <c r="AX214" s="36"/>
      <c r="AY214" s="36"/>
      <c r="AZ214" s="36"/>
      <c r="BA214" s="36"/>
      <c r="BB214" s="36"/>
      <c r="BC214" s="36"/>
      <c r="BD214" s="36"/>
      <c r="BE214" s="36"/>
      <c r="BF214" s="36"/>
      <c r="BG214" s="59">
        <v>4.18</v>
      </c>
      <c r="BH214" s="59">
        <v>0.57999999999999996</v>
      </c>
      <c r="BI214" s="59">
        <v>3.8689163435009909E-2</v>
      </c>
      <c r="BJ214" s="59"/>
      <c r="BK214" s="38">
        <v>1.4310000000000003</v>
      </c>
      <c r="BL214" s="59">
        <v>0.69</v>
      </c>
      <c r="BM214" s="36"/>
      <c r="BN214" s="38">
        <v>32</v>
      </c>
      <c r="BO214" s="36"/>
      <c r="BP214" s="39">
        <f t="shared" si="113"/>
        <v>0.89898437500000006</v>
      </c>
      <c r="BQ214" s="37"/>
      <c r="BR214" s="39">
        <f t="shared" si="114"/>
        <v>0.16662386342070351</v>
      </c>
      <c r="BS214" s="37"/>
      <c r="BT214" s="37"/>
      <c r="BU214" s="37"/>
      <c r="BV214" s="39">
        <f t="shared" si="124"/>
        <v>0.15995890888387537</v>
      </c>
      <c r="BW214" s="39">
        <f t="shared" si="109"/>
        <v>0.98530316081546276</v>
      </c>
      <c r="BX214" s="39">
        <f t="shared" si="125"/>
        <v>5.1005944287865132E-2</v>
      </c>
      <c r="BY214" s="39">
        <f t="shared" si="130"/>
        <v>1.9819229064886508</v>
      </c>
      <c r="BZ214" s="37"/>
      <c r="CA214" s="39">
        <f t="shared" si="110"/>
        <v>2.836144184450716</v>
      </c>
      <c r="CB214" s="39">
        <f t="shared" si="111"/>
        <v>1.3675328352697371</v>
      </c>
      <c r="CC214" s="39">
        <f t="shared" si="129"/>
        <v>7.4915364583333338E-2</v>
      </c>
      <c r="CD214" s="39">
        <f>BP214*(12*AM214+AN214)/1000</f>
        <v>0.10967609375000001</v>
      </c>
      <c r="CE214" s="39">
        <f>$BP214*12*AV214/120</f>
        <v>1.7979687500000001</v>
      </c>
      <c r="CF214" s="37"/>
      <c r="CG214" s="37"/>
      <c r="CH214" s="39">
        <f t="shared" si="98"/>
        <v>4.6178803721185568</v>
      </c>
      <c r="CI214" s="37"/>
      <c r="CJ214" s="37"/>
      <c r="CK214" s="39">
        <f t="shared" si="120"/>
        <v>2.2322814238180375E-2</v>
      </c>
      <c r="CL214" s="37"/>
      <c r="CM214" s="39">
        <f t="shared" si="121"/>
        <v>7.8879202255054334E-2</v>
      </c>
      <c r="CN214" s="37"/>
      <c r="CO214" s="39">
        <f>0.063495+(0.016949+0.014096)*Wages!P212+1.22592*BR214</f>
        <v>0.49103428601970878</v>
      </c>
      <c r="CP214" s="39"/>
      <c r="CQ214" s="39">
        <f t="shared" si="126"/>
        <v>0.49103428601970878</v>
      </c>
      <c r="CR214" s="39">
        <f t="shared" si="89"/>
        <v>0.15995890888387537</v>
      </c>
      <c r="CS214" s="39">
        <f t="shared" si="89"/>
        <v>0.98530316081546276</v>
      </c>
      <c r="CT214" s="39">
        <f t="shared" si="112"/>
        <v>2.836144184450716</v>
      </c>
      <c r="CU214" s="39">
        <f t="shared" si="112"/>
        <v>1.3675328352697371</v>
      </c>
      <c r="CV214" s="39">
        <f t="shared" si="112"/>
        <v>7.4915364583333338E-2</v>
      </c>
      <c r="CW214" s="39">
        <f>CD214</f>
        <v>0.10967609375000001</v>
      </c>
      <c r="CX214" s="39"/>
      <c r="CY214" s="39"/>
      <c r="CZ214" s="39">
        <f t="shared" si="115"/>
        <v>5.1005944287865132E-2</v>
      </c>
      <c r="DA214" s="39">
        <f t="shared" si="88"/>
        <v>4.6178803721185568</v>
      </c>
      <c r="DB214" s="39">
        <v>3.5</v>
      </c>
      <c r="DC214" s="39">
        <f t="shared" si="116"/>
        <v>1.9819229064886508</v>
      </c>
      <c r="DD214" s="39">
        <v>2.8</v>
      </c>
      <c r="DE214" s="39">
        <f t="shared" si="122"/>
        <v>2.2322814238180375E-2</v>
      </c>
      <c r="DF214" s="37"/>
      <c r="DG214" s="39">
        <f t="shared" si="117"/>
        <v>0</v>
      </c>
      <c r="DH214" s="39">
        <f t="shared" si="118"/>
        <v>2.5269203348630715</v>
      </c>
      <c r="DI214" s="37"/>
      <c r="DJ214" s="37"/>
      <c r="DK214" s="37"/>
      <c r="DL214" s="37"/>
      <c r="DM214" s="39">
        <f t="shared" si="127"/>
        <v>0.51317557037107076</v>
      </c>
      <c r="DN214" s="39"/>
      <c r="DO214" s="39">
        <f t="shared" si="128"/>
        <v>0.51317557037107076</v>
      </c>
      <c r="DP214" s="37"/>
      <c r="DQ214" s="37">
        <f>DO214/'Conversions, Sources &amp; Comments'!E212</f>
        <v>0.57083925443205918</v>
      </c>
    </row>
    <row r="215" spans="1:121">
      <c r="A215" s="42">
        <f t="shared" si="119"/>
        <v>1463</v>
      </c>
      <c r="B215" s="36"/>
      <c r="C215" s="38">
        <v>3</v>
      </c>
      <c r="D215" s="38">
        <v>10.5</v>
      </c>
      <c r="E215" s="38">
        <v>2</v>
      </c>
      <c r="F215" s="38">
        <v>4.5</v>
      </c>
      <c r="G215" s="38">
        <v>1</v>
      </c>
      <c r="H215" s="38">
        <v>8.5</v>
      </c>
      <c r="I215" s="38">
        <v>2</v>
      </c>
      <c r="J215" s="38">
        <v>10</v>
      </c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8">
        <v>5</v>
      </c>
      <c r="V215" s="36"/>
      <c r="W215" s="36"/>
      <c r="X215" s="38">
        <v>5</v>
      </c>
      <c r="Y215" s="38">
        <v>8.5</v>
      </c>
      <c r="Z215" s="38">
        <v>1</v>
      </c>
      <c r="AA215" s="38">
        <v>7</v>
      </c>
      <c r="AB215" s="36"/>
      <c r="AC215" s="38">
        <v>0</v>
      </c>
      <c r="AD215" s="38">
        <v>6</v>
      </c>
      <c r="AE215" s="38">
        <v>0</v>
      </c>
      <c r="AF215" s="38">
        <v>6.75</v>
      </c>
      <c r="AG215" s="36"/>
      <c r="AH215" s="36"/>
      <c r="AI215" s="36"/>
      <c r="AJ215" s="36"/>
      <c r="AK215" s="36"/>
      <c r="AL215" s="36"/>
      <c r="AM215" s="38">
        <v>9</v>
      </c>
      <c r="AN215" s="38">
        <v>4</v>
      </c>
      <c r="AO215" s="38">
        <v>1</v>
      </c>
      <c r="AP215" s="38">
        <v>2.25</v>
      </c>
      <c r="AQ215" s="38">
        <v>1</v>
      </c>
      <c r="AR215" s="38">
        <v>3</v>
      </c>
      <c r="AS215" s="36"/>
      <c r="AT215" s="36"/>
      <c r="AU215" s="36"/>
      <c r="AV215" s="38">
        <v>18.670000000000002</v>
      </c>
      <c r="AW215" s="38">
        <v>2.33</v>
      </c>
      <c r="AX215" s="38">
        <v>4.3</v>
      </c>
      <c r="AY215" s="36"/>
      <c r="AZ215" s="36"/>
      <c r="BA215" s="36"/>
      <c r="BB215" s="38">
        <v>47</v>
      </c>
      <c r="BC215" s="36"/>
      <c r="BD215" s="36"/>
      <c r="BE215" s="36"/>
      <c r="BF215" s="36"/>
      <c r="BG215" s="59">
        <v>3.96</v>
      </c>
      <c r="BH215" s="59">
        <v>0.57999999999999996</v>
      </c>
      <c r="BI215" s="59">
        <v>4.9743210130727022E-2</v>
      </c>
      <c r="BJ215" s="59"/>
      <c r="BK215" s="38">
        <v>1.4310000000000003</v>
      </c>
      <c r="BL215" s="59">
        <v>0.69</v>
      </c>
      <c r="BM215" s="36"/>
      <c r="BN215" s="38">
        <v>32</v>
      </c>
      <c r="BO215" s="36"/>
      <c r="BP215" s="39">
        <f t="shared" si="113"/>
        <v>0.89898437500000006</v>
      </c>
      <c r="BQ215" s="37"/>
      <c r="BR215" s="39">
        <f t="shared" si="114"/>
        <v>0.14828726601076964</v>
      </c>
      <c r="BS215" s="37"/>
      <c r="BT215" s="37"/>
      <c r="BU215" s="37"/>
      <c r="BV215" s="39">
        <f t="shared" si="124"/>
        <v>0.15154001894261876</v>
      </c>
      <c r="BW215" s="39">
        <f t="shared" si="109"/>
        <v>0.98530316081546276</v>
      </c>
      <c r="BX215" s="39">
        <f t="shared" si="125"/>
        <v>6.5579071227255176E-2</v>
      </c>
      <c r="BY215" s="39">
        <f t="shared" si="130"/>
        <v>3.1380446019403632</v>
      </c>
      <c r="BZ215" s="37"/>
      <c r="CA215" s="39">
        <f t="shared" si="110"/>
        <v>2.836144184450716</v>
      </c>
      <c r="CB215" s="39">
        <f t="shared" si="111"/>
        <v>1.3675328352697371</v>
      </c>
      <c r="CC215" s="39">
        <f t="shared" si="129"/>
        <v>7.4915364583333338E-2</v>
      </c>
      <c r="CD215" s="39">
        <f>BP215*(12*AM215+AN215)/1000</f>
        <v>0.10068625</v>
      </c>
      <c r="CE215" s="39">
        <f>$BP215*12*AV215/120</f>
        <v>1.6784038281250002</v>
      </c>
      <c r="CF215" s="37"/>
      <c r="CG215" s="39">
        <f>BP215*(12*AO215+AP215)/4.55</f>
        <v>2.8155005151098904</v>
      </c>
      <c r="CH215" s="39">
        <f t="shared" si="98"/>
        <v>4.6178803721185568</v>
      </c>
      <c r="CI215" s="37"/>
      <c r="CJ215" s="37"/>
      <c r="CK215" s="39">
        <f t="shared" si="120"/>
        <v>1.913384077558318E-2</v>
      </c>
      <c r="CL215" s="37"/>
      <c r="CM215" s="39">
        <f t="shared" si="121"/>
        <v>6.7610744790046584E-2</v>
      </c>
      <c r="CN215" s="37"/>
      <c r="CO215" s="39">
        <f>0.063495+(0.016949+0.014096)*Wages!P213+1.22592*BR215</f>
        <v>0.46855508452292266</v>
      </c>
      <c r="CP215" s="39"/>
      <c r="CQ215" s="39">
        <f t="shared" si="126"/>
        <v>0.46855508452292266</v>
      </c>
      <c r="CR215" s="39">
        <f t="shared" si="89"/>
        <v>0.15154001894261876</v>
      </c>
      <c r="CS215" s="39">
        <f t="shared" si="89"/>
        <v>0.98530316081546276</v>
      </c>
      <c r="CT215" s="39">
        <f t="shared" si="112"/>
        <v>2.836144184450716</v>
      </c>
      <c r="CU215" s="39">
        <f t="shared" si="112"/>
        <v>1.3675328352697371</v>
      </c>
      <c r="CV215" s="39">
        <f t="shared" si="112"/>
        <v>7.4915364583333338E-2</v>
      </c>
      <c r="CW215" s="39">
        <f>CD215</f>
        <v>0.10068625</v>
      </c>
      <c r="CX215" s="39"/>
      <c r="CY215" s="39"/>
      <c r="CZ215" s="39">
        <f t="shared" si="115"/>
        <v>6.5579071227255176E-2</v>
      </c>
      <c r="DA215" s="39">
        <f t="shared" si="88"/>
        <v>4.6178803721185568</v>
      </c>
      <c r="DB215" s="39">
        <v>3.5</v>
      </c>
      <c r="DC215" s="39">
        <f t="shared" si="116"/>
        <v>3.1380446019403632</v>
      </c>
      <c r="DD215" s="39">
        <f>CG215</f>
        <v>2.8155005151098904</v>
      </c>
      <c r="DE215" s="39">
        <f t="shared" si="122"/>
        <v>1.913384077558318E-2</v>
      </c>
      <c r="DF215" s="37"/>
      <c r="DG215" s="39">
        <f t="shared" si="117"/>
        <v>0</v>
      </c>
      <c r="DH215" s="39">
        <f t="shared" si="118"/>
        <v>2.1659317155969191</v>
      </c>
      <c r="DI215" s="37"/>
      <c r="DJ215" s="37"/>
      <c r="DK215" s="37"/>
      <c r="DL215" s="37"/>
      <c r="DM215" s="39">
        <f t="shared" si="127"/>
        <v>0.51164408040674447</v>
      </c>
      <c r="DN215" s="39"/>
      <c r="DO215" s="39">
        <f t="shared" si="128"/>
        <v>0.51164408040674447</v>
      </c>
      <c r="DP215" s="37"/>
      <c r="DQ215" s="37">
        <f>DO215/'Conversions, Sources &amp; Comments'!E213</f>
        <v>0.56913567647573904</v>
      </c>
    </row>
    <row r="216" spans="1:121">
      <c r="A216" s="42">
        <f t="shared" si="119"/>
        <v>1464</v>
      </c>
      <c r="B216" s="36"/>
      <c r="C216" s="38">
        <v>4</v>
      </c>
      <c r="D216" s="38">
        <v>1.5</v>
      </c>
      <c r="E216" s="38">
        <v>3</v>
      </c>
      <c r="F216" s="38">
        <v>6.25</v>
      </c>
      <c r="G216" s="38">
        <v>3</v>
      </c>
      <c r="H216" s="38">
        <v>4</v>
      </c>
      <c r="I216" s="38">
        <v>3</v>
      </c>
      <c r="J216" s="38">
        <v>4</v>
      </c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8">
        <v>5</v>
      </c>
      <c r="V216" s="36"/>
      <c r="W216" s="36"/>
      <c r="X216" s="38">
        <v>6</v>
      </c>
      <c r="Y216" s="38">
        <v>7.5</v>
      </c>
      <c r="Z216" s="38">
        <v>1</v>
      </c>
      <c r="AA216" s="38">
        <v>5.5</v>
      </c>
      <c r="AB216" s="36"/>
      <c r="AC216" s="38">
        <v>0</v>
      </c>
      <c r="AD216" s="38">
        <v>5</v>
      </c>
      <c r="AE216" s="38">
        <v>0</v>
      </c>
      <c r="AF216" s="38">
        <v>6.75</v>
      </c>
      <c r="AG216" s="38">
        <v>7</v>
      </c>
      <c r="AH216" s="38">
        <v>0</v>
      </c>
      <c r="AI216" s="38">
        <v>1</v>
      </c>
      <c r="AJ216" s="38">
        <v>11.5</v>
      </c>
      <c r="AK216" s="36"/>
      <c r="AL216" s="36"/>
      <c r="AM216" s="38">
        <v>11</v>
      </c>
      <c r="AN216" s="38">
        <v>0</v>
      </c>
      <c r="AO216" s="38">
        <v>0</v>
      </c>
      <c r="AP216" s="38">
        <v>10</v>
      </c>
      <c r="AQ216" s="38">
        <v>0</v>
      </c>
      <c r="AR216" s="38">
        <v>9</v>
      </c>
      <c r="AS216" s="36"/>
      <c r="AT216" s="36"/>
      <c r="AU216" s="36"/>
      <c r="AV216" s="38">
        <v>32</v>
      </c>
      <c r="AW216" s="38">
        <v>2.33</v>
      </c>
      <c r="AX216" s="38">
        <v>3.6</v>
      </c>
      <c r="AY216" s="36"/>
      <c r="AZ216" s="38">
        <v>36</v>
      </c>
      <c r="BA216" s="38">
        <v>48</v>
      </c>
      <c r="BB216" s="38">
        <v>86</v>
      </c>
      <c r="BC216" s="36"/>
      <c r="BD216" s="36"/>
      <c r="BE216" s="36"/>
      <c r="BF216" s="36"/>
      <c r="BG216" s="59">
        <v>4.6100000000000003</v>
      </c>
      <c r="BH216" s="59">
        <v>0.57999999999999996</v>
      </c>
      <c r="BI216" s="59">
        <v>8.1523594380914152E-2</v>
      </c>
      <c r="BJ216" s="59"/>
      <c r="BK216" s="38">
        <v>1.4310000000000003</v>
      </c>
      <c r="BL216" s="59">
        <v>0.69</v>
      </c>
      <c r="BM216" s="36"/>
      <c r="BN216" s="38">
        <v>40</v>
      </c>
      <c r="BO216" s="36"/>
      <c r="BP216" s="39">
        <f t="shared" si="113"/>
        <v>0.71918750000000009</v>
      </c>
      <c r="BQ216" s="37"/>
      <c r="BR216" s="39">
        <f t="shared" si="114"/>
        <v>0.126283349118849</v>
      </c>
      <c r="BS216" s="37"/>
      <c r="BT216" s="39">
        <f t="shared" ref="BT216:BT229" si="131">BP216*12*AZ216/(24*0.9144)</f>
        <v>14.157234251968505</v>
      </c>
      <c r="BU216" s="37"/>
      <c r="BV216" s="39">
        <f t="shared" si="124"/>
        <v>0.14113120956070155</v>
      </c>
      <c r="BW216" s="39">
        <f t="shared" si="109"/>
        <v>0.7882425286523701</v>
      </c>
      <c r="BX216" s="39">
        <f t="shared" si="125"/>
        <v>8.5981448942401673E-2</v>
      </c>
      <c r="BY216" s="39">
        <f t="shared" si="130"/>
        <v>2.3122433909034261</v>
      </c>
      <c r="BZ216" s="37"/>
      <c r="CA216" s="39">
        <f t="shared" si="110"/>
        <v>2.2689153475605734</v>
      </c>
      <c r="CB216" s="39">
        <f t="shared" si="111"/>
        <v>1.0940262682157895</v>
      </c>
      <c r="CC216" s="39">
        <f t="shared" si="129"/>
        <v>5.9932291666666679E-2</v>
      </c>
      <c r="CD216" s="39">
        <f>BP216*(12*AM216+AN216)/1000</f>
        <v>9.493275000000001E-2</v>
      </c>
      <c r="CE216" s="39">
        <f>$BP216*12*AV216/120</f>
        <v>2.3014000000000001</v>
      </c>
      <c r="CF216" s="37"/>
      <c r="CG216" s="39">
        <f>BP216*(12*AO216+AP216)/4.55</f>
        <v>1.5806318681318685</v>
      </c>
      <c r="CH216" s="39">
        <f t="shared" si="98"/>
        <v>3.694304297694845</v>
      </c>
      <c r="CI216" s="37"/>
      <c r="CJ216" s="37"/>
      <c r="CK216" s="39">
        <f t="shared" si="120"/>
        <v>1.2755893850388788E-2</v>
      </c>
      <c r="CL216" s="39">
        <f>BP216*(12*AG216+AH216)/100</f>
        <v>0.60411750000000008</v>
      </c>
      <c r="CM216" s="39">
        <f t="shared" si="121"/>
        <v>4.5073829860031056E-2</v>
      </c>
      <c r="CN216" s="37"/>
      <c r="CO216" s="39">
        <f>0.063495+(0.016949+0.014096)*Wages!P214+1.22592*BR216</f>
        <v>0.39692569085177931</v>
      </c>
      <c r="CP216" s="39"/>
      <c r="CQ216" s="39">
        <f t="shared" si="126"/>
        <v>0.39692569085177931</v>
      </c>
      <c r="CR216" s="39">
        <f t="shared" si="89"/>
        <v>0.14113120956070155</v>
      </c>
      <c r="CS216" s="39">
        <f t="shared" si="89"/>
        <v>0.7882425286523701</v>
      </c>
      <c r="CT216" s="39">
        <f t="shared" si="112"/>
        <v>2.2689153475605734</v>
      </c>
      <c r="CU216" s="39">
        <f t="shared" si="112"/>
        <v>1.0940262682157895</v>
      </c>
      <c r="CV216" s="39">
        <f t="shared" si="112"/>
        <v>5.9932291666666679E-2</v>
      </c>
      <c r="CW216" s="39">
        <f>CD216</f>
        <v>9.493275000000001E-2</v>
      </c>
      <c r="CX216" s="39"/>
      <c r="CY216" s="39"/>
      <c r="CZ216" s="39">
        <f t="shared" si="115"/>
        <v>8.5981448942401673E-2</v>
      </c>
      <c r="DA216" s="39">
        <f t="shared" si="88"/>
        <v>3.694304297694845</v>
      </c>
      <c r="DB216" s="39">
        <f t="shared" ref="DB216:DB229" si="132">DB$258*BT216/15.73026</f>
        <v>3.114591590866143</v>
      </c>
      <c r="DC216" s="39">
        <f t="shared" si="116"/>
        <v>2.3122433909034261</v>
      </c>
      <c r="DD216" s="39">
        <f>CG216</f>
        <v>1.5806318681318685</v>
      </c>
      <c r="DE216" s="39">
        <f t="shared" si="122"/>
        <v>1.2755893850388788E-2</v>
      </c>
      <c r="DF216" s="37"/>
      <c r="DG216" s="39">
        <f t="shared" si="117"/>
        <v>0.60411750000000008</v>
      </c>
      <c r="DH216" s="39">
        <f t="shared" si="118"/>
        <v>1.4439544770646127</v>
      </c>
      <c r="DI216" s="37"/>
      <c r="DJ216" s="37"/>
      <c r="DK216" s="37"/>
      <c r="DL216" s="37"/>
      <c r="DM216" s="39">
        <f t="shared" si="127"/>
        <v>0.43105799280767793</v>
      </c>
      <c r="DN216" s="39"/>
      <c r="DO216" s="39">
        <f t="shared" si="128"/>
        <v>0.43105799280767793</v>
      </c>
      <c r="DP216" s="37"/>
      <c r="DQ216" s="37">
        <f>DO216/'Conversions, Sources &amp; Comments'!E214</f>
        <v>0.5993680268465148</v>
      </c>
    </row>
    <row r="217" spans="1:121">
      <c r="A217" s="42">
        <f t="shared" si="119"/>
        <v>1465</v>
      </c>
      <c r="B217" s="36"/>
      <c r="C217" s="38">
        <v>4</v>
      </c>
      <c r="D217" s="38">
        <v>7</v>
      </c>
      <c r="E217" s="38">
        <v>3</v>
      </c>
      <c r="F217" s="38">
        <v>0.5</v>
      </c>
      <c r="G217" s="38">
        <v>1</v>
      </c>
      <c r="H217" s="38">
        <v>9</v>
      </c>
      <c r="I217" s="38">
        <v>3</v>
      </c>
      <c r="J217" s="38">
        <v>0</v>
      </c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8">
        <v>5</v>
      </c>
      <c r="V217" s="36"/>
      <c r="W217" s="36"/>
      <c r="X217" s="38">
        <v>7</v>
      </c>
      <c r="Y217" s="38">
        <v>1</v>
      </c>
      <c r="Z217" s="38">
        <v>1</v>
      </c>
      <c r="AA217" s="38">
        <v>4.5</v>
      </c>
      <c r="AB217" s="36"/>
      <c r="AC217" s="36"/>
      <c r="AD217" s="36"/>
      <c r="AE217" s="38">
        <v>0</v>
      </c>
      <c r="AF217" s="38">
        <v>6.75</v>
      </c>
      <c r="AG217" s="38">
        <v>6</v>
      </c>
      <c r="AH217" s="38">
        <v>0</v>
      </c>
      <c r="AI217" s="38">
        <v>1</v>
      </c>
      <c r="AJ217" s="38">
        <v>11</v>
      </c>
      <c r="AK217" s="36"/>
      <c r="AL217" s="36"/>
      <c r="AM217" s="38">
        <v>12</v>
      </c>
      <c r="AN217" s="38">
        <v>0</v>
      </c>
      <c r="AO217" s="38">
        <v>1</v>
      </c>
      <c r="AP217" s="38">
        <v>2</v>
      </c>
      <c r="AQ217" s="38">
        <v>1</v>
      </c>
      <c r="AR217" s="38">
        <v>1.5</v>
      </c>
      <c r="AS217" s="36"/>
      <c r="AT217" s="36"/>
      <c r="AU217" s="36"/>
      <c r="AV217" s="36"/>
      <c r="AW217" s="38">
        <v>2.33</v>
      </c>
      <c r="AX217" s="38">
        <v>6.3</v>
      </c>
      <c r="AY217" s="36"/>
      <c r="AZ217" s="38">
        <v>38</v>
      </c>
      <c r="BA217" s="38">
        <v>50</v>
      </c>
      <c r="BB217" s="38">
        <v>56</v>
      </c>
      <c r="BC217" s="36"/>
      <c r="BD217" s="36"/>
      <c r="BE217" s="36"/>
      <c r="BF217" s="36"/>
      <c r="BG217" s="59">
        <v>4.74</v>
      </c>
      <c r="BH217" s="59">
        <v>0.57999999999999996</v>
      </c>
      <c r="BI217" s="59">
        <v>7.3233059359125469E-2</v>
      </c>
      <c r="BJ217" s="59"/>
      <c r="BK217" s="38">
        <v>1.4310000000000003</v>
      </c>
      <c r="BL217" s="59">
        <v>0.69</v>
      </c>
      <c r="BM217" s="36"/>
      <c r="BN217" s="38">
        <v>40</v>
      </c>
      <c r="BO217" s="36"/>
      <c r="BP217" s="39">
        <f t="shared" si="113"/>
        <v>0.71918750000000009</v>
      </c>
      <c r="BQ217" s="37"/>
      <c r="BR217" s="39">
        <f t="shared" si="114"/>
        <v>0.14031483235427666</v>
      </c>
      <c r="BS217" s="37"/>
      <c r="BT217" s="39">
        <f t="shared" si="131"/>
        <v>14.943747265966755</v>
      </c>
      <c r="BU217" s="37"/>
      <c r="BV217" s="39">
        <f t="shared" si="124"/>
        <v>0.14511104844202283</v>
      </c>
      <c r="BW217" s="39">
        <f t="shared" si="109"/>
        <v>0.7882425286523701</v>
      </c>
      <c r="BX217" s="39">
        <f t="shared" si="125"/>
        <v>7.723757277876675E-2</v>
      </c>
      <c r="BY217" s="39">
        <f t="shared" si="130"/>
        <v>2.1801151971375159</v>
      </c>
      <c r="BZ217" s="37"/>
      <c r="CA217" s="39">
        <f t="shared" si="110"/>
        <v>2.2689153475605734</v>
      </c>
      <c r="CB217" s="39">
        <f t="shared" si="111"/>
        <v>1.0940262682157895</v>
      </c>
      <c r="CC217" s="39">
        <f t="shared" si="129"/>
        <v>5.9932291666666679E-2</v>
      </c>
      <c r="CD217" s="39">
        <f>BP217*(12*AM217+AN217)/1000</f>
        <v>0.10356300000000002</v>
      </c>
      <c r="CE217" s="37"/>
      <c r="CF217" s="37"/>
      <c r="CG217" s="39">
        <f>BP217*(12*AO217+AP217)/4.55</f>
        <v>2.2128846153846156</v>
      </c>
      <c r="CH217" s="39">
        <f t="shared" ref="CH217:CH248" si="133">BP217*12*AW217/(12*0.453592)</f>
        <v>3.694304297694845</v>
      </c>
      <c r="CI217" s="37"/>
      <c r="CJ217" s="37"/>
      <c r="CK217" s="37"/>
      <c r="CL217" s="39">
        <f>BP217*(12*AG217+AH217)/100</f>
        <v>0.51781500000000014</v>
      </c>
      <c r="CM217" s="37"/>
      <c r="CN217" s="37"/>
      <c r="CO217" s="39">
        <f>0.063495+(0.016949+0.014096)*Wages!P215+1.22592*BR217</f>
        <v>0.41412716677975481</v>
      </c>
      <c r="CP217" s="39"/>
      <c r="CQ217" s="39">
        <f t="shared" si="126"/>
        <v>0.41412716677975481</v>
      </c>
      <c r="CR217" s="39">
        <f t="shared" si="89"/>
        <v>0.14511104844202283</v>
      </c>
      <c r="CS217" s="39">
        <f t="shared" si="89"/>
        <v>0.7882425286523701</v>
      </c>
      <c r="CT217" s="39">
        <f t="shared" si="112"/>
        <v>2.2689153475605734</v>
      </c>
      <c r="CU217" s="39">
        <f t="shared" si="112"/>
        <v>1.0940262682157895</v>
      </c>
      <c r="CV217" s="39">
        <f t="shared" si="112"/>
        <v>5.9932291666666679E-2</v>
      </c>
      <c r="CW217" s="39">
        <f>CD217</f>
        <v>0.10356300000000002</v>
      </c>
      <c r="CX217" s="39"/>
      <c r="CY217" s="39"/>
      <c r="CZ217" s="39">
        <f t="shared" si="115"/>
        <v>7.723757277876675E-2</v>
      </c>
      <c r="DA217" s="39">
        <f t="shared" ref="DA217:DA280" si="134">CH217</f>
        <v>3.694304297694845</v>
      </c>
      <c r="DB217" s="39">
        <f t="shared" si="132"/>
        <v>3.2876244570253732</v>
      </c>
      <c r="DC217" s="39">
        <f t="shared" si="116"/>
        <v>2.1801151971375159</v>
      </c>
      <c r="DD217" s="39">
        <f>CG217</f>
        <v>2.2128846153846156</v>
      </c>
      <c r="DE217" s="39">
        <v>1.4999999999999999E-2</v>
      </c>
      <c r="DF217" s="37"/>
      <c r="DG217" s="39">
        <f t="shared" si="117"/>
        <v>0.51781500000000014</v>
      </c>
      <c r="DH217" s="39">
        <f t="shared" si="118"/>
        <v>1.6979850577314921</v>
      </c>
      <c r="DI217" s="37"/>
      <c r="DJ217" s="37"/>
      <c r="DK217" s="37"/>
      <c r="DL217" s="37"/>
      <c r="DM217" s="39">
        <f t="shared" si="127"/>
        <v>0.44354748928509519</v>
      </c>
      <c r="DN217" s="39"/>
      <c r="DO217" s="39">
        <f t="shared" si="128"/>
        <v>0.44354748928509519</v>
      </c>
      <c r="DP217" s="37"/>
      <c r="DQ217" s="37">
        <f>DO217/'Conversions, Sources &amp; Comments'!E215</f>
        <v>0.61673414691592265</v>
      </c>
    </row>
    <row r="218" spans="1:121">
      <c r="A218" s="42">
        <f t="shared" si="119"/>
        <v>1466</v>
      </c>
      <c r="B218" s="36"/>
      <c r="C218" s="38">
        <v>5</v>
      </c>
      <c r="D218" s="38">
        <v>4</v>
      </c>
      <c r="E218" s="38">
        <v>3</v>
      </c>
      <c r="F218" s="38">
        <v>4.75</v>
      </c>
      <c r="G218" s="38">
        <v>2</v>
      </c>
      <c r="H218" s="38">
        <v>1</v>
      </c>
      <c r="I218" s="38">
        <v>3</v>
      </c>
      <c r="J218" s="38">
        <v>3.25</v>
      </c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8">
        <v>5</v>
      </c>
      <c r="V218" s="36"/>
      <c r="W218" s="36"/>
      <c r="X218" s="38">
        <v>6</v>
      </c>
      <c r="Y218" s="38">
        <v>9.75</v>
      </c>
      <c r="Z218" s="38">
        <v>1</v>
      </c>
      <c r="AA218" s="38">
        <v>6</v>
      </c>
      <c r="AB218" s="36"/>
      <c r="AC218" s="38">
        <v>0</v>
      </c>
      <c r="AD218" s="38">
        <v>6.5</v>
      </c>
      <c r="AE218" s="38">
        <v>0</v>
      </c>
      <c r="AF218" s="38">
        <v>6.75</v>
      </c>
      <c r="AG218" s="38">
        <v>8</v>
      </c>
      <c r="AH218" s="38">
        <v>0</v>
      </c>
      <c r="AI218" s="38">
        <v>1</v>
      </c>
      <c r="AJ218" s="38">
        <v>10.25</v>
      </c>
      <c r="AK218" s="36"/>
      <c r="AL218" s="36"/>
      <c r="AM218" s="36"/>
      <c r="AN218" s="36"/>
      <c r="AO218" s="38">
        <v>1</v>
      </c>
      <c r="AP218" s="38">
        <v>2</v>
      </c>
      <c r="AQ218" s="38">
        <v>1</v>
      </c>
      <c r="AR218" s="38">
        <v>1</v>
      </c>
      <c r="AS218" s="36"/>
      <c r="AT218" s="36"/>
      <c r="AU218" s="36"/>
      <c r="AV218" s="36"/>
      <c r="AW218" s="38">
        <v>2.33</v>
      </c>
      <c r="AX218" s="38">
        <v>7.5</v>
      </c>
      <c r="AY218" s="36"/>
      <c r="AZ218" s="38">
        <v>38</v>
      </c>
      <c r="BA218" s="38">
        <v>50</v>
      </c>
      <c r="BB218" s="38">
        <v>48</v>
      </c>
      <c r="BC218" s="36"/>
      <c r="BD218" s="36"/>
      <c r="BE218" s="36"/>
      <c r="BF218" s="36"/>
      <c r="BG218" s="59">
        <v>3.83</v>
      </c>
      <c r="BH218" s="59">
        <v>0.57999999999999996</v>
      </c>
      <c r="BI218" s="59">
        <v>6.0797256826444136E-2</v>
      </c>
      <c r="BJ218" s="59"/>
      <c r="BK218" s="38">
        <v>1.4310000000000003</v>
      </c>
      <c r="BL218" s="59">
        <v>0.69</v>
      </c>
      <c r="BM218" s="36"/>
      <c r="BN218" s="38">
        <v>40</v>
      </c>
      <c r="BO218" s="36"/>
      <c r="BP218" s="39">
        <f t="shared" si="113"/>
        <v>0.71918750000000009</v>
      </c>
      <c r="BQ218" s="37"/>
      <c r="BR218" s="39">
        <f t="shared" si="114"/>
        <v>0.16327544128497648</v>
      </c>
      <c r="BS218" s="37"/>
      <c r="BT218" s="39">
        <f t="shared" si="131"/>
        <v>14.943747265966755</v>
      </c>
      <c r="BU218" s="37"/>
      <c r="BV218" s="39">
        <f t="shared" si="124"/>
        <v>0.11725217627277371</v>
      </c>
      <c r="BW218" s="39">
        <f t="shared" si="109"/>
        <v>0.7882425286523701</v>
      </c>
      <c r="BX218" s="39">
        <f t="shared" si="125"/>
        <v>6.412175853331617E-2</v>
      </c>
      <c r="BY218" s="39">
        <f t="shared" si="130"/>
        <v>2.378307487786381</v>
      </c>
      <c r="BZ218" s="37"/>
      <c r="CA218" s="39">
        <f t="shared" si="110"/>
        <v>2.2689153475605734</v>
      </c>
      <c r="CB218" s="39">
        <f t="shared" si="111"/>
        <v>1.0940262682157895</v>
      </c>
      <c r="CC218" s="39">
        <f t="shared" si="129"/>
        <v>5.9932291666666679E-2</v>
      </c>
      <c r="CD218" s="37"/>
      <c r="CE218" s="37"/>
      <c r="CF218" s="37"/>
      <c r="CG218" s="39">
        <f>BP218*(12*AO218+AP218)/4.55</f>
        <v>2.2128846153846156</v>
      </c>
      <c r="CH218" s="39">
        <f t="shared" si="133"/>
        <v>3.694304297694845</v>
      </c>
      <c r="CI218" s="37"/>
      <c r="CJ218" s="37"/>
      <c r="CK218" s="39">
        <f>BP218*(12*AC218+AD218)/(35.238*8)</f>
        <v>1.6582662005505421E-2</v>
      </c>
      <c r="CL218" s="39">
        <f>BP218*(12*AG218+AH218)/100</f>
        <v>0.69042000000000003</v>
      </c>
      <c r="CM218" s="39">
        <f>BP218*(12*$AC218+$AD218)/(35.238*8)/0.283</f>
        <v>5.8595978818040358E-2</v>
      </c>
      <c r="CN218" s="37"/>
      <c r="CO218" s="39">
        <f>0.063495+(0.016949+0.014096)*Wages!P216+1.22592*BR218</f>
        <v>0.44227503648007838</v>
      </c>
      <c r="CP218" s="39"/>
      <c r="CQ218" s="39">
        <f t="shared" si="126"/>
        <v>0.44227503648007838</v>
      </c>
      <c r="CR218" s="39">
        <f t="shared" si="89"/>
        <v>0.11725217627277371</v>
      </c>
      <c r="CS218" s="39">
        <f t="shared" si="89"/>
        <v>0.7882425286523701</v>
      </c>
      <c r="CT218" s="39">
        <f t="shared" si="112"/>
        <v>2.2689153475605734</v>
      </c>
      <c r="CU218" s="39">
        <f t="shared" si="112"/>
        <v>1.0940262682157895</v>
      </c>
      <c r="CV218" s="39">
        <f t="shared" si="112"/>
        <v>5.9932291666666679E-2</v>
      </c>
      <c r="CW218" s="39">
        <v>0.08</v>
      </c>
      <c r="CX218" s="39"/>
      <c r="CY218" s="39"/>
      <c r="CZ218" s="39">
        <f t="shared" si="115"/>
        <v>6.412175853331617E-2</v>
      </c>
      <c r="DA218" s="39">
        <f t="shared" si="134"/>
        <v>3.694304297694845</v>
      </c>
      <c r="DB218" s="39">
        <f t="shared" si="132"/>
        <v>3.2876244570253732</v>
      </c>
      <c r="DC218" s="39">
        <f t="shared" si="116"/>
        <v>2.378307487786381</v>
      </c>
      <c r="DD218" s="39">
        <f>CG218</f>
        <v>2.2128846153846156</v>
      </c>
      <c r="DE218" s="39">
        <f>CK218</f>
        <v>1.6582662005505421E-2</v>
      </c>
      <c r="DF218" s="37"/>
      <c r="DG218" s="39">
        <f t="shared" si="117"/>
        <v>0.69042000000000003</v>
      </c>
      <c r="DH218" s="39">
        <f t="shared" si="118"/>
        <v>1.8771408201839959</v>
      </c>
      <c r="DI218" s="37"/>
      <c r="DJ218" s="37"/>
      <c r="DK218" s="37"/>
      <c r="DL218" s="37"/>
      <c r="DM218" s="39">
        <f t="shared" si="127"/>
        <v>0.45005088760361367</v>
      </c>
      <c r="DN218" s="39"/>
      <c r="DO218" s="39">
        <f t="shared" si="128"/>
        <v>0.45005088760361367</v>
      </c>
      <c r="DP218" s="37"/>
      <c r="DQ218" s="37">
        <f>DO218/'Conversions, Sources &amp; Comments'!E216</f>
        <v>0.62577684901866848</v>
      </c>
    </row>
    <row r="219" spans="1:121">
      <c r="A219" s="42">
        <f t="shared" si="119"/>
        <v>1467</v>
      </c>
      <c r="B219" s="36"/>
      <c r="C219" s="38">
        <v>5</v>
      </c>
      <c r="D219" s="38">
        <v>4</v>
      </c>
      <c r="E219" s="38">
        <v>3</v>
      </c>
      <c r="F219" s="38">
        <v>2</v>
      </c>
      <c r="G219" s="38">
        <v>2</v>
      </c>
      <c r="H219" s="38">
        <v>1.5</v>
      </c>
      <c r="I219" s="38">
        <v>4</v>
      </c>
      <c r="J219" s="38">
        <v>0</v>
      </c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8">
        <v>5</v>
      </c>
      <c r="V219" s="36"/>
      <c r="W219" s="36"/>
      <c r="X219" s="38">
        <v>7</v>
      </c>
      <c r="Y219" s="38">
        <v>1</v>
      </c>
      <c r="Z219" s="38">
        <v>1</v>
      </c>
      <c r="AA219" s="38">
        <v>3</v>
      </c>
      <c r="AB219" s="36"/>
      <c r="AC219" s="36"/>
      <c r="AD219" s="36"/>
      <c r="AE219" s="38">
        <v>0</v>
      </c>
      <c r="AF219" s="38">
        <v>6.75</v>
      </c>
      <c r="AG219" s="38">
        <v>7</v>
      </c>
      <c r="AH219" s="38">
        <v>4</v>
      </c>
      <c r="AI219" s="36"/>
      <c r="AJ219" s="36"/>
      <c r="AK219" s="36"/>
      <c r="AL219" s="36"/>
      <c r="AM219" s="38">
        <v>6</v>
      </c>
      <c r="AN219" s="38">
        <v>3</v>
      </c>
      <c r="AO219" s="38" t="s">
        <v>8</v>
      </c>
      <c r="AP219" s="36"/>
      <c r="AQ219" s="38">
        <v>1</v>
      </c>
      <c r="AR219" s="38">
        <v>0</v>
      </c>
      <c r="AS219" s="36"/>
      <c r="AT219" s="36"/>
      <c r="AU219" s="36"/>
      <c r="AV219" s="38">
        <v>30</v>
      </c>
      <c r="AW219" s="38">
        <v>2.33</v>
      </c>
      <c r="AX219" s="38">
        <v>4.9000000000000004</v>
      </c>
      <c r="AY219" s="36"/>
      <c r="AZ219" s="38">
        <v>38</v>
      </c>
      <c r="BA219" s="38">
        <v>48</v>
      </c>
      <c r="BB219" s="38">
        <v>75.8</v>
      </c>
      <c r="BC219" s="36"/>
      <c r="BD219" s="36"/>
      <c r="BE219" s="36"/>
      <c r="BF219" s="36"/>
      <c r="BG219" s="59">
        <v>4.4800000000000004</v>
      </c>
      <c r="BH219" s="59">
        <v>0.57999999999999996</v>
      </c>
      <c r="BI219" s="59">
        <v>6.3560768500372566E-2</v>
      </c>
      <c r="BJ219" s="59"/>
      <c r="BK219" s="38">
        <v>1.4310000000000003</v>
      </c>
      <c r="BL219" s="59">
        <v>0.69</v>
      </c>
      <c r="BM219" s="36"/>
      <c r="BN219" s="38">
        <v>40</v>
      </c>
      <c r="BO219" s="36"/>
      <c r="BP219" s="39">
        <f t="shared" si="113"/>
        <v>0.71918750000000009</v>
      </c>
      <c r="BQ219" s="37"/>
      <c r="BR219" s="39">
        <f t="shared" si="114"/>
        <v>0.16327544128497648</v>
      </c>
      <c r="BS219" s="37"/>
      <c r="BT219" s="39">
        <f t="shared" si="131"/>
        <v>14.943747265966755</v>
      </c>
      <c r="BU219" s="37"/>
      <c r="BV219" s="39">
        <f t="shared" si="124"/>
        <v>0.13715137067938024</v>
      </c>
      <c r="BW219" s="39">
        <f t="shared" si="109"/>
        <v>0.7882425286523701</v>
      </c>
      <c r="BX219" s="39">
        <f t="shared" si="125"/>
        <v>6.7036383921193279E-2</v>
      </c>
      <c r="BY219" s="39">
        <f t="shared" si="130"/>
        <v>1.9819229064886508</v>
      </c>
      <c r="BZ219" s="37"/>
      <c r="CA219" s="39">
        <f t="shared" si="110"/>
        <v>2.2689153475605734</v>
      </c>
      <c r="CB219" s="39">
        <f t="shared" si="111"/>
        <v>1.0940262682157895</v>
      </c>
      <c r="CC219" s="39">
        <f t="shared" si="129"/>
        <v>5.9932291666666679E-2</v>
      </c>
      <c r="CD219" s="39">
        <f>BP219*(12*AM219+AN219)/1000</f>
        <v>5.3939062500000003E-2</v>
      </c>
      <c r="CE219" s="39">
        <f>$BP219*12*AV219/120</f>
        <v>2.1575625</v>
      </c>
      <c r="CF219" s="37"/>
      <c r="CG219" s="37"/>
      <c r="CH219" s="39">
        <f t="shared" si="133"/>
        <v>3.694304297694845</v>
      </c>
      <c r="CI219" s="37"/>
      <c r="CJ219" s="37"/>
      <c r="CK219" s="37"/>
      <c r="CL219" s="39">
        <f>BP219*(12*AG219+AH219)/100</f>
        <v>0.63288500000000003</v>
      </c>
      <c r="CM219" s="37"/>
      <c r="CN219" s="37"/>
      <c r="CO219" s="39">
        <f>0.063495+(0.016949+0.014096)*Wages!P217+1.22592*BR219</f>
        <v>0.44227503648007838</v>
      </c>
      <c r="CP219" s="39"/>
      <c r="CQ219" s="39">
        <f t="shared" si="126"/>
        <v>0.44227503648007838</v>
      </c>
      <c r="CR219" s="39">
        <f t="shared" ref="CR219:CS282" si="135">BV219</f>
        <v>0.13715137067938024</v>
      </c>
      <c r="CS219" s="39">
        <f t="shared" si="135"/>
        <v>0.7882425286523701</v>
      </c>
      <c r="CT219" s="39">
        <f t="shared" si="112"/>
        <v>2.2689153475605734</v>
      </c>
      <c r="CU219" s="39">
        <f t="shared" si="112"/>
        <v>1.0940262682157895</v>
      </c>
      <c r="CV219" s="39">
        <f t="shared" si="112"/>
        <v>5.9932291666666679E-2</v>
      </c>
      <c r="CW219" s="39">
        <f>CD219</f>
        <v>5.3939062500000003E-2</v>
      </c>
      <c r="CX219" s="39"/>
      <c r="CY219" s="39"/>
      <c r="CZ219" s="39">
        <f t="shared" si="115"/>
        <v>6.7036383921193279E-2</v>
      </c>
      <c r="DA219" s="39">
        <f t="shared" si="134"/>
        <v>3.694304297694845</v>
      </c>
      <c r="DB219" s="39">
        <f t="shared" si="132"/>
        <v>3.2876244570253732</v>
      </c>
      <c r="DC219" s="39">
        <f t="shared" si="116"/>
        <v>1.9819229064886508</v>
      </c>
      <c r="DD219" s="39">
        <v>2.2999999999999998</v>
      </c>
      <c r="DE219" s="39">
        <v>1.6E-2</v>
      </c>
      <c r="DF219" s="37"/>
      <c r="DG219" s="39">
        <f t="shared" si="117"/>
        <v>0.63288500000000003</v>
      </c>
      <c r="DH219" s="39">
        <f t="shared" si="118"/>
        <v>1.8111840615802581</v>
      </c>
      <c r="DI219" s="37"/>
      <c r="DJ219" s="37"/>
      <c r="DK219" s="37"/>
      <c r="DL219" s="37"/>
      <c r="DM219" s="39">
        <f t="shared" si="127"/>
        <v>0.45109050576907039</v>
      </c>
      <c r="DN219" s="39"/>
      <c r="DO219" s="39">
        <f t="shared" si="128"/>
        <v>0.45109050576907039</v>
      </c>
      <c r="DP219" s="37"/>
      <c r="DQ219" s="37">
        <f>DO219/'Conversions, Sources &amp; Comments'!E217</f>
        <v>0.6272223943951617</v>
      </c>
    </row>
    <row r="220" spans="1:121">
      <c r="A220" s="42">
        <f t="shared" si="119"/>
        <v>1468</v>
      </c>
      <c r="B220" s="36"/>
      <c r="C220" s="38">
        <v>5</v>
      </c>
      <c r="D220" s="38">
        <v>7.75</v>
      </c>
      <c r="E220" s="38">
        <v>3</v>
      </c>
      <c r="F220" s="38">
        <v>2.5</v>
      </c>
      <c r="G220" s="38">
        <v>1</v>
      </c>
      <c r="H220" s="38">
        <v>8.5</v>
      </c>
      <c r="I220" s="38">
        <v>3</v>
      </c>
      <c r="J220" s="38">
        <v>8</v>
      </c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8">
        <v>5</v>
      </c>
      <c r="V220" s="36"/>
      <c r="W220" s="36"/>
      <c r="X220" s="38">
        <v>6</v>
      </c>
      <c r="Y220" s="38">
        <v>9</v>
      </c>
      <c r="Z220" s="38">
        <v>1</v>
      </c>
      <c r="AA220" s="38">
        <v>3</v>
      </c>
      <c r="AB220" s="36"/>
      <c r="AC220" s="38">
        <v>0</v>
      </c>
      <c r="AD220" s="38">
        <v>7</v>
      </c>
      <c r="AE220" s="38">
        <v>0</v>
      </c>
      <c r="AF220" s="38">
        <v>6.75</v>
      </c>
      <c r="AG220" s="36"/>
      <c r="AH220" s="36"/>
      <c r="AI220" s="38">
        <v>1</v>
      </c>
      <c r="AJ220" s="38">
        <v>10.75</v>
      </c>
      <c r="AK220" s="36"/>
      <c r="AL220" s="36"/>
      <c r="AM220" s="38">
        <v>11</v>
      </c>
      <c r="AN220" s="38">
        <v>4</v>
      </c>
      <c r="AO220" s="38" t="s">
        <v>8</v>
      </c>
      <c r="AP220" s="36"/>
      <c r="AQ220" s="38">
        <v>1</v>
      </c>
      <c r="AR220" s="38">
        <v>0</v>
      </c>
      <c r="AS220" s="36"/>
      <c r="AT220" s="36"/>
      <c r="AU220" s="36"/>
      <c r="AV220" s="36"/>
      <c r="AW220" s="38">
        <v>2.33</v>
      </c>
      <c r="AX220" s="38">
        <v>7.4</v>
      </c>
      <c r="AY220" s="36"/>
      <c r="AZ220" s="38">
        <v>40</v>
      </c>
      <c r="BA220" s="38">
        <v>56</v>
      </c>
      <c r="BB220" s="36"/>
      <c r="BC220" s="36"/>
      <c r="BD220" s="36"/>
      <c r="BE220" s="36"/>
      <c r="BF220" s="36"/>
      <c r="BG220" s="59">
        <v>3.53</v>
      </c>
      <c r="BH220" s="59">
        <v>0.57999999999999996</v>
      </c>
      <c r="BI220" s="59">
        <v>4.9743210130727022E-2</v>
      </c>
      <c r="BJ220" s="59"/>
      <c r="BK220" s="38">
        <v>1.4310000000000003</v>
      </c>
      <c r="BL220" s="59">
        <v>0.69</v>
      </c>
      <c r="BM220" s="36"/>
      <c r="BN220" s="38">
        <v>40</v>
      </c>
      <c r="BO220" s="36"/>
      <c r="BP220" s="39">
        <f t="shared" si="113"/>
        <v>0.71918750000000009</v>
      </c>
      <c r="BQ220" s="37"/>
      <c r="BR220" s="39">
        <f t="shared" si="114"/>
        <v>0.17284236167276806</v>
      </c>
      <c r="BS220" s="37"/>
      <c r="BT220" s="39">
        <f t="shared" si="131"/>
        <v>15.730260279965007</v>
      </c>
      <c r="BU220" s="37"/>
      <c r="BV220" s="39">
        <f t="shared" si="124"/>
        <v>0.10806793270049378</v>
      </c>
      <c r="BW220" s="39">
        <f t="shared" si="109"/>
        <v>0.7882425286523701</v>
      </c>
      <c r="BX220" s="39">
        <f t="shared" si="125"/>
        <v>5.2463256981804138E-2</v>
      </c>
      <c r="BY220" s="39">
        <f t="shared" si="130"/>
        <v>1.9819229064886508</v>
      </c>
      <c r="BZ220" s="37"/>
      <c r="CA220" s="39">
        <f t="shared" si="110"/>
        <v>2.2689153475605734</v>
      </c>
      <c r="CB220" s="39">
        <f t="shared" si="111"/>
        <v>1.0940262682157895</v>
      </c>
      <c r="CC220" s="39">
        <f t="shared" si="129"/>
        <v>5.9932291666666679E-2</v>
      </c>
      <c r="CD220" s="39">
        <f>BP220*(12*AM220+AN220)/1000</f>
        <v>9.7809500000000008E-2</v>
      </c>
      <c r="CE220" s="37"/>
      <c r="CF220" s="37"/>
      <c r="CG220" s="37"/>
      <c r="CH220" s="39">
        <f t="shared" si="133"/>
        <v>3.694304297694845</v>
      </c>
      <c r="CI220" s="37"/>
      <c r="CJ220" s="37"/>
      <c r="CK220" s="39">
        <f>BP220*(12*AC220+AD220)/(35.238*8)</f>
        <v>1.78582513905443E-2</v>
      </c>
      <c r="CL220" s="37"/>
      <c r="CM220" s="39">
        <f>BP220*(12*$AC220+$AD220)/(35.238*8)/0.283</f>
        <v>6.3103361804043467E-2</v>
      </c>
      <c r="CN220" s="37"/>
      <c r="CO220" s="39">
        <f>0.063495+(0.016949+0.014096)*Wages!P218+1.22592*BR220</f>
        <v>0.45400331552187978</v>
      </c>
      <c r="CP220" s="39"/>
      <c r="CQ220" s="39">
        <f t="shared" si="126"/>
        <v>0.45400331552187978</v>
      </c>
      <c r="CR220" s="39">
        <f t="shared" si="135"/>
        <v>0.10806793270049378</v>
      </c>
      <c r="CS220" s="39">
        <f t="shared" si="135"/>
        <v>0.7882425286523701</v>
      </c>
      <c r="CT220" s="39">
        <f t="shared" si="112"/>
        <v>2.2689153475605734</v>
      </c>
      <c r="CU220" s="39">
        <f t="shared" si="112"/>
        <v>1.0940262682157895</v>
      </c>
      <c r="CV220" s="39">
        <f t="shared" si="112"/>
        <v>5.9932291666666679E-2</v>
      </c>
      <c r="CW220" s="39">
        <f>CD220</f>
        <v>9.7809500000000008E-2</v>
      </c>
      <c r="CX220" s="39"/>
      <c r="CY220" s="39"/>
      <c r="CZ220" s="39">
        <f t="shared" si="115"/>
        <v>5.2463256981804138E-2</v>
      </c>
      <c r="DA220" s="39">
        <f t="shared" si="134"/>
        <v>3.694304297694845</v>
      </c>
      <c r="DB220" s="39">
        <f t="shared" si="132"/>
        <v>3.4606573231846038</v>
      </c>
      <c r="DC220" s="39">
        <f t="shared" si="116"/>
        <v>1.9819229064886508</v>
      </c>
      <c r="DD220" s="39">
        <v>2.2999999999999998</v>
      </c>
      <c r="DE220" s="39">
        <f>CK220</f>
        <v>1.78582513905443E-2</v>
      </c>
      <c r="DF220" s="37"/>
      <c r="DG220" s="39">
        <f t="shared" si="117"/>
        <v>0</v>
      </c>
      <c r="DH220" s="39">
        <f t="shared" si="118"/>
        <v>2.0215362678904576</v>
      </c>
      <c r="DI220" s="37"/>
      <c r="DJ220" s="37"/>
      <c r="DK220" s="37"/>
      <c r="DL220" s="37"/>
      <c r="DM220" s="39">
        <f t="shared" si="127"/>
        <v>0.4508177265824499</v>
      </c>
      <c r="DN220" s="39"/>
      <c r="DO220" s="39">
        <f t="shared" si="128"/>
        <v>0.4508177265824499</v>
      </c>
      <c r="DP220" s="37"/>
      <c r="DQ220" s="37">
        <f>DO220/'Conversions, Sources &amp; Comments'!E218</f>
        <v>0.62684310639777507</v>
      </c>
    </row>
    <row r="221" spans="1:121">
      <c r="A221" s="42">
        <f t="shared" si="119"/>
        <v>1469</v>
      </c>
      <c r="B221" s="36"/>
      <c r="C221" s="38">
        <v>6</v>
      </c>
      <c r="D221" s="38">
        <v>5.5</v>
      </c>
      <c r="E221" s="38">
        <v>3</v>
      </c>
      <c r="F221" s="38">
        <v>6.25</v>
      </c>
      <c r="G221" s="38">
        <v>2</v>
      </c>
      <c r="H221" s="38">
        <v>1.25</v>
      </c>
      <c r="I221" s="38">
        <v>4</v>
      </c>
      <c r="J221" s="38">
        <v>2.75</v>
      </c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8">
        <v>5</v>
      </c>
      <c r="V221" s="36"/>
      <c r="W221" s="36"/>
      <c r="X221" s="38">
        <v>6</v>
      </c>
      <c r="Y221" s="38">
        <v>4</v>
      </c>
      <c r="Z221" s="38">
        <v>1</v>
      </c>
      <c r="AA221" s="38">
        <v>3</v>
      </c>
      <c r="AB221" s="36"/>
      <c r="AC221" s="36"/>
      <c r="AD221" s="36"/>
      <c r="AE221" s="38">
        <v>0</v>
      </c>
      <c r="AF221" s="38">
        <v>6.75</v>
      </c>
      <c r="AG221" s="38">
        <v>8</v>
      </c>
      <c r="AH221" s="38">
        <v>0</v>
      </c>
      <c r="AI221" s="38">
        <v>2</v>
      </c>
      <c r="AJ221" s="38">
        <v>4.75</v>
      </c>
      <c r="AK221" s="36"/>
      <c r="AL221" s="36"/>
      <c r="AM221" s="36"/>
      <c r="AN221" s="36"/>
      <c r="AO221" s="38">
        <v>1</v>
      </c>
      <c r="AP221" s="38">
        <v>3</v>
      </c>
      <c r="AQ221" s="38">
        <v>1</v>
      </c>
      <c r="AR221" s="38">
        <v>4</v>
      </c>
      <c r="AS221" s="36"/>
      <c r="AT221" s="36"/>
      <c r="AU221" s="36"/>
      <c r="AV221" s="36"/>
      <c r="AW221" s="38">
        <v>2.33</v>
      </c>
      <c r="AX221" s="36"/>
      <c r="AY221" s="36"/>
      <c r="AZ221" s="38">
        <v>38</v>
      </c>
      <c r="BA221" s="38">
        <v>48</v>
      </c>
      <c r="BB221" s="38">
        <v>80</v>
      </c>
      <c r="BC221" s="36"/>
      <c r="BD221" s="36"/>
      <c r="BE221" s="36"/>
      <c r="BF221" s="36"/>
      <c r="BG221" s="59">
        <v>4.18</v>
      </c>
      <c r="BH221" s="59">
        <v>0.57999999999999996</v>
      </c>
      <c r="BI221" s="59">
        <v>4.9743210130727022E-2</v>
      </c>
      <c r="BJ221" s="59"/>
      <c r="BK221" s="38">
        <v>1.4310000000000003</v>
      </c>
      <c r="BL221" s="59">
        <v>0.69</v>
      </c>
      <c r="BM221" s="36"/>
      <c r="BN221" s="38">
        <v>40</v>
      </c>
      <c r="BO221" s="36"/>
      <c r="BP221" s="39">
        <f t="shared" si="113"/>
        <v>0.71918750000000009</v>
      </c>
      <c r="BQ221" s="37"/>
      <c r="BR221" s="39">
        <f t="shared" si="114"/>
        <v>0.19771635468102619</v>
      </c>
      <c r="BS221" s="37"/>
      <c r="BT221" s="39">
        <f t="shared" si="131"/>
        <v>14.943747265966755</v>
      </c>
      <c r="BU221" s="37"/>
      <c r="BV221" s="39">
        <f t="shared" si="124"/>
        <v>0.12796712710710029</v>
      </c>
      <c r="BW221" s="39">
        <f t="shared" si="109"/>
        <v>0.7882425286523701</v>
      </c>
      <c r="BX221" s="39">
        <f t="shared" si="125"/>
        <v>5.2463256981804138E-2</v>
      </c>
      <c r="BY221" s="39">
        <f t="shared" si="130"/>
        <v>1.9819229064886508</v>
      </c>
      <c r="BZ221" s="37"/>
      <c r="CA221" s="39">
        <f t="shared" si="110"/>
        <v>2.2689153475605734</v>
      </c>
      <c r="CB221" s="39">
        <f t="shared" si="111"/>
        <v>1.0940262682157895</v>
      </c>
      <c r="CC221" s="39">
        <f t="shared" si="129"/>
        <v>5.9932291666666679E-2</v>
      </c>
      <c r="CD221" s="37"/>
      <c r="CE221" s="37"/>
      <c r="CF221" s="37"/>
      <c r="CG221" s="39">
        <f>BP221*(12*AO221+AP221)/4.55</f>
        <v>2.3709478021978025</v>
      </c>
      <c r="CH221" s="39">
        <f t="shared" si="133"/>
        <v>3.694304297694845</v>
      </c>
      <c r="CI221" s="37"/>
      <c r="CJ221" s="37"/>
      <c r="CK221" s="37"/>
      <c r="CL221" s="39">
        <f>BP221*(12*AG221+AH221)/100</f>
        <v>0.69042000000000003</v>
      </c>
      <c r="CM221" s="37"/>
      <c r="CN221" s="37"/>
      <c r="CO221" s="39">
        <f>0.063495+(0.016949+0.014096)*Wages!P219+1.22592*BR221</f>
        <v>0.48449684103056356</v>
      </c>
      <c r="CP221" s="39"/>
      <c r="CQ221" s="39">
        <f t="shared" si="126"/>
        <v>0.48449684103056356</v>
      </c>
      <c r="CR221" s="39">
        <f t="shared" si="135"/>
        <v>0.12796712710710029</v>
      </c>
      <c r="CS221" s="39">
        <f t="shared" si="135"/>
        <v>0.7882425286523701</v>
      </c>
      <c r="CT221" s="39">
        <f t="shared" si="112"/>
        <v>2.2689153475605734</v>
      </c>
      <c r="CU221" s="39">
        <f t="shared" si="112"/>
        <v>1.0940262682157895</v>
      </c>
      <c r="CV221" s="39">
        <f t="shared" si="112"/>
        <v>5.9932291666666679E-2</v>
      </c>
      <c r="CW221" s="39">
        <v>0.08</v>
      </c>
      <c r="CX221" s="39"/>
      <c r="CY221" s="39"/>
      <c r="CZ221" s="39">
        <f t="shared" si="115"/>
        <v>5.2463256981804138E-2</v>
      </c>
      <c r="DA221" s="39">
        <f t="shared" si="134"/>
        <v>3.694304297694845</v>
      </c>
      <c r="DB221" s="39">
        <f t="shared" si="132"/>
        <v>3.2876244570253732</v>
      </c>
      <c r="DC221" s="39">
        <f t="shared" si="116"/>
        <v>1.9819229064886508</v>
      </c>
      <c r="DD221" s="39">
        <f>CG221</f>
        <v>2.3709478021978025</v>
      </c>
      <c r="DE221" s="39">
        <v>1.7999999999999999E-2</v>
      </c>
      <c r="DF221" s="37"/>
      <c r="DG221" s="39">
        <f t="shared" si="117"/>
        <v>0.69042000000000003</v>
      </c>
      <c r="DH221" s="39">
        <f t="shared" si="118"/>
        <v>2.0375820692777906</v>
      </c>
      <c r="DI221" s="37"/>
      <c r="DJ221" s="37"/>
      <c r="DK221" s="37"/>
      <c r="DL221" s="37"/>
      <c r="DM221" s="39">
        <f t="shared" si="127"/>
        <v>0.4652407862680521</v>
      </c>
      <c r="DN221" s="39"/>
      <c r="DO221" s="39">
        <f t="shared" si="128"/>
        <v>0.4652407862680521</v>
      </c>
      <c r="DP221" s="37"/>
      <c r="DQ221" s="37">
        <f>DO221/'Conversions, Sources &amp; Comments'!E219</f>
        <v>0.64689776486389439</v>
      </c>
    </row>
    <row r="222" spans="1:121">
      <c r="A222" s="42">
        <f t="shared" si="119"/>
        <v>1470</v>
      </c>
      <c r="B222" s="36"/>
      <c r="C222" s="38">
        <v>5</v>
      </c>
      <c r="D222" s="38">
        <v>9.75</v>
      </c>
      <c r="E222" s="38">
        <v>3</v>
      </c>
      <c r="F222" s="38">
        <v>4</v>
      </c>
      <c r="G222" s="38">
        <v>1</v>
      </c>
      <c r="H222" s="38">
        <v>9</v>
      </c>
      <c r="I222" s="38">
        <v>5</v>
      </c>
      <c r="J222" s="38">
        <v>4</v>
      </c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8">
        <v>5</v>
      </c>
      <c r="V222" s="36"/>
      <c r="W222" s="36"/>
      <c r="X222" s="38">
        <v>7</v>
      </c>
      <c r="Y222" s="38">
        <v>3.75</v>
      </c>
      <c r="Z222" s="38">
        <v>1</v>
      </c>
      <c r="AA222" s="38">
        <v>3</v>
      </c>
      <c r="AB222" s="36"/>
      <c r="AC222" s="38">
        <v>0</v>
      </c>
      <c r="AD222" s="38">
        <v>7.5</v>
      </c>
      <c r="AE222" s="38">
        <v>0</v>
      </c>
      <c r="AF222" s="38">
        <v>6.75</v>
      </c>
      <c r="AG222" s="36"/>
      <c r="AH222" s="36"/>
      <c r="AI222" s="36"/>
      <c r="AJ222" s="36"/>
      <c r="AK222" s="36"/>
      <c r="AL222" s="36"/>
      <c r="AM222" s="38">
        <v>9</v>
      </c>
      <c r="AN222" s="38">
        <v>0</v>
      </c>
      <c r="AO222" s="38">
        <v>1</v>
      </c>
      <c r="AP222" s="38">
        <v>3</v>
      </c>
      <c r="AQ222" s="38">
        <v>1</v>
      </c>
      <c r="AR222" s="38">
        <v>2.5</v>
      </c>
      <c r="AS222" s="36"/>
      <c r="AT222" s="36"/>
      <c r="AU222" s="36"/>
      <c r="AV222" s="36"/>
      <c r="AW222" s="38">
        <v>2.33</v>
      </c>
      <c r="AX222" s="36"/>
      <c r="AY222" s="36"/>
      <c r="AZ222" s="38">
        <v>38</v>
      </c>
      <c r="BA222" s="38">
        <v>48</v>
      </c>
      <c r="BB222" s="38">
        <v>48</v>
      </c>
      <c r="BC222" s="36"/>
      <c r="BD222" s="36"/>
      <c r="BE222" s="36"/>
      <c r="BF222" s="36"/>
      <c r="BG222" s="59">
        <v>5.17</v>
      </c>
      <c r="BH222" s="59">
        <v>0.57999999999999996</v>
      </c>
      <c r="BI222" s="59">
        <v>6.2179012663408355E-2</v>
      </c>
      <c r="BJ222" s="59"/>
      <c r="BK222" s="38">
        <v>1.4310000000000003</v>
      </c>
      <c r="BL222" s="59">
        <v>0.69</v>
      </c>
      <c r="BM222" s="36"/>
      <c r="BN222" s="38">
        <v>40</v>
      </c>
      <c r="BO222" s="36"/>
      <c r="BP222" s="39">
        <f t="shared" si="113"/>
        <v>0.71918750000000009</v>
      </c>
      <c r="BQ222" s="37"/>
      <c r="BR222" s="39">
        <f t="shared" si="114"/>
        <v>0.17794471921292357</v>
      </c>
      <c r="BS222" s="37"/>
      <c r="BT222" s="39">
        <f t="shared" si="131"/>
        <v>14.943747265966755</v>
      </c>
      <c r="BU222" s="37"/>
      <c r="BV222" s="39">
        <f t="shared" si="124"/>
        <v>0.15827513089562403</v>
      </c>
      <c r="BW222" s="39">
        <f t="shared" si="109"/>
        <v>0.7882425286523701</v>
      </c>
      <c r="BX222" s="39">
        <f t="shared" si="125"/>
        <v>6.5579071227254718E-2</v>
      </c>
      <c r="BY222" s="39">
        <f t="shared" si="130"/>
        <v>1.9819229064886508</v>
      </c>
      <c r="BZ222" s="37"/>
      <c r="CA222" s="39">
        <f t="shared" si="110"/>
        <v>2.2689153475605734</v>
      </c>
      <c r="CB222" s="39">
        <f t="shared" si="111"/>
        <v>1.0940262682157895</v>
      </c>
      <c r="CC222" s="39">
        <f t="shared" si="129"/>
        <v>5.9932291666666679E-2</v>
      </c>
      <c r="CD222" s="39">
        <f>BP222*(12*AM222+AN222)/1000</f>
        <v>7.7672250000000012E-2</v>
      </c>
      <c r="CE222" s="37"/>
      <c r="CF222" s="37"/>
      <c r="CG222" s="39">
        <f>BP222*(12*AO222+AP222)/4.55</f>
        <v>2.3709478021978025</v>
      </c>
      <c r="CH222" s="39">
        <f t="shared" si="133"/>
        <v>3.694304297694845</v>
      </c>
      <c r="CI222" s="37"/>
      <c r="CJ222" s="37"/>
      <c r="CK222" s="39">
        <f>BP222*(12*AC222+AD222)/(35.238*8)</f>
        <v>1.913384077558318E-2</v>
      </c>
      <c r="CL222" s="37"/>
      <c r="CM222" s="39">
        <f>BP222*(12*$AC222+$AD222)/(35.238*8)/0.283</f>
        <v>6.7610744790046584E-2</v>
      </c>
      <c r="CN222" s="37"/>
      <c r="CO222" s="39">
        <f>0.063495+(0.016949+0.014096)*Wages!P220+1.22592*BR222</f>
        <v>0.4602583976775072</v>
      </c>
      <c r="CP222" s="39"/>
      <c r="CQ222" s="39">
        <f t="shared" si="126"/>
        <v>0.4602583976775072</v>
      </c>
      <c r="CR222" s="39">
        <f t="shared" si="135"/>
        <v>0.15827513089562403</v>
      </c>
      <c r="CS222" s="39">
        <f t="shared" si="135"/>
        <v>0.7882425286523701</v>
      </c>
      <c r="CT222" s="39">
        <f t="shared" si="112"/>
        <v>2.2689153475605734</v>
      </c>
      <c r="CU222" s="39">
        <f t="shared" si="112"/>
        <v>1.0940262682157895</v>
      </c>
      <c r="CV222" s="39">
        <f t="shared" si="112"/>
        <v>5.9932291666666679E-2</v>
      </c>
      <c r="CW222" s="39">
        <f>CD222</f>
        <v>7.7672250000000012E-2</v>
      </c>
      <c r="CX222" s="39"/>
      <c r="CY222" s="39"/>
      <c r="CZ222" s="39">
        <f t="shared" si="115"/>
        <v>6.5579071227254718E-2</v>
      </c>
      <c r="DA222" s="39">
        <f t="shared" si="134"/>
        <v>3.694304297694845</v>
      </c>
      <c r="DB222" s="39">
        <f t="shared" si="132"/>
        <v>3.2876244570253732</v>
      </c>
      <c r="DC222" s="39">
        <f t="shared" si="116"/>
        <v>1.9819229064886508</v>
      </c>
      <c r="DD222" s="39">
        <f>CG222</f>
        <v>2.3709478021978025</v>
      </c>
      <c r="DE222" s="39">
        <f>CK222</f>
        <v>1.913384077558318E-2</v>
      </c>
      <c r="DF222" s="37"/>
      <c r="DG222" s="39">
        <f t="shared" si="117"/>
        <v>0</v>
      </c>
      <c r="DH222" s="39">
        <f t="shared" si="118"/>
        <v>2.1659317155969191</v>
      </c>
      <c r="DI222" s="37"/>
      <c r="DJ222" s="37"/>
      <c r="DK222" s="37"/>
      <c r="DL222" s="37"/>
      <c r="DM222" s="39">
        <f t="shared" si="127"/>
        <v>0.46570703485117526</v>
      </c>
      <c r="DN222" s="39"/>
      <c r="DO222" s="39">
        <f t="shared" si="128"/>
        <v>0.46570703485117526</v>
      </c>
      <c r="DP222" s="37"/>
      <c r="DQ222" s="37">
        <f>DO222/'Conversions, Sources &amp; Comments'!E220</f>
        <v>0.64754606392793979</v>
      </c>
    </row>
    <row r="223" spans="1:121">
      <c r="A223" s="42">
        <f t="shared" si="119"/>
        <v>1471</v>
      </c>
      <c r="B223" s="36"/>
      <c r="C223" s="38">
        <v>5</v>
      </c>
      <c r="D223" s="38">
        <v>7.5</v>
      </c>
      <c r="E223" s="38">
        <v>3</v>
      </c>
      <c r="F223" s="38">
        <v>11.25</v>
      </c>
      <c r="G223" s="38">
        <v>1</v>
      </c>
      <c r="H223" s="38">
        <v>10.25</v>
      </c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8">
        <v>5.12</v>
      </c>
      <c r="V223" s="36"/>
      <c r="W223" s="36"/>
      <c r="X223" s="38">
        <v>8</v>
      </c>
      <c r="Y223" s="38">
        <v>0</v>
      </c>
      <c r="Z223" s="36"/>
      <c r="AA223" s="36"/>
      <c r="AB223" s="36"/>
      <c r="AC223" s="36"/>
      <c r="AD223" s="36"/>
      <c r="AE223" s="38">
        <v>0</v>
      </c>
      <c r="AF223" s="38">
        <v>8.25</v>
      </c>
      <c r="AG223" s="36"/>
      <c r="AH223" s="36"/>
      <c r="AI223" s="38">
        <v>2</v>
      </c>
      <c r="AJ223" s="38">
        <v>0</v>
      </c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8">
        <v>2.33</v>
      </c>
      <c r="AX223" s="38">
        <v>3.6</v>
      </c>
      <c r="AY223" s="36"/>
      <c r="AZ223" s="38">
        <v>38</v>
      </c>
      <c r="BA223" s="38">
        <v>48</v>
      </c>
      <c r="BB223" s="36"/>
      <c r="BC223" s="36"/>
      <c r="BD223" s="36"/>
      <c r="BE223" s="36"/>
      <c r="BF223" s="36"/>
      <c r="BG223" s="59">
        <v>4.78</v>
      </c>
      <c r="BH223" s="59">
        <v>0.57999999999999996</v>
      </c>
      <c r="BI223" s="59">
        <v>7.8760082706984036E-2</v>
      </c>
      <c r="BJ223" s="59"/>
      <c r="BK223" s="38">
        <v>1.4310000000000003</v>
      </c>
      <c r="BL223" s="59">
        <v>0.69</v>
      </c>
      <c r="BM223" s="36"/>
      <c r="BN223" s="38">
        <v>40</v>
      </c>
      <c r="BO223" s="36"/>
      <c r="BP223" s="39">
        <f t="shared" si="113"/>
        <v>0.71918750000000009</v>
      </c>
      <c r="BQ223" s="37"/>
      <c r="BR223" s="39">
        <f t="shared" si="114"/>
        <v>0.17220456698024861</v>
      </c>
      <c r="BS223" s="37"/>
      <c r="BT223" s="39">
        <f t="shared" si="131"/>
        <v>14.943747265966755</v>
      </c>
      <c r="BU223" s="37"/>
      <c r="BV223" s="39">
        <f t="shared" si="124"/>
        <v>0.14633561425166017</v>
      </c>
      <c r="BW223" s="39">
        <f t="shared" si="109"/>
        <v>0.7882425286523701</v>
      </c>
      <c r="BX223" s="39">
        <f t="shared" si="125"/>
        <v>8.3066823554522787E-2</v>
      </c>
      <c r="BY223" s="39">
        <v>1.9</v>
      </c>
      <c r="BZ223" s="37"/>
      <c r="CA223" s="39">
        <f t="shared" si="110"/>
        <v>2.2689153475605734</v>
      </c>
      <c r="CB223" s="39">
        <f t="shared" si="111"/>
        <v>1.0940262682157895</v>
      </c>
      <c r="CC223" s="39">
        <f t="shared" si="129"/>
        <v>6.1370666666666678E-2</v>
      </c>
      <c r="CD223" s="37"/>
      <c r="CE223" s="37"/>
      <c r="CF223" s="37"/>
      <c r="CG223" s="37"/>
      <c r="CH223" s="39">
        <f t="shared" si="133"/>
        <v>3.694304297694845</v>
      </c>
      <c r="CI223" s="37"/>
      <c r="CJ223" s="37"/>
      <c r="CK223" s="37"/>
      <c r="CL223" s="37"/>
      <c r="CM223" s="37"/>
      <c r="CN223" s="37"/>
      <c r="CO223" s="39">
        <f>0.063495+(0.016949+0.014096)*Wages!P221+1.22592*BR223</f>
        <v>0.45322143025242634</v>
      </c>
      <c r="CP223" s="39"/>
      <c r="CQ223" s="39">
        <f t="shared" si="126"/>
        <v>0.45322143025242634</v>
      </c>
      <c r="CR223" s="39">
        <f t="shared" si="135"/>
        <v>0.14633561425166017</v>
      </c>
      <c r="CS223" s="39">
        <f t="shared" si="135"/>
        <v>0.7882425286523701</v>
      </c>
      <c r="CT223" s="39">
        <f t="shared" si="112"/>
        <v>2.2689153475605734</v>
      </c>
      <c r="CU223" s="39">
        <f t="shared" si="112"/>
        <v>1.0940262682157895</v>
      </c>
      <c r="CV223" s="39">
        <f t="shared" si="112"/>
        <v>6.1370666666666678E-2</v>
      </c>
      <c r="CW223" s="39">
        <v>0.09</v>
      </c>
      <c r="CX223" s="39"/>
      <c r="CY223" s="39"/>
      <c r="CZ223" s="39">
        <f t="shared" si="115"/>
        <v>8.3066823554522787E-2</v>
      </c>
      <c r="DA223" s="39">
        <f t="shared" si="134"/>
        <v>3.694304297694845</v>
      </c>
      <c r="DB223" s="39">
        <f t="shared" si="132"/>
        <v>3.2876244570253732</v>
      </c>
      <c r="DC223" s="39">
        <f t="shared" si="116"/>
        <v>1.9</v>
      </c>
      <c r="DD223" s="39">
        <v>2.2000000000000002</v>
      </c>
      <c r="DE223" s="39">
        <v>1.7000000000000001E-2</v>
      </c>
      <c r="DF223" s="37"/>
      <c r="DG223" s="39">
        <f t="shared" si="117"/>
        <v>0</v>
      </c>
      <c r="DH223" s="39">
        <f t="shared" si="118"/>
        <v>1.9243830654290244</v>
      </c>
      <c r="DI223" s="37"/>
      <c r="DJ223" s="37"/>
      <c r="DK223" s="37"/>
      <c r="DL223" s="37"/>
      <c r="DM223" s="39">
        <f t="shared" si="127"/>
        <v>0.46447969042538573</v>
      </c>
      <c r="DN223" s="39"/>
      <c r="DO223" s="39">
        <f t="shared" si="128"/>
        <v>0.46447969042538573</v>
      </c>
      <c r="DP223" s="37"/>
      <c r="DQ223" s="37">
        <f>DO223/'Conversions, Sources &amp; Comments'!E221</f>
        <v>0.64583949307431743</v>
      </c>
    </row>
    <row r="224" spans="1:121">
      <c r="A224" s="42">
        <f t="shared" si="119"/>
        <v>1472</v>
      </c>
      <c r="B224" s="36"/>
      <c r="C224" s="38">
        <v>4</v>
      </c>
      <c r="D224" s="38">
        <v>0.75</v>
      </c>
      <c r="E224" s="38">
        <v>3</v>
      </c>
      <c r="F224" s="38">
        <v>5</v>
      </c>
      <c r="G224" s="38">
        <v>1</v>
      </c>
      <c r="H224" s="38">
        <v>10.25</v>
      </c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8">
        <v>5.12</v>
      </c>
      <c r="V224" s="36"/>
      <c r="W224" s="36"/>
      <c r="X224" s="38">
        <v>7</v>
      </c>
      <c r="Y224" s="38">
        <v>2.25</v>
      </c>
      <c r="Z224" s="38">
        <v>1</v>
      </c>
      <c r="AA224" s="38">
        <v>1.5</v>
      </c>
      <c r="AB224" s="36"/>
      <c r="AC224" s="38">
        <v>0</v>
      </c>
      <c r="AD224" s="38">
        <v>6</v>
      </c>
      <c r="AE224" s="38">
        <v>0</v>
      </c>
      <c r="AF224" s="38">
        <v>8.25</v>
      </c>
      <c r="AG224" s="38">
        <v>4</v>
      </c>
      <c r="AH224" s="38">
        <v>0</v>
      </c>
      <c r="AI224" s="38">
        <v>1</v>
      </c>
      <c r="AJ224" s="38">
        <v>8.25</v>
      </c>
      <c r="AK224" s="36"/>
      <c r="AL224" s="36"/>
      <c r="AM224" s="36"/>
      <c r="AN224" s="36"/>
      <c r="AO224" s="38">
        <v>1</v>
      </c>
      <c r="AP224" s="38">
        <v>2</v>
      </c>
      <c r="AQ224" s="38">
        <v>1</v>
      </c>
      <c r="AR224" s="38">
        <v>8.5</v>
      </c>
      <c r="AS224" s="36"/>
      <c r="AT224" s="36"/>
      <c r="AU224" s="36"/>
      <c r="AV224" s="36"/>
      <c r="AW224" s="38">
        <v>2.33</v>
      </c>
      <c r="AX224" s="38">
        <v>6.8</v>
      </c>
      <c r="AY224" s="36"/>
      <c r="AZ224" s="38">
        <v>38</v>
      </c>
      <c r="BA224" s="38">
        <v>52</v>
      </c>
      <c r="BB224" s="38">
        <v>48</v>
      </c>
      <c r="BC224" s="36"/>
      <c r="BD224" s="36"/>
      <c r="BE224" s="36"/>
      <c r="BF224" s="36"/>
      <c r="BG224" s="59">
        <v>3.36</v>
      </c>
      <c r="BH224" s="59">
        <v>0.57999999999999996</v>
      </c>
      <c r="BI224" s="59">
        <v>5.3888477641621364E-2</v>
      </c>
      <c r="BJ224" s="59"/>
      <c r="BK224" s="38">
        <v>1.4310000000000003</v>
      </c>
      <c r="BL224" s="59">
        <v>0.69</v>
      </c>
      <c r="BM224" s="36"/>
      <c r="BN224" s="38">
        <v>40</v>
      </c>
      <c r="BO224" s="36"/>
      <c r="BP224" s="39">
        <f t="shared" si="113"/>
        <v>0.71918750000000009</v>
      </c>
      <c r="BQ224" s="37"/>
      <c r="BR224" s="39">
        <f t="shared" si="114"/>
        <v>0.12436996504129066</v>
      </c>
      <c r="BS224" s="37"/>
      <c r="BT224" s="39">
        <f t="shared" si="131"/>
        <v>14.943747265966755</v>
      </c>
      <c r="BU224" s="37"/>
      <c r="BV224" s="39">
        <f t="shared" si="124"/>
        <v>0.10286352800953516</v>
      </c>
      <c r="BW224" s="39">
        <f t="shared" si="109"/>
        <v>0.7882425286523701</v>
      </c>
      <c r="BX224" s="39">
        <f t="shared" si="125"/>
        <v>5.6835195063621592E-2</v>
      </c>
      <c r="BY224" s="39">
        <f>$BP224*(12*Z224+AA224)/(12*0.453592)</f>
        <v>1.7837306158397856</v>
      </c>
      <c r="BZ224" s="37"/>
      <c r="CA224" s="39">
        <f t="shared" si="110"/>
        <v>2.2689153475605734</v>
      </c>
      <c r="CB224" s="39">
        <f t="shared" si="111"/>
        <v>1.0940262682157895</v>
      </c>
      <c r="CC224" s="39">
        <f t="shared" si="129"/>
        <v>6.1370666666666678E-2</v>
      </c>
      <c r="CD224" s="37"/>
      <c r="CE224" s="37"/>
      <c r="CF224" s="37"/>
      <c r="CG224" s="39">
        <f>BP224*(12*AO224+AP224)/4.55</f>
        <v>2.2128846153846156</v>
      </c>
      <c r="CH224" s="39">
        <f t="shared" si="133"/>
        <v>3.694304297694845</v>
      </c>
      <c r="CI224" s="37"/>
      <c r="CJ224" s="37"/>
      <c r="CK224" s="39">
        <f>BP224*(12*AC224+AD224)/(35.238*8)</f>
        <v>1.5307072620466542E-2</v>
      </c>
      <c r="CL224" s="39">
        <f>BP224*(12*AG224+AH224)/100</f>
        <v>0.34521000000000002</v>
      </c>
      <c r="CM224" s="39">
        <f>BP224*(12*$AC224+$AD224)/(35.238*8)/0.283</f>
        <v>5.4088595832037255E-2</v>
      </c>
      <c r="CN224" s="37"/>
      <c r="CO224" s="39">
        <f>0.063495+(0.016949+0.014096)*Wages!P222+1.22592*BR224</f>
        <v>0.39458003504341899</v>
      </c>
      <c r="CP224" s="39"/>
      <c r="CQ224" s="39">
        <f t="shared" si="126"/>
        <v>0.39458003504341899</v>
      </c>
      <c r="CR224" s="39">
        <f t="shared" si="135"/>
        <v>0.10286352800953516</v>
      </c>
      <c r="CS224" s="39">
        <f t="shared" si="135"/>
        <v>0.7882425286523701</v>
      </c>
      <c r="CT224" s="39">
        <f t="shared" si="112"/>
        <v>2.2689153475605734</v>
      </c>
      <c r="CU224" s="39">
        <f t="shared" si="112"/>
        <v>1.0940262682157895</v>
      </c>
      <c r="CV224" s="39">
        <f t="shared" si="112"/>
        <v>6.1370666666666678E-2</v>
      </c>
      <c r="CW224" s="39">
        <v>0.09</v>
      </c>
      <c r="CX224" s="39"/>
      <c r="CY224" s="39"/>
      <c r="CZ224" s="39">
        <f t="shared" si="115"/>
        <v>5.6835195063621592E-2</v>
      </c>
      <c r="DA224" s="39">
        <f t="shared" si="134"/>
        <v>3.694304297694845</v>
      </c>
      <c r="DB224" s="39">
        <f t="shared" si="132"/>
        <v>3.2876244570253732</v>
      </c>
      <c r="DC224" s="39">
        <f t="shared" si="116"/>
        <v>1.7837306158397856</v>
      </c>
      <c r="DD224" s="39">
        <f>CG224</f>
        <v>2.2128846153846156</v>
      </c>
      <c r="DE224" s="39">
        <f>CK224</f>
        <v>1.5307072620466542E-2</v>
      </c>
      <c r="DF224" s="37"/>
      <c r="DG224" s="39">
        <f t="shared" si="117"/>
        <v>0.34521000000000002</v>
      </c>
      <c r="DH224" s="39">
        <f t="shared" si="118"/>
        <v>1.7327453724775348</v>
      </c>
      <c r="DI224" s="37"/>
      <c r="DJ224" s="37"/>
      <c r="DK224" s="37"/>
      <c r="DL224" s="37"/>
      <c r="DM224" s="39">
        <f t="shared" si="127"/>
        <v>0.418843423882377</v>
      </c>
      <c r="DN224" s="39"/>
      <c r="DO224" s="39">
        <f t="shared" si="128"/>
        <v>0.418843423882377</v>
      </c>
      <c r="DP224" s="37"/>
      <c r="DQ224" s="37">
        <f>DO224/'Conversions, Sources &amp; Comments'!E222</f>
        <v>0.5823841819864457</v>
      </c>
    </row>
    <row r="225" spans="1:121">
      <c r="A225" s="42">
        <f t="shared" si="119"/>
        <v>1473</v>
      </c>
      <c r="B225" s="36"/>
      <c r="C225" s="38">
        <v>3</v>
      </c>
      <c r="D225" s="38">
        <v>10</v>
      </c>
      <c r="E225" s="38">
        <v>3</v>
      </c>
      <c r="F225" s="38">
        <v>6.75</v>
      </c>
      <c r="G225" s="38">
        <v>2</v>
      </c>
      <c r="H225" s="38">
        <v>5</v>
      </c>
      <c r="I225" s="38">
        <v>3</v>
      </c>
      <c r="J225" s="38">
        <v>4</v>
      </c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8">
        <v>5.12</v>
      </c>
      <c r="V225" s="36"/>
      <c r="W225" s="36"/>
      <c r="X225" s="38">
        <v>6</v>
      </c>
      <c r="Y225" s="38">
        <v>9</v>
      </c>
      <c r="Z225" s="38">
        <v>1</v>
      </c>
      <c r="AA225" s="38">
        <v>1.75</v>
      </c>
      <c r="AB225" s="36"/>
      <c r="AC225" s="36"/>
      <c r="AD225" s="36"/>
      <c r="AE225" s="38">
        <v>0</v>
      </c>
      <c r="AF225" s="38">
        <v>8.25</v>
      </c>
      <c r="AG225" s="38">
        <v>3</v>
      </c>
      <c r="AH225" s="38">
        <v>2</v>
      </c>
      <c r="AI225" s="38">
        <v>1</v>
      </c>
      <c r="AJ225" s="38">
        <v>11.5</v>
      </c>
      <c r="AK225" s="36"/>
      <c r="AL225" s="36"/>
      <c r="AM225" s="38">
        <v>14</v>
      </c>
      <c r="AN225" s="38">
        <v>0</v>
      </c>
      <c r="AO225" s="36"/>
      <c r="AP225" s="36"/>
      <c r="AQ225" s="38">
        <v>1</v>
      </c>
      <c r="AR225" s="38">
        <v>1.5</v>
      </c>
      <c r="AS225" s="36"/>
      <c r="AT225" s="36"/>
      <c r="AU225" s="36"/>
      <c r="AV225" s="36"/>
      <c r="AW225" s="38">
        <v>2.33</v>
      </c>
      <c r="AX225" s="38">
        <v>7.2</v>
      </c>
      <c r="AY225" s="36"/>
      <c r="AZ225" s="38">
        <v>38</v>
      </c>
      <c r="BA225" s="38">
        <v>52</v>
      </c>
      <c r="BB225" s="36"/>
      <c r="BC225" s="36"/>
      <c r="BD225" s="36"/>
      <c r="BE225" s="36"/>
      <c r="BF225" s="36"/>
      <c r="BG225" s="59">
        <v>4.4800000000000004</v>
      </c>
      <c r="BH225" s="59">
        <v>0.57999999999999996</v>
      </c>
      <c r="BI225" s="59">
        <v>5.1124965967691241E-2</v>
      </c>
      <c r="BJ225" s="59"/>
      <c r="BK225" s="38">
        <v>1.4310000000000003</v>
      </c>
      <c r="BL225" s="59">
        <v>0.69</v>
      </c>
      <c r="BM225" s="36"/>
      <c r="BN225" s="38">
        <v>40</v>
      </c>
      <c r="BO225" s="36"/>
      <c r="BP225" s="39">
        <f t="shared" si="113"/>
        <v>0.71918750000000009</v>
      </c>
      <c r="BQ225" s="37"/>
      <c r="BR225" s="39">
        <f t="shared" si="114"/>
        <v>0.11735422342357685</v>
      </c>
      <c r="BS225" s="37"/>
      <c r="BT225" s="39">
        <f t="shared" si="131"/>
        <v>14.943747265966755</v>
      </c>
      <c r="BU225" s="37"/>
      <c r="BV225" s="39">
        <f t="shared" si="124"/>
        <v>0.13715137067938024</v>
      </c>
      <c r="BW225" s="39">
        <f t="shared" si="109"/>
        <v>0.7882425286523701</v>
      </c>
      <c r="BX225" s="39">
        <f t="shared" si="125"/>
        <v>5.3920569675742699E-2</v>
      </c>
      <c r="BY225" s="39">
        <f>$BP225*(12*Z225+AA225)/(12*0.453592)</f>
        <v>1.8167626642812633</v>
      </c>
      <c r="BZ225" s="37"/>
      <c r="CA225" s="39">
        <f t="shared" si="110"/>
        <v>2.2689153475605734</v>
      </c>
      <c r="CB225" s="39">
        <f t="shared" si="111"/>
        <v>1.0940262682157895</v>
      </c>
      <c r="CC225" s="39">
        <f t="shared" si="129"/>
        <v>6.1370666666666678E-2</v>
      </c>
      <c r="CD225" s="39">
        <f>BP225*(12*AM225+AN225)/1000</f>
        <v>0.12082350000000001</v>
      </c>
      <c r="CE225" s="37"/>
      <c r="CF225" s="37"/>
      <c r="CG225" s="37"/>
      <c r="CH225" s="39">
        <f t="shared" si="133"/>
        <v>3.694304297694845</v>
      </c>
      <c r="CI225" s="37"/>
      <c r="CJ225" s="37"/>
      <c r="CK225" s="37"/>
      <c r="CL225" s="39">
        <f>BP225*(12*AG225+AH225)/100</f>
        <v>0.27329125000000004</v>
      </c>
      <c r="CM225" s="37"/>
      <c r="CN225" s="37"/>
      <c r="CO225" s="39">
        <f>0.063495+(0.016949+0.014096)*Wages!P223+1.22592*BR225</f>
        <v>0.38597929707943129</v>
      </c>
      <c r="CP225" s="39"/>
      <c r="CQ225" s="39">
        <f t="shared" si="126"/>
        <v>0.38597929707943129</v>
      </c>
      <c r="CR225" s="39">
        <f t="shared" si="135"/>
        <v>0.13715137067938024</v>
      </c>
      <c r="CS225" s="39">
        <f t="shared" si="135"/>
        <v>0.7882425286523701</v>
      </c>
      <c r="CT225" s="39">
        <f t="shared" si="112"/>
        <v>2.2689153475605734</v>
      </c>
      <c r="CU225" s="39">
        <f t="shared" si="112"/>
        <v>1.0940262682157895</v>
      </c>
      <c r="CV225" s="39">
        <f t="shared" si="112"/>
        <v>6.1370666666666678E-2</v>
      </c>
      <c r="CW225" s="39">
        <f>CD225</f>
        <v>0.12082350000000001</v>
      </c>
      <c r="CX225" s="39"/>
      <c r="CY225" s="39"/>
      <c r="CZ225" s="39">
        <f t="shared" si="115"/>
        <v>5.3920569675742699E-2</v>
      </c>
      <c r="DA225" s="39">
        <f t="shared" si="134"/>
        <v>3.694304297694845</v>
      </c>
      <c r="DB225" s="39">
        <f t="shared" si="132"/>
        <v>3.2876244570253732</v>
      </c>
      <c r="DC225" s="39">
        <f t="shared" si="116"/>
        <v>1.8167626642812633</v>
      </c>
      <c r="DD225" s="39">
        <v>1.8</v>
      </c>
      <c r="DE225" s="39">
        <v>1.7999999999999999E-2</v>
      </c>
      <c r="DF225" s="37"/>
      <c r="DG225" s="39">
        <f t="shared" si="117"/>
        <v>0.27329125000000004</v>
      </c>
      <c r="DH225" s="39">
        <f t="shared" si="118"/>
        <v>2.0375820692777906</v>
      </c>
      <c r="DI225" s="37"/>
      <c r="DJ225" s="37"/>
      <c r="DK225" s="37"/>
      <c r="DL225" s="37"/>
      <c r="DM225" s="39">
        <f t="shared" si="127"/>
        <v>0.41938268442655641</v>
      </c>
      <c r="DN225" s="39"/>
      <c r="DO225" s="39">
        <f t="shared" si="128"/>
        <v>0.41938268442655641</v>
      </c>
      <c r="DP225" s="37"/>
      <c r="DQ225" s="37">
        <f>DO225/'Conversions, Sources &amp; Comments'!E223</f>
        <v>0.5831340011145304</v>
      </c>
    </row>
    <row r="226" spans="1:121">
      <c r="A226" s="42">
        <f t="shared" si="119"/>
        <v>1474</v>
      </c>
      <c r="B226" s="36"/>
      <c r="C226" s="38">
        <v>4</v>
      </c>
      <c r="D226" s="38">
        <v>6</v>
      </c>
      <c r="E226" s="38">
        <v>3</v>
      </c>
      <c r="F226" s="38">
        <v>2.75</v>
      </c>
      <c r="G226" s="38">
        <v>1</v>
      </c>
      <c r="H226" s="38">
        <v>5.5</v>
      </c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8">
        <v>5.12</v>
      </c>
      <c r="V226" s="36"/>
      <c r="W226" s="36"/>
      <c r="X226" s="38">
        <v>5</v>
      </c>
      <c r="Y226" s="38">
        <v>9</v>
      </c>
      <c r="Z226" s="36"/>
      <c r="AA226" s="36"/>
      <c r="AB226" s="36"/>
      <c r="AC226" s="38">
        <v>0</v>
      </c>
      <c r="AD226" s="38">
        <v>9</v>
      </c>
      <c r="AE226" s="38">
        <v>0</v>
      </c>
      <c r="AF226" s="38">
        <v>8.25</v>
      </c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8">
        <v>1</v>
      </c>
      <c r="AR226" s="38">
        <v>1.5</v>
      </c>
      <c r="AS226" s="36"/>
      <c r="AT226" s="36"/>
      <c r="AU226" s="36"/>
      <c r="AV226" s="36"/>
      <c r="AW226" s="38">
        <v>2.33</v>
      </c>
      <c r="AX226" s="38">
        <v>4.5999999999999996</v>
      </c>
      <c r="AY226" s="36"/>
      <c r="AZ226" s="38">
        <v>38</v>
      </c>
      <c r="BA226" s="38">
        <v>52</v>
      </c>
      <c r="BB226" s="36"/>
      <c r="BC226" s="36"/>
      <c r="BD226" s="36"/>
      <c r="BE226" s="36"/>
      <c r="BF226" s="36"/>
      <c r="BG226" s="59">
        <v>3.96</v>
      </c>
      <c r="BH226" s="59">
        <v>0.57999999999999996</v>
      </c>
      <c r="BI226" s="59">
        <v>5.1124965967691241E-2</v>
      </c>
      <c r="BJ226" s="59"/>
      <c r="BK226" s="38">
        <v>1.4310000000000003</v>
      </c>
      <c r="BL226" s="59">
        <v>0.69</v>
      </c>
      <c r="BM226" s="36"/>
      <c r="BN226" s="38">
        <v>40</v>
      </c>
      <c r="BO226" s="36"/>
      <c r="BP226" s="39">
        <f t="shared" si="113"/>
        <v>0.71918750000000009</v>
      </c>
      <c r="BQ226" s="37"/>
      <c r="BR226" s="39">
        <f t="shared" si="114"/>
        <v>0.1377636535841989</v>
      </c>
      <c r="BS226" s="37"/>
      <c r="BT226" s="39">
        <f t="shared" si="131"/>
        <v>14.943747265966755</v>
      </c>
      <c r="BU226" s="37"/>
      <c r="BV226" s="39">
        <f t="shared" si="124"/>
        <v>0.12123201515409501</v>
      </c>
      <c r="BW226" s="39">
        <f t="shared" si="109"/>
        <v>0.7882425286523701</v>
      </c>
      <c r="BX226" s="39">
        <f t="shared" si="125"/>
        <v>5.3920569675742699E-2</v>
      </c>
      <c r="BY226" s="39">
        <v>1.7</v>
      </c>
      <c r="BZ226" s="37"/>
      <c r="CA226" s="39">
        <f t="shared" si="110"/>
        <v>2.2689153475605734</v>
      </c>
      <c r="CB226" s="39">
        <f t="shared" si="111"/>
        <v>1.0940262682157895</v>
      </c>
      <c r="CC226" s="39">
        <f t="shared" si="129"/>
        <v>6.1370666666666678E-2</v>
      </c>
      <c r="CD226" s="37"/>
      <c r="CE226" s="37"/>
      <c r="CF226" s="37"/>
      <c r="CG226" s="37"/>
      <c r="CH226" s="39">
        <f t="shared" si="133"/>
        <v>3.694304297694845</v>
      </c>
      <c r="CI226" s="37"/>
      <c r="CJ226" s="37"/>
      <c r="CK226" s="39">
        <f>BP226*(12*AC226+AD226)/(35.238*8)</f>
        <v>2.2960608930699816E-2</v>
      </c>
      <c r="CL226" s="37"/>
      <c r="CM226" s="39">
        <f>BP226*(12*$AC226+$AD226)/(35.238*8)/0.283</f>
        <v>8.1132893748055893E-2</v>
      </c>
      <c r="CN226" s="37"/>
      <c r="CO226" s="39">
        <f>0.063495+(0.016949+0.014096)*Wages!P224+1.22592*BR226</f>
        <v>0.4109996257019411</v>
      </c>
      <c r="CP226" s="39"/>
      <c r="CQ226" s="39">
        <f t="shared" si="126"/>
        <v>0.4109996257019411</v>
      </c>
      <c r="CR226" s="39">
        <f t="shared" si="135"/>
        <v>0.12123201515409501</v>
      </c>
      <c r="CS226" s="39">
        <f t="shared" si="135"/>
        <v>0.7882425286523701</v>
      </c>
      <c r="CT226" s="39">
        <f t="shared" si="112"/>
        <v>2.2689153475605734</v>
      </c>
      <c r="CU226" s="39">
        <f t="shared" si="112"/>
        <v>1.0940262682157895</v>
      </c>
      <c r="CV226" s="39">
        <f t="shared" si="112"/>
        <v>6.1370666666666678E-2</v>
      </c>
      <c r="CW226" s="39">
        <v>0.1</v>
      </c>
      <c r="CX226" s="39"/>
      <c r="CY226" s="39"/>
      <c r="CZ226" s="39">
        <f t="shared" si="115"/>
        <v>5.3920569675742699E-2</v>
      </c>
      <c r="DA226" s="39">
        <f t="shared" si="134"/>
        <v>3.694304297694845</v>
      </c>
      <c r="DB226" s="39">
        <f t="shared" si="132"/>
        <v>3.2876244570253732</v>
      </c>
      <c r="DC226" s="39">
        <f t="shared" si="116"/>
        <v>1.7</v>
      </c>
      <c r="DD226" s="39">
        <v>1.8</v>
      </c>
      <c r="DE226" s="39">
        <f>CK226</f>
        <v>2.2960608930699816E-2</v>
      </c>
      <c r="DF226" s="37"/>
      <c r="DG226" s="39">
        <f t="shared" si="117"/>
        <v>0</v>
      </c>
      <c r="DH226" s="39">
        <f t="shared" si="118"/>
        <v>2.5991180587163027</v>
      </c>
      <c r="DI226" s="37"/>
      <c r="DJ226" s="37"/>
      <c r="DK226" s="37"/>
      <c r="DL226" s="37"/>
      <c r="DM226" s="39">
        <f t="shared" si="127"/>
        <v>0.43439837462284586</v>
      </c>
      <c r="DN226" s="39"/>
      <c r="DO226" s="39">
        <f t="shared" si="128"/>
        <v>0.43439837462284586</v>
      </c>
      <c r="DP226" s="37"/>
      <c r="DQ226" s="37">
        <f>DO226/'Conversions, Sources &amp; Comments'!E224</f>
        <v>0.60401268740466962</v>
      </c>
    </row>
    <row r="227" spans="1:121">
      <c r="A227" s="42">
        <f t="shared" si="119"/>
        <v>1475</v>
      </c>
      <c r="B227" s="36"/>
      <c r="C227" s="38">
        <v>5</v>
      </c>
      <c r="D227" s="38">
        <v>5.25</v>
      </c>
      <c r="E227" s="38">
        <v>3</v>
      </c>
      <c r="F227" s="38">
        <v>2</v>
      </c>
      <c r="G227" s="38">
        <v>1</v>
      </c>
      <c r="H227" s="38">
        <v>11.25</v>
      </c>
      <c r="I227" s="38">
        <v>4</v>
      </c>
      <c r="J227" s="38">
        <v>0</v>
      </c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8">
        <v>5.12</v>
      </c>
      <c r="V227" s="36"/>
      <c r="W227" s="36"/>
      <c r="X227" s="38">
        <v>6</v>
      </c>
      <c r="Y227" s="38">
        <v>2.25</v>
      </c>
      <c r="Z227" s="36"/>
      <c r="AA227" s="36"/>
      <c r="AB227" s="36"/>
      <c r="AC227" s="36"/>
      <c r="AD227" s="36"/>
      <c r="AE227" s="38">
        <v>0</v>
      </c>
      <c r="AF227" s="38">
        <v>8.25</v>
      </c>
      <c r="AG227" s="36"/>
      <c r="AH227" s="36"/>
      <c r="AI227" s="38">
        <v>1</v>
      </c>
      <c r="AJ227" s="38">
        <v>11.5</v>
      </c>
      <c r="AK227" s="36"/>
      <c r="AL227" s="36"/>
      <c r="AM227" s="36"/>
      <c r="AN227" s="36"/>
      <c r="AO227" s="36"/>
      <c r="AP227" s="36"/>
      <c r="AQ227" s="38">
        <v>1</v>
      </c>
      <c r="AR227" s="38">
        <v>2.25</v>
      </c>
      <c r="AS227" s="36"/>
      <c r="AT227" s="36"/>
      <c r="AU227" s="36"/>
      <c r="AV227" s="36"/>
      <c r="AW227" s="38">
        <v>2.33</v>
      </c>
      <c r="AX227" s="38">
        <v>7.8</v>
      </c>
      <c r="AY227" s="36"/>
      <c r="AZ227" s="38">
        <v>38</v>
      </c>
      <c r="BA227" s="38">
        <v>52</v>
      </c>
      <c r="BB227" s="36"/>
      <c r="BC227" s="36"/>
      <c r="BD227" s="36"/>
      <c r="BE227" s="36"/>
      <c r="BF227" s="36"/>
      <c r="BG227" s="59">
        <v>4.18</v>
      </c>
      <c r="BH227" s="59">
        <v>0.57999999999999996</v>
      </c>
      <c r="BI227" s="59">
        <v>3.8689163435009909E-2</v>
      </c>
      <c r="BJ227" s="59"/>
      <c r="BK227" s="38">
        <v>1.4310000000000003</v>
      </c>
      <c r="BL227" s="59">
        <v>0.69</v>
      </c>
      <c r="BM227" s="36"/>
      <c r="BN227" s="38">
        <v>40</v>
      </c>
      <c r="BO227" s="36"/>
      <c r="BP227" s="39">
        <f t="shared" si="113"/>
        <v>0.71918750000000009</v>
      </c>
      <c r="BQ227" s="37"/>
      <c r="BR227" s="39">
        <f t="shared" si="114"/>
        <v>0.16646441474757365</v>
      </c>
      <c r="BS227" s="37"/>
      <c r="BT227" s="39">
        <f t="shared" si="131"/>
        <v>14.943747265966755</v>
      </c>
      <c r="BU227" s="37"/>
      <c r="BV227" s="39">
        <f t="shared" si="124"/>
        <v>0.12796712710710029</v>
      </c>
      <c r="BW227" s="39">
        <f t="shared" si="109"/>
        <v>0.7882425286523701</v>
      </c>
      <c r="BX227" s="39">
        <f t="shared" si="125"/>
        <v>4.0804755430292113E-2</v>
      </c>
      <c r="BY227" s="39">
        <v>1.7</v>
      </c>
      <c r="BZ227" s="37"/>
      <c r="CA227" s="39">
        <f t="shared" si="110"/>
        <v>2.2689153475605734</v>
      </c>
      <c r="CB227" s="39">
        <f t="shared" si="111"/>
        <v>1.0940262682157895</v>
      </c>
      <c r="CC227" s="39">
        <f t="shared" si="129"/>
        <v>6.1370666666666678E-2</v>
      </c>
      <c r="CD227" s="37"/>
      <c r="CE227" s="37"/>
      <c r="CF227" s="37"/>
      <c r="CG227" s="37"/>
      <c r="CH227" s="39">
        <f t="shared" si="133"/>
        <v>3.694304297694845</v>
      </c>
      <c r="CI227" s="37"/>
      <c r="CJ227" s="37"/>
      <c r="CK227" s="37"/>
      <c r="CL227" s="37"/>
      <c r="CM227" s="37"/>
      <c r="CN227" s="37"/>
      <c r="CO227" s="39">
        <f>0.063495+(0.016949+0.014096)*Wages!P225+1.22592*BR227</f>
        <v>0.44618446282734547</v>
      </c>
      <c r="CP227" s="39"/>
      <c r="CQ227" s="39">
        <f t="shared" si="126"/>
        <v>0.44618446282734547</v>
      </c>
      <c r="CR227" s="39">
        <f t="shared" si="135"/>
        <v>0.12796712710710029</v>
      </c>
      <c r="CS227" s="39">
        <f t="shared" si="135"/>
        <v>0.7882425286523701</v>
      </c>
      <c r="CT227" s="39">
        <f t="shared" si="112"/>
        <v>2.2689153475605734</v>
      </c>
      <c r="CU227" s="39">
        <f t="shared" si="112"/>
        <v>1.0940262682157895</v>
      </c>
      <c r="CV227" s="39">
        <f t="shared" si="112"/>
        <v>6.1370666666666678E-2</v>
      </c>
      <c r="CW227" s="39">
        <v>0.1</v>
      </c>
      <c r="CX227" s="39"/>
      <c r="CY227" s="39"/>
      <c r="CZ227" s="39">
        <f t="shared" si="115"/>
        <v>4.0804755430292113E-2</v>
      </c>
      <c r="DA227" s="39">
        <f t="shared" si="134"/>
        <v>3.694304297694845</v>
      </c>
      <c r="DB227" s="39">
        <f t="shared" si="132"/>
        <v>3.2876244570253732</v>
      </c>
      <c r="DC227" s="39">
        <f t="shared" si="116"/>
        <v>1.7</v>
      </c>
      <c r="DD227" s="39">
        <v>1.8</v>
      </c>
      <c r="DE227" s="39">
        <v>2.1000000000000001E-2</v>
      </c>
      <c r="DF227" s="37"/>
      <c r="DG227" s="39">
        <f t="shared" si="117"/>
        <v>0</v>
      </c>
      <c r="DH227" s="39">
        <f t="shared" si="118"/>
        <v>2.3771790808240887</v>
      </c>
      <c r="DI227" s="37"/>
      <c r="DJ227" s="37"/>
      <c r="DK227" s="37"/>
      <c r="DL227" s="37"/>
      <c r="DM227" s="39">
        <f t="shared" si="127"/>
        <v>0.44224870796022869</v>
      </c>
      <c r="DN227" s="39"/>
      <c r="DO227" s="39">
        <f t="shared" si="128"/>
        <v>0.44224870796022869</v>
      </c>
      <c r="DP227" s="37"/>
      <c r="DQ227" s="37">
        <f>DO227/'Conversions, Sources &amp; Comments'!E225</f>
        <v>0.61492824605576246</v>
      </c>
    </row>
    <row r="228" spans="1:121">
      <c r="A228" s="42">
        <f t="shared" si="119"/>
        <v>1476</v>
      </c>
      <c r="B228" s="36"/>
      <c r="C228" s="38">
        <v>5</v>
      </c>
      <c r="D228" s="38">
        <v>1.5</v>
      </c>
      <c r="E228" s="38">
        <v>3</v>
      </c>
      <c r="F228" s="38">
        <v>2</v>
      </c>
      <c r="G228" s="38">
        <v>1</v>
      </c>
      <c r="H228" s="38">
        <v>11.5</v>
      </c>
      <c r="I228" s="38">
        <v>3</v>
      </c>
      <c r="J228" s="38">
        <v>4</v>
      </c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8">
        <v>5.12</v>
      </c>
      <c r="V228" s="36"/>
      <c r="W228" s="36"/>
      <c r="X228" s="38">
        <v>5</v>
      </c>
      <c r="Y228" s="38">
        <v>3</v>
      </c>
      <c r="Z228" s="38">
        <v>1</v>
      </c>
      <c r="AA228" s="38">
        <v>0</v>
      </c>
      <c r="AB228" s="36"/>
      <c r="AC228" s="38">
        <v>0</v>
      </c>
      <c r="AD228" s="38">
        <v>8.5</v>
      </c>
      <c r="AE228" s="38">
        <v>0</v>
      </c>
      <c r="AF228" s="38">
        <v>8.25</v>
      </c>
      <c r="AG228" s="38">
        <v>8</v>
      </c>
      <c r="AH228" s="38">
        <v>0</v>
      </c>
      <c r="AI228" s="38">
        <v>2</v>
      </c>
      <c r="AJ228" s="38">
        <v>6</v>
      </c>
      <c r="AK228" s="36"/>
      <c r="AL228" s="36"/>
      <c r="AM228" s="36"/>
      <c r="AN228" s="36"/>
      <c r="AO228" s="36"/>
      <c r="AP228" s="36"/>
      <c r="AQ228" s="38">
        <v>1</v>
      </c>
      <c r="AR228" s="38">
        <v>1.75</v>
      </c>
      <c r="AS228" s="36"/>
      <c r="AT228" s="36"/>
      <c r="AU228" s="36"/>
      <c r="AV228" s="36"/>
      <c r="AW228" s="38">
        <v>2.33</v>
      </c>
      <c r="AX228" s="38">
        <v>5.1100000000000003</v>
      </c>
      <c r="AY228" s="36"/>
      <c r="AZ228" s="38">
        <v>39</v>
      </c>
      <c r="BA228" s="38">
        <v>53.33</v>
      </c>
      <c r="BB228" s="36"/>
      <c r="BC228" s="36"/>
      <c r="BD228" s="36"/>
      <c r="BE228" s="36"/>
      <c r="BF228" s="36"/>
      <c r="BG228" s="59">
        <v>3.06</v>
      </c>
      <c r="BH228" s="59">
        <v>0.57999999999999996</v>
      </c>
      <c r="BI228" s="59">
        <v>3.8689163435009909E-2</v>
      </c>
      <c r="BJ228" s="59"/>
      <c r="BK228" s="38">
        <v>1.4310000000000003</v>
      </c>
      <c r="BL228" s="59">
        <v>0.69</v>
      </c>
      <c r="BM228" s="36"/>
      <c r="BN228" s="38">
        <v>40</v>
      </c>
      <c r="BO228" s="36"/>
      <c r="BP228" s="39">
        <f t="shared" si="113"/>
        <v>0.71918750000000009</v>
      </c>
      <c r="BQ228" s="37"/>
      <c r="BR228" s="39">
        <f t="shared" si="114"/>
        <v>0.15689749435978206</v>
      </c>
      <c r="BS228" s="37"/>
      <c r="BT228" s="39">
        <f t="shared" si="131"/>
        <v>15.337003772965879</v>
      </c>
      <c r="BU228" s="37"/>
      <c r="BV228" s="39">
        <f t="shared" si="124"/>
        <v>9.3679284437255234E-2</v>
      </c>
      <c r="BW228" s="39">
        <f t="shared" si="109"/>
        <v>0.7882425286523701</v>
      </c>
      <c r="BX228" s="39">
        <f t="shared" si="125"/>
        <v>4.0804755430292113E-2</v>
      </c>
      <c r="BY228" s="39">
        <f>$BP228*(12*Z228+AA228)/(12*0.453592)</f>
        <v>1.5855383251909205</v>
      </c>
      <c r="BZ228" s="37"/>
      <c r="CA228" s="39">
        <f t="shared" si="110"/>
        <v>2.2689153475605734</v>
      </c>
      <c r="CB228" s="39">
        <f t="shared" si="111"/>
        <v>1.0940262682157895</v>
      </c>
      <c r="CC228" s="39">
        <f t="shared" si="129"/>
        <v>6.1370666666666678E-2</v>
      </c>
      <c r="CD228" s="37"/>
      <c r="CE228" s="37"/>
      <c r="CF228" s="37"/>
      <c r="CG228" s="37"/>
      <c r="CH228" s="39">
        <f t="shared" si="133"/>
        <v>3.694304297694845</v>
      </c>
      <c r="CI228" s="37"/>
      <c r="CJ228" s="37"/>
      <c r="CK228" s="39">
        <f t="shared" ref="CK228:CK235" si="136">BP228*(12*AC228+AD228)/(35.238*8)</f>
        <v>2.1685019545660936E-2</v>
      </c>
      <c r="CL228" s="39">
        <f>BP228*(12*AG228+AH228)/100</f>
        <v>0.69042000000000003</v>
      </c>
      <c r="CM228" s="39">
        <f t="shared" ref="CM228:CM235" si="137">BP228*(12*$AC228+$AD228)/(35.238*8)/0.283</f>
        <v>7.662551076205279E-2</v>
      </c>
      <c r="CN228" s="37"/>
      <c r="CO228" s="39">
        <f>0.063495+(0.016949+0.014096)*Wages!P226+1.22592*BR228</f>
        <v>0.43445618378554396</v>
      </c>
      <c r="CP228" s="39"/>
      <c r="CQ228" s="39">
        <f t="shared" si="126"/>
        <v>0.43445618378554396</v>
      </c>
      <c r="CR228" s="39">
        <f t="shared" si="135"/>
        <v>9.3679284437255234E-2</v>
      </c>
      <c r="CS228" s="39">
        <f t="shared" si="135"/>
        <v>0.7882425286523701</v>
      </c>
      <c r="CT228" s="39">
        <f t="shared" si="112"/>
        <v>2.2689153475605734</v>
      </c>
      <c r="CU228" s="39">
        <f t="shared" si="112"/>
        <v>1.0940262682157895</v>
      </c>
      <c r="CV228" s="39">
        <f t="shared" si="112"/>
        <v>6.1370666666666678E-2</v>
      </c>
      <c r="CW228" s="39">
        <v>0.1</v>
      </c>
      <c r="CX228" s="39"/>
      <c r="CY228" s="39"/>
      <c r="CZ228" s="39">
        <f t="shared" si="115"/>
        <v>4.0804755430292113E-2</v>
      </c>
      <c r="DA228" s="39">
        <f t="shared" si="134"/>
        <v>3.694304297694845</v>
      </c>
      <c r="DB228" s="39">
        <f t="shared" si="132"/>
        <v>3.3741408901049881</v>
      </c>
      <c r="DC228" s="39">
        <f t="shared" si="116"/>
        <v>1.5855383251909205</v>
      </c>
      <c r="DD228" s="39">
        <v>1.8</v>
      </c>
      <c r="DE228" s="39">
        <f t="shared" ref="DE228:DE235" si="138">CK228</f>
        <v>2.1685019545660936E-2</v>
      </c>
      <c r="DF228" s="37"/>
      <c r="DG228" s="39">
        <f t="shared" si="117"/>
        <v>0.69042000000000003</v>
      </c>
      <c r="DH228" s="39">
        <f t="shared" si="118"/>
        <v>2.4547226110098412</v>
      </c>
      <c r="DI228" s="37"/>
      <c r="DJ228" s="37"/>
      <c r="DK228" s="37"/>
      <c r="DL228" s="37"/>
      <c r="DM228" s="39">
        <f t="shared" si="127"/>
        <v>0.43406643324445687</v>
      </c>
      <c r="DN228" s="39"/>
      <c r="DO228" s="39">
        <f t="shared" si="128"/>
        <v>0.43406643324445687</v>
      </c>
      <c r="DP228" s="37"/>
      <c r="DQ228" s="37">
        <f>DO228/'Conversions, Sources &amp; Comments'!E226</f>
        <v>0.6035511368655001</v>
      </c>
    </row>
    <row r="229" spans="1:121">
      <c r="A229" s="42">
        <f t="shared" si="119"/>
        <v>1477</v>
      </c>
      <c r="B229" s="36"/>
      <c r="C229" s="38">
        <v>6</v>
      </c>
      <c r="D229" s="38">
        <v>8</v>
      </c>
      <c r="E229" s="38">
        <v>3</v>
      </c>
      <c r="F229" s="38">
        <v>2.75</v>
      </c>
      <c r="G229" s="38">
        <v>1</v>
      </c>
      <c r="H229" s="38">
        <v>8</v>
      </c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8">
        <v>5.12</v>
      </c>
      <c r="V229" s="36"/>
      <c r="W229" s="36"/>
      <c r="X229" s="38">
        <v>5</v>
      </c>
      <c r="Y229" s="38">
        <v>3</v>
      </c>
      <c r="Z229" s="36"/>
      <c r="AA229" s="36"/>
      <c r="AB229" s="36"/>
      <c r="AC229" s="38">
        <v>0</v>
      </c>
      <c r="AD229" s="38">
        <v>9</v>
      </c>
      <c r="AE229" s="38">
        <v>0</v>
      </c>
      <c r="AF229" s="38">
        <v>8.25</v>
      </c>
      <c r="AG229" s="36"/>
      <c r="AH229" s="36"/>
      <c r="AI229" s="38">
        <v>1</v>
      </c>
      <c r="AJ229" s="38">
        <v>2</v>
      </c>
      <c r="AK229" s="36"/>
      <c r="AL229" s="36"/>
      <c r="AM229" s="36"/>
      <c r="AN229" s="36"/>
      <c r="AO229" s="36"/>
      <c r="AP229" s="36"/>
      <c r="AQ229" s="38">
        <v>1</v>
      </c>
      <c r="AR229" s="38">
        <v>2</v>
      </c>
      <c r="AS229" s="36"/>
      <c r="AT229" s="36"/>
      <c r="AU229" s="36"/>
      <c r="AV229" s="36"/>
      <c r="AW229" s="38">
        <v>2.33</v>
      </c>
      <c r="AX229" s="36"/>
      <c r="AY229" s="36"/>
      <c r="AZ229" s="38">
        <v>40</v>
      </c>
      <c r="BA229" s="38">
        <v>53.33</v>
      </c>
      <c r="BB229" s="36"/>
      <c r="BC229" s="36"/>
      <c r="BD229" s="36"/>
      <c r="BE229" s="36"/>
      <c r="BF229" s="36"/>
      <c r="BG229" s="59">
        <v>4.18</v>
      </c>
      <c r="BH229" s="59">
        <v>0.57999999999999996</v>
      </c>
      <c r="BI229" s="59">
        <v>4.1452675108938339E-2</v>
      </c>
      <c r="BJ229" s="59"/>
      <c r="BK229" s="38">
        <v>1.4310000000000003</v>
      </c>
      <c r="BL229" s="59">
        <v>0.69</v>
      </c>
      <c r="BM229" s="36"/>
      <c r="BN229" s="38">
        <v>40</v>
      </c>
      <c r="BO229" s="36"/>
      <c r="BP229" s="39">
        <f t="shared" si="113"/>
        <v>0.71918750000000009</v>
      </c>
      <c r="BQ229" s="37"/>
      <c r="BR229" s="39">
        <f t="shared" si="114"/>
        <v>0.20409430160622061</v>
      </c>
      <c r="BS229" s="37"/>
      <c r="BT229" s="39">
        <f t="shared" si="131"/>
        <v>15.730260279965007</v>
      </c>
      <c r="BU229" s="37"/>
      <c r="BV229" s="39">
        <f t="shared" si="124"/>
        <v>0.12796712710710029</v>
      </c>
      <c r="BW229" s="39">
        <f t="shared" si="109"/>
        <v>0.7882425286523701</v>
      </c>
      <c r="BX229" s="39">
        <f t="shared" si="125"/>
        <v>4.3719380818169229E-2</v>
      </c>
      <c r="BY229" s="39">
        <v>1.6</v>
      </c>
      <c r="BZ229" s="37"/>
      <c r="CA229" s="39">
        <f t="shared" si="110"/>
        <v>2.2689153475605734</v>
      </c>
      <c r="CB229" s="39">
        <f t="shared" si="111"/>
        <v>1.0940262682157895</v>
      </c>
      <c r="CC229" s="39">
        <f t="shared" si="129"/>
        <v>6.1370666666666678E-2</v>
      </c>
      <c r="CD229" s="37"/>
      <c r="CE229" s="37"/>
      <c r="CF229" s="37"/>
      <c r="CG229" s="37"/>
      <c r="CH229" s="39">
        <f t="shared" si="133"/>
        <v>3.694304297694845</v>
      </c>
      <c r="CI229" s="37"/>
      <c r="CJ229" s="37"/>
      <c r="CK229" s="39">
        <f t="shared" si="136"/>
        <v>2.2960608930699816E-2</v>
      </c>
      <c r="CL229" s="37"/>
      <c r="CM229" s="39">
        <f t="shared" si="137"/>
        <v>8.1132893748055893E-2</v>
      </c>
      <c r="CN229" s="37"/>
      <c r="CO229" s="39">
        <f>0.063495+(0.016949+0.014096)*Wages!P227+1.22592*BR229</f>
        <v>0.49231569372509798</v>
      </c>
      <c r="CP229" s="39"/>
      <c r="CQ229" s="39">
        <f t="shared" si="126"/>
        <v>0.49231569372509798</v>
      </c>
      <c r="CR229" s="39">
        <f t="shared" si="135"/>
        <v>0.12796712710710029</v>
      </c>
      <c r="CS229" s="39">
        <f t="shared" si="135"/>
        <v>0.7882425286523701</v>
      </c>
      <c r="CT229" s="39">
        <f t="shared" si="112"/>
        <v>2.2689153475605734</v>
      </c>
      <c r="CU229" s="39">
        <f t="shared" si="112"/>
        <v>1.0940262682157895</v>
      </c>
      <c r="CV229" s="39">
        <f t="shared" si="112"/>
        <v>6.1370666666666678E-2</v>
      </c>
      <c r="CW229" s="39">
        <v>0.1</v>
      </c>
      <c r="CX229" s="39"/>
      <c r="CY229" s="39"/>
      <c r="CZ229" s="39">
        <f t="shared" si="115"/>
        <v>4.3719380818169229E-2</v>
      </c>
      <c r="DA229" s="39">
        <f t="shared" si="134"/>
        <v>3.694304297694845</v>
      </c>
      <c r="DB229" s="39">
        <f t="shared" si="132"/>
        <v>3.4606573231846038</v>
      </c>
      <c r="DC229" s="39">
        <f t="shared" si="116"/>
        <v>1.6</v>
      </c>
      <c r="DD229" s="39">
        <v>1.8</v>
      </c>
      <c r="DE229" s="39">
        <f t="shared" si="138"/>
        <v>2.2960608930699816E-2</v>
      </c>
      <c r="DF229" s="37"/>
      <c r="DG229" s="39">
        <f t="shared" si="117"/>
        <v>0</v>
      </c>
      <c r="DH229" s="39">
        <f t="shared" si="118"/>
        <v>2.5991180587163027</v>
      </c>
      <c r="DI229" s="37"/>
      <c r="DJ229" s="37"/>
      <c r="DK229" s="37"/>
      <c r="DL229" s="37"/>
      <c r="DM229" s="39">
        <f t="shared" si="127"/>
        <v>0.46789642646173712</v>
      </c>
      <c r="DN229" s="39"/>
      <c r="DO229" s="39">
        <f t="shared" si="128"/>
        <v>0.46789642646173712</v>
      </c>
      <c r="DP229" s="37"/>
      <c r="DQ229" s="37">
        <f>DO229/'Conversions, Sources &amp; Comments'!E227</f>
        <v>0.65059032096878366</v>
      </c>
    </row>
    <row r="230" spans="1:121">
      <c r="A230" s="42">
        <f t="shared" si="119"/>
        <v>1478</v>
      </c>
      <c r="B230" s="36"/>
      <c r="C230" s="38">
        <v>6</v>
      </c>
      <c r="D230" s="38">
        <v>7.25</v>
      </c>
      <c r="E230" s="38">
        <v>2</v>
      </c>
      <c r="F230" s="38">
        <v>9</v>
      </c>
      <c r="G230" s="38">
        <v>1</v>
      </c>
      <c r="H230" s="38">
        <v>10</v>
      </c>
      <c r="I230" s="38">
        <v>4</v>
      </c>
      <c r="J230" s="38">
        <v>0</v>
      </c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8">
        <v>5.12</v>
      </c>
      <c r="V230" s="36"/>
      <c r="W230" s="36"/>
      <c r="X230" s="38">
        <v>5</v>
      </c>
      <c r="Y230" s="38">
        <v>7</v>
      </c>
      <c r="Z230" s="38">
        <v>1</v>
      </c>
      <c r="AA230" s="38">
        <v>0</v>
      </c>
      <c r="AB230" s="36"/>
      <c r="AC230" s="38">
        <v>0</v>
      </c>
      <c r="AD230" s="38">
        <v>9</v>
      </c>
      <c r="AE230" s="38">
        <v>0</v>
      </c>
      <c r="AF230" s="38">
        <v>8.25</v>
      </c>
      <c r="AG230" s="36"/>
      <c r="AH230" s="36"/>
      <c r="AI230" s="38">
        <v>1</v>
      </c>
      <c r="AJ230" s="38">
        <v>11.5</v>
      </c>
      <c r="AK230" s="36"/>
      <c r="AL230" s="36"/>
      <c r="AM230" s="36"/>
      <c r="AN230" s="36"/>
      <c r="AO230" s="36"/>
      <c r="AP230" s="36"/>
      <c r="AQ230" s="38">
        <v>1</v>
      </c>
      <c r="AR230" s="38">
        <v>3</v>
      </c>
      <c r="AS230" s="36"/>
      <c r="AT230" s="36"/>
      <c r="AU230" s="36"/>
      <c r="AV230" s="38">
        <v>23</v>
      </c>
      <c r="AW230" s="38">
        <v>2.33</v>
      </c>
      <c r="AX230" s="38">
        <v>5.6</v>
      </c>
      <c r="AY230" s="36"/>
      <c r="AZ230" s="36"/>
      <c r="BA230" s="36"/>
      <c r="BB230" s="36"/>
      <c r="BC230" s="36"/>
      <c r="BD230" s="36"/>
      <c r="BE230" s="36"/>
      <c r="BF230" s="36"/>
      <c r="BG230" s="59">
        <v>4.18</v>
      </c>
      <c r="BH230" s="59">
        <v>0.57999999999999996</v>
      </c>
      <c r="BI230" s="59">
        <v>7.185130352216125E-2</v>
      </c>
      <c r="BJ230" s="59"/>
      <c r="BK230" s="38">
        <v>1.4310000000000003</v>
      </c>
      <c r="BL230" s="59">
        <v>0.8</v>
      </c>
      <c r="BM230" s="36"/>
      <c r="BN230" s="38">
        <v>40</v>
      </c>
      <c r="BO230" s="36"/>
      <c r="BP230" s="39">
        <f t="shared" si="113"/>
        <v>0.71918750000000009</v>
      </c>
      <c r="BQ230" s="37"/>
      <c r="BR230" s="39">
        <f t="shared" si="114"/>
        <v>0.20218091752866227</v>
      </c>
      <c r="BS230" s="37"/>
      <c r="BT230" s="37"/>
      <c r="BU230" s="37"/>
      <c r="BV230" s="39">
        <f t="shared" si="124"/>
        <v>0.12796712710710029</v>
      </c>
      <c r="BW230" s="39">
        <f t="shared" si="109"/>
        <v>0.7882425286523701</v>
      </c>
      <c r="BX230" s="39">
        <f t="shared" si="125"/>
        <v>7.5780260084828202E-2</v>
      </c>
      <c r="BY230" s="39">
        <f>$BP230*(12*Z230+AA230)/(12*0.453592)</f>
        <v>1.5855383251909205</v>
      </c>
      <c r="BZ230" s="37"/>
      <c r="CA230" s="39">
        <f t="shared" si="110"/>
        <v>2.2689153475605734</v>
      </c>
      <c r="CB230" s="39">
        <f t="shared" si="111"/>
        <v>1.268436253003814</v>
      </c>
      <c r="CC230" s="39">
        <f t="shared" si="129"/>
        <v>6.1370666666666678E-2</v>
      </c>
      <c r="CD230" s="37"/>
      <c r="CE230" s="39">
        <f>$BP230*12*AV230/120</f>
        <v>1.6541312500000001</v>
      </c>
      <c r="CF230" s="37"/>
      <c r="CG230" s="37"/>
      <c r="CH230" s="39">
        <f t="shared" si="133"/>
        <v>3.694304297694845</v>
      </c>
      <c r="CI230" s="37"/>
      <c r="CJ230" s="37"/>
      <c r="CK230" s="39">
        <f t="shared" si="136"/>
        <v>2.2960608930699816E-2</v>
      </c>
      <c r="CL230" s="37"/>
      <c r="CM230" s="39">
        <f t="shared" si="137"/>
        <v>8.1132893748055893E-2</v>
      </c>
      <c r="CN230" s="37"/>
      <c r="CO230" s="39">
        <f>0.063495+(0.016949+0.014096)*Wages!P228+1.22592*BR230</f>
        <v>0.48997003791673766</v>
      </c>
      <c r="CP230" s="39"/>
      <c r="CQ230" s="39">
        <f t="shared" si="126"/>
        <v>0.48997003791673766</v>
      </c>
      <c r="CR230" s="39">
        <f t="shared" si="135"/>
        <v>0.12796712710710029</v>
      </c>
      <c r="CS230" s="39">
        <f t="shared" si="135"/>
        <v>0.7882425286523701</v>
      </c>
      <c r="CT230" s="39">
        <f t="shared" si="112"/>
        <v>2.2689153475605734</v>
      </c>
      <c r="CU230" s="39">
        <f t="shared" si="112"/>
        <v>1.268436253003814</v>
      </c>
      <c r="CV230" s="39">
        <f t="shared" si="112"/>
        <v>6.1370666666666678E-2</v>
      </c>
      <c r="CW230" s="39">
        <v>0.1</v>
      </c>
      <c r="CX230" s="39"/>
      <c r="CY230" s="39"/>
      <c r="CZ230" s="39">
        <f t="shared" si="115"/>
        <v>7.5780260084828202E-2</v>
      </c>
      <c r="DA230" s="39">
        <f t="shared" si="134"/>
        <v>3.694304297694845</v>
      </c>
      <c r="DB230" s="39">
        <v>3.460657323184603</v>
      </c>
      <c r="DC230" s="39">
        <f t="shared" si="116"/>
        <v>1.5855383251909205</v>
      </c>
      <c r="DD230" s="39">
        <v>1.8</v>
      </c>
      <c r="DE230" s="39">
        <f t="shared" si="138"/>
        <v>2.2960608930699816E-2</v>
      </c>
      <c r="DF230" s="37"/>
      <c r="DG230" s="39">
        <f t="shared" si="117"/>
        <v>0</v>
      </c>
      <c r="DH230" s="39">
        <f t="shared" si="118"/>
        <v>2.5991180587163027</v>
      </c>
      <c r="DI230" s="37"/>
      <c r="DJ230" s="37"/>
      <c r="DK230" s="37"/>
      <c r="DL230" s="37"/>
      <c r="DM230" s="39">
        <f t="shared" si="127"/>
        <v>0.48302663110157934</v>
      </c>
      <c r="DN230" s="39"/>
      <c r="DO230" s="39">
        <f t="shared" si="128"/>
        <v>0.48302663110157934</v>
      </c>
      <c r="DP230" s="37"/>
      <c r="DQ230" s="37">
        <f>DO230/'Conversions, Sources &amp; Comments'!E228</f>
        <v>0.67162823478102618</v>
      </c>
    </row>
    <row r="231" spans="1:121">
      <c r="A231" s="42">
        <f t="shared" si="119"/>
        <v>1479</v>
      </c>
      <c r="B231" s="36"/>
      <c r="C231" s="38">
        <v>5</v>
      </c>
      <c r="D231" s="38">
        <v>10.25</v>
      </c>
      <c r="E231" s="38">
        <v>3</v>
      </c>
      <c r="F231" s="38">
        <v>4.5</v>
      </c>
      <c r="G231" s="38">
        <v>1</v>
      </c>
      <c r="H231" s="38">
        <v>7</v>
      </c>
      <c r="I231" s="38">
        <v>3</v>
      </c>
      <c r="J231" s="38">
        <v>4</v>
      </c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8">
        <v>5.12</v>
      </c>
      <c r="V231" s="36"/>
      <c r="W231" s="36"/>
      <c r="X231" s="38">
        <v>5</v>
      </c>
      <c r="Y231" s="38">
        <v>9</v>
      </c>
      <c r="Z231" s="36"/>
      <c r="AA231" s="36"/>
      <c r="AB231" s="36"/>
      <c r="AC231" s="38">
        <v>0</v>
      </c>
      <c r="AD231" s="38">
        <v>8</v>
      </c>
      <c r="AE231" s="38">
        <v>0</v>
      </c>
      <c r="AF231" s="38">
        <v>8.25</v>
      </c>
      <c r="AG231" s="36"/>
      <c r="AH231" s="36"/>
      <c r="AI231" s="38">
        <v>1</v>
      </c>
      <c r="AJ231" s="38">
        <v>11</v>
      </c>
      <c r="AK231" s="36"/>
      <c r="AL231" s="36"/>
      <c r="AM231" s="36"/>
      <c r="AN231" s="36"/>
      <c r="AO231" s="38">
        <v>0</v>
      </c>
      <c r="AP231" s="38">
        <v>9</v>
      </c>
      <c r="AQ231" s="38">
        <v>1</v>
      </c>
      <c r="AR231" s="38">
        <v>1</v>
      </c>
      <c r="AS231" s="36"/>
      <c r="AT231" s="36"/>
      <c r="AU231" s="36"/>
      <c r="AV231" s="36"/>
      <c r="AW231" s="38">
        <v>2.33</v>
      </c>
      <c r="AX231" s="38">
        <v>5.8</v>
      </c>
      <c r="AY231" s="36"/>
      <c r="AZ231" s="38">
        <v>40</v>
      </c>
      <c r="BA231" s="38">
        <v>52.6</v>
      </c>
      <c r="BB231" s="36"/>
      <c r="BC231" s="36"/>
      <c r="BD231" s="36"/>
      <c r="BE231" s="36"/>
      <c r="BF231" s="36"/>
      <c r="BG231" s="59">
        <v>4.18</v>
      </c>
      <c r="BH231" s="59">
        <v>0.57999999999999996</v>
      </c>
      <c r="BI231" s="59">
        <v>5.8033745152514013E-2</v>
      </c>
      <c r="BJ231" s="59"/>
      <c r="BK231" s="38">
        <v>1.4310000000000003</v>
      </c>
      <c r="BL231" s="59">
        <v>0.8</v>
      </c>
      <c r="BM231" s="36"/>
      <c r="BN231" s="38">
        <v>40</v>
      </c>
      <c r="BO231" s="36"/>
      <c r="BP231" s="39">
        <f t="shared" si="113"/>
        <v>0.71918750000000009</v>
      </c>
      <c r="BQ231" s="37"/>
      <c r="BR231" s="39">
        <f t="shared" si="114"/>
        <v>0.17922030859796245</v>
      </c>
      <c r="BS231" s="37"/>
      <c r="BT231" s="39">
        <f>BP231*12*AZ231/(24*0.9144)</f>
        <v>15.730260279965007</v>
      </c>
      <c r="BU231" s="37"/>
      <c r="BV231" s="39">
        <f t="shared" si="124"/>
        <v>0.12796712710710029</v>
      </c>
      <c r="BW231" s="39">
        <f t="shared" si="109"/>
        <v>0.7882425286523701</v>
      </c>
      <c r="BX231" s="39">
        <f t="shared" si="125"/>
        <v>6.1207133145437277E-2</v>
      </c>
      <c r="BY231" s="39">
        <v>2</v>
      </c>
      <c r="BZ231" s="37"/>
      <c r="CA231" s="39">
        <f t="shared" si="110"/>
        <v>2.2689153475605734</v>
      </c>
      <c r="CB231" s="39">
        <f t="shared" si="111"/>
        <v>1.268436253003814</v>
      </c>
      <c r="CC231" s="39">
        <f t="shared" si="129"/>
        <v>6.1370666666666678E-2</v>
      </c>
      <c r="CD231" s="37"/>
      <c r="CE231" s="37"/>
      <c r="CF231" s="37"/>
      <c r="CG231" s="39">
        <f t="shared" ref="CG231:CG237" si="139">BP231*(12*AO231+AP231)/4.55</f>
        <v>1.4225686813186815</v>
      </c>
      <c r="CH231" s="39">
        <f t="shared" si="133"/>
        <v>3.694304297694845</v>
      </c>
      <c r="CI231" s="37"/>
      <c r="CJ231" s="37"/>
      <c r="CK231" s="39">
        <f t="shared" si="136"/>
        <v>2.040943016062206E-2</v>
      </c>
      <c r="CL231" s="37"/>
      <c r="CM231" s="39">
        <f t="shared" si="137"/>
        <v>7.2118127776049687E-2</v>
      </c>
      <c r="CN231" s="37"/>
      <c r="CO231" s="39">
        <f>0.063495+(0.016949+0.014096)*Wages!P229+1.22592*BR231</f>
        <v>0.46182216821641409</v>
      </c>
      <c r="CP231" s="39"/>
      <c r="CQ231" s="39">
        <f t="shared" si="126"/>
        <v>0.46182216821641409</v>
      </c>
      <c r="CR231" s="39">
        <f t="shared" si="135"/>
        <v>0.12796712710710029</v>
      </c>
      <c r="CS231" s="39">
        <f t="shared" si="135"/>
        <v>0.7882425286523701</v>
      </c>
      <c r="CT231" s="39">
        <f t="shared" si="112"/>
        <v>2.2689153475605734</v>
      </c>
      <c r="CU231" s="39">
        <f t="shared" si="112"/>
        <v>1.268436253003814</v>
      </c>
      <c r="CV231" s="39">
        <f t="shared" si="112"/>
        <v>6.1370666666666678E-2</v>
      </c>
      <c r="CW231" s="39">
        <v>0.1</v>
      </c>
      <c r="CX231" s="39"/>
      <c r="CY231" s="39"/>
      <c r="CZ231" s="39">
        <f t="shared" si="115"/>
        <v>6.1207133145437277E-2</v>
      </c>
      <c r="DA231" s="39">
        <f t="shared" si="134"/>
        <v>3.694304297694845</v>
      </c>
      <c r="DB231" s="39">
        <v>3.460657323184603</v>
      </c>
      <c r="DC231" s="39">
        <f t="shared" si="116"/>
        <v>2</v>
      </c>
      <c r="DD231" s="39">
        <f t="shared" ref="DD231:DD237" si="140">CG231</f>
        <v>1.4225686813186815</v>
      </c>
      <c r="DE231" s="39">
        <f t="shared" si="138"/>
        <v>2.040943016062206E-2</v>
      </c>
      <c r="DF231" s="37"/>
      <c r="DG231" s="39">
        <f t="shared" si="117"/>
        <v>0</v>
      </c>
      <c r="DH231" s="39">
        <f t="shared" si="118"/>
        <v>2.3103271633033802</v>
      </c>
      <c r="DI231" s="37"/>
      <c r="DJ231" s="37"/>
      <c r="DK231" s="37"/>
      <c r="DL231" s="37"/>
      <c r="DM231" s="39">
        <f t="shared" si="127"/>
        <v>0.46103837965716521</v>
      </c>
      <c r="DN231" s="39"/>
      <c r="DO231" s="39">
        <f t="shared" si="128"/>
        <v>0.46103837965716521</v>
      </c>
      <c r="DP231" s="37"/>
      <c r="DQ231" s="37">
        <f>DO231/'Conversions, Sources &amp; Comments'!E229</f>
        <v>0.6410544950477659</v>
      </c>
    </row>
    <row r="232" spans="1:121">
      <c r="A232" s="42">
        <f t="shared" si="119"/>
        <v>1480</v>
      </c>
      <c r="B232" s="36"/>
      <c r="C232" s="38">
        <v>5</v>
      </c>
      <c r="D232" s="38">
        <v>10</v>
      </c>
      <c r="E232" s="38">
        <v>3</v>
      </c>
      <c r="F232" s="38">
        <v>0</v>
      </c>
      <c r="G232" s="38">
        <v>1</v>
      </c>
      <c r="H232" s="38">
        <v>11.25</v>
      </c>
      <c r="I232" s="38">
        <v>3</v>
      </c>
      <c r="J232" s="38">
        <v>4</v>
      </c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8">
        <v>5.12</v>
      </c>
      <c r="V232" s="36"/>
      <c r="W232" s="36"/>
      <c r="X232" s="38">
        <v>5</v>
      </c>
      <c r="Y232" s="38">
        <v>9.25</v>
      </c>
      <c r="Z232" s="38">
        <v>1</v>
      </c>
      <c r="AA232" s="38">
        <v>7</v>
      </c>
      <c r="AB232" s="36"/>
      <c r="AC232" s="38">
        <v>0</v>
      </c>
      <c r="AD232" s="38">
        <v>8</v>
      </c>
      <c r="AE232" s="38">
        <v>0</v>
      </c>
      <c r="AF232" s="38">
        <v>8.25</v>
      </c>
      <c r="AG232" s="36"/>
      <c r="AH232" s="36"/>
      <c r="AI232" s="38">
        <v>1</v>
      </c>
      <c r="AJ232" s="38">
        <v>1</v>
      </c>
      <c r="AK232" s="36"/>
      <c r="AL232" s="36"/>
      <c r="AM232" s="38">
        <v>10</v>
      </c>
      <c r="AN232" s="38">
        <v>0</v>
      </c>
      <c r="AO232" s="38">
        <v>1</v>
      </c>
      <c r="AP232" s="38">
        <v>0</v>
      </c>
      <c r="AQ232" s="38">
        <v>1</v>
      </c>
      <c r="AR232" s="38">
        <v>2</v>
      </c>
      <c r="AS232" s="36"/>
      <c r="AT232" s="36"/>
      <c r="AU232" s="36"/>
      <c r="AV232" s="36"/>
      <c r="AW232" s="38">
        <v>2.33</v>
      </c>
      <c r="AX232" s="38">
        <v>5.6</v>
      </c>
      <c r="AY232" s="36"/>
      <c r="AZ232" s="36"/>
      <c r="BA232" s="36"/>
      <c r="BB232" s="36"/>
      <c r="BC232" s="36"/>
      <c r="BD232" s="36"/>
      <c r="BE232" s="36"/>
      <c r="BF232" s="36"/>
      <c r="BG232" s="59">
        <v>5.12</v>
      </c>
      <c r="BH232" s="59">
        <v>0.57999999999999996</v>
      </c>
      <c r="BI232" s="59">
        <v>7.185130352216125E-2</v>
      </c>
      <c r="BJ232" s="59"/>
      <c r="BK232" s="38">
        <v>1.4310000000000003</v>
      </c>
      <c r="BL232" s="59">
        <v>0.8</v>
      </c>
      <c r="BM232" s="36"/>
      <c r="BN232" s="38">
        <v>40</v>
      </c>
      <c r="BO232" s="36"/>
      <c r="BP232" s="39">
        <f t="shared" si="113"/>
        <v>0.71918750000000009</v>
      </c>
      <c r="BQ232" s="37"/>
      <c r="BR232" s="39">
        <f t="shared" si="114"/>
        <v>0.17858251390544302</v>
      </c>
      <c r="BS232" s="37"/>
      <c r="BT232" s="37"/>
      <c r="BU232" s="37"/>
      <c r="BV232" s="39">
        <f t="shared" si="124"/>
        <v>0.15674442363357741</v>
      </c>
      <c r="BW232" s="39">
        <f t="shared" si="109"/>
        <v>0.7882425286523701</v>
      </c>
      <c r="BX232" s="39">
        <f t="shared" si="125"/>
        <v>7.5780260084828202E-2</v>
      </c>
      <c r="BY232" s="39">
        <f t="shared" ref="BY232:BY244" si="141">$BP232*(12*Z232+AA232)/(12*0.453592)</f>
        <v>2.5104356815522912</v>
      </c>
      <c r="BZ232" s="37"/>
      <c r="CA232" s="39">
        <f t="shared" si="110"/>
        <v>2.2689153475605734</v>
      </c>
      <c r="CB232" s="39">
        <f t="shared" si="111"/>
        <v>1.268436253003814</v>
      </c>
      <c r="CC232" s="39">
        <f t="shared" si="129"/>
        <v>6.1370666666666678E-2</v>
      </c>
      <c r="CD232" s="39">
        <f>BP232*(12*AM232+AN232)/1000</f>
        <v>8.6302500000000004E-2</v>
      </c>
      <c r="CE232" s="37"/>
      <c r="CF232" s="37"/>
      <c r="CG232" s="39">
        <f t="shared" si="139"/>
        <v>1.8967582417582418</v>
      </c>
      <c r="CH232" s="39">
        <f t="shared" si="133"/>
        <v>3.694304297694845</v>
      </c>
      <c r="CI232" s="37"/>
      <c r="CJ232" s="37"/>
      <c r="CK232" s="39">
        <f t="shared" si="136"/>
        <v>2.040943016062206E-2</v>
      </c>
      <c r="CL232" s="37"/>
      <c r="CM232" s="39">
        <f t="shared" si="137"/>
        <v>7.2118127776049687E-2</v>
      </c>
      <c r="CN232" s="37"/>
      <c r="CO232" s="39">
        <f>0.063495+(0.016949+0.014096)*Wages!P230+1.22592*BR232</f>
        <v>0.46104028294696064</v>
      </c>
      <c r="CP232" s="39"/>
      <c r="CQ232" s="39">
        <f t="shared" si="126"/>
        <v>0.46104028294696064</v>
      </c>
      <c r="CR232" s="39">
        <f t="shared" si="135"/>
        <v>0.15674442363357741</v>
      </c>
      <c r="CS232" s="39">
        <f t="shared" si="135"/>
        <v>0.7882425286523701</v>
      </c>
      <c r="CT232" s="39">
        <f t="shared" si="112"/>
        <v>2.2689153475605734</v>
      </c>
      <c r="CU232" s="39">
        <f t="shared" si="112"/>
        <v>1.268436253003814</v>
      </c>
      <c r="CV232" s="39">
        <f t="shared" si="112"/>
        <v>6.1370666666666678E-2</v>
      </c>
      <c r="CW232" s="39">
        <f>CD232</f>
        <v>8.6302500000000004E-2</v>
      </c>
      <c r="CX232" s="39"/>
      <c r="CY232" s="39"/>
      <c r="CZ232" s="39">
        <f t="shared" si="115"/>
        <v>7.5780260084828202E-2</v>
      </c>
      <c r="DA232" s="39">
        <f t="shared" si="134"/>
        <v>3.694304297694845</v>
      </c>
      <c r="DB232" s="39">
        <v>3.460657323184603</v>
      </c>
      <c r="DC232" s="39">
        <f t="shared" si="116"/>
        <v>2.5104356815522912</v>
      </c>
      <c r="DD232" s="39">
        <f t="shared" si="140"/>
        <v>1.8967582417582418</v>
      </c>
      <c r="DE232" s="39">
        <f t="shared" si="138"/>
        <v>2.040943016062206E-2</v>
      </c>
      <c r="DF232" s="37"/>
      <c r="DG232" s="39">
        <f t="shared" si="117"/>
        <v>0</v>
      </c>
      <c r="DH232" s="39">
        <f t="shared" si="118"/>
        <v>2.3103271633033802</v>
      </c>
      <c r="DI232" s="37"/>
      <c r="DJ232" s="37"/>
      <c r="DK232" s="37"/>
      <c r="DL232" s="37"/>
      <c r="DM232" s="39">
        <f t="shared" si="127"/>
        <v>0.476865016454254</v>
      </c>
      <c r="DN232" s="39"/>
      <c r="DO232" s="39">
        <f t="shared" si="128"/>
        <v>0.476865016454254</v>
      </c>
      <c r="DP232" s="37"/>
      <c r="DQ232" s="37">
        <f>DO232/'Conversions, Sources &amp; Comments'!E230</f>
        <v>0.66306076851204165</v>
      </c>
    </row>
    <row r="233" spans="1:121">
      <c r="A233" s="42">
        <f t="shared" si="119"/>
        <v>1481</v>
      </c>
      <c r="B233" s="36"/>
      <c r="C233" s="38">
        <v>8</v>
      </c>
      <c r="D233" s="38">
        <v>6.75</v>
      </c>
      <c r="E233" s="38">
        <v>5</v>
      </c>
      <c r="F233" s="38">
        <v>8</v>
      </c>
      <c r="G233" s="38">
        <v>3</v>
      </c>
      <c r="H233" s="38">
        <v>3.25</v>
      </c>
      <c r="I233" s="38">
        <v>5</v>
      </c>
      <c r="J233" s="38">
        <v>0.5</v>
      </c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8">
        <v>5.2</v>
      </c>
      <c r="V233" s="36"/>
      <c r="W233" s="36"/>
      <c r="X233" s="38">
        <v>5</v>
      </c>
      <c r="Y233" s="38">
        <v>8.5</v>
      </c>
      <c r="Z233" s="38">
        <v>1</v>
      </c>
      <c r="AA233" s="38">
        <v>3</v>
      </c>
      <c r="AB233" s="36"/>
      <c r="AC233" s="38">
        <v>0</v>
      </c>
      <c r="AD233" s="38">
        <v>8</v>
      </c>
      <c r="AE233" s="38">
        <v>0</v>
      </c>
      <c r="AF233" s="38">
        <v>6.75</v>
      </c>
      <c r="AG233" s="38" t="s">
        <v>8</v>
      </c>
      <c r="AH233" s="36"/>
      <c r="AI233" s="38">
        <v>1</v>
      </c>
      <c r="AJ233" s="38">
        <v>10</v>
      </c>
      <c r="AK233" s="36"/>
      <c r="AL233" s="36"/>
      <c r="AM233" s="38">
        <v>9</v>
      </c>
      <c r="AN233" s="38">
        <v>4</v>
      </c>
      <c r="AO233" s="38">
        <v>1</v>
      </c>
      <c r="AP233" s="38">
        <v>1.25</v>
      </c>
      <c r="AQ233" s="38">
        <v>1</v>
      </c>
      <c r="AR233" s="38">
        <v>4.75</v>
      </c>
      <c r="AS233" s="36"/>
      <c r="AT233" s="36"/>
      <c r="AU233" s="36"/>
      <c r="AV233" s="38">
        <v>34</v>
      </c>
      <c r="AW233" s="38">
        <v>2.33</v>
      </c>
      <c r="AX233" s="38">
        <v>3.6</v>
      </c>
      <c r="AY233" s="36"/>
      <c r="AZ233" s="38">
        <v>40</v>
      </c>
      <c r="BA233" s="38">
        <v>53.33</v>
      </c>
      <c r="BB233" s="38">
        <v>84</v>
      </c>
      <c r="BC233" s="36"/>
      <c r="BD233" s="36"/>
      <c r="BE233" s="36"/>
      <c r="BF233" s="36"/>
      <c r="BG233" s="59">
        <v>5.85</v>
      </c>
      <c r="BH233" s="59">
        <v>0.57999999999999996</v>
      </c>
      <c r="BI233" s="59">
        <v>9.6722908587523915E-2</v>
      </c>
      <c r="BJ233" s="59"/>
      <c r="BK233" s="38">
        <v>1.4580000000000002</v>
      </c>
      <c r="BL233" s="59">
        <v>0.8</v>
      </c>
      <c r="BM233" s="36"/>
      <c r="BN233" s="38">
        <v>40</v>
      </c>
      <c r="BO233" s="36"/>
      <c r="BP233" s="39">
        <f t="shared" si="113"/>
        <v>0.71918750000000009</v>
      </c>
      <c r="BQ233" s="37"/>
      <c r="BR233" s="39">
        <f t="shared" si="114"/>
        <v>0.26213361862548956</v>
      </c>
      <c r="BS233" s="37"/>
      <c r="BT233" s="39">
        <f>BP233*12*AZ233/(24*0.9144)</f>
        <v>15.730260279965007</v>
      </c>
      <c r="BU233" s="37"/>
      <c r="BV233" s="39">
        <f t="shared" si="124"/>
        <v>0.17909274965945854</v>
      </c>
      <c r="BW233" s="39">
        <f t="shared" si="109"/>
        <v>0.7882425286523701</v>
      </c>
      <c r="BX233" s="39">
        <f t="shared" si="125"/>
        <v>0.10201188857572938</v>
      </c>
      <c r="BY233" s="39">
        <f t="shared" si="141"/>
        <v>1.9819229064886508</v>
      </c>
      <c r="BZ233" s="37"/>
      <c r="CA233" s="39">
        <f t="shared" si="110"/>
        <v>2.3117250710994517</v>
      </c>
      <c r="CB233" s="39">
        <f t="shared" si="111"/>
        <v>1.268436253003814</v>
      </c>
      <c r="CC233" s="39">
        <f t="shared" si="129"/>
        <v>6.2329583333333348E-2</v>
      </c>
      <c r="CD233" s="39">
        <f>BP233*(12*AM233+AN233)/1000</f>
        <v>8.0549000000000009E-2</v>
      </c>
      <c r="CE233" s="39">
        <f>$BP233*12*AV233/120</f>
        <v>2.4452374999999997</v>
      </c>
      <c r="CF233" s="37"/>
      <c r="CG233" s="39">
        <f t="shared" si="139"/>
        <v>2.0943372252747259</v>
      </c>
      <c r="CH233" s="39">
        <f t="shared" si="133"/>
        <v>3.694304297694845</v>
      </c>
      <c r="CI233" s="37"/>
      <c r="CJ233" s="37"/>
      <c r="CK233" s="39">
        <f t="shared" si="136"/>
        <v>2.040943016062206E-2</v>
      </c>
      <c r="CL233" s="37"/>
      <c r="CM233" s="39">
        <f t="shared" si="137"/>
        <v>7.2118127776049687E-2</v>
      </c>
      <c r="CN233" s="37"/>
      <c r="CO233" s="39">
        <f>0.063495+(0.016949+0.014096)*Wages!P231+1.22592*BR233</f>
        <v>0.56346725324536018</v>
      </c>
      <c r="CP233" s="39"/>
      <c r="CQ233" s="39">
        <f t="shared" si="126"/>
        <v>0.56346725324536018</v>
      </c>
      <c r="CR233" s="39">
        <f t="shared" si="135"/>
        <v>0.17909274965945854</v>
      </c>
      <c r="CS233" s="39">
        <f t="shared" si="135"/>
        <v>0.7882425286523701</v>
      </c>
      <c r="CT233" s="39">
        <f t="shared" si="112"/>
        <v>2.3117250710994517</v>
      </c>
      <c r="CU233" s="39">
        <f t="shared" si="112"/>
        <v>1.268436253003814</v>
      </c>
      <c r="CV233" s="39">
        <f t="shared" si="112"/>
        <v>6.2329583333333348E-2</v>
      </c>
      <c r="CW233" s="39">
        <f>CD233</f>
        <v>8.0549000000000009E-2</v>
      </c>
      <c r="CX233" s="39"/>
      <c r="CY233" s="39"/>
      <c r="CZ233" s="39">
        <f t="shared" si="115"/>
        <v>0.10201188857572938</v>
      </c>
      <c r="DA233" s="39">
        <f t="shared" si="134"/>
        <v>3.694304297694845</v>
      </c>
      <c r="DB233" s="39">
        <v>3.460657323184603</v>
      </c>
      <c r="DC233" s="39">
        <f t="shared" si="116"/>
        <v>1.9819229064886508</v>
      </c>
      <c r="DD233" s="39">
        <f t="shared" si="140"/>
        <v>2.0943372252747259</v>
      </c>
      <c r="DE233" s="39">
        <f t="shared" si="138"/>
        <v>2.040943016062206E-2</v>
      </c>
      <c r="DF233" s="37"/>
      <c r="DG233" s="39">
        <f t="shared" si="117"/>
        <v>0</v>
      </c>
      <c r="DH233" s="39">
        <f t="shared" si="118"/>
        <v>2.3103271633033802</v>
      </c>
      <c r="DI233" s="37"/>
      <c r="DJ233" s="37"/>
      <c r="DK233" s="37"/>
      <c r="DL233" s="37"/>
      <c r="DM233" s="39">
        <f t="shared" si="127"/>
        <v>0.53468641792898697</v>
      </c>
      <c r="DN233" s="39"/>
      <c r="DO233" s="39">
        <f t="shared" si="128"/>
        <v>0.53468641792898697</v>
      </c>
      <c r="DP233" s="37"/>
      <c r="DQ233" s="37">
        <f>DO233/'Conversions, Sources &amp; Comments'!E231</f>
        <v>0.74345899772866864</v>
      </c>
    </row>
    <row r="234" spans="1:121">
      <c r="A234" s="42">
        <f t="shared" si="119"/>
        <v>1482</v>
      </c>
      <c r="B234" s="36"/>
      <c r="C234" s="38">
        <v>10</v>
      </c>
      <c r="D234" s="38">
        <v>4</v>
      </c>
      <c r="E234" s="38">
        <v>6</v>
      </c>
      <c r="F234" s="38">
        <v>2.75</v>
      </c>
      <c r="G234" s="38">
        <v>2</v>
      </c>
      <c r="H234" s="38">
        <v>4.75</v>
      </c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8">
        <v>5.2</v>
      </c>
      <c r="V234" s="36"/>
      <c r="W234" s="36"/>
      <c r="X234" s="38">
        <v>5</v>
      </c>
      <c r="Y234" s="38">
        <v>7.5</v>
      </c>
      <c r="Z234" s="38">
        <v>1</v>
      </c>
      <c r="AA234" s="38">
        <v>7.5</v>
      </c>
      <c r="AB234" s="36"/>
      <c r="AC234" s="38">
        <v>0</v>
      </c>
      <c r="AD234" s="38">
        <v>4.5</v>
      </c>
      <c r="AE234" s="38">
        <v>0</v>
      </c>
      <c r="AF234" s="38">
        <v>6.75</v>
      </c>
      <c r="AG234" s="36"/>
      <c r="AH234" s="36"/>
      <c r="AI234" s="38">
        <v>2</v>
      </c>
      <c r="AJ234" s="38">
        <v>0.25</v>
      </c>
      <c r="AK234" s="36"/>
      <c r="AL234" s="36"/>
      <c r="AM234" s="36"/>
      <c r="AN234" s="36"/>
      <c r="AO234" s="38">
        <v>0</v>
      </c>
      <c r="AP234" s="38">
        <v>11.5</v>
      </c>
      <c r="AQ234" s="36"/>
      <c r="AR234" s="36"/>
      <c r="AS234" s="36"/>
      <c r="AT234" s="36"/>
      <c r="AU234" s="36"/>
      <c r="AV234" s="36"/>
      <c r="AW234" s="38">
        <v>2.33</v>
      </c>
      <c r="AX234" s="38">
        <v>5.6</v>
      </c>
      <c r="AY234" s="36"/>
      <c r="AZ234" s="38">
        <v>40</v>
      </c>
      <c r="BA234" s="38">
        <v>53.33</v>
      </c>
      <c r="BB234" s="38">
        <v>80</v>
      </c>
      <c r="BC234" s="36"/>
      <c r="BD234" s="36"/>
      <c r="BE234" s="36"/>
      <c r="BF234" s="36"/>
      <c r="BG234" s="59">
        <v>9.4700000000000006</v>
      </c>
      <c r="BH234" s="59">
        <v>0.57999999999999996</v>
      </c>
      <c r="BI234" s="59">
        <v>0.11606749030502972</v>
      </c>
      <c r="BJ234" s="59"/>
      <c r="BK234" s="38">
        <v>1.3230000000000002</v>
      </c>
      <c r="BL234" s="59">
        <v>0.84</v>
      </c>
      <c r="BM234" s="36"/>
      <c r="BN234" s="38">
        <v>40</v>
      </c>
      <c r="BO234" s="36"/>
      <c r="BP234" s="39">
        <f t="shared" si="113"/>
        <v>0.71918750000000009</v>
      </c>
      <c r="BQ234" s="37"/>
      <c r="BR234" s="39">
        <f t="shared" si="114"/>
        <v>0.31634616748964189</v>
      </c>
      <c r="BS234" s="37"/>
      <c r="BT234" s="39">
        <f>BP234*12*AZ234/(24*0.9144)</f>
        <v>15.730260279965007</v>
      </c>
      <c r="BU234" s="37"/>
      <c r="BV234" s="39">
        <f t="shared" si="124"/>
        <v>0.28991595543163634</v>
      </c>
      <c r="BW234" s="39">
        <f t="shared" si="109"/>
        <v>0.7882425286523701</v>
      </c>
      <c r="BX234" s="39">
        <f t="shared" si="125"/>
        <v>0.12241426629087633</v>
      </c>
      <c r="BY234" s="39">
        <f t="shared" si="141"/>
        <v>2.5764997784352461</v>
      </c>
      <c r="BZ234" s="37"/>
      <c r="CA234" s="39">
        <f t="shared" si="110"/>
        <v>2.0976764534050578</v>
      </c>
      <c r="CB234" s="39">
        <f t="shared" si="111"/>
        <v>1.3318580656540047</v>
      </c>
      <c r="CC234" s="39">
        <f t="shared" si="129"/>
        <v>6.2329583333333348E-2</v>
      </c>
      <c r="CD234" s="37"/>
      <c r="CE234" s="37"/>
      <c r="CF234" s="37"/>
      <c r="CG234" s="39">
        <f t="shared" si="139"/>
        <v>1.8177266483516488</v>
      </c>
      <c r="CH234" s="39">
        <f t="shared" si="133"/>
        <v>3.694304297694845</v>
      </c>
      <c r="CI234" s="37"/>
      <c r="CJ234" s="37"/>
      <c r="CK234" s="39">
        <f t="shared" si="136"/>
        <v>1.1480304465349908E-2</v>
      </c>
      <c r="CL234" s="37"/>
      <c r="CM234" s="39">
        <f t="shared" si="137"/>
        <v>4.0566446874027946E-2</v>
      </c>
      <c r="CN234" s="37"/>
      <c r="CO234" s="39">
        <f>0.063495+(0.016949+0.014096)*Wages!P232+1.22592*BR234</f>
        <v>0.62992750114890173</v>
      </c>
      <c r="CP234" s="39"/>
      <c r="CQ234" s="39">
        <f t="shared" si="126"/>
        <v>0.62992750114890173</v>
      </c>
      <c r="CR234" s="39">
        <f t="shared" si="135"/>
        <v>0.28991595543163634</v>
      </c>
      <c r="CS234" s="39">
        <f t="shared" si="135"/>
        <v>0.7882425286523701</v>
      </c>
      <c r="CT234" s="39">
        <f t="shared" si="112"/>
        <v>2.0976764534050578</v>
      </c>
      <c r="CU234" s="39">
        <f t="shared" si="112"/>
        <v>1.3318580656540047</v>
      </c>
      <c r="CV234" s="39">
        <f t="shared" si="112"/>
        <v>6.2329583333333348E-2</v>
      </c>
      <c r="CW234" s="39">
        <v>0.09</v>
      </c>
      <c r="CX234" s="39"/>
      <c r="CY234" s="39"/>
      <c r="CZ234" s="39">
        <f t="shared" si="115"/>
        <v>0.12241426629087633</v>
      </c>
      <c r="DA234" s="39">
        <f t="shared" si="134"/>
        <v>3.694304297694845</v>
      </c>
      <c r="DB234" s="39">
        <v>3.460657323184603</v>
      </c>
      <c r="DC234" s="39">
        <f t="shared" si="116"/>
        <v>2.5764997784352461</v>
      </c>
      <c r="DD234" s="39">
        <f t="shared" si="140"/>
        <v>1.8177266483516488</v>
      </c>
      <c r="DE234" s="39">
        <f t="shared" si="138"/>
        <v>1.1480304465349908E-2</v>
      </c>
      <c r="DF234" s="37"/>
      <c r="DG234" s="39">
        <f t="shared" si="117"/>
        <v>0</v>
      </c>
      <c r="DH234" s="39">
        <f t="shared" si="118"/>
        <v>1.2995590293581514</v>
      </c>
      <c r="DI234" s="37"/>
      <c r="DJ234" s="37"/>
      <c r="DK234" s="37"/>
      <c r="DL234" s="37"/>
      <c r="DM234" s="39">
        <f t="shared" si="127"/>
        <v>0.57460319008050165</v>
      </c>
      <c r="DN234" s="39"/>
      <c r="DO234" s="39">
        <f t="shared" si="128"/>
        <v>0.57460319008050165</v>
      </c>
      <c r="DP234" s="37"/>
      <c r="DQ234" s="37">
        <f>DO234/'Conversions, Sources &amp; Comments'!E232</f>
        <v>0.79896159218632357</v>
      </c>
    </row>
    <row r="235" spans="1:121">
      <c r="A235" s="42">
        <f t="shared" si="119"/>
        <v>1483</v>
      </c>
      <c r="B235" s="36"/>
      <c r="C235" s="38">
        <v>7</v>
      </c>
      <c r="D235" s="38">
        <v>3.25</v>
      </c>
      <c r="E235" s="38">
        <v>5</v>
      </c>
      <c r="F235" s="38">
        <v>11</v>
      </c>
      <c r="G235" s="38">
        <v>2</v>
      </c>
      <c r="H235" s="38">
        <v>4</v>
      </c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8">
        <v>5.2</v>
      </c>
      <c r="V235" s="36"/>
      <c r="W235" s="36"/>
      <c r="X235" s="38">
        <v>8</v>
      </c>
      <c r="Y235" s="38">
        <v>10.75</v>
      </c>
      <c r="Z235" s="38">
        <v>1</v>
      </c>
      <c r="AA235" s="38">
        <v>7.75</v>
      </c>
      <c r="AB235" s="36"/>
      <c r="AC235" s="38">
        <v>0</v>
      </c>
      <c r="AD235" s="38">
        <v>6.75</v>
      </c>
      <c r="AE235" s="38">
        <v>0</v>
      </c>
      <c r="AF235" s="38">
        <v>6.75</v>
      </c>
      <c r="AG235" s="36"/>
      <c r="AH235" s="36"/>
      <c r="AI235" s="38">
        <v>2</v>
      </c>
      <c r="AJ235" s="38">
        <v>0</v>
      </c>
      <c r="AK235" s="36"/>
      <c r="AL235" s="36"/>
      <c r="AM235" s="36"/>
      <c r="AN235" s="36"/>
      <c r="AO235" s="38">
        <v>1</v>
      </c>
      <c r="AP235" s="38">
        <v>1</v>
      </c>
      <c r="AQ235" s="38">
        <v>0</v>
      </c>
      <c r="AR235" s="38">
        <v>11</v>
      </c>
      <c r="AS235" s="36"/>
      <c r="AT235" s="36"/>
      <c r="AU235" s="36"/>
      <c r="AV235" s="36"/>
      <c r="AW235" s="38">
        <v>2.33</v>
      </c>
      <c r="AX235" s="38">
        <v>5</v>
      </c>
      <c r="AY235" s="36"/>
      <c r="AZ235" s="36"/>
      <c r="BA235" s="36"/>
      <c r="BB235" s="38">
        <v>48</v>
      </c>
      <c r="BC235" s="36"/>
      <c r="BD235" s="36"/>
      <c r="BE235" s="36"/>
      <c r="BF235" s="36"/>
      <c r="BG235" s="59">
        <v>4.18</v>
      </c>
      <c r="BH235" s="59">
        <v>0.57999999999999996</v>
      </c>
      <c r="BI235" s="59">
        <v>7.8760082706984036E-2</v>
      </c>
      <c r="BJ235" s="59"/>
      <c r="BK235" s="38">
        <v>1.3230000000000002</v>
      </c>
      <c r="BL235" s="59">
        <v>0.84</v>
      </c>
      <c r="BM235" s="36"/>
      <c r="BN235" s="38">
        <v>40</v>
      </c>
      <c r="BO235" s="36"/>
      <c r="BP235" s="39">
        <f t="shared" si="113"/>
        <v>0.71918750000000009</v>
      </c>
      <c r="BQ235" s="37"/>
      <c r="BR235" s="39">
        <f t="shared" si="114"/>
        <v>0.22259034768928435</v>
      </c>
      <c r="BS235" s="37"/>
      <c r="BT235" s="37"/>
      <c r="BU235" s="37"/>
      <c r="BV235" s="39">
        <f t="shared" si="124"/>
        <v>0.12796712710710029</v>
      </c>
      <c r="BW235" s="39">
        <f t="shared" si="109"/>
        <v>0.7882425286523701</v>
      </c>
      <c r="BX235" s="39">
        <f t="shared" si="125"/>
        <v>8.3066823554522787E-2</v>
      </c>
      <c r="BY235" s="39">
        <f t="shared" si="141"/>
        <v>2.6095318268767236</v>
      </c>
      <c r="BZ235" s="37"/>
      <c r="CA235" s="39">
        <f t="shared" si="110"/>
        <v>2.0976764534050578</v>
      </c>
      <c r="CB235" s="39">
        <f t="shared" si="111"/>
        <v>1.3318580656540047</v>
      </c>
      <c r="CC235" s="39">
        <f t="shared" si="129"/>
        <v>6.2329583333333348E-2</v>
      </c>
      <c r="CD235" s="37"/>
      <c r="CE235" s="37"/>
      <c r="CF235" s="37"/>
      <c r="CG235" s="39">
        <f t="shared" si="139"/>
        <v>2.0548214285714286</v>
      </c>
      <c r="CH235" s="39">
        <f t="shared" si="133"/>
        <v>3.694304297694845</v>
      </c>
      <c r="CI235" s="37"/>
      <c r="CJ235" s="37"/>
      <c r="CK235" s="39">
        <f t="shared" si="136"/>
        <v>1.7220456698024862E-2</v>
      </c>
      <c r="CL235" s="37"/>
      <c r="CM235" s="39">
        <f t="shared" si="137"/>
        <v>6.0849670311041923E-2</v>
      </c>
      <c r="CN235" s="37"/>
      <c r="CO235" s="39">
        <f>0.063495+(0.016949+0.014096)*Wages!P233+1.22592*BR235</f>
        <v>0.51499036653924746</v>
      </c>
      <c r="CP235" s="39"/>
      <c r="CQ235" s="39">
        <f t="shared" si="126"/>
        <v>0.51499036653924746</v>
      </c>
      <c r="CR235" s="39">
        <f t="shared" si="135"/>
        <v>0.12796712710710029</v>
      </c>
      <c r="CS235" s="39">
        <f t="shared" si="135"/>
        <v>0.7882425286523701</v>
      </c>
      <c r="CT235" s="39">
        <f t="shared" si="112"/>
        <v>2.0976764534050578</v>
      </c>
      <c r="CU235" s="39">
        <f t="shared" si="112"/>
        <v>1.3318580656540047</v>
      </c>
      <c r="CV235" s="39">
        <f t="shared" si="112"/>
        <v>6.2329583333333348E-2</v>
      </c>
      <c r="CW235" s="39">
        <v>0.09</v>
      </c>
      <c r="CX235" s="39"/>
      <c r="CY235" s="39"/>
      <c r="CZ235" s="39">
        <f t="shared" si="115"/>
        <v>8.3066823554522787E-2</v>
      </c>
      <c r="DA235" s="39">
        <f t="shared" si="134"/>
        <v>3.694304297694845</v>
      </c>
      <c r="DB235" s="39">
        <v>3.460657323184603</v>
      </c>
      <c r="DC235" s="39">
        <f t="shared" si="116"/>
        <v>2.6095318268767236</v>
      </c>
      <c r="DD235" s="39">
        <f t="shared" si="140"/>
        <v>2.0548214285714286</v>
      </c>
      <c r="DE235" s="39">
        <f t="shared" si="138"/>
        <v>1.7220456698024862E-2</v>
      </c>
      <c r="DF235" s="37"/>
      <c r="DG235" s="39">
        <f t="shared" si="117"/>
        <v>0</v>
      </c>
      <c r="DH235" s="39">
        <f t="shared" si="118"/>
        <v>1.9493385440372268</v>
      </c>
      <c r="DI235" s="37"/>
      <c r="DJ235" s="37"/>
      <c r="DK235" s="37"/>
      <c r="DL235" s="37"/>
      <c r="DM235" s="39">
        <f t="shared" si="127"/>
        <v>0.49615053447580909</v>
      </c>
      <c r="DN235" s="39"/>
      <c r="DO235" s="39">
        <f t="shared" si="128"/>
        <v>0.49615053447580909</v>
      </c>
      <c r="DP235" s="37"/>
      <c r="DQ235" s="37">
        <f>DO235/'Conversions, Sources &amp; Comments'!E233</f>
        <v>0.68987647098400495</v>
      </c>
    </row>
    <row r="236" spans="1:121">
      <c r="A236" s="42">
        <f t="shared" si="119"/>
        <v>1484</v>
      </c>
      <c r="B236" s="36"/>
      <c r="C236" s="38">
        <v>5</v>
      </c>
      <c r="D236" s="38">
        <v>3.75</v>
      </c>
      <c r="E236" s="38">
        <v>4</v>
      </c>
      <c r="F236" s="38">
        <v>1.25</v>
      </c>
      <c r="G236" s="38">
        <v>2</v>
      </c>
      <c r="H236" s="38">
        <v>2.5</v>
      </c>
      <c r="I236" s="38">
        <v>4</v>
      </c>
      <c r="J236" s="38">
        <v>8</v>
      </c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8">
        <v>5.2</v>
      </c>
      <c r="V236" s="36"/>
      <c r="W236" s="36"/>
      <c r="X236" s="38">
        <v>7</v>
      </c>
      <c r="Y236" s="38">
        <v>0</v>
      </c>
      <c r="Z236" s="38">
        <v>1</v>
      </c>
      <c r="AA236" s="38">
        <v>0</v>
      </c>
      <c r="AB236" s="36"/>
      <c r="AC236" s="36"/>
      <c r="AD236" s="36"/>
      <c r="AE236" s="38">
        <v>0</v>
      </c>
      <c r="AF236" s="38">
        <v>6.75</v>
      </c>
      <c r="AG236" s="36"/>
      <c r="AH236" s="36"/>
      <c r="AI236" s="38">
        <v>1</v>
      </c>
      <c r="AJ236" s="38">
        <v>10.5</v>
      </c>
      <c r="AK236" s="36"/>
      <c r="AL236" s="36"/>
      <c r="AM236" s="36"/>
      <c r="AN236" s="36"/>
      <c r="AO236" s="38">
        <v>0</v>
      </c>
      <c r="AP236" s="38">
        <v>10.5</v>
      </c>
      <c r="AQ236" s="38">
        <v>1</v>
      </c>
      <c r="AR236" s="38">
        <v>3.5</v>
      </c>
      <c r="AS236" s="36"/>
      <c r="AT236" s="36"/>
      <c r="AU236" s="36"/>
      <c r="AV236" s="36"/>
      <c r="AW236" s="38">
        <v>2.33</v>
      </c>
      <c r="AX236" s="38">
        <v>4.5999999999999996</v>
      </c>
      <c r="AY236" s="36"/>
      <c r="AZ236" s="38">
        <v>40</v>
      </c>
      <c r="BA236" s="38">
        <v>53.33</v>
      </c>
      <c r="BB236" s="38">
        <v>48</v>
      </c>
      <c r="BC236" s="36"/>
      <c r="BD236" s="36"/>
      <c r="BE236" s="36"/>
      <c r="BF236" s="36"/>
      <c r="BG236" s="59">
        <v>4.18</v>
      </c>
      <c r="BH236" s="59">
        <v>0.57999999999999996</v>
      </c>
      <c r="BI236" s="59">
        <v>6.3560768500372566E-2</v>
      </c>
      <c r="BJ236" s="59"/>
      <c r="BK236" s="38">
        <v>1.3230000000000002</v>
      </c>
      <c r="BL236" s="59">
        <v>0.84</v>
      </c>
      <c r="BM236" s="36"/>
      <c r="BN236" s="38">
        <v>40</v>
      </c>
      <c r="BO236" s="36"/>
      <c r="BP236" s="39">
        <f t="shared" si="113"/>
        <v>0.71918750000000009</v>
      </c>
      <c r="BQ236" s="37"/>
      <c r="BR236" s="39">
        <f t="shared" si="114"/>
        <v>0.16263764659245702</v>
      </c>
      <c r="BS236" s="37"/>
      <c r="BT236" s="39">
        <f>BP236*12*AZ236/(24*0.9144)</f>
        <v>15.730260279965007</v>
      </c>
      <c r="BU236" s="37"/>
      <c r="BV236" s="39">
        <f t="shared" si="124"/>
        <v>0.12796712710710029</v>
      </c>
      <c r="BW236" s="39">
        <f t="shared" si="109"/>
        <v>0.7882425286523701</v>
      </c>
      <c r="BX236" s="39">
        <f t="shared" si="125"/>
        <v>6.7036383921193279E-2</v>
      </c>
      <c r="BY236" s="39">
        <f t="shared" si="141"/>
        <v>1.5855383251909205</v>
      </c>
      <c r="BZ236" s="37"/>
      <c r="CA236" s="39">
        <f t="shared" si="110"/>
        <v>2.0976764534050578</v>
      </c>
      <c r="CB236" s="39">
        <f t="shared" si="111"/>
        <v>1.3318580656540047</v>
      </c>
      <c r="CC236" s="39">
        <f t="shared" si="129"/>
        <v>6.2329583333333348E-2</v>
      </c>
      <c r="CD236" s="37"/>
      <c r="CE236" s="37"/>
      <c r="CF236" s="37"/>
      <c r="CG236" s="39">
        <f t="shared" si="139"/>
        <v>1.6596634615384618</v>
      </c>
      <c r="CH236" s="39">
        <f t="shared" si="133"/>
        <v>3.694304297694845</v>
      </c>
      <c r="CI236" s="37"/>
      <c r="CJ236" s="37"/>
      <c r="CK236" s="37"/>
      <c r="CL236" s="37"/>
      <c r="CM236" s="37"/>
      <c r="CN236" s="37"/>
      <c r="CO236" s="39">
        <f>0.063495+(0.016949+0.014096)*Wages!P234+1.22592*BR236</f>
        <v>0.44149315121062488</v>
      </c>
      <c r="CP236" s="39"/>
      <c r="CQ236" s="39">
        <f t="shared" si="126"/>
        <v>0.44149315121062488</v>
      </c>
      <c r="CR236" s="39">
        <f t="shared" si="135"/>
        <v>0.12796712710710029</v>
      </c>
      <c r="CS236" s="39">
        <f t="shared" si="135"/>
        <v>0.7882425286523701</v>
      </c>
      <c r="CT236" s="39">
        <f t="shared" si="112"/>
        <v>2.0976764534050578</v>
      </c>
      <c r="CU236" s="39">
        <f t="shared" si="112"/>
        <v>1.3318580656540047</v>
      </c>
      <c r="CV236" s="39">
        <f t="shared" si="112"/>
        <v>6.2329583333333348E-2</v>
      </c>
      <c r="CW236" s="39">
        <v>0.09</v>
      </c>
      <c r="CX236" s="39"/>
      <c r="CY236" s="39"/>
      <c r="CZ236" s="39">
        <f t="shared" si="115"/>
        <v>6.7036383921193279E-2</v>
      </c>
      <c r="DA236" s="39">
        <f t="shared" si="134"/>
        <v>3.694304297694845</v>
      </c>
      <c r="DB236" s="39">
        <v>3.460657323184603</v>
      </c>
      <c r="DC236" s="39">
        <f t="shared" si="116"/>
        <v>1.5855383251909205</v>
      </c>
      <c r="DD236" s="39">
        <f t="shared" si="140"/>
        <v>1.6596634615384618</v>
      </c>
      <c r="DE236" s="39">
        <v>1.6E-2</v>
      </c>
      <c r="DF236" s="37"/>
      <c r="DG236" s="39">
        <f t="shared" si="117"/>
        <v>0</v>
      </c>
      <c r="DH236" s="39">
        <f t="shared" si="118"/>
        <v>1.8111840615802581</v>
      </c>
      <c r="DI236" s="37"/>
      <c r="DJ236" s="37"/>
      <c r="DK236" s="37"/>
      <c r="DL236" s="37"/>
      <c r="DM236" s="39">
        <f t="shared" si="127"/>
        <v>0.44632005914766537</v>
      </c>
      <c r="DN236" s="39"/>
      <c r="DO236" s="39">
        <f t="shared" si="128"/>
        <v>0.44632005914766537</v>
      </c>
      <c r="DP236" s="37"/>
      <c r="DQ236" s="37">
        <f>DO236/'Conversions, Sources &amp; Comments'!E234</f>
        <v>0.62058928881225728</v>
      </c>
    </row>
    <row r="237" spans="1:121">
      <c r="A237" s="42">
        <f t="shared" si="119"/>
        <v>1485</v>
      </c>
      <c r="B237" s="36"/>
      <c r="C237" s="38">
        <v>4</v>
      </c>
      <c r="D237" s="38">
        <v>6.25</v>
      </c>
      <c r="E237" s="38">
        <v>3</v>
      </c>
      <c r="F237" s="38">
        <v>5</v>
      </c>
      <c r="G237" s="38">
        <v>1</v>
      </c>
      <c r="H237" s="38">
        <v>8</v>
      </c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8">
        <v>5.2</v>
      </c>
      <c r="V237" s="36"/>
      <c r="W237" s="36"/>
      <c r="X237" s="38">
        <v>7</v>
      </c>
      <c r="Y237" s="38">
        <v>10.5</v>
      </c>
      <c r="Z237" s="38">
        <v>1</v>
      </c>
      <c r="AA237" s="38">
        <v>3</v>
      </c>
      <c r="AB237" s="36"/>
      <c r="AC237" s="36"/>
      <c r="AD237" s="36"/>
      <c r="AE237" s="38">
        <v>0</v>
      </c>
      <c r="AF237" s="38">
        <v>6.75</v>
      </c>
      <c r="AG237" s="36"/>
      <c r="AH237" s="36"/>
      <c r="AI237" s="38">
        <v>1</v>
      </c>
      <c r="AJ237" s="38">
        <v>4.75</v>
      </c>
      <c r="AK237" s="36"/>
      <c r="AL237" s="36"/>
      <c r="AM237" s="36"/>
      <c r="AN237" s="36"/>
      <c r="AO237" s="38">
        <v>1</v>
      </c>
      <c r="AP237" s="38">
        <v>2</v>
      </c>
      <c r="AQ237" s="38">
        <v>1</v>
      </c>
      <c r="AR237" s="38">
        <v>5</v>
      </c>
      <c r="AS237" s="36"/>
      <c r="AT237" s="36"/>
      <c r="AU237" s="36"/>
      <c r="AV237" s="36"/>
      <c r="AW237" s="38">
        <v>2.33</v>
      </c>
      <c r="AX237" s="38">
        <v>7</v>
      </c>
      <c r="AY237" s="36"/>
      <c r="AZ237" s="36"/>
      <c r="BA237" s="36"/>
      <c r="BB237" s="38">
        <v>72</v>
      </c>
      <c r="BC237" s="36"/>
      <c r="BD237" s="36"/>
      <c r="BE237" s="36"/>
      <c r="BF237" s="36"/>
      <c r="BG237" s="59">
        <v>4.26</v>
      </c>
      <c r="BH237" s="59">
        <v>0.57999999999999996</v>
      </c>
      <c r="BI237" s="59">
        <v>3.8689163435009909E-2</v>
      </c>
      <c r="BJ237" s="59"/>
      <c r="BK237" s="38">
        <v>1.3230000000000002</v>
      </c>
      <c r="BL237" s="59">
        <v>0.84</v>
      </c>
      <c r="BM237" s="36"/>
      <c r="BN237" s="38">
        <v>40</v>
      </c>
      <c r="BO237" s="36"/>
      <c r="BP237" s="39">
        <f t="shared" si="113"/>
        <v>0.71918750000000009</v>
      </c>
      <c r="BQ237" s="37"/>
      <c r="BR237" s="39">
        <f t="shared" si="114"/>
        <v>0.13840144827671833</v>
      </c>
      <c r="BS237" s="37"/>
      <c r="BT237" s="37"/>
      <c r="BU237" s="37"/>
      <c r="BV237" s="39">
        <f t="shared" si="124"/>
        <v>0.13041625872637494</v>
      </c>
      <c r="BW237" s="39">
        <f t="shared" si="109"/>
        <v>0.7882425286523701</v>
      </c>
      <c r="BX237" s="39">
        <f t="shared" si="125"/>
        <v>4.0804755430292113E-2</v>
      </c>
      <c r="BY237" s="39">
        <f t="shared" si="141"/>
        <v>1.9819229064886508</v>
      </c>
      <c r="BZ237" s="37"/>
      <c r="CA237" s="39">
        <f t="shared" si="110"/>
        <v>2.0976764534050578</v>
      </c>
      <c r="CB237" s="39">
        <f t="shared" si="111"/>
        <v>1.3318580656540047</v>
      </c>
      <c r="CC237" s="39">
        <f t="shared" si="129"/>
        <v>6.2329583333333348E-2</v>
      </c>
      <c r="CD237" s="37"/>
      <c r="CE237" s="37"/>
      <c r="CF237" s="37"/>
      <c r="CG237" s="39">
        <f t="shared" si="139"/>
        <v>2.2128846153846156</v>
      </c>
      <c r="CH237" s="39">
        <f t="shared" si="133"/>
        <v>3.694304297694845</v>
      </c>
      <c r="CI237" s="37"/>
      <c r="CJ237" s="37"/>
      <c r="CK237" s="37"/>
      <c r="CL237" s="37"/>
      <c r="CM237" s="37"/>
      <c r="CN237" s="37"/>
      <c r="CO237" s="39">
        <f>0.063495+(0.016949+0.014096)*Wages!P235+1.22592*BR237</f>
        <v>0.41178151097139448</v>
      </c>
      <c r="CP237" s="39"/>
      <c r="CQ237" s="39">
        <f t="shared" si="126"/>
        <v>0.41178151097139448</v>
      </c>
      <c r="CR237" s="39">
        <f t="shared" si="135"/>
        <v>0.13041625872637494</v>
      </c>
      <c r="CS237" s="39">
        <f t="shared" si="135"/>
        <v>0.7882425286523701</v>
      </c>
      <c r="CT237" s="39">
        <f t="shared" si="112"/>
        <v>2.0976764534050578</v>
      </c>
      <c r="CU237" s="39">
        <f t="shared" si="112"/>
        <v>1.3318580656540047</v>
      </c>
      <c r="CV237" s="39">
        <f t="shared" si="112"/>
        <v>6.2329583333333348E-2</v>
      </c>
      <c r="CW237" s="39">
        <v>0.09</v>
      </c>
      <c r="CX237" s="39"/>
      <c r="CY237" s="39"/>
      <c r="CZ237" s="39">
        <f t="shared" si="115"/>
        <v>4.0804755430292113E-2</v>
      </c>
      <c r="DA237" s="39">
        <f t="shared" si="134"/>
        <v>3.694304297694845</v>
      </c>
      <c r="DB237" s="39">
        <v>3.460657323184603</v>
      </c>
      <c r="DC237" s="39">
        <f t="shared" si="116"/>
        <v>1.9819229064886508</v>
      </c>
      <c r="DD237" s="39">
        <f t="shared" si="140"/>
        <v>2.2128846153846156</v>
      </c>
      <c r="DE237" s="39">
        <v>1.6E-2</v>
      </c>
      <c r="DF237" s="37"/>
      <c r="DG237" s="39">
        <f t="shared" si="117"/>
        <v>0</v>
      </c>
      <c r="DH237" s="39">
        <f t="shared" si="118"/>
        <v>1.8111840615802581</v>
      </c>
      <c r="DI237" s="37"/>
      <c r="DJ237" s="37"/>
      <c r="DK237" s="37"/>
      <c r="DL237" s="37"/>
      <c r="DM237" s="39">
        <f t="shared" si="127"/>
        <v>0.42803765635077168</v>
      </c>
      <c r="DN237" s="39"/>
      <c r="DO237" s="39">
        <f t="shared" si="128"/>
        <v>0.42803765635077168</v>
      </c>
      <c r="DP237" s="37"/>
      <c r="DQ237" s="37">
        <f>DO237/'Conversions, Sources &amp; Comments'!E235</f>
        <v>0.59516837591138838</v>
      </c>
    </row>
    <row r="238" spans="1:121">
      <c r="A238" s="42">
        <f t="shared" si="119"/>
        <v>1486</v>
      </c>
      <c r="B238" s="36"/>
      <c r="C238" s="38">
        <v>5</v>
      </c>
      <c r="D238" s="38">
        <v>3.5</v>
      </c>
      <c r="E238" s="38">
        <v>4</v>
      </c>
      <c r="F238" s="38">
        <v>11</v>
      </c>
      <c r="G238" s="38">
        <v>1</v>
      </c>
      <c r="H238" s="38">
        <v>9</v>
      </c>
      <c r="I238" s="38">
        <v>6</v>
      </c>
      <c r="J238" s="38">
        <v>8</v>
      </c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8">
        <v>5.2</v>
      </c>
      <c r="V238" s="36"/>
      <c r="W238" s="36"/>
      <c r="X238" s="38">
        <v>7</v>
      </c>
      <c r="Y238" s="38">
        <v>10</v>
      </c>
      <c r="Z238" s="38">
        <v>1</v>
      </c>
      <c r="AA238" s="38">
        <v>3</v>
      </c>
      <c r="AB238" s="36"/>
      <c r="AC238" s="36"/>
      <c r="AD238" s="36"/>
      <c r="AE238" s="38">
        <v>0</v>
      </c>
      <c r="AF238" s="38">
        <v>6.75</v>
      </c>
      <c r="AG238" s="36"/>
      <c r="AH238" s="36"/>
      <c r="AI238" s="38">
        <v>1</v>
      </c>
      <c r="AJ238" s="38">
        <v>5.5</v>
      </c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8">
        <v>2.33</v>
      </c>
      <c r="AX238" s="38">
        <v>5.3</v>
      </c>
      <c r="AY238" s="36"/>
      <c r="AZ238" s="36"/>
      <c r="BA238" s="36"/>
      <c r="BB238" s="38">
        <v>60</v>
      </c>
      <c r="BC238" s="36"/>
      <c r="BD238" s="36"/>
      <c r="BE238" s="36"/>
      <c r="BF238" s="36"/>
      <c r="BG238" s="59">
        <v>4.4800000000000004</v>
      </c>
      <c r="BH238" s="59">
        <v>0.57999999999999996</v>
      </c>
      <c r="BI238" s="59">
        <v>5.5270233478585583E-2</v>
      </c>
      <c r="BJ238" s="59"/>
      <c r="BK238" s="38">
        <v>1.3230000000000002</v>
      </c>
      <c r="BL238" s="59">
        <v>0.84</v>
      </c>
      <c r="BM238" s="36"/>
      <c r="BN238" s="38">
        <v>40</v>
      </c>
      <c r="BO238" s="36"/>
      <c r="BP238" s="39">
        <f t="shared" si="113"/>
        <v>0.71918750000000009</v>
      </c>
      <c r="BQ238" s="37"/>
      <c r="BR238" s="39">
        <f t="shared" si="114"/>
        <v>0.1619998518999376</v>
      </c>
      <c r="BS238" s="37"/>
      <c r="BT238" s="37"/>
      <c r="BU238" s="37"/>
      <c r="BV238" s="39">
        <f t="shared" si="124"/>
        <v>0.13715137067938024</v>
      </c>
      <c r="BW238" s="39">
        <f t="shared" si="109"/>
        <v>0.7882425286523701</v>
      </c>
      <c r="BX238" s="39">
        <f t="shared" si="125"/>
        <v>5.8292507757560161E-2</v>
      </c>
      <c r="BY238" s="39">
        <f t="shared" si="141"/>
        <v>1.9819229064886508</v>
      </c>
      <c r="BZ238" s="37"/>
      <c r="CA238" s="39">
        <f t="shared" si="110"/>
        <v>2.0976764534050578</v>
      </c>
      <c r="CB238" s="39">
        <f t="shared" si="111"/>
        <v>1.3318580656540047</v>
      </c>
      <c r="CC238" s="39">
        <f t="shared" si="129"/>
        <v>6.2329583333333348E-2</v>
      </c>
      <c r="CD238" s="37"/>
      <c r="CE238" s="37"/>
      <c r="CF238" s="37"/>
      <c r="CG238" s="37"/>
      <c r="CH238" s="39">
        <f t="shared" si="133"/>
        <v>3.694304297694845</v>
      </c>
      <c r="CI238" s="37"/>
      <c r="CJ238" s="37"/>
      <c r="CK238" s="37"/>
      <c r="CL238" s="37"/>
      <c r="CM238" s="37"/>
      <c r="CN238" s="37"/>
      <c r="CO238" s="39">
        <f>0.063495+(0.016949+0.014096)*Wages!P236+1.22592*BR238</f>
        <v>0.44071126594117149</v>
      </c>
      <c r="CP238" s="39"/>
      <c r="CQ238" s="39">
        <f t="shared" si="126"/>
        <v>0.44071126594117149</v>
      </c>
      <c r="CR238" s="39">
        <f t="shared" si="135"/>
        <v>0.13715137067938024</v>
      </c>
      <c r="CS238" s="39">
        <f t="shared" si="135"/>
        <v>0.7882425286523701</v>
      </c>
      <c r="CT238" s="39">
        <f t="shared" si="112"/>
        <v>2.0976764534050578</v>
      </c>
      <c r="CU238" s="39">
        <f t="shared" si="112"/>
        <v>1.3318580656540047</v>
      </c>
      <c r="CV238" s="39">
        <f t="shared" si="112"/>
        <v>6.2329583333333348E-2</v>
      </c>
      <c r="CW238" s="39">
        <v>0.09</v>
      </c>
      <c r="CX238" s="39"/>
      <c r="CY238" s="39"/>
      <c r="CZ238" s="39">
        <f t="shared" si="115"/>
        <v>5.8292507757560161E-2</v>
      </c>
      <c r="DA238" s="39">
        <f t="shared" si="134"/>
        <v>3.694304297694845</v>
      </c>
      <c r="DB238" s="39">
        <v>3.460657323184603</v>
      </c>
      <c r="DC238" s="39">
        <f t="shared" si="116"/>
        <v>1.9819229064886508</v>
      </c>
      <c r="DD238" s="39">
        <v>2.2999999999999998</v>
      </c>
      <c r="DE238" s="39">
        <v>1.6E-2</v>
      </c>
      <c r="DF238" s="37"/>
      <c r="DG238" s="39">
        <f t="shared" si="117"/>
        <v>0</v>
      </c>
      <c r="DH238" s="39">
        <f t="shared" si="118"/>
        <v>1.8111840615802581</v>
      </c>
      <c r="DI238" s="37"/>
      <c r="DJ238" s="37"/>
      <c r="DK238" s="37"/>
      <c r="DL238" s="37"/>
      <c r="DM238" s="39">
        <f t="shared" si="127"/>
        <v>0.44978926017507492</v>
      </c>
      <c r="DN238" s="39"/>
      <c r="DO238" s="39">
        <f t="shared" si="128"/>
        <v>0.44978926017507492</v>
      </c>
      <c r="DP238" s="37"/>
      <c r="DQ238" s="37">
        <f>DO238/'Conversions, Sources &amp; Comments'!E236</f>
        <v>0.62541306707232103</v>
      </c>
    </row>
    <row r="239" spans="1:121">
      <c r="A239" s="42">
        <f t="shared" si="119"/>
        <v>1487</v>
      </c>
      <c r="B239" s="36"/>
      <c r="C239" s="38">
        <v>5</v>
      </c>
      <c r="D239" s="38">
        <v>5.25</v>
      </c>
      <c r="E239" s="38">
        <v>3</v>
      </c>
      <c r="F239" s="38">
        <v>0.5</v>
      </c>
      <c r="G239" s="38">
        <v>1</v>
      </c>
      <c r="H239" s="38">
        <v>9.75</v>
      </c>
      <c r="I239" s="38">
        <v>5</v>
      </c>
      <c r="J239" s="38">
        <v>4</v>
      </c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8">
        <v>5.2</v>
      </c>
      <c r="V239" s="36"/>
      <c r="W239" s="36"/>
      <c r="X239" s="38">
        <v>8</v>
      </c>
      <c r="Y239" s="38">
        <v>4.5</v>
      </c>
      <c r="Z239" s="38">
        <v>1</v>
      </c>
      <c r="AA239" s="38">
        <v>3.75</v>
      </c>
      <c r="AB239" s="36"/>
      <c r="AC239" s="36"/>
      <c r="AD239" s="36"/>
      <c r="AE239" s="38">
        <v>0</v>
      </c>
      <c r="AF239" s="38">
        <v>6.75</v>
      </c>
      <c r="AG239" s="36"/>
      <c r="AH239" s="36"/>
      <c r="AI239" s="38">
        <v>1</v>
      </c>
      <c r="AJ239" s="38">
        <v>6</v>
      </c>
      <c r="AK239" s="36"/>
      <c r="AL239" s="36"/>
      <c r="AM239" s="36"/>
      <c r="AN239" s="36"/>
      <c r="AO239" s="38">
        <v>1</v>
      </c>
      <c r="AP239" s="38">
        <v>4</v>
      </c>
      <c r="AQ239" s="38">
        <v>1</v>
      </c>
      <c r="AR239" s="38">
        <v>2</v>
      </c>
      <c r="AS239" s="36"/>
      <c r="AT239" s="36"/>
      <c r="AU239" s="36"/>
      <c r="AV239" s="36"/>
      <c r="AW239" s="38">
        <v>2.33</v>
      </c>
      <c r="AX239" s="38">
        <v>6.3</v>
      </c>
      <c r="AY239" s="36"/>
      <c r="AZ239" s="38">
        <v>40</v>
      </c>
      <c r="BA239" s="38">
        <v>53.33</v>
      </c>
      <c r="BB239" s="38">
        <v>56</v>
      </c>
      <c r="BC239" s="36"/>
      <c r="BD239" s="36"/>
      <c r="BE239" s="36"/>
      <c r="BF239" s="36"/>
      <c r="BG239" s="59">
        <v>3.79</v>
      </c>
      <c r="BH239" s="59">
        <v>0.57999999999999996</v>
      </c>
      <c r="BI239" s="59">
        <v>6.3560768500372566E-2</v>
      </c>
      <c r="BJ239" s="59"/>
      <c r="BK239" s="38">
        <v>1.2690000000000001</v>
      </c>
      <c r="BL239" s="59">
        <v>0.84</v>
      </c>
      <c r="BM239" s="36"/>
      <c r="BN239" s="38">
        <v>40</v>
      </c>
      <c r="BO239" s="36"/>
      <c r="BP239" s="39">
        <f t="shared" si="113"/>
        <v>0.71918750000000009</v>
      </c>
      <c r="BQ239" s="37"/>
      <c r="BR239" s="39">
        <f t="shared" si="114"/>
        <v>0.16646441474757365</v>
      </c>
      <c r="BS239" s="37"/>
      <c r="BT239" s="39">
        <f>BP239*12*AZ239/(24*0.9144)</f>
        <v>15.730260279965007</v>
      </c>
      <c r="BU239" s="37"/>
      <c r="BV239" s="39">
        <f t="shared" si="124"/>
        <v>0.11602761046313638</v>
      </c>
      <c r="BW239" s="39">
        <f t="shared" si="109"/>
        <v>0.7882425286523701</v>
      </c>
      <c r="BX239" s="39">
        <f t="shared" si="125"/>
        <v>6.7036383921193279E-2</v>
      </c>
      <c r="BY239" s="39">
        <f t="shared" si="141"/>
        <v>2.0810190518130836</v>
      </c>
      <c r="BZ239" s="37"/>
      <c r="CA239" s="39">
        <f t="shared" si="110"/>
        <v>2.0120570063273004</v>
      </c>
      <c r="CB239" s="39">
        <f t="shared" si="111"/>
        <v>1.3318580656540047</v>
      </c>
      <c r="CC239" s="39">
        <f t="shared" si="129"/>
        <v>6.2329583333333348E-2</v>
      </c>
      <c r="CD239" s="37"/>
      <c r="CE239" s="37"/>
      <c r="CF239" s="37"/>
      <c r="CG239" s="39">
        <f>BP239*(12*AO239+AP239)/4.55</f>
        <v>2.5290109890109895</v>
      </c>
      <c r="CH239" s="39">
        <f t="shared" si="133"/>
        <v>3.694304297694845</v>
      </c>
      <c r="CI239" s="37"/>
      <c r="CJ239" s="37"/>
      <c r="CK239" s="37"/>
      <c r="CL239" s="37"/>
      <c r="CM239" s="37"/>
      <c r="CN239" s="37"/>
      <c r="CO239" s="39">
        <f>0.063495+(0.016949+0.014096)*Wages!P237+1.22592*BR239</f>
        <v>0.44618446282734547</v>
      </c>
      <c r="CP239" s="39"/>
      <c r="CQ239" s="39">
        <f t="shared" si="126"/>
        <v>0.44618446282734547</v>
      </c>
      <c r="CR239" s="39">
        <f t="shared" si="135"/>
        <v>0.11602761046313638</v>
      </c>
      <c r="CS239" s="39">
        <f t="shared" si="135"/>
        <v>0.7882425286523701</v>
      </c>
      <c r="CT239" s="39">
        <f t="shared" si="112"/>
        <v>2.0120570063273004</v>
      </c>
      <c r="CU239" s="39">
        <f t="shared" si="112"/>
        <v>1.3318580656540047</v>
      </c>
      <c r="CV239" s="39">
        <f t="shared" si="112"/>
        <v>6.2329583333333348E-2</v>
      </c>
      <c r="CW239" s="39">
        <v>0.09</v>
      </c>
      <c r="CX239" s="39"/>
      <c r="CY239" s="39"/>
      <c r="CZ239" s="39">
        <f t="shared" si="115"/>
        <v>6.7036383921193279E-2</v>
      </c>
      <c r="DA239" s="39">
        <f t="shared" si="134"/>
        <v>3.694304297694845</v>
      </c>
      <c r="DB239" s="39">
        <f>DB$258*BT239/15.73026</f>
        <v>3.4606573231846038</v>
      </c>
      <c r="DC239" s="39">
        <f t="shared" si="116"/>
        <v>2.0810190518130836</v>
      </c>
      <c r="DD239" s="39">
        <f>CG239</f>
        <v>2.5290109890109895</v>
      </c>
      <c r="DE239" s="39">
        <v>1.6E-2</v>
      </c>
      <c r="DF239" s="37"/>
      <c r="DG239" s="39">
        <f t="shared" si="117"/>
        <v>0</v>
      </c>
      <c r="DH239" s="39">
        <f t="shared" si="118"/>
        <v>1.8111840615802581</v>
      </c>
      <c r="DI239" s="37"/>
      <c r="DJ239" s="37"/>
      <c r="DK239" s="37"/>
      <c r="DL239" s="37"/>
      <c r="DM239" s="39">
        <f t="shared" si="127"/>
        <v>0.45436128989772295</v>
      </c>
      <c r="DN239" s="39"/>
      <c r="DO239" s="39">
        <f t="shared" si="128"/>
        <v>0.45436128989772295</v>
      </c>
      <c r="DP239" s="37"/>
      <c r="DQ239" s="37">
        <f>DO239/'Conversions, Sources &amp; Comments'!E237</f>
        <v>0.63177028229456555</v>
      </c>
    </row>
    <row r="240" spans="1:121">
      <c r="A240" s="42">
        <f t="shared" si="119"/>
        <v>1488</v>
      </c>
      <c r="B240" s="36"/>
      <c r="C240" s="38">
        <v>5</v>
      </c>
      <c r="D240" s="38">
        <v>6</v>
      </c>
      <c r="E240" s="38">
        <v>4</v>
      </c>
      <c r="F240" s="38">
        <v>0.25</v>
      </c>
      <c r="G240" s="38">
        <v>2</v>
      </c>
      <c r="H240" s="38">
        <v>9.75</v>
      </c>
      <c r="I240" s="38">
        <v>4</v>
      </c>
      <c r="J240" s="38">
        <v>0</v>
      </c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8">
        <v>5.2</v>
      </c>
      <c r="V240" s="36"/>
      <c r="W240" s="36"/>
      <c r="X240" s="38">
        <v>7</v>
      </c>
      <c r="Y240" s="38">
        <v>1</v>
      </c>
      <c r="Z240" s="38">
        <v>1</v>
      </c>
      <c r="AA240" s="38">
        <v>1</v>
      </c>
      <c r="AB240" s="36"/>
      <c r="AC240" s="38">
        <v>0</v>
      </c>
      <c r="AD240" s="38">
        <v>6</v>
      </c>
      <c r="AE240" s="38">
        <v>0</v>
      </c>
      <c r="AF240" s="38">
        <v>6.75</v>
      </c>
      <c r="AG240" s="38">
        <v>8</v>
      </c>
      <c r="AH240" s="38">
        <v>0</v>
      </c>
      <c r="AI240" s="36"/>
      <c r="AJ240" s="36"/>
      <c r="AK240" s="36"/>
      <c r="AL240" s="36"/>
      <c r="AM240" s="38">
        <v>12</v>
      </c>
      <c r="AN240" s="38">
        <v>8</v>
      </c>
      <c r="AO240" s="38">
        <v>1</v>
      </c>
      <c r="AP240" s="38">
        <v>2.5</v>
      </c>
      <c r="AQ240" s="38">
        <v>1</v>
      </c>
      <c r="AR240" s="38">
        <v>1</v>
      </c>
      <c r="AS240" s="36"/>
      <c r="AT240" s="36"/>
      <c r="AU240" s="36"/>
      <c r="AV240" s="36"/>
      <c r="AW240" s="38">
        <v>2.33</v>
      </c>
      <c r="AX240" s="38">
        <v>5.1100000000000003</v>
      </c>
      <c r="AY240" s="36"/>
      <c r="AZ240" s="36"/>
      <c r="BA240" s="36"/>
      <c r="BB240" s="38">
        <v>102</v>
      </c>
      <c r="BC240" s="36"/>
      <c r="BD240" s="36"/>
      <c r="BE240" s="36"/>
      <c r="BF240" s="36"/>
      <c r="BG240" s="59">
        <v>6.37</v>
      </c>
      <c r="BH240" s="59">
        <v>0.57999999999999996</v>
      </c>
      <c r="BI240" s="59">
        <v>4.8361454293762804E-2</v>
      </c>
      <c r="BJ240" s="59"/>
      <c r="BK240" s="38">
        <v>1.3230000000000002</v>
      </c>
      <c r="BL240" s="59">
        <v>0.71</v>
      </c>
      <c r="BM240" s="36"/>
      <c r="BN240" s="38">
        <v>40</v>
      </c>
      <c r="BO240" s="36"/>
      <c r="BP240" s="39">
        <f t="shared" si="113"/>
        <v>0.71918750000000009</v>
      </c>
      <c r="BQ240" s="37"/>
      <c r="BR240" s="39">
        <f t="shared" si="114"/>
        <v>0.16837779882513199</v>
      </c>
      <c r="BS240" s="37"/>
      <c r="BT240" s="37"/>
      <c r="BU240" s="37"/>
      <c r="BV240" s="39">
        <f t="shared" si="124"/>
        <v>0.19501210518474377</v>
      </c>
      <c r="BW240" s="39">
        <f t="shared" si="109"/>
        <v>0.7882425286523701</v>
      </c>
      <c r="BX240" s="39">
        <f t="shared" si="125"/>
        <v>5.1005944287865576E-2</v>
      </c>
      <c r="BY240" s="39">
        <f t="shared" si="141"/>
        <v>1.7176665189568305</v>
      </c>
      <c r="BZ240" s="37"/>
      <c r="CA240" s="39">
        <f t="shared" si="110"/>
        <v>2.0976764534050578</v>
      </c>
      <c r="CB240" s="39">
        <f t="shared" si="111"/>
        <v>1.1257371745408848</v>
      </c>
      <c r="CC240" s="39">
        <f t="shared" si="129"/>
        <v>6.2329583333333348E-2</v>
      </c>
      <c r="CD240" s="39">
        <f>BP240*(12*AM240+AN240)/1000</f>
        <v>0.10931650000000002</v>
      </c>
      <c r="CE240" s="37"/>
      <c r="CF240" s="37"/>
      <c r="CG240" s="39">
        <f>BP240*(12*AO240+AP240)/4.55</f>
        <v>2.2919162087912093</v>
      </c>
      <c r="CH240" s="39">
        <f t="shared" si="133"/>
        <v>3.694304297694845</v>
      </c>
      <c r="CI240" s="37"/>
      <c r="CJ240" s="37"/>
      <c r="CK240" s="39">
        <f>BP240*(12*AC240+AD240)/(35.238*8)</f>
        <v>1.5307072620466542E-2</v>
      </c>
      <c r="CL240" s="39">
        <f>BP240*(12*AG240+AH240)/100</f>
        <v>0.69042000000000003</v>
      </c>
      <c r="CM240" s="39">
        <f>BP240*(12*$AC240+$AD240)/(35.238*8)/0.283</f>
        <v>5.4088595832037255E-2</v>
      </c>
      <c r="CN240" s="37"/>
      <c r="CO240" s="39">
        <f>0.063495+(0.016949+0.014096)*Wages!P238+1.22592*BR240</f>
        <v>0.4485301186357058</v>
      </c>
      <c r="CP240" s="39"/>
      <c r="CQ240" s="39">
        <f t="shared" si="126"/>
        <v>0.4485301186357058</v>
      </c>
      <c r="CR240" s="39">
        <f t="shared" si="135"/>
        <v>0.19501210518474377</v>
      </c>
      <c r="CS240" s="39">
        <f t="shared" si="135"/>
        <v>0.7882425286523701</v>
      </c>
      <c r="CT240" s="39">
        <f t="shared" si="112"/>
        <v>2.0976764534050578</v>
      </c>
      <c r="CU240" s="39">
        <f t="shared" si="112"/>
        <v>1.1257371745408848</v>
      </c>
      <c r="CV240" s="39">
        <f t="shared" si="112"/>
        <v>6.2329583333333348E-2</v>
      </c>
      <c r="CW240" s="39">
        <f>CD240</f>
        <v>0.10931650000000002</v>
      </c>
      <c r="CX240" s="39"/>
      <c r="CY240" s="39"/>
      <c r="CZ240" s="39">
        <f t="shared" si="115"/>
        <v>5.1005944287865576E-2</v>
      </c>
      <c r="DA240" s="39">
        <f t="shared" si="134"/>
        <v>3.694304297694845</v>
      </c>
      <c r="DB240" s="39">
        <v>3.460657323184603</v>
      </c>
      <c r="DC240" s="39">
        <f t="shared" si="116"/>
        <v>1.7176665189568305</v>
      </c>
      <c r="DD240" s="39">
        <f>CG240</f>
        <v>2.2919162087912093</v>
      </c>
      <c r="DE240" s="39">
        <f>CK240</f>
        <v>1.5307072620466542E-2</v>
      </c>
      <c r="DF240" s="37"/>
      <c r="DG240" s="39">
        <f t="shared" si="117"/>
        <v>0.69042000000000003</v>
      </c>
      <c r="DH240" s="39">
        <f t="shared" si="118"/>
        <v>1.7327453724775348</v>
      </c>
      <c r="DI240" s="37"/>
      <c r="DJ240" s="37"/>
      <c r="DK240" s="37"/>
      <c r="DL240" s="37"/>
      <c r="DM240" s="39">
        <f t="shared" si="127"/>
        <v>0.45203927515264014</v>
      </c>
      <c r="DN240" s="39"/>
      <c r="DO240" s="39">
        <f t="shared" si="128"/>
        <v>0.45203927515264014</v>
      </c>
      <c r="DP240" s="37"/>
      <c r="DQ240" s="37">
        <f>DO240/'Conversions, Sources &amp; Comments'!E238</f>
        <v>0.62854161835771627</v>
      </c>
    </row>
    <row r="241" spans="1:121">
      <c r="A241" s="42">
        <f t="shared" si="119"/>
        <v>1489</v>
      </c>
      <c r="B241" s="36"/>
      <c r="C241" s="38">
        <v>5</v>
      </c>
      <c r="D241" s="38">
        <v>10.75</v>
      </c>
      <c r="E241" s="38">
        <v>3</v>
      </c>
      <c r="F241" s="38">
        <v>3</v>
      </c>
      <c r="G241" s="38">
        <v>1</v>
      </c>
      <c r="H241" s="38">
        <v>9.5</v>
      </c>
      <c r="I241" s="38">
        <v>6</v>
      </c>
      <c r="J241" s="38">
        <v>8</v>
      </c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8">
        <v>5.2</v>
      </c>
      <c r="V241" s="36"/>
      <c r="W241" s="36"/>
      <c r="X241" s="38">
        <v>8</v>
      </c>
      <c r="Y241" s="38">
        <v>0</v>
      </c>
      <c r="Z241" s="38">
        <v>1</v>
      </c>
      <c r="AA241" s="38">
        <v>1.5</v>
      </c>
      <c r="AB241" s="36"/>
      <c r="AC241" s="38">
        <v>0</v>
      </c>
      <c r="AD241" s="38">
        <v>6.5</v>
      </c>
      <c r="AE241" s="38">
        <v>0</v>
      </c>
      <c r="AF241" s="38">
        <v>6.75</v>
      </c>
      <c r="AG241" s="38">
        <v>8</v>
      </c>
      <c r="AH241" s="38">
        <v>0</v>
      </c>
      <c r="AI241" s="36"/>
      <c r="AJ241" s="36"/>
      <c r="AK241" s="36"/>
      <c r="AL241" s="36"/>
      <c r="AM241" s="38">
        <v>10</v>
      </c>
      <c r="AN241" s="38">
        <v>5.25</v>
      </c>
      <c r="AO241" s="38">
        <v>1</v>
      </c>
      <c r="AP241" s="38">
        <v>0</v>
      </c>
      <c r="AQ241" s="38">
        <v>1</v>
      </c>
      <c r="AR241" s="38">
        <v>3</v>
      </c>
      <c r="AS241" s="36"/>
      <c r="AT241" s="36"/>
      <c r="AU241" s="36"/>
      <c r="AV241" s="36"/>
      <c r="AW241" s="38">
        <v>2.33</v>
      </c>
      <c r="AX241" s="38">
        <v>5.9</v>
      </c>
      <c r="AY241" s="36"/>
      <c r="AZ241" s="38">
        <v>40</v>
      </c>
      <c r="BA241" s="38">
        <v>53.33</v>
      </c>
      <c r="BB241" s="38">
        <v>48</v>
      </c>
      <c r="BC241" s="36"/>
      <c r="BD241" s="36"/>
      <c r="BE241" s="36"/>
      <c r="BF241" s="36"/>
      <c r="BG241" s="59">
        <v>4.3899999999999997</v>
      </c>
      <c r="BH241" s="59">
        <v>0.57999999999999996</v>
      </c>
      <c r="BI241" s="59">
        <v>5.8033745152514013E-2</v>
      </c>
      <c r="BJ241" s="59"/>
      <c r="BK241" s="38">
        <v>1.35</v>
      </c>
      <c r="BL241" s="59">
        <v>0.84</v>
      </c>
      <c r="BM241" s="36"/>
      <c r="BN241" s="38">
        <v>40</v>
      </c>
      <c r="BO241" s="36"/>
      <c r="BP241" s="39">
        <f t="shared" si="113"/>
        <v>0.71918750000000009</v>
      </c>
      <c r="BQ241" s="37"/>
      <c r="BR241" s="39">
        <f t="shared" si="114"/>
        <v>0.18049589798300131</v>
      </c>
      <c r="BS241" s="37"/>
      <c r="BT241" s="39">
        <f t="shared" ref="BT241:BT253" si="142">BP241*12*AZ241/(24*0.9144)</f>
        <v>15.730260279965007</v>
      </c>
      <c r="BU241" s="37"/>
      <c r="BV241" s="39">
        <f t="shared" si="124"/>
        <v>0.13439609760769625</v>
      </c>
      <c r="BW241" s="39">
        <f t="shared" si="109"/>
        <v>0.7882425286523701</v>
      </c>
      <c r="BX241" s="39">
        <f t="shared" si="125"/>
        <v>6.1207133145437277E-2</v>
      </c>
      <c r="BY241" s="39">
        <f t="shared" si="141"/>
        <v>1.7837306158397856</v>
      </c>
      <c r="BZ241" s="37"/>
      <c r="CA241" s="39">
        <f t="shared" si="110"/>
        <v>2.1404861769439365</v>
      </c>
      <c r="CB241" s="39">
        <f t="shared" si="111"/>
        <v>1.3318580656540047</v>
      </c>
      <c r="CC241" s="39">
        <f t="shared" si="129"/>
        <v>6.2329583333333348E-2</v>
      </c>
      <c r="CD241" s="39">
        <f>BP241*(12*AM241+AN241)/1000</f>
        <v>9.007823437500001E-2</v>
      </c>
      <c r="CE241" s="37"/>
      <c r="CF241" s="37"/>
      <c r="CG241" s="39">
        <f>BP241*(12*AO241+AP241)/4.55</f>
        <v>1.8967582417582418</v>
      </c>
      <c r="CH241" s="39">
        <f t="shared" si="133"/>
        <v>3.694304297694845</v>
      </c>
      <c r="CI241" s="37"/>
      <c r="CJ241" s="37"/>
      <c r="CK241" s="39">
        <f>BP241*(12*AC241+AD241)/(35.238*8)</f>
        <v>1.6582662005505421E-2</v>
      </c>
      <c r="CL241" s="39">
        <f>BP241*(12*AG241+AH241)/100</f>
        <v>0.69042000000000003</v>
      </c>
      <c r="CM241" s="39">
        <f>BP241*(12*$AC241+$AD241)/(35.238*8)/0.283</f>
        <v>5.8595978818040358E-2</v>
      </c>
      <c r="CN241" s="37"/>
      <c r="CO241" s="39">
        <f>0.063495+(0.016949+0.014096)*Wages!P239+1.22592*BR241</f>
        <v>0.46338593875532097</v>
      </c>
      <c r="CP241" s="39"/>
      <c r="CQ241" s="39">
        <f t="shared" si="126"/>
        <v>0.46338593875532097</v>
      </c>
      <c r="CR241" s="39">
        <f t="shared" si="135"/>
        <v>0.13439609760769625</v>
      </c>
      <c r="CS241" s="39">
        <f t="shared" si="135"/>
        <v>0.7882425286523701</v>
      </c>
      <c r="CT241" s="39">
        <f t="shared" si="112"/>
        <v>2.1404861769439365</v>
      </c>
      <c r="CU241" s="39">
        <f t="shared" si="112"/>
        <v>1.3318580656540047</v>
      </c>
      <c r="CV241" s="39">
        <f t="shared" si="112"/>
        <v>6.2329583333333348E-2</v>
      </c>
      <c r="CW241" s="39">
        <f>CD241</f>
        <v>9.007823437500001E-2</v>
      </c>
      <c r="CX241" s="39"/>
      <c r="CY241" s="39"/>
      <c r="CZ241" s="39">
        <f t="shared" si="115"/>
        <v>6.1207133145437277E-2</v>
      </c>
      <c r="DA241" s="39">
        <f t="shared" si="134"/>
        <v>3.694304297694845</v>
      </c>
      <c r="DB241" s="39">
        <f t="shared" ref="DB241:DB253" si="143">DB$258*BT241/15.73026</f>
        <v>3.4606573231846038</v>
      </c>
      <c r="DC241" s="39">
        <f t="shared" si="116"/>
        <v>1.7837306158397856</v>
      </c>
      <c r="DD241" s="39">
        <f>CG241</f>
        <v>1.8967582417582418</v>
      </c>
      <c r="DE241" s="39">
        <f>CK241</f>
        <v>1.6582662005505421E-2</v>
      </c>
      <c r="DF241" s="37"/>
      <c r="DG241" s="39">
        <f t="shared" si="117"/>
        <v>0.69042000000000003</v>
      </c>
      <c r="DH241" s="39">
        <f t="shared" si="118"/>
        <v>1.8771408201839959</v>
      </c>
      <c r="DI241" s="37"/>
      <c r="DJ241" s="37"/>
      <c r="DK241" s="37"/>
      <c r="DL241" s="37"/>
      <c r="DM241" s="39">
        <f t="shared" si="127"/>
        <v>0.4582314266637782</v>
      </c>
      <c r="DN241" s="39"/>
      <c r="DO241" s="39">
        <f t="shared" si="128"/>
        <v>0.4582314266637782</v>
      </c>
      <c r="DP241" s="37"/>
      <c r="DQ241" s="37">
        <f>DO241/'Conversions, Sources &amp; Comments'!E239</f>
        <v>0.63715154485273751</v>
      </c>
    </row>
    <row r="242" spans="1:121">
      <c r="A242" s="42">
        <f t="shared" si="119"/>
        <v>1490</v>
      </c>
      <c r="B242" s="36"/>
      <c r="C242" s="38">
        <v>4</v>
      </c>
      <c r="D242" s="38">
        <v>10.5</v>
      </c>
      <c r="E242" s="38">
        <v>4</v>
      </c>
      <c r="F242" s="38">
        <v>2</v>
      </c>
      <c r="G242" s="38">
        <v>1</v>
      </c>
      <c r="H242" s="38">
        <v>8.75</v>
      </c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8">
        <v>5.2</v>
      </c>
      <c r="V242" s="36"/>
      <c r="W242" s="36"/>
      <c r="X242" s="38">
        <v>7</v>
      </c>
      <c r="Y242" s="38">
        <v>6.75</v>
      </c>
      <c r="Z242" s="38">
        <v>1</v>
      </c>
      <c r="AA242" s="38">
        <v>0</v>
      </c>
      <c r="AB242" s="36"/>
      <c r="AC242" s="38">
        <v>0</v>
      </c>
      <c r="AD242" s="38">
        <v>9</v>
      </c>
      <c r="AE242" s="38">
        <v>0</v>
      </c>
      <c r="AF242" s="38">
        <v>6.75</v>
      </c>
      <c r="AG242" s="36"/>
      <c r="AH242" s="36"/>
      <c r="AI242" s="38">
        <v>2</v>
      </c>
      <c r="AJ242" s="38">
        <v>0</v>
      </c>
      <c r="AK242" s="36"/>
      <c r="AL242" s="36"/>
      <c r="AM242" s="36"/>
      <c r="AN242" s="36"/>
      <c r="AO242" s="36"/>
      <c r="AP242" s="36"/>
      <c r="AQ242" s="38">
        <v>1</v>
      </c>
      <c r="AR242" s="38">
        <v>3</v>
      </c>
      <c r="AS242" s="36"/>
      <c r="AT242" s="36"/>
      <c r="AU242" s="36"/>
      <c r="AV242" s="36"/>
      <c r="AW242" s="38">
        <v>2.33</v>
      </c>
      <c r="AX242" s="38">
        <v>6</v>
      </c>
      <c r="AY242" s="36"/>
      <c r="AZ242" s="38">
        <v>40</v>
      </c>
      <c r="BA242" s="38">
        <v>53.33</v>
      </c>
      <c r="BB242" s="36"/>
      <c r="BC242" s="36"/>
      <c r="BD242" s="36"/>
      <c r="BE242" s="36"/>
      <c r="BF242" s="36"/>
      <c r="BG242" s="59">
        <v>5.12</v>
      </c>
      <c r="BH242" s="59">
        <v>0.57999999999999996</v>
      </c>
      <c r="BI242" s="59">
        <v>6.6324280174302697E-2</v>
      </c>
      <c r="BJ242" s="59"/>
      <c r="BK242" s="38">
        <v>1.2825</v>
      </c>
      <c r="BL242" s="59">
        <v>0.63</v>
      </c>
      <c r="BM242" s="36"/>
      <c r="BN242" s="38">
        <v>40</v>
      </c>
      <c r="BO242" s="36"/>
      <c r="BP242" s="39">
        <f t="shared" si="113"/>
        <v>0.71918750000000009</v>
      </c>
      <c r="BQ242" s="37"/>
      <c r="BR242" s="39">
        <f t="shared" si="114"/>
        <v>0.14924395804954879</v>
      </c>
      <c r="BS242" s="37"/>
      <c r="BT242" s="39">
        <f t="shared" si="142"/>
        <v>15.730260279965007</v>
      </c>
      <c r="BU242" s="37"/>
      <c r="BV242" s="39">
        <f t="shared" si="124"/>
        <v>0.15674442363357741</v>
      </c>
      <c r="BW242" s="39">
        <f t="shared" si="109"/>
        <v>0.7882425286523701</v>
      </c>
      <c r="BX242" s="39">
        <f t="shared" si="125"/>
        <v>6.9951009309072179E-2</v>
      </c>
      <c r="BY242" s="39">
        <f t="shared" si="141"/>
        <v>1.5855383251909205</v>
      </c>
      <c r="BZ242" s="37"/>
      <c r="CA242" s="39">
        <f t="shared" si="110"/>
        <v>2.0334618680967398</v>
      </c>
      <c r="CB242" s="39">
        <f t="shared" si="111"/>
        <v>0.99889354924050344</v>
      </c>
      <c r="CC242" s="39">
        <f t="shared" si="129"/>
        <v>6.2329583333333348E-2</v>
      </c>
      <c r="CD242" s="37"/>
      <c r="CE242" s="37"/>
      <c r="CF242" s="37"/>
      <c r="CG242" s="37"/>
      <c r="CH242" s="39">
        <f t="shared" si="133"/>
        <v>3.694304297694845</v>
      </c>
      <c r="CI242" s="37"/>
      <c r="CJ242" s="37"/>
      <c r="CK242" s="39">
        <f>BP242*(12*AC242+AD242)/(35.238*8)</f>
        <v>2.2960608930699816E-2</v>
      </c>
      <c r="CL242" s="37"/>
      <c r="CM242" s="39">
        <f>BP242*(12*$AC242+$AD242)/(35.238*8)/0.283</f>
        <v>8.1132893748055893E-2</v>
      </c>
      <c r="CN242" s="37"/>
      <c r="CO242" s="39">
        <f>0.063495+(0.016949+0.014096)*Wages!P240+1.22592*BR242</f>
        <v>0.42507356055210282</v>
      </c>
      <c r="CP242" s="39"/>
      <c r="CQ242" s="39">
        <f t="shared" si="126"/>
        <v>0.42507356055210282</v>
      </c>
      <c r="CR242" s="39">
        <f t="shared" si="135"/>
        <v>0.15674442363357741</v>
      </c>
      <c r="CS242" s="39">
        <f t="shared" si="135"/>
        <v>0.7882425286523701</v>
      </c>
      <c r="CT242" s="39">
        <f t="shared" si="112"/>
        <v>2.0334618680967398</v>
      </c>
      <c r="CU242" s="39">
        <f t="shared" si="112"/>
        <v>0.99889354924050344</v>
      </c>
      <c r="CV242" s="39">
        <f t="shared" si="112"/>
        <v>6.2329583333333348E-2</v>
      </c>
      <c r="CW242" s="39">
        <v>0.09</v>
      </c>
      <c r="CX242" s="39"/>
      <c r="CY242" s="39"/>
      <c r="CZ242" s="39">
        <f t="shared" si="115"/>
        <v>6.9951009309072179E-2</v>
      </c>
      <c r="DA242" s="39">
        <f t="shared" si="134"/>
        <v>3.694304297694845</v>
      </c>
      <c r="DB242" s="39">
        <f t="shared" si="143"/>
        <v>3.4606573231846038</v>
      </c>
      <c r="DC242" s="39">
        <f t="shared" si="116"/>
        <v>1.5855383251909205</v>
      </c>
      <c r="DD242" s="39">
        <v>2</v>
      </c>
      <c r="DE242" s="39">
        <f>CK242</f>
        <v>2.2960608930699816E-2</v>
      </c>
      <c r="DF242" s="37"/>
      <c r="DG242" s="39">
        <f t="shared" si="117"/>
        <v>0</v>
      </c>
      <c r="DH242" s="39">
        <f t="shared" si="118"/>
        <v>2.5991180587163027</v>
      </c>
      <c r="DI242" s="37"/>
      <c r="DJ242" s="37"/>
      <c r="DK242" s="37"/>
      <c r="DL242" s="37"/>
      <c r="DM242" s="39">
        <f t="shared" si="127"/>
        <v>0.45065299486630345</v>
      </c>
      <c r="DN242" s="39"/>
      <c r="DO242" s="39">
        <f t="shared" si="128"/>
        <v>0.45065299486630345</v>
      </c>
      <c r="DP242" s="37"/>
      <c r="DQ242" s="37">
        <f>DO242/'Conversions, Sources &amp; Comments'!E240</f>
        <v>0.6266140538681545</v>
      </c>
    </row>
    <row r="243" spans="1:121">
      <c r="A243" s="42">
        <f t="shared" si="119"/>
        <v>1491</v>
      </c>
      <c r="B243" s="36"/>
      <c r="C243" s="38">
        <v>6</v>
      </c>
      <c r="D243" s="38">
        <v>7.25</v>
      </c>
      <c r="E243" s="38">
        <v>3</v>
      </c>
      <c r="F243" s="38">
        <v>7</v>
      </c>
      <c r="G243" s="38">
        <v>2</v>
      </c>
      <c r="H243" s="38">
        <v>0</v>
      </c>
      <c r="I243" s="38">
        <v>4</v>
      </c>
      <c r="J243" s="38">
        <v>4</v>
      </c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8">
        <v>5.5</v>
      </c>
      <c r="V243" s="36"/>
      <c r="W243" s="36"/>
      <c r="X243" s="38">
        <v>7</v>
      </c>
      <c r="Y243" s="38">
        <v>3</v>
      </c>
      <c r="Z243" s="38">
        <v>1</v>
      </c>
      <c r="AA243" s="38">
        <v>0</v>
      </c>
      <c r="AB243" s="36"/>
      <c r="AC243" s="38">
        <v>0</v>
      </c>
      <c r="AD243" s="38">
        <v>5</v>
      </c>
      <c r="AE243" s="38">
        <v>0</v>
      </c>
      <c r="AF243" s="38">
        <v>6.25</v>
      </c>
      <c r="AG243" s="38">
        <v>7</v>
      </c>
      <c r="AH243" s="38">
        <v>8</v>
      </c>
      <c r="AI243" s="38">
        <v>1</v>
      </c>
      <c r="AJ243" s="38">
        <v>6</v>
      </c>
      <c r="AK243" s="36"/>
      <c r="AL243" s="36"/>
      <c r="AM243" s="38">
        <v>9</v>
      </c>
      <c r="AN243" s="38">
        <v>9.5</v>
      </c>
      <c r="AO243" s="36"/>
      <c r="AP243" s="36"/>
      <c r="AQ243" s="38">
        <v>1</v>
      </c>
      <c r="AR243" s="38">
        <v>4</v>
      </c>
      <c r="AS243" s="36"/>
      <c r="AT243" s="36"/>
      <c r="AU243" s="36"/>
      <c r="AV243" s="36"/>
      <c r="AW243" s="38">
        <v>2.33</v>
      </c>
      <c r="AX243" s="38">
        <v>5.9</v>
      </c>
      <c r="AY243" s="36"/>
      <c r="AZ243" s="38">
        <v>40</v>
      </c>
      <c r="BA243" s="38">
        <v>53.33</v>
      </c>
      <c r="BB243" s="38">
        <v>100</v>
      </c>
      <c r="BC243" s="36"/>
      <c r="BD243" s="36"/>
      <c r="BE243" s="36"/>
      <c r="BF243" s="36"/>
      <c r="BG243" s="59">
        <v>3.66</v>
      </c>
      <c r="BH243" s="59">
        <v>0.57999999999999996</v>
      </c>
      <c r="BI243" s="59">
        <v>5.3888477641621364E-2</v>
      </c>
      <c r="BJ243" s="59"/>
      <c r="BK243" s="38">
        <v>1.3230000000000002</v>
      </c>
      <c r="BL243" s="59">
        <v>0.84</v>
      </c>
      <c r="BM243" s="36"/>
      <c r="BN243" s="38">
        <v>40</v>
      </c>
      <c r="BO243" s="36"/>
      <c r="BP243" s="39">
        <f t="shared" si="113"/>
        <v>0.71918750000000009</v>
      </c>
      <c r="BQ243" s="37"/>
      <c r="BR243" s="39">
        <f t="shared" si="114"/>
        <v>0.20218091752866227</v>
      </c>
      <c r="BS243" s="37"/>
      <c r="BT243" s="39">
        <f t="shared" si="142"/>
        <v>15.730260279965007</v>
      </c>
      <c r="BU243" s="37"/>
      <c r="BV243" s="39">
        <f t="shared" si="124"/>
        <v>0.11204777158181509</v>
      </c>
      <c r="BW243" s="39">
        <f t="shared" si="109"/>
        <v>0.7882425286523701</v>
      </c>
      <c r="BX243" s="39">
        <f t="shared" si="125"/>
        <v>5.6835195063621592E-2</v>
      </c>
      <c r="BY243" s="39">
        <f t="shared" si="141"/>
        <v>1.5855383251909205</v>
      </c>
      <c r="BZ243" s="37"/>
      <c r="CA243" s="39">
        <f t="shared" si="110"/>
        <v>2.0976764534050578</v>
      </c>
      <c r="CB243" s="39">
        <f t="shared" si="111"/>
        <v>1.3318580656540047</v>
      </c>
      <c r="CC243" s="39">
        <f t="shared" ref="CC243:CC274" si="144">2*BP243*U243/120</f>
        <v>6.5925520833333334E-2</v>
      </c>
      <c r="CD243" s="39">
        <f t="shared" ref="CD243:CD249" si="145">BP243*(12*AM243+AN243)/1000</f>
        <v>8.4504531250000015E-2</v>
      </c>
      <c r="CE243" s="37"/>
      <c r="CF243" s="37"/>
      <c r="CG243" s="37"/>
      <c r="CH243" s="39">
        <f t="shared" si="133"/>
        <v>3.694304297694845</v>
      </c>
      <c r="CI243" s="37"/>
      <c r="CJ243" s="37"/>
      <c r="CK243" s="39">
        <f>BP243*(12*AC243+AD243)/(35.238*8)</f>
        <v>1.2755893850388788E-2</v>
      </c>
      <c r="CL243" s="39">
        <f>BP243*(12*AG243+AH243)/100</f>
        <v>0.6616525000000002</v>
      </c>
      <c r="CM243" s="39">
        <f>BP243*(12*$AC243+$AD243)/(35.238*8)/0.283</f>
        <v>4.5073829860031056E-2</v>
      </c>
      <c r="CN243" s="37"/>
      <c r="CO243" s="39">
        <f>0.063495+(0.016949+0.014096)*Wages!P241+1.22592*BR243</f>
        <v>0.48997003791673766</v>
      </c>
      <c r="CP243" s="39"/>
      <c r="CQ243" s="39">
        <f t="shared" si="126"/>
        <v>0.48997003791673766</v>
      </c>
      <c r="CR243" s="39">
        <f t="shared" si="135"/>
        <v>0.11204777158181509</v>
      </c>
      <c r="CS243" s="39">
        <f t="shared" si="135"/>
        <v>0.7882425286523701</v>
      </c>
      <c r="CT243" s="39">
        <f t="shared" si="112"/>
        <v>2.0976764534050578</v>
      </c>
      <c r="CU243" s="39">
        <f t="shared" si="112"/>
        <v>1.3318580656540047</v>
      </c>
      <c r="CV243" s="39">
        <f t="shared" si="112"/>
        <v>6.5925520833333334E-2</v>
      </c>
      <c r="CW243" s="39">
        <f t="shared" si="112"/>
        <v>8.4504531250000015E-2</v>
      </c>
      <c r="CX243" s="39"/>
      <c r="CY243" s="39"/>
      <c r="CZ243" s="39">
        <f t="shared" si="115"/>
        <v>5.6835195063621592E-2</v>
      </c>
      <c r="DA243" s="39">
        <f t="shared" si="134"/>
        <v>3.694304297694845</v>
      </c>
      <c r="DB243" s="39">
        <f t="shared" si="143"/>
        <v>3.4606573231846038</v>
      </c>
      <c r="DC243" s="39">
        <f t="shared" si="116"/>
        <v>1.5855383251909205</v>
      </c>
      <c r="DD243" s="39">
        <v>2</v>
      </c>
      <c r="DE243" s="39">
        <f>CK243</f>
        <v>1.2755893850388788E-2</v>
      </c>
      <c r="DF243" s="37"/>
      <c r="DG243" s="39">
        <f t="shared" si="117"/>
        <v>0.6616525000000002</v>
      </c>
      <c r="DH243" s="39">
        <f t="shared" si="118"/>
        <v>1.4439544770646127</v>
      </c>
      <c r="DI243" s="37"/>
      <c r="DJ243" s="37"/>
      <c r="DK243" s="37"/>
      <c r="DL243" s="37"/>
      <c r="DM243" s="39">
        <f t="shared" si="127"/>
        <v>0.45927282653050217</v>
      </c>
      <c r="DN243" s="39"/>
      <c r="DO243" s="39">
        <f t="shared" si="128"/>
        <v>0.45927282653050217</v>
      </c>
      <c r="DP243" s="37"/>
      <c r="DQ243" s="37">
        <f>DO243/'Conversions, Sources &amp; Comments'!E241</f>
        <v>0.63859956760997949</v>
      </c>
    </row>
    <row r="244" spans="1:121">
      <c r="A244" s="42">
        <f t="shared" si="119"/>
        <v>1492</v>
      </c>
      <c r="B244" s="36"/>
      <c r="C244" s="38">
        <v>4</v>
      </c>
      <c r="D244" s="38">
        <v>3</v>
      </c>
      <c r="E244" s="38">
        <v>4</v>
      </c>
      <c r="F244" s="38">
        <v>0</v>
      </c>
      <c r="G244" s="38">
        <v>1</v>
      </c>
      <c r="H244" s="38">
        <v>4</v>
      </c>
      <c r="I244" s="38">
        <v>2</v>
      </c>
      <c r="J244" s="38">
        <v>0</v>
      </c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8">
        <v>5.5</v>
      </c>
      <c r="V244" s="36"/>
      <c r="W244" s="36"/>
      <c r="X244" s="38">
        <v>8</v>
      </c>
      <c r="Y244" s="38">
        <v>0</v>
      </c>
      <c r="Z244" s="38">
        <v>1</v>
      </c>
      <c r="AA244" s="38">
        <v>0</v>
      </c>
      <c r="AB244" s="36"/>
      <c r="AC244" s="36"/>
      <c r="AD244" s="36"/>
      <c r="AE244" s="38">
        <v>0</v>
      </c>
      <c r="AF244" s="38">
        <v>6.25</v>
      </c>
      <c r="AG244" s="38">
        <v>7</v>
      </c>
      <c r="AH244" s="38">
        <v>0</v>
      </c>
      <c r="AI244" s="36"/>
      <c r="AJ244" s="36"/>
      <c r="AK244" s="36"/>
      <c r="AL244" s="36"/>
      <c r="AM244" s="38">
        <v>9</v>
      </c>
      <c r="AN244" s="38">
        <v>2</v>
      </c>
      <c r="AO244" s="36"/>
      <c r="AP244" s="36"/>
      <c r="AQ244" s="38">
        <v>1</v>
      </c>
      <c r="AR244" s="38">
        <v>0</v>
      </c>
      <c r="AS244" s="36"/>
      <c r="AT244" s="36"/>
      <c r="AU244" s="36"/>
      <c r="AV244" s="38">
        <v>28.67</v>
      </c>
      <c r="AW244" s="38">
        <v>2.33</v>
      </c>
      <c r="AX244" s="38">
        <v>6.8</v>
      </c>
      <c r="AY244" s="36"/>
      <c r="AZ244" s="38">
        <v>40</v>
      </c>
      <c r="BA244" s="38">
        <v>53.33</v>
      </c>
      <c r="BB244" s="38">
        <v>61</v>
      </c>
      <c r="BC244" s="36"/>
      <c r="BD244" s="36"/>
      <c r="BE244" s="36"/>
      <c r="BF244" s="36"/>
      <c r="BG244" s="59">
        <v>2.97</v>
      </c>
      <c r="BH244" s="59">
        <v>0.57999999999999996</v>
      </c>
      <c r="BI244" s="59">
        <v>6.4942524337338478E-2</v>
      </c>
      <c r="BJ244" s="59"/>
      <c r="BK244" s="38">
        <v>1.2150000000000001</v>
      </c>
      <c r="BL244" s="59">
        <v>0.84</v>
      </c>
      <c r="BM244" s="36"/>
      <c r="BN244" s="38">
        <v>40</v>
      </c>
      <c r="BO244" s="36"/>
      <c r="BP244" s="39">
        <f t="shared" si="113"/>
        <v>0.71918750000000009</v>
      </c>
      <c r="BQ244" s="37"/>
      <c r="BR244" s="39">
        <f t="shared" si="114"/>
        <v>0.13011011727396563</v>
      </c>
      <c r="BS244" s="37"/>
      <c r="BT244" s="39">
        <f t="shared" si="142"/>
        <v>15.730260279965007</v>
      </c>
      <c r="BU244" s="37"/>
      <c r="BV244" s="39">
        <f t="shared" si="124"/>
        <v>9.0924011365571267E-2</v>
      </c>
      <c r="BW244" s="39">
        <f t="shared" si="109"/>
        <v>0.7882425286523701</v>
      </c>
      <c r="BX244" s="39">
        <f t="shared" si="125"/>
        <v>6.8493696615133631E-2</v>
      </c>
      <c r="BY244" s="39">
        <f t="shared" si="141"/>
        <v>1.5855383251909205</v>
      </c>
      <c r="BZ244" s="37"/>
      <c r="CA244" s="39">
        <f t="shared" si="110"/>
        <v>1.9264375592495431</v>
      </c>
      <c r="CB244" s="39">
        <f t="shared" si="111"/>
        <v>1.3318580656540047</v>
      </c>
      <c r="CC244" s="39">
        <f t="shared" si="144"/>
        <v>6.5925520833333334E-2</v>
      </c>
      <c r="CD244" s="39">
        <f t="shared" si="145"/>
        <v>7.9110625000000018E-2</v>
      </c>
      <c r="CE244" s="39">
        <f>$BP244*12*AV244/120</f>
        <v>2.0619105625</v>
      </c>
      <c r="CF244" s="37"/>
      <c r="CG244" s="37"/>
      <c r="CH244" s="39">
        <f t="shared" si="133"/>
        <v>3.694304297694845</v>
      </c>
      <c r="CI244" s="37"/>
      <c r="CJ244" s="37"/>
      <c r="CK244" s="37"/>
      <c r="CL244" s="39">
        <f>BP244*(12*AG244+AH244)/100</f>
        <v>0.60411750000000008</v>
      </c>
      <c r="CM244" s="37"/>
      <c r="CN244" s="37"/>
      <c r="CO244" s="39">
        <f>0.063495+(0.016949+0.014096)*Wages!P242+1.22592*BR244</f>
        <v>0.40161700246849991</v>
      </c>
      <c r="CP244" s="39"/>
      <c r="CQ244" s="39">
        <f t="shared" si="126"/>
        <v>0.40161700246849991</v>
      </c>
      <c r="CR244" s="39">
        <f t="shared" si="135"/>
        <v>9.0924011365571267E-2</v>
      </c>
      <c r="CS244" s="39">
        <f t="shared" si="135"/>
        <v>0.7882425286523701</v>
      </c>
      <c r="CT244" s="39">
        <f t="shared" si="112"/>
        <v>1.9264375592495431</v>
      </c>
      <c r="CU244" s="39">
        <f t="shared" si="112"/>
        <v>1.3318580656540047</v>
      </c>
      <c r="CV244" s="39">
        <f t="shared" si="112"/>
        <v>6.5925520833333334E-2</v>
      </c>
      <c r="CW244" s="39">
        <f t="shared" si="112"/>
        <v>7.9110625000000018E-2</v>
      </c>
      <c r="CX244" s="39"/>
      <c r="CY244" s="39"/>
      <c r="CZ244" s="39">
        <f t="shared" si="115"/>
        <v>6.8493696615133631E-2</v>
      </c>
      <c r="DA244" s="39">
        <f t="shared" si="134"/>
        <v>3.694304297694845</v>
      </c>
      <c r="DB244" s="39">
        <f t="shared" si="143"/>
        <v>3.4606573231846038</v>
      </c>
      <c r="DC244" s="39">
        <f t="shared" si="116"/>
        <v>1.5855383251909205</v>
      </c>
      <c r="DD244" s="39">
        <v>2</v>
      </c>
      <c r="DE244" s="39">
        <v>1.2E-2</v>
      </c>
      <c r="DF244" s="37"/>
      <c r="DG244" s="39">
        <f t="shared" si="117"/>
        <v>0.60411750000000008</v>
      </c>
      <c r="DH244" s="39">
        <f t="shared" si="118"/>
        <v>1.3583880461851936</v>
      </c>
      <c r="DI244" s="37"/>
      <c r="DJ244" s="37"/>
      <c r="DK244" s="37"/>
      <c r="DL244" s="37"/>
      <c r="DM244" s="39">
        <f t="shared" si="127"/>
        <v>0.41980508391175092</v>
      </c>
      <c r="DN244" s="39"/>
      <c r="DO244" s="39">
        <f t="shared" si="128"/>
        <v>0.41980508391175092</v>
      </c>
      <c r="DP244" s="37"/>
      <c r="DQ244" s="37">
        <f>DO244/'Conversions, Sources &amp; Comments'!E242</f>
        <v>0.58372132985035319</v>
      </c>
    </row>
    <row r="245" spans="1:121">
      <c r="A245" s="42">
        <f t="shared" si="119"/>
        <v>1493</v>
      </c>
      <c r="B245" s="36"/>
      <c r="C245" s="38">
        <v>4</v>
      </c>
      <c r="D245" s="38">
        <v>1</v>
      </c>
      <c r="E245" s="38">
        <v>3</v>
      </c>
      <c r="F245" s="38">
        <v>3</v>
      </c>
      <c r="G245" s="36"/>
      <c r="H245" s="36"/>
      <c r="I245" s="38">
        <v>3</v>
      </c>
      <c r="J245" s="38">
        <v>4</v>
      </c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8">
        <v>5.5</v>
      </c>
      <c r="V245" s="36"/>
      <c r="W245" s="36"/>
      <c r="X245" s="38">
        <v>7</v>
      </c>
      <c r="Y245" s="38">
        <v>3</v>
      </c>
      <c r="Z245" s="36"/>
      <c r="AA245" s="36"/>
      <c r="AB245" s="36"/>
      <c r="AC245" s="36"/>
      <c r="AD245" s="36"/>
      <c r="AE245" s="38">
        <v>0</v>
      </c>
      <c r="AF245" s="38">
        <v>6.25</v>
      </c>
      <c r="AG245" s="36"/>
      <c r="AH245" s="36"/>
      <c r="AI245" s="38">
        <v>1</v>
      </c>
      <c r="AJ245" s="38">
        <v>9</v>
      </c>
      <c r="AK245" s="36"/>
      <c r="AL245" s="36"/>
      <c r="AM245" s="38">
        <v>11</v>
      </c>
      <c r="AN245" s="38">
        <v>0</v>
      </c>
      <c r="AO245" s="36"/>
      <c r="AP245" s="36"/>
      <c r="AQ245" s="38">
        <v>1</v>
      </c>
      <c r="AR245" s="38">
        <v>2</v>
      </c>
      <c r="AS245" s="36"/>
      <c r="AT245" s="36"/>
      <c r="AU245" s="36"/>
      <c r="AV245" s="36"/>
      <c r="AW245" s="38">
        <v>2.33</v>
      </c>
      <c r="AX245" s="38">
        <v>7</v>
      </c>
      <c r="AY245" s="36"/>
      <c r="AZ245" s="38">
        <v>40</v>
      </c>
      <c r="BA245" s="38">
        <v>53.33</v>
      </c>
      <c r="BB245" s="38">
        <v>80</v>
      </c>
      <c r="BC245" s="36"/>
      <c r="BD245" s="36"/>
      <c r="BE245" s="36"/>
      <c r="BF245" s="36"/>
      <c r="BG245" s="59">
        <v>2.97</v>
      </c>
      <c r="BH245" s="59">
        <v>0.57999999999999996</v>
      </c>
      <c r="BI245" s="59">
        <v>5.5270233478585583E-2</v>
      </c>
      <c r="BJ245" s="59"/>
      <c r="BK245" s="38">
        <v>1.2150000000000001</v>
      </c>
      <c r="BL245" s="59">
        <v>0.84</v>
      </c>
      <c r="BM245" s="36"/>
      <c r="BN245" s="38">
        <v>40</v>
      </c>
      <c r="BO245" s="36"/>
      <c r="BP245" s="39">
        <f t="shared" si="113"/>
        <v>0.71918750000000009</v>
      </c>
      <c r="BQ245" s="37"/>
      <c r="BR245" s="39">
        <f t="shared" si="114"/>
        <v>0.12500775973381012</v>
      </c>
      <c r="BS245" s="37"/>
      <c r="BT245" s="39">
        <f t="shared" si="142"/>
        <v>15.730260279965007</v>
      </c>
      <c r="BU245" s="37"/>
      <c r="BV245" s="39">
        <f t="shared" si="124"/>
        <v>9.0924011365571267E-2</v>
      </c>
      <c r="BW245" s="39">
        <f t="shared" si="109"/>
        <v>0.7882425286523701</v>
      </c>
      <c r="BX245" s="39">
        <f t="shared" si="125"/>
        <v>5.8292507757560161E-2</v>
      </c>
      <c r="BY245" s="39">
        <v>1.6</v>
      </c>
      <c r="BZ245" s="37"/>
      <c r="CA245" s="39">
        <f t="shared" si="110"/>
        <v>1.9264375592495431</v>
      </c>
      <c r="CB245" s="39">
        <f t="shared" si="111"/>
        <v>1.3318580656540047</v>
      </c>
      <c r="CC245" s="39">
        <f t="shared" si="144"/>
        <v>6.5925520833333334E-2</v>
      </c>
      <c r="CD245" s="39">
        <f t="shared" si="145"/>
        <v>9.493275000000001E-2</v>
      </c>
      <c r="CE245" s="37"/>
      <c r="CF245" s="37"/>
      <c r="CG245" s="37"/>
      <c r="CH245" s="39">
        <f t="shared" si="133"/>
        <v>3.694304297694845</v>
      </c>
      <c r="CI245" s="37"/>
      <c r="CJ245" s="37"/>
      <c r="CK245" s="37"/>
      <c r="CL245" s="37"/>
      <c r="CM245" s="37"/>
      <c r="CN245" s="37"/>
      <c r="CO245" s="39">
        <f>0.063495+(0.016949+0.014096)*Wages!P243+1.22592*BR245</f>
        <v>0.39536192031287248</v>
      </c>
      <c r="CP245" s="39"/>
      <c r="CQ245" s="39">
        <f t="shared" si="126"/>
        <v>0.39536192031287248</v>
      </c>
      <c r="CR245" s="39">
        <f t="shared" si="135"/>
        <v>9.0924011365571267E-2</v>
      </c>
      <c r="CS245" s="39">
        <f t="shared" si="135"/>
        <v>0.7882425286523701</v>
      </c>
      <c r="CT245" s="39">
        <f t="shared" si="112"/>
        <v>1.9264375592495431</v>
      </c>
      <c r="CU245" s="39">
        <f t="shared" si="112"/>
        <v>1.3318580656540047</v>
      </c>
      <c r="CV245" s="39">
        <f t="shared" si="112"/>
        <v>6.5925520833333334E-2</v>
      </c>
      <c r="CW245" s="39">
        <f t="shared" si="112"/>
        <v>9.493275000000001E-2</v>
      </c>
      <c r="CX245" s="39"/>
      <c r="CY245" s="39"/>
      <c r="CZ245" s="39">
        <f t="shared" si="115"/>
        <v>5.8292507757560161E-2</v>
      </c>
      <c r="DA245" s="39">
        <f t="shared" si="134"/>
        <v>3.694304297694845</v>
      </c>
      <c r="DB245" s="39">
        <f t="shared" si="143"/>
        <v>3.4606573231846038</v>
      </c>
      <c r="DC245" s="39">
        <f t="shared" si="116"/>
        <v>1.6</v>
      </c>
      <c r="DD245" s="39">
        <v>2</v>
      </c>
      <c r="DE245" s="39">
        <v>1.2E-2</v>
      </c>
      <c r="DF245" s="37"/>
      <c r="DG245" s="39">
        <f t="shared" si="117"/>
        <v>0</v>
      </c>
      <c r="DH245" s="39">
        <f t="shared" si="118"/>
        <v>1.3583880461851936</v>
      </c>
      <c r="DI245" s="37"/>
      <c r="DJ245" s="37"/>
      <c r="DK245" s="37"/>
      <c r="DL245" s="37"/>
      <c r="DM245" s="39">
        <f t="shared" si="127"/>
        <v>0.41267698018450627</v>
      </c>
      <c r="DN245" s="39"/>
      <c r="DO245" s="39">
        <f t="shared" si="128"/>
        <v>0.41267698018450627</v>
      </c>
      <c r="DP245" s="37"/>
      <c r="DQ245" s="37">
        <f>DO245/'Conversions, Sources &amp; Comments'!E243</f>
        <v>0.57381000112558433</v>
      </c>
    </row>
    <row r="246" spans="1:121">
      <c r="A246" s="42">
        <f t="shared" si="119"/>
        <v>1494</v>
      </c>
      <c r="B246" s="36"/>
      <c r="C246" s="38">
        <v>4</v>
      </c>
      <c r="D246" s="38">
        <v>9.75</v>
      </c>
      <c r="E246" s="38">
        <v>3</v>
      </c>
      <c r="F246" s="38">
        <v>0</v>
      </c>
      <c r="G246" s="38">
        <v>1</v>
      </c>
      <c r="H246" s="38">
        <v>8.75</v>
      </c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8">
        <v>5.5</v>
      </c>
      <c r="V246" s="36"/>
      <c r="W246" s="36"/>
      <c r="X246" s="38">
        <v>8</v>
      </c>
      <c r="Y246" s="38">
        <v>0.75</v>
      </c>
      <c r="Z246" s="38">
        <v>1</v>
      </c>
      <c r="AA246" s="38">
        <v>0.5</v>
      </c>
      <c r="AB246" s="36"/>
      <c r="AC246" s="38">
        <v>0</v>
      </c>
      <c r="AD246" s="38">
        <v>4.5</v>
      </c>
      <c r="AE246" s="38">
        <v>0</v>
      </c>
      <c r="AF246" s="38">
        <v>6.25</v>
      </c>
      <c r="AG246" s="36"/>
      <c r="AH246" s="36"/>
      <c r="AI246" s="38">
        <v>1</v>
      </c>
      <c r="AJ246" s="38">
        <v>9.5</v>
      </c>
      <c r="AK246" s="36"/>
      <c r="AL246" s="36"/>
      <c r="AM246" s="38">
        <v>9</v>
      </c>
      <c r="AN246" s="38">
        <v>1.75</v>
      </c>
      <c r="AO246" s="38">
        <v>1</v>
      </c>
      <c r="AP246" s="38">
        <v>2</v>
      </c>
      <c r="AQ246" s="36"/>
      <c r="AR246" s="36"/>
      <c r="AS246" s="36"/>
      <c r="AT246" s="36"/>
      <c r="AU246" s="36"/>
      <c r="AV246" s="38">
        <v>28.25</v>
      </c>
      <c r="AW246" s="38">
        <v>2.33</v>
      </c>
      <c r="AX246" s="38">
        <v>6.6</v>
      </c>
      <c r="AY246" s="36"/>
      <c r="AZ246" s="38">
        <v>40</v>
      </c>
      <c r="BA246" s="38">
        <v>53.33</v>
      </c>
      <c r="BB246" s="38">
        <v>48</v>
      </c>
      <c r="BC246" s="36"/>
      <c r="BD246" s="36"/>
      <c r="BE246" s="36"/>
      <c r="BF246" s="36"/>
      <c r="BG246" s="59">
        <v>3.31</v>
      </c>
      <c r="BH246" s="59">
        <v>0.57999999999999996</v>
      </c>
      <c r="BI246" s="59">
        <v>5.3888477641621364E-2</v>
      </c>
      <c r="BJ246" s="59"/>
      <c r="BK246" s="38">
        <v>1.1475</v>
      </c>
      <c r="BL246" s="59">
        <v>0.64</v>
      </c>
      <c r="BM246" s="36"/>
      <c r="BN246" s="38">
        <v>40</v>
      </c>
      <c r="BO246" s="36"/>
      <c r="BP246" s="39">
        <f t="shared" si="113"/>
        <v>0.71918750000000009</v>
      </c>
      <c r="BQ246" s="37"/>
      <c r="BR246" s="39">
        <f t="shared" si="114"/>
        <v>0.14733057397199048</v>
      </c>
      <c r="BS246" s="37"/>
      <c r="BT246" s="39">
        <f t="shared" si="142"/>
        <v>15.730260279965007</v>
      </c>
      <c r="BU246" s="37"/>
      <c r="BV246" s="39">
        <f t="shared" si="124"/>
        <v>0.10133282074748851</v>
      </c>
      <c r="BW246" s="39">
        <f t="shared" si="109"/>
        <v>0.7882425286523701</v>
      </c>
      <c r="BX246" s="39">
        <f t="shared" si="125"/>
        <v>5.6835195063621592E-2</v>
      </c>
      <c r="BY246" s="39">
        <f t="shared" ref="BY246:BY263" si="146">$BP246*(12*Z246+AA246)/(12*0.453592)</f>
        <v>1.6516024220738756</v>
      </c>
      <c r="BZ246" s="37"/>
      <c r="CA246" s="39">
        <f t="shared" si="110"/>
        <v>1.8194132504023459</v>
      </c>
      <c r="CB246" s="39">
        <f t="shared" si="111"/>
        <v>1.0147490024030512</v>
      </c>
      <c r="CC246" s="39">
        <f t="shared" si="144"/>
        <v>6.5925520833333334E-2</v>
      </c>
      <c r="CD246" s="39">
        <f t="shared" si="145"/>
        <v>7.8930828125000005E-2</v>
      </c>
      <c r="CE246" s="39">
        <f t="shared" ref="CE246:CE254" si="147">$BP246*12*AV246/120</f>
        <v>2.0317046875</v>
      </c>
      <c r="CF246" s="37"/>
      <c r="CG246" s="39">
        <f>BP246*(12*AO246+AP246)/4.55</f>
        <v>2.2128846153846156</v>
      </c>
      <c r="CH246" s="39">
        <f t="shared" si="133"/>
        <v>3.694304297694845</v>
      </c>
      <c r="CI246" s="37"/>
      <c r="CJ246" s="37"/>
      <c r="CK246" s="39">
        <f>BP246*(12*AC246+AD246)/(35.238*8)</f>
        <v>1.1480304465349908E-2</v>
      </c>
      <c r="CL246" s="37"/>
      <c r="CM246" s="39">
        <f>BP246*(12*$AC246+$AD246)/(35.238*8)/0.283</f>
        <v>4.0566446874027946E-2</v>
      </c>
      <c r="CN246" s="37"/>
      <c r="CO246" s="39">
        <f>0.063495+(0.016949+0.014096)*Wages!P244+1.22592*BR246</f>
        <v>0.42272790474374256</v>
      </c>
      <c r="CP246" s="39"/>
      <c r="CQ246" s="39">
        <f t="shared" si="126"/>
        <v>0.42272790474374256</v>
      </c>
      <c r="CR246" s="39">
        <f t="shared" si="135"/>
        <v>0.10133282074748851</v>
      </c>
      <c r="CS246" s="39">
        <f t="shared" si="135"/>
        <v>0.7882425286523701</v>
      </c>
      <c r="CT246" s="39">
        <f t="shared" si="112"/>
        <v>1.8194132504023459</v>
      </c>
      <c r="CU246" s="39">
        <f t="shared" si="112"/>
        <v>1.0147490024030512</v>
      </c>
      <c r="CV246" s="39">
        <f t="shared" si="112"/>
        <v>6.5925520833333334E-2</v>
      </c>
      <c r="CW246" s="39">
        <f t="shared" si="112"/>
        <v>7.8930828125000005E-2</v>
      </c>
      <c r="CX246" s="39"/>
      <c r="CY246" s="39"/>
      <c r="CZ246" s="39">
        <f t="shared" si="115"/>
        <v>5.6835195063621592E-2</v>
      </c>
      <c r="DA246" s="39">
        <f t="shared" si="134"/>
        <v>3.694304297694845</v>
      </c>
      <c r="DB246" s="39">
        <f t="shared" si="143"/>
        <v>3.4606573231846038</v>
      </c>
      <c r="DC246" s="39">
        <f t="shared" si="116"/>
        <v>1.6516024220738756</v>
      </c>
      <c r="DD246" s="39">
        <f>CG246</f>
        <v>2.2128846153846156</v>
      </c>
      <c r="DE246" s="39">
        <f>CK246</f>
        <v>1.1480304465349908E-2</v>
      </c>
      <c r="DF246" s="37"/>
      <c r="DG246" s="39">
        <f t="shared" si="117"/>
        <v>0</v>
      </c>
      <c r="DH246" s="39">
        <f t="shared" si="118"/>
        <v>1.2995590293581514</v>
      </c>
      <c r="DI246" s="37"/>
      <c r="DJ246" s="37"/>
      <c r="DK246" s="37"/>
      <c r="DL246" s="37"/>
      <c r="DM246" s="39">
        <f t="shared" si="127"/>
        <v>0.4209794020101898</v>
      </c>
      <c r="DN246" s="39"/>
      <c r="DO246" s="39">
        <f t="shared" si="128"/>
        <v>0.4209794020101898</v>
      </c>
      <c r="DP246" s="37"/>
      <c r="DQ246" s="37">
        <f>DO246/'Conversions, Sources &amp; Comments'!E244</f>
        <v>0.58535416982384947</v>
      </c>
    </row>
    <row r="247" spans="1:121">
      <c r="A247" s="42">
        <f t="shared" si="119"/>
        <v>1495</v>
      </c>
      <c r="B247" s="36"/>
      <c r="C247" s="38">
        <v>4</v>
      </c>
      <c r="D247" s="38">
        <v>0.75</v>
      </c>
      <c r="E247" s="38">
        <v>2</v>
      </c>
      <c r="F247" s="38">
        <v>11</v>
      </c>
      <c r="G247" s="38">
        <v>1</v>
      </c>
      <c r="H247" s="38">
        <v>7.5</v>
      </c>
      <c r="I247" s="38">
        <v>3</v>
      </c>
      <c r="J247" s="38">
        <v>0</v>
      </c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8">
        <v>5.5</v>
      </c>
      <c r="V247" s="36"/>
      <c r="W247" s="36"/>
      <c r="X247" s="38">
        <v>6</v>
      </c>
      <c r="Y247" s="38">
        <v>7.5</v>
      </c>
      <c r="Z247" s="38">
        <v>1</v>
      </c>
      <c r="AA247" s="38">
        <v>0</v>
      </c>
      <c r="AB247" s="36"/>
      <c r="AC247" s="38">
        <v>0</v>
      </c>
      <c r="AD247" s="38">
        <v>8</v>
      </c>
      <c r="AE247" s="38">
        <v>0</v>
      </c>
      <c r="AF247" s="38">
        <v>6.25</v>
      </c>
      <c r="AG247" s="38">
        <v>2</v>
      </c>
      <c r="AH247" s="38">
        <v>9.75</v>
      </c>
      <c r="AI247" s="36"/>
      <c r="AJ247" s="36"/>
      <c r="AK247" s="36"/>
      <c r="AL247" s="36"/>
      <c r="AM247" s="38">
        <v>8</v>
      </c>
      <c r="AN247" s="38">
        <v>4</v>
      </c>
      <c r="AO247" s="36"/>
      <c r="AP247" s="36"/>
      <c r="AQ247" s="36"/>
      <c r="AR247" s="36"/>
      <c r="AS247" s="36"/>
      <c r="AT247" s="36"/>
      <c r="AU247" s="36"/>
      <c r="AV247" s="38">
        <v>20</v>
      </c>
      <c r="AW247" s="38">
        <v>2.33</v>
      </c>
      <c r="AX247" s="38">
        <v>5.6</v>
      </c>
      <c r="AY247" s="36"/>
      <c r="AZ247" s="38">
        <v>40</v>
      </c>
      <c r="BA247" s="38">
        <v>53.33</v>
      </c>
      <c r="BB247" s="36"/>
      <c r="BC247" s="36"/>
      <c r="BD247" s="36"/>
      <c r="BE247" s="36"/>
      <c r="BF247" s="36"/>
      <c r="BG247" s="59">
        <v>4.5599999999999996</v>
      </c>
      <c r="BH247" s="59">
        <v>0.57999999999999996</v>
      </c>
      <c r="BI247" s="59">
        <v>4.007091927197412E-2</v>
      </c>
      <c r="BJ247" s="59"/>
      <c r="BK247" s="38">
        <v>1.3905000000000001</v>
      </c>
      <c r="BL247" s="59">
        <v>0.78</v>
      </c>
      <c r="BM247" s="36"/>
      <c r="BN247" s="38">
        <v>40</v>
      </c>
      <c r="BO247" s="36"/>
      <c r="BP247" s="39">
        <f t="shared" si="113"/>
        <v>0.71918750000000009</v>
      </c>
      <c r="BQ247" s="37"/>
      <c r="BR247" s="39">
        <f t="shared" si="114"/>
        <v>0.12436996504129066</v>
      </c>
      <c r="BS247" s="37"/>
      <c r="BT247" s="39">
        <f t="shared" si="142"/>
        <v>15.730260279965007</v>
      </c>
      <c r="BU247" s="37"/>
      <c r="BV247" s="39">
        <f t="shared" si="124"/>
        <v>0.13960050229865484</v>
      </c>
      <c r="BW247" s="39">
        <f t="shared" si="109"/>
        <v>0.7882425286523701</v>
      </c>
      <c r="BX247" s="39">
        <f t="shared" si="125"/>
        <v>4.2262068124230667E-2</v>
      </c>
      <c r="BY247" s="39">
        <f t="shared" si="146"/>
        <v>1.5855383251909205</v>
      </c>
      <c r="BZ247" s="37"/>
      <c r="CA247" s="39">
        <f t="shared" si="110"/>
        <v>2.2047007622522545</v>
      </c>
      <c r="CB247" s="39">
        <f t="shared" si="111"/>
        <v>1.2367253466787187</v>
      </c>
      <c r="CC247" s="39">
        <f t="shared" si="144"/>
        <v>6.5925520833333334E-2</v>
      </c>
      <c r="CD247" s="39">
        <f t="shared" si="145"/>
        <v>7.1918750000000004E-2</v>
      </c>
      <c r="CE247" s="39">
        <f t="shared" si="147"/>
        <v>1.4383750000000002</v>
      </c>
      <c r="CF247" s="37"/>
      <c r="CG247" s="37"/>
      <c r="CH247" s="39">
        <f t="shared" si="133"/>
        <v>3.694304297694845</v>
      </c>
      <c r="CI247" s="37"/>
      <c r="CJ247" s="37"/>
      <c r="CK247" s="39">
        <f>BP247*(12*AC247+AD247)/(35.238*8)</f>
        <v>2.040943016062206E-2</v>
      </c>
      <c r="CL247" s="39">
        <f>BP247*(12*AG247+AH247)/100</f>
        <v>0.24272578125000002</v>
      </c>
      <c r="CM247" s="39">
        <f>BP247*(12*$AC247+$AD247)/(35.238*8)/0.283</f>
        <v>7.2118127776049687E-2</v>
      </c>
      <c r="CN247" s="37"/>
      <c r="CO247" s="39">
        <f>0.063495+(0.016949+0.014096)*Wages!P245+1.22592*BR247</f>
        <v>0.39458003504341899</v>
      </c>
      <c r="CP247" s="39"/>
      <c r="CQ247" s="39">
        <f t="shared" si="126"/>
        <v>0.39458003504341899</v>
      </c>
      <c r="CR247" s="39">
        <f t="shared" si="135"/>
        <v>0.13960050229865484</v>
      </c>
      <c r="CS247" s="39">
        <f t="shared" si="135"/>
        <v>0.7882425286523701</v>
      </c>
      <c r="CT247" s="39">
        <f t="shared" si="112"/>
        <v>2.2047007622522545</v>
      </c>
      <c r="CU247" s="39">
        <f t="shared" si="112"/>
        <v>1.2367253466787187</v>
      </c>
      <c r="CV247" s="39">
        <f t="shared" si="112"/>
        <v>6.5925520833333334E-2</v>
      </c>
      <c r="CW247" s="39">
        <f t="shared" si="112"/>
        <v>7.1918750000000004E-2</v>
      </c>
      <c r="CX247" s="39"/>
      <c r="CY247" s="39"/>
      <c r="CZ247" s="39">
        <f t="shared" si="115"/>
        <v>4.2262068124230667E-2</v>
      </c>
      <c r="DA247" s="39">
        <f t="shared" si="134"/>
        <v>3.694304297694845</v>
      </c>
      <c r="DB247" s="39">
        <f t="shared" si="143"/>
        <v>3.4606573231846038</v>
      </c>
      <c r="DC247" s="39">
        <f t="shared" si="116"/>
        <v>1.5855383251909205</v>
      </c>
      <c r="DD247" s="39">
        <v>2.2128846153846156</v>
      </c>
      <c r="DE247" s="39">
        <f>CK247</f>
        <v>2.040943016062206E-2</v>
      </c>
      <c r="DF247" s="37"/>
      <c r="DG247" s="39">
        <f t="shared" si="117"/>
        <v>0.24272578125000002</v>
      </c>
      <c r="DH247" s="39">
        <f t="shared" si="118"/>
        <v>2.3103271633033802</v>
      </c>
      <c r="DI247" s="37"/>
      <c r="DJ247" s="37"/>
      <c r="DK247" s="37"/>
      <c r="DL247" s="37"/>
      <c r="DM247" s="39">
        <f t="shared" si="127"/>
        <v>0.42641336485923237</v>
      </c>
      <c r="DN247" s="39"/>
      <c r="DO247" s="39">
        <f t="shared" si="128"/>
        <v>0.42641336485923237</v>
      </c>
      <c r="DP247" s="37"/>
      <c r="DQ247" s="37">
        <f>DO247/'Conversions, Sources &amp; Comments'!E245</f>
        <v>0.59290986684172386</v>
      </c>
    </row>
    <row r="248" spans="1:121">
      <c r="A248" s="42">
        <f t="shared" si="119"/>
        <v>1496</v>
      </c>
      <c r="B248" s="36"/>
      <c r="C248" s="38">
        <v>5</v>
      </c>
      <c r="D248" s="38">
        <v>5.5</v>
      </c>
      <c r="E248" s="38">
        <v>3</v>
      </c>
      <c r="F248" s="38">
        <v>2</v>
      </c>
      <c r="G248" s="38">
        <v>1</v>
      </c>
      <c r="H248" s="38">
        <v>9</v>
      </c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8">
        <v>5.5</v>
      </c>
      <c r="V248" s="36"/>
      <c r="W248" s="36"/>
      <c r="X248" s="38">
        <v>7</v>
      </c>
      <c r="Y248" s="38">
        <v>5.25</v>
      </c>
      <c r="Z248" s="38">
        <v>1</v>
      </c>
      <c r="AA248" s="38">
        <v>0.25</v>
      </c>
      <c r="AB248" s="36"/>
      <c r="AC248" s="38">
        <v>0</v>
      </c>
      <c r="AD248" s="38">
        <v>7</v>
      </c>
      <c r="AE248" s="38">
        <v>0</v>
      </c>
      <c r="AF248" s="38">
        <v>6.25</v>
      </c>
      <c r="AG248" s="38">
        <v>4</v>
      </c>
      <c r="AH248" s="38">
        <v>0</v>
      </c>
      <c r="AI248" s="36"/>
      <c r="AJ248" s="36"/>
      <c r="AK248" s="36"/>
      <c r="AL248" s="36"/>
      <c r="AM248" s="38">
        <v>13</v>
      </c>
      <c r="AN248" s="38">
        <v>7.25</v>
      </c>
      <c r="AO248" s="38">
        <v>1</v>
      </c>
      <c r="AP248" s="38">
        <v>2</v>
      </c>
      <c r="AQ248" s="38">
        <v>0</v>
      </c>
      <c r="AR248" s="38">
        <v>10</v>
      </c>
      <c r="AS248" s="36"/>
      <c r="AT248" s="36"/>
      <c r="AU248" s="36"/>
      <c r="AV248" s="38">
        <v>26.5</v>
      </c>
      <c r="AW248" s="38">
        <v>2.33</v>
      </c>
      <c r="AX248" s="38">
        <v>5.7</v>
      </c>
      <c r="AY248" s="36"/>
      <c r="AZ248" s="38">
        <v>40</v>
      </c>
      <c r="BA248" s="38">
        <v>53.33</v>
      </c>
      <c r="BB248" s="38">
        <v>96</v>
      </c>
      <c r="BC248" s="36"/>
      <c r="BD248" s="36"/>
      <c r="BE248" s="36"/>
      <c r="BF248" s="36"/>
      <c r="BG248" s="59">
        <v>3.66</v>
      </c>
      <c r="BH248" s="59">
        <v>0.57999999999999996</v>
      </c>
      <c r="BI248" s="59">
        <v>4.9743210130727022E-2</v>
      </c>
      <c r="BJ248" s="59"/>
      <c r="BK248" s="38">
        <v>1.4040000000000001</v>
      </c>
      <c r="BL248" s="59">
        <v>0.79</v>
      </c>
      <c r="BM248" s="36"/>
      <c r="BN248" s="38">
        <v>40</v>
      </c>
      <c r="BO248" s="36"/>
      <c r="BP248" s="39">
        <f t="shared" si="113"/>
        <v>0.71918750000000009</v>
      </c>
      <c r="BQ248" s="37"/>
      <c r="BR248" s="39">
        <f t="shared" si="114"/>
        <v>0.1671022094400931</v>
      </c>
      <c r="BS248" s="37"/>
      <c r="BT248" s="39">
        <f t="shared" si="142"/>
        <v>15.730260279965007</v>
      </c>
      <c r="BU248" s="37"/>
      <c r="BV248" s="39">
        <f t="shared" si="124"/>
        <v>0.11204777158181509</v>
      </c>
      <c r="BW248" s="39">
        <f t="shared" si="109"/>
        <v>0.7882425286523701</v>
      </c>
      <c r="BX248" s="39">
        <f t="shared" si="125"/>
        <v>5.2463256981804138E-2</v>
      </c>
      <c r="BY248" s="39">
        <f t="shared" si="146"/>
        <v>1.6185703736323982</v>
      </c>
      <c r="BZ248" s="37"/>
      <c r="CA248" s="39">
        <f t="shared" si="110"/>
        <v>2.2261056240216939</v>
      </c>
      <c r="CB248" s="39">
        <f t="shared" si="111"/>
        <v>1.2525807998412664</v>
      </c>
      <c r="CC248" s="39">
        <f t="shared" si="144"/>
        <v>6.5925520833333334E-2</v>
      </c>
      <c r="CD248" s="39">
        <f t="shared" si="145"/>
        <v>0.11740735937500001</v>
      </c>
      <c r="CE248" s="39">
        <f t="shared" si="147"/>
        <v>1.9058468750000002</v>
      </c>
      <c r="CF248" s="37"/>
      <c r="CG248" s="39">
        <f t="shared" ref="CG248:CG255" si="148">BP248*(12*AO248+AP248)/4.55</f>
        <v>2.2128846153846156</v>
      </c>
      <c r="CH248" s="39">
        <f t="shared" si="133"/>
        <v>3.694304297694845</v>
      </c>
      <c r="CI248" s="37"/>
      <c r="CJ248" s="37"/>
      <c r="CK248" s="39">
        <f>BP248*(12*AC248+AD248)/(35.238*8)</f>
        <v>1.78582513905443E-2</v>
      </c>
      <c r="CL248" s="39">
        <f>BP248*(12*AG248+AH248)/100</f>
        <v>0.34521000000000002</v>
      </c>
      <c r="CM248" s="39">
        <f>BP248*(12*$AC248+$AD248)/(35.238*8)/0.283</f>
        <v>6.3103361804043467E-2</v>
      </c>
      <c r="CN248" s="37"/>
      <c r="CO248" s="39">
        <f>0.063495+(0.016949+0.014096)*Wages!P246+1.22592*BR248</f>
        <v>0.44696634809679892</v>
      </c>
      <c r="CP248" s="39"/>
      <c r="CQ248" s="39">
        <f t="shared" si="126"/>
        <v>0.44696634809679892</v>
      </c>
      <c r="CR248" s="39">
        <f t="shared" si="135"/>
        <v>0.11204777158181509</v>
      </c>
      <c r="CS248" s="39">
        <f t="shared" si="135"/>
        <v>0.7882425286523701</v>
      </c>
      <c r="CT248" s="39">
        <f t="shared" si="112"/>
        <v>2.2261056240216939</v>
      </c>
      <c r="CU248" s="39">
        <f t="shared" si="112"/>
        <v>1.2525807998412664</v>
      </c>
      <c r="CV248" s="39">
        <f t="shared" si="112"/>
        <v>6.5925520833333334E-2</v>
      </c>
      <c r="CW248" s="39">
        <f t="shared" si="112"/>
        <v>0.11740735937500001</v>
      </c>
      <c r="CX248" s="39"/>
      <c r="CY248" s="39"/>
      <c r="CZ248" s="39">
        <f t="shared" si="115"/>
        <v>5.2463256981804138E-2</v>
      </c>
      <c r="DA248" s="39">
        <f t="shared" si="134"/>
        <v>3.694304297694845</v>
      </c>
      <c r="DB248" s="39">
        <f t="shared" si="143"/>
        <v>3.4606573231846038</v>
      </c>
      <c r="DC248" s="39">
        <f t="shared" si="116"/>
        <v>1.6185703736323982</v>
      </c>
      <c r="DD248" s="39">
        <f t="shared" ref="DD248:DD255" si="149">CG248</f>
        <v>2.2128846153846156</v>
      </c>
      <c r="DE248" s="39">
        <f>CK248</f>
        <v>1.78582513905443E-2</v>
      </c>
      <c r="DF248" s="37"/>
      <c r="DG248" s="39">
        <f t="shared" si="117"/>
        <v>0.34521000000000002</v>
      </c>
      <c r="DH248" s="39">
        <f t="shared" si="118"/>
        <v>2.0215362678904576</v>
      </c>
      <c r="DI248" s="37"/>
      <c r="DJ248" s="37"/>
      <c r="DK248" s="37"/>
      <c r="DL248" s="37"/>
      <c r="DM248" s="39">
        <f t="shared" si="127"/>
        <v>0.44760857669539239</v>
      </c>
      <c r="DN248" s="39"/>
      <c r="DO248" s="39">
        <f t="shared" si="128"/>
        <v>0.44760857669539239</v>
      </c>
      <c r="DP248" s="37"/>
      <c r="DQ248" s="37">
        <f>DO248/'Conversions, Sources &amp; Comments'!E246</f>
        <v>0.6223809183215675</v>
      </c>
    </row>
    <row r="249" spans="1:121">
      <c r="A249" s="42">
        <f t="shared" si="119"/>
        <v>1497</v>
      </c>
      <c r="B249" s="36"/>
      <c r="C249" s="38">
        <v>5</v>
      </c>
      <c r="D249" s="38">
        <v>1</v>
      </c>
      <c r="E249" s="38">
        <v>3</v>
      </c>
      <c r="F249" s="38">
        <v>7.5</v>
      </c>
      <c r="G249" s="38">
        <v>2</v>
      </c>
      <c r="H249" s="38">
        <v>0</v>
      </c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8">
        <v>5.5</v>
      </c>
      <c r="V249" s="36"/>
      <c r="W249" s="36"/>
      <c r="X249" s="38">
        <v>6</v>
      </c>
      <c r="Y249" s="38">
        <v>6</v>
      </c>
      <c r="Z249" s="38">
        <v>1</v>
      </c>
      <c r="AA249" s="38">
        <v>3</v>
      </c>
      <c r="AB249" s="36"/>
      <c r="AC249" s="38">
        <v>0</v>
      </c>
      <c r="AD249" s="38">
        <v>6.25</v>
      </c>
      <c r="AE249" s="38">
        <v>0</v>
      </c>
      <c r="AF249" s="38">
        <v>6.25</v>
      </c>
      <c r="AG249" s="38">
        <v>4</v>
      </c>
      <c r="AH249" s="38">
        <v>0</v>
      </c>
      <c r="AI249" s="38">
        <v>1</v>
      </c>
      <c r="AJ249" s="38">
        <v>5.5</v>
      </c>
      <c r="AK249" s="36"/>
      <c r="AL249" s="36"/>
      <c r="AM249" s="38">
        <v>8</v>
      </c>
      <c r="AN249" s="38">
        <v>4.75</v>
      </c>
      <c r="AO249" s="38">
        <v>1</v>
      </c>
      <c r="AP249" s="38">
        <v>2</v>
      </c>
      <c r="AQ249" s="36"/>
      <c r="AR249" s="36"/>
      <c r="AS249" s="36"/>
      <c r="AT249" s="36"/>
      <c r="AU249" s="36"/>
      <c r="AV249" s="38">
        <v>41.4</v>
      </c>
      <c r="AW249" s="38">
        <v>2.33</v>
      </c>
      <c r="AX249" s="38">
        <v>6.3</v>
      </c>
      <c r="AY249" s="36"/>
      <c r="AZ249" s="38">
        <v>40</v>
      </c>
      <c r="BA249" s="38">
        <v>53.33</v>
      </c>
      <c r="BB249" s="38">
        <v>48</v>
      </c>
      <c r="BC249" s="36"/>
      <c r="BD249" s="36"/>
      <c r="BE249" s="36"/>
      <c r="BF249" s="36"/>
      <c r="BG249" s="59">
        <v>3.19</v>
      </c>
      <c r="BH249" s="59">
        <v>0.57999999999999996</v>
      </c>
      <c r="BI249" s="59">
        <v>4.6979698456796899E-2</v>
      </c>
      <c r="BJ249" s="59"/>
      <c r="BK249" s="38">
        <v>1.2690000000000001</v>
      </c>
      <c r="BL249" s="59">
        <v>0.71</v>
      </c>
      <c r="BM249" s="36"/>
      <c r="BN249" s="38">
        <v>40</v>
      </c>
      <c r="BO249" s="36"/>
      <c r="BP249" s="39">
        <f t="shared" si="113"/>
        <v>0.71918750000000009</v>
      </c>
      <c r="BQ249" s="37"/>
      <c r="BR249" s="39">
        <f t="shared" si="114"/>
        <v>0.15562190497474321</v>
      </c>
      <c r="BS249" s="37"/>
      <c r="BT249" s="39">
        <f t="shared" si="142"/>
        <v>15.730260279965007</v>
      </c>
      <c r="BU249" s="37"/>
      <c r="BV249" s="39">
        <f t="shared" si="124"/>
        <v>9.7659123318576541E-2</v>
      </c>
      <c r="BW249" s="39">
        <f t="shared" si="109"/>
        <v>0.7882425286523701</v>
      </c>
      <c r="BX249" s="39">
        <f t="shared" si="125"/>
        <v>4.9548631593925245E-2</v>
      </c>
      <c r="BY249" s="39">
        <f t="shared" si="146"/>
        <v>1.9819229064886508</v>
      </c>
      <c r="BZ249" s="37"/>
      <c r="CA249" s="39">
        <f t="shared" si="110"/>
        <v>2.0120570063273004</v>
      </c>
      <c r="CB249" s="39">
        <f t="shared" si="111"/>
        <v>1.1257371745408848</v>
      </c>
      <c r="CC249" s="39">
        <f t="shared" si="144"/>
        <v>6.5925520833333334E-2</v>
      </c>
      <c r="CD249" s="39">
        <f t="shared" si="145"/>
        <v>7.2458140625000014E-2</v>
      </c>
      <c r="CE249" s="39">
        <f t="shared" si="147"/>
        <v>2.9774362499999998</v>
      </c>
      <c r="CF249" s="37"/>
      <c r="CG249" s="39">
        <f t="shared" si="148"/>
        <v>2.2128846153846156</v>
      </c>
      <c r="CH249" s="39">
        <f t="shared" ref="CH249:CH280" si="150">BP249*12*AW249/(12*0.453592)</f>
        <v>3.694304297694845</v>
      </c>
      <c r="CI249" s="37"/>
      <c r="CJ249" s="37"/>
      <c r="CK249" s="39">
        <f>BP249*(12*AC249+AD249)/(35.238*8)</f>
        <v>1.5944867312985982E-2</v>
      </c>
      <c r="CL249" s="39">
        <f>BP249*(12*AG249+AH249)/100</f>
        <v>0.34521000000000002</v>
      </c>
      <c r="CM249" s="39">
        <f>BP249*(12*$AC249+$AD249)/(35.238*8)/0.283</f>
        <v>5.6342287325038813E-2</v>
      </c>
      <c r="CN249" s="37"/>
      <c r="CO249" s="39">
        <f>0.063495+(0.016949+0.014096)*Wages!P247+1.22592*BR249</f>
        <v>0.43289241324663719</v>
      </c>
      <c r="CP249" s="39"/>
      <c r="CQ249" s="39">
        <f t="shared" si="126"/>
        <v>0.43289241324663719</v>
      </c>
      <c r="CR249" s="39">
        <f t="shared" si="135"/>
        <v>9.7659123318576541E-2</v>
      </c>
      <c r="CS249" s="39">
        <f t="shared" si="135"/>
        <v>0.7882425286523701</v>
      </c>
      <c r="CT249" s="39">
        <f t="shared" si="112"/>
        <v>2.0120570063273004</v>
      </c>
      <c r="CU249" s="39">
        <f t="shared" si="112"/>
        <v>1.1257371745408848</v>
      </c>
      <c r="CV249" s="39">
        <f t="shared" si="112"/>
        <v>6.5925520833333334E-2</v>
      </c>
      <c r="CW249" s="39">
        <f t="shared" si="112"/>
        <v>7.2458140625000014E-2</v>
      </c>
      <c r="CX249" s="39"/>
      <c r="CY249" s="39"/>
      <c r="CZ249" s="39">
        <f t="shared" si="115"/>
        <v>4.9548631593925245E-2</v>
      </c>
      <c r="DA249" s="39">
        <f t="shared" si="134"/>
        <v>3.694304297694845</v>
      </c>
      <c r="DB249" s="39">
        <f t="shared" si="143"/>
        <v>3.4606573231846038</v>
      </c>
      <c r="DC249" s="39">
        <f t="shared" si="116"/>
        <v>1.9819229064886508</v>
      </c>
      <c r="DD249" s="39">
        <f t="shared" si="149"/>
        <v>2.2128846153846156</v>
      </c>
      <c r="DE249" s="39">
        <f>CK249</f>
        <v>1.5944867312985982E-2</v>
      </c>
      <c r="DF249" s="37"/>
      <c r="DG249" s="39">
        <f t="shared" si="117"/>
        <v>0.34521000000000002</v>
      </c>
      <c r="DH249" s="39">
        <f t="shared" si="118"/>
        <v>1.8049430963307656</v>
      </c>
      <c r="DI249" s="37"/>
      <c r="DJ249" s="37"/>
      <c r="DK249" s="37"/>
      <c r="DL249" s="37"/>
      <c r="DM249" s="39">
        <f t="shared" si="127"/>
        <v>0.43374732186630566</v>
      </c>
      <c r="DN249" s="39"/>
      <c r="DO249" s="39">
        <f t="shared" si="128"/>
        <v>0.43374732186630566</v>
      </c>
      <c r="DP249" s="37"/>
      <c r="DQ249" s="37">
        <f>DO249/'Conversions, Sources &amp; Comments'!E247</f>
        <v>0.60310742590257149</v>
      </c>
    </row>
    <row r="250" spans="1:121">
      <c r="A250" s="42">
        <f t="shared" si="119"/>
        <v>1498</v>
      </c>
      <c r="B250" s="36"/>
      <c r="C250" s="38">
        <v>5</v>
      </c>
      <c r="D250" s="38">
        <v>5.5</v>
      </c>
      <c r="E250" s="38">
        <v>4</v>
      </c>
      <c r="F250" s="38">
        <v>5</v>
      </c>
      <c r="G250" s="38">
        <v>2</v>
      </c>
      <c r="H250" s="38">
        <v>2.25</v>
      </c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8">
        <v>5.5</v>
      </c>
      <c r="V250" s="36"/>
      <c r="W250" s="36"/>
      <c r="X250" s="38">
        <v>5</v>
      </c>
      <c r="Y250" s="38">
        <v>1</v>
      </c>
      <c r="Z250" s="38">
        <v>1</v>
      </c>
      <c r="AA250" s="38">
        <v>0</v>
      </c>
      <c r="AB250" s="36"/>
      <c r="AC250" s="38">
        <v>0</v>
      </c>
      <c r="AD250" s="38">
        <v>4</v>
      </c>
      <c r="AE250" s="38">
        <v>0</v>
      </c>
      <c r="AF250" s="38">
        <v>6.25</v>
      </c>
      <c r="AG250" s="38">
        <v>7</v>
      </c>
      <c r="AH250" s="38">
        <v>4.75</v>
      </c>
      <c r="AI250" s="36"/>
      <c r="AJ250" s="36"/>
      <c r="AK250" s="36"/>
      <c r="AL250" s="36"/>
      <c r="AM250" s="36"/>
      <c r="AN250" s="36"/>
      <c r="AO250" s="38">
        <v>0</v>
      </c>
      <c r="AP250" s="38">
        <v>10</v>
      </c>
      <c r="AQ250" s="36"/>
      <c r="AR250" s="36"/>
      <c r="AS250" s="36"/>
      <c r="AT250" s="36"/>
      <c r="AU250" s="36"/>
      <c r="AV250" s="38">
        <v>30</v>
      </c>
      <c r="AW250" s="38">
        <v>2.33</v>
      </c>
      <c r="AX250" s="38">
        <v>6</v>
      </c>
      <c r="AY250" s="36"/>
      <c r="AZ250" s="38">
        <v>40</v>
      </c>
      <c r="BA250" s="38">
        <v>53.33</v>
      </c>
      <c r="BB250" s="38">
        <v>57.4</v>
      </c>
      <c r="BC250" s="36"/>
      <c r="BD250" s="36"/>
      <c r="BE250" s="36"/>
      <c r="BF250" s="36"/>
      <c r="BG250" s="59">
        <v>5.34</v>
      </c>
      <c r="BH250" s="59">
        <v>0.57999999999999996</v>
      </c>
      <c r="BI250" s="59">
        <v>7.5996571033055599E-2</v>
      </c>
      <c r="BJ250" s="59"/>
      <c r="BK250" s="38">
        <v>1.3770000000000002</v>
      </c>
      <c r="BL250" s="59">
        <v>0.77</v>
      </c>
      <c r="BM250" s="36"/>
      <c r="BN250" s="38">
        <v>40</v>
      </c>
      <c r="BO250" s="36"/>
      <c r="BP250" s="39">
        <f t="shared" si="113"/>
        <v>0.71918750000000009</v>
      </c>
      <c r="BQ250" s="37"/>
      <c r="BR250" s="39">
        <f t="shared" si="114"/>
        <v>0.1671022094400931</v>
      </c>
      <c r="BS250" s="37"/>
      <c r="BT250" s="39">
        <f t="shared" si="142"/>
        <v>15.730260279965007</v>
      </c>
      <c r="BU250" s="37"/>
      <c r="BV250" s="39">
        <f t="shared" si="124"/>
        <v>0.16347953558658268</v>
      </c>
      <c r="BW250" s="39">
        <f t="shared" si="109"/>
        <v>0.7882425286523701</v>
      </c>
      <c r="BX250" s="39">
        <f t="shared" si="125"/>
        <v>8.0152198166645663E-2</v>
      </c>
      <c r="BY250" s="39">
        <f t="shared" si="146"/>
        <v>1.5855383251909205</v>
      </c>
      <c r="BZ250" s="37"/>
      <c r="CA250" s="39">
        <f t="shared" si="110"/>
        <v>2.1832959004828156</v>
      </c>
      <c r="CB250" s="39">
        <f t="shared" si="111"/>
        <v>1.220869893516171</v>
      </c>
      <c r="CC250" s="39">
        <f t="shared" si="144"/>
        <v>6.5925520833333334E-2</v>
      </c>
      <c r="CD250" s="37"/>
      <c r="CE250" s="39">
        <f t="shared" si="147"/>
        <v>2.1575625</v>
      </c>
      <c r="CF250" s="37"/>
      <c r="CG250" s="39">
        <f t="shared" si="148"/>
        <v>1.5806318681318685</v>
      </c>
      <c r="CH250" s="39">
        <f t="shared" si="150"/>
        <v>3.694304297694845</v>
      </c>
      <c r="CI250" s="37"/>
      <c r="CJ250" s="37"/>
      <c r="CK250" s="39">
        <f>BP250*(12*AC250+AD250)/(35.238*8)</f>
        <v>1.020471508031103E-2</v>
      </c>
      <c r="CL250" s="39">
        <f>BP250*(12*AG250+AH250)/100</f>
        <v>0.63827890625000006</v>
      </c>
      <c r="CM250" s="39">
        <f>BP250*(12*$AC250+$AD250)/(35.238*8)/0.283</f>
        <v>3.6059063888024843E-2</v>
      </c>
      <c r="CN250" s="37"/>
      <c r="CO250" s="39">
        <f>0.063495+(0.016949+0.014096)*Wages!P248+1.22592*BR250</f>
        <v>0.44696634809679892</v>
      </c>
      <c r="CP250" s="39"/>
      <c r="CQ250" s="39">
        <f t="shared" si="126"/>
        <v>0.44696634809679892</v>
      </c>
      <c r="CR250" s="39">
        <f t="shared" si="135"/>
        <v>0.16347953558658268</v>
      </c>
      <c r="CS250" s="39">
        <f t="shared" si="135"/>
        <v>0.7882425286523701</v>
      </c>
      <c r="CT250" s="39">
        <f t="shared" si="112"/>
        <v>2.1832959004828156</v>
      </c>
      <c r="CU250" s="39">
        <f t="shared" si="112"/>
        <v>1.220869893516171</v>
      </c>
      <c r="CV250" s="39">
        <f t="shared" si="112"/>
        <v>6.5925520833333334E-2</v>
      </c>
      <c r="CW250" s="39">
        <v>0.08</v>
      </c>
      <c r="CX250" s="39"/>
      <c r="CY250" s="39"/>
      <c r="CZ250" s="39">
        <f t="shared" si="115"/>
        <v>8.0152198166645663E-2</v>
      </c>
      <c r="DA250" s="39">
        <f t="shared" si="134"/>
        <v>3.694304297694845</v>
      </c>
      <c r="DB250" s="39">
        <f t="shared" si="143"/>
        <v>3.4606573231846038</v>
      </c>
      <c r="DC250" s="39">
        <f t="shared" si="116"/>
        <v>1.5855383251909205</v>
      </c>
      <c r="DD250" s="39">
        <f t="shared" si="149"/>
        <v>1.5806318681318685</v>
      </c>
      <c r="DE250" s="39">
        <f>CK250</f>
        <v>1.020471508031103E-2</v>
      </c>
      <c r="DF250" s="37"/>
      <c r="DG250" s="39">
        <f t="shared" si="117"/>
        <v>0.63827890625000006</v>
      </c>
      <c r="DH250" s="39">
        <f t="shared" si="118"/>
        <v>1.1551635816516901</v>
      </c>
      <c r="DI250" s="37"/>
      <c r="DJ250" s="37"/>
      <c r="DK250" s="37"/>
      <c r="DL250" s="37"/>
      <c r="DM250" s="39">
        <f t="shared" si="127"/>
        <v>0.45065685775435355</v>
      </c>
      <c r="DN250" s="39"/>
      <c r="DO250" s="39">
        <f t="shared" si="128"/>
        <v>0.45065685775435355</v>
      </c>
      <c r="DP250" s="37"/>
      <c r="DQ250" s="37">
        <f>DO250/'Conversions, Sources &amp; Comments'!E248</f>
        <v>0.62661942505167778</v>
      </c>
    </row>
    <row r="251" spans="1:121">
      <c r="A251" s="42">
        <f t="shared" si="119"/>
        <v>1499</v>
      </c>
      <c r="B251" s="36"/>
      <c r="C251" s="38">
        <v>4</v>
      </c>
      <c r="D251" s="38">
        <v>9</v>
      </c>
      <c r="E251" s="38">
        <v>3</v>
      </c>
      <c r="F251" s="38">
        <v>5.75</v>
      </c>
      <c r="G251" s="38">
        <v>1</v>
      </c>
      <c r="H251" s="38">
        <v>10.25</v>
      </c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8">
        <v>5.5</v>
      </c>
      <c r="V251" s="36"/>
      <c r="W251" s="36"/>
      <c r="X251" s="38">
        <v>6</v>
      </c>
      <c r="Y251" s="38">
        <v>0</v>
      </c>
      <c r="Z251" s="38">
        <v>1</v>
      </c>
      <c r="AA251" s="38">
        <v>0</v>
      </c>
      <c r="AB251" s="36"/>
      <c r="AC251" s="36"/>
      <c r="AD251" s="36"/>
      <c r="AE251" s="38">
        <v>0</v>
      </c>
      <c r="AF251" s="38">
        <v>6.25</v>
      </c>
      <c r="AG251" s="36"/>
      <c r="AH251" s="36"/>
      <c r="AI251" s="38" t="s">
        <v>8</v>
      </c>
      <c r="AJ251" s="36"/>
      <c r="AK251" s="36"/>
      <c r="AL251" s="36"/>
      <c r="AM251" s="38">
        <v>10</v>
      </c>
      <c r="AN251" s="38">
        <v>8</v>
      </c>
      <c r="AO251" s="38">
        <v>1</v>
      </c>
      <c r="AP251" s="38">
        <v>0</v>
      </c>
      <c r="AQ251" s="36"/>
      <c r="AR251" s="36"/>
      <c r="AS251" s="36"/>
      <c r="AT251" s="36"/>
      <c r="AU251" s="36"/>
      <c r="AV251" s="38">
        <v>35</v>
      </c>
      <c r="AW251" s="38">
        <v>2.33</v>
      </c>
      <c r="AX251" s="38">
        <v>6</v>
      </c>
      <c r="AY251" s="36"/>
      <c r="AZ251" s="38">
        <v>40</v>
      </c>
      <c r="BA251" s="38">
        <v>63.17</v>
      </c>
      <c r="BB251" s="38">
        <v>76</v>
      </c>
      <c r="BC251" s="36"/>
      <c r="BD251" s="36"/>
      <c r="BE251" s="36"/>
      <c r="BF251" s="36"/>
      <c r="BG251" s="59">
        <v>4.95</v>
      </c>
      <c r="BH251" s="59">
        <v>0.57999999999999996</v>
      </c>
      <c r="BI251" s="59">
        <v>5.9415500989479925E-2</v>
      </c>
      <c r="BJ251" s="59"/>
      <c r="BK251" s="38">
        <v>1.3230000000000002</v>
      </c>
      <c r="BL251" s="59">
        <v>0.49</v>
      </c>
      <c r="BM251" s="36"/>
      <c r="BN251" s="38">
        <v>40</v>
      </c>
      <c r="BO251" s="36"/>
      <c r="BP251" s="39">
        <f t="shared" si="113"/>
        <v>0.71918750000000009</v>
      </c>
      <c r="BQ251" s="37"/>
      <c r="BR251" s="39">
        <f t="shared" si="114"/>
        <v>0.14541718989443217</v>
      </c>
      <c r="BS251" s="37"/>
      <c r="BT251" s="39">
        <f t="shared" si="142"/>
        <v>15.730260279965007</v>
      </c>
      <c r="BU251" s="37"/>
      <c r="BV251" s="39">
        <f t="shared" si="124"/>
        <v>0.15154001894261876</v>
      </c>
      <c r="BW251" s="39">
        <f t="shared" si="109"/>
        <v>0.7882425286523701</v>
      </c>
      <c r="BX251" s="39">
        <f t="shared" si="125"/>
        <v>6.2664445839377608E-2</v>
      </c>
      <c r="BY251" s="39">
        <f t="shared" si="146"/>
        <v>1.5855383251909205</v>
      </c>
      <c r="BZ251" s="37"/>
      <c r="CA251" s="39">
        <f t="shared" si="110"/>
        <v>2.0976764534050578</v>
      </c>
      <c r="CB251" s="39">
        <f t="shared" si="111"/>
        <v>0.77691720496483596</v>
      </c>
      <c r="CC251" s="39">
        <f t="shared" si="144"/>
        <v>6.5925520833333334E-2</v>
      </c>
      <c r="CD251" s="39">
        <f>BP251*(12*AM251+AN251)/1000</f>
        <v>9.2056000000000013E-2</v>
      </c>
      <c r="CE251" s="39">
        <f t="shared" si="147"/>
        <v>2.5171562500000002</v>
      </c>
      <c r="CF251" s="37"/>
      <c r="CG251" s="39">
        <f t="shared" si="148"/>
        <v>1.8967582417582418</v>
      </c>
      <c r="CH251" s="39">
        <f t="shared" si="150"/>
        <v>3.694304297694845</v>
      </c>
      <c r="CI251" s="37"/>
      <c r="CJ251" s="37"/>
      <c r="CK251" s="37"/>
      <c r="CL251" s="37"/>
      <c r="CM251" s="37"/>
      <c r="CN251" s="37"/>
      <c r="CO251" s="39">
        <f>0.063495+(0.016949+0.014096)*Wages!P249+1.22592*BR251</f>
        <v>0.42038224893538223</v>
      </c>
      <c r="CP251" s="39"/>
      <c r="CQ251" s="39">
        <f t="shared" si="126"/>
        <v>0.42038224893538223</v>
      </c>
      <c r="CR251" s="39">
        <f t="shared" si="135"/>
        <v>0.15154001894261876</v>
      </c>
      <c r="CS251" s="39">
        <f t="shared" si="135"/>
        <v>0.7882425286523701</v>
      </c>
      <c r="CT251" s="39">
        <f t="shared" si="112"/>
        <v>2.0976764534050578</v>
      </c>
      <c r="CU251" s="39">
        <f t="shared" si="112"/>
        <v>0.77691720496483596</v>
      </c>
      <c r="CV251" s="39">
        <f t="shared" si="112"/>
        <v>6.5925520833333334E-2</v>
      </c>
      <c r="CW251" s="39">
        <f>CD251</f>
        <v>9.2056000000000013E-2</v>
      </c>
      <c r="CX251" s="39"/>
      <c r="CY251" s="39"/>
      <c r="CZ251" s="39">
        <f t="shared" si="115"/>
        <v>6.2664445839377608E-2</v>
      </c>
      <c r="DA251" s="39">
        <f t="shared" si="134"/>
        <v>3.694304297694845</v>
      </c>
      <c r="DB251" s="39">
        <f t="shared" si="143"/>
        <v>3.4606573231846038</v>
      </c>
      <c r="DC251" s="39">
        <f t="shared" si="116"/>
        <v>1.5855383251909205</v>
      </c>
      <c r="DD251" s="39">
        <f t="shared" si="149"/>
        <v>1.8967582417582418</v>
      </c>
      <c r="DE251" s="39">
        <v>1.6E-2</v>
      </c>
      <c r="DF251" s="37"/>
      <c r="DG251" s="39">
        <f t="shared" si="117"/>
        <v>0</v>
      </c>
      <c r="DH251" s="39">
        <f t="shared" si="118"/>
        <v>1.8111840615802581</v>
      </c>
      <c r="DI251" s="37"/>
      <c r="DJ251" s="37"/>
      <c r="DK251" s="37"/>
      <c r="DL251" s="37"/>
      <c r="DM251" s="39">
        <f t="shared" si="127"/>
        <v>0.43307744386217545</v>
      </c>
      <c r="DN251" s="39"/>
      <c r="DO251" s="39">
        <f t="shared" si="128"/>
        <v>0.43307744386217545</v>
      </c>
      <c r="DP251" s="37"/>
      <c r="DQ251" s="37">
        <f>DO251/'Conversions, Sources &amp; Comments'!E249</f>
        <v>0.60217598868469679</v>
      </c>
    </row>
    <row r="252" spans="1:121">
      <c r="A252" s="42">
        <f t="shared" si="119"/>
        <v>1500</v>
      </c>
      <c r="B252" s="36"/>
      <c r="C252" s="38">
        <v>6</v>
      </c>
      <c r="D252" s="38">
        <v>1.5</v>
      </c>
      <c r="E252" s="38">
        <v>3</v>
      </c>
      <c r="F252" s="38">
        <v>8.25</v>
      </c>
      <c r="G252" s="38">
        <v>1</v>
      </c>
      <c r="H252" s="38">
        <v>11</v>
      </c>
      <c r="I252" s="38">
        <v>4</v>
      </c>
      <c r="J252" s="38">
        <v>4.5</v>
      </c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8">
        <v>5.5</v>
      </c>
      <c r="V252" s="36"/>
      <c r="W252" s="36"/>
      <c r="X252" s="38">
        <v>7</v>
      </c>
      <c r="Y252" s="38">
        <v>0</v>
      </c>
      <c r="Z252" s="38">
        <v>1</v>
      </c>
      <c r="AA252" s="38">
        <v>0</v>
      </c>
      <c r="AB252" s="36"/>
      <c r="AC252" s="38">
        <v>0</v>
      </c>
      <c r="AD252" s="38">
        <v>8.5</v>
      </c>
      <c r="AE252" s="38">
        <v>0</v>
      </c>
      <c r="AF252" s="38">
        <v>6.25</v>
      </c>
      <c r="AG252" s="36"/>
      <c r="AH252" s="36"/>
      <c r="AI252" s="38">
        <v>1</v>
      </c>
      <c r="AJ252" s="38">
        <v>10</v>
      </c>
      <c r="AK252" s="36"/>
      <c r="AL252" s="36"/>
      <c r="AM252" s="38">
        <v>9</v>
      </c>
      <c r="AN252" s="38">
        <v>2</v>
      </c>
      <c r="AO252" s="38">
        <v>1</v>
      </c>
      <c r="AP252" s="38">
        <v>2</v>
      </c>
      <c r="AQ252" s="38">
        <v>1</v>
      </c>
      <c r="AR252" s="38">
        <v>4</v>
      </c>
      <c r="AS252" s="36"/>
      <c r="AT252" s="36"/>
      <c r="AU252" s="36"/>
      <c r="AV252" s="38">
        <v>25</v>
      </c>
      <c r="AW252" s="38">
        <v>2.33</v>
      </c>
      <c r="AX252" s="38">
        <v>6</v>
      </c>
      <c r="AY252" s="36"/>
      <c r="AZ252" s="38">
        <v>40</v>
      </c>
      <c r="BA252" s="38">
        <v>53.33</v>
      </c>
      <c r="BB252" s="38">
        <v>68.599999999999994</v>
      </c>
      <c r="BC252" s="36"/>
      <c r="BD252" s="36"/>
      <c r="BE252" s="36"/>
      <c r="BF252" s="36"/>
      <c r="BG252" s="59">
        <v>4.3</v>
      </c>
      <c r="BH252" s="59">
        <v>0.57999999999999996</v>
      </c>
      <c r="BI252" s="59">
        <v>5.9415500989479925E-2</v>
      </c>
      <c r="BJ252" s="59"/>
      <c r="BK252" s="38">
        <v>1.62</v>
      </c>
      <c r="BL252" s="59">
        <v>0.61</v>
      </c>
      <c r="BM252" s="36"/>
      <c r="BN252" s="38">
        <v>40</v>
      </c>
      <c r="BO252" s="36"/>
      <c r="BP252" s="39">
        <f t="shared" si="113"/>
        <v>0.71918750000000009</v>
      </c>
      <c r="BQ252" s="37"/>
      <c r="BR252" s="39">
        <f t="shared" si="114"/>
        <v>0.18751163960071515</v>
      </c>
      <c r="BS252" s="37"/>
      <c r="BT252" s="39">
        <f t="shared" si="142"/>
        <v>15.730260279965007</v>
      </c>
      <c r="BU252" s="37"/>
      <c r="BV252" s="39">
        <f t="shared" si="124"/>
        <v>0.13164082453601228</v>
      </c>
      <c r="BW252" s="39">
        <f t="shared" si="109"/>
        <v>0.7882425286523701</v>
      </c>
      <c r="BX252" s="39">
        <f t="shared" si="125"/>
        <v>6.2664445839377608E-2</v>
      </c>
      <c r="BY252" s="39">
        <f t="shared" si="146"/>
        <v>1.5855383251909205</v>
      </c>
      <c r="BZ252" s="37"/>
      <c r="CA252" s="39">
        <f t="shared" si="110"/>
        <v>2.5685834123327238</v>
      </c>
      <c r="CB252" s="39">
        <f t="shared" si="111"/>
        <v>0.96718264291540812</v>
      </c>
      <c r="CC252" s="39">
        <f t="shared" si="144"/>
        <v>6.5925520833333334E-2</v>
      </c>
      <c r="CD252" s="39">
        <f>BP252*(12*AM252+AN252)/1000</f>
        <v>7.9110625000000018E-2</v>
      </c>
      <c r="CE252" s="39">
        <f t="shared" si="147"/>
        <v>1.7979687499999999</v>
      </c>
      <c r="CF252" s="37"/>
      <c r="CG252" s="39">
        <f t="shared" si="148"/>
        <v>2.2128846153846156</v>
      </c>
      <c r="CH252" s="39">
        <f t="shared" si="150"/>
        <v>3.694304297694845</v>
      </c>
      <c r="CI252" s="37"/>
      <c r="CJ252" s="37"/>
      <c r="CK252" s="39">
        <f>BP252*(12*AC252+AD252)/(35.238*8)</f>
        <v>2.1685019545660936E-2</v>
      </c>
      <c r="CL252" s="37"/>
      <c r="CM252" s="39">
        <f>BP252*(12*$AC252+$AD252)/(35.238*8)/0.283</f>
        <v>7.662551076205279E-2</v>
      </c>
      <c r="CN252" s="37"/>
      <c r="CO252" s="39">
        <f>0.063495+(0.016949+0.014096)*Wages!P250+1.22592*BR252</f>
        <v>0.47198667671930872</v>
      </c>
      <c r="CP252" s="39"/>
      <c r="CQ252" s="39">
        <f t="shared" si="126"/>
        <v>0.47198667671930872</v>
      </c>
      <c r="CR252" s="39">
        <f t="shared" si="135"/>
        <v>0.13164082453601228</v>
      </c>
      <c r="CS252" s="39">
        <f t="shared" si="135"/>
        <v>0.7882425286523701</v>
      </c>
      <c r="CT252" s="39">
        <f t="shared" si="112"/>
        <v>2.5685834123327238</v>
      </c>
      <c r="CU252" s="39">
        <f t="shared" si="112"/>
        <v>0.96718264291540812</v>
      </c>
      <c r="CV252" s="39">
        <f t="shared" si="112"/>
        <v>6.5925520833333334E-2</v>
      </c>
      <c r="CW252" s="39">
        <f>CD252</f>
        <v>7.9110625000000018E-2</v>
      </c>
      <c r="CX252" s="39"/>
      <c r="CY252" s="39"/>
      <c r="CZ252" s="39">
        <f t="shared" si="115"/>
        <v>6.2664445839377608E-2</v>
      </c>
      <c r="DA252" s="39">
        <f t="shared" si="134"/>
        <v>3.694304297694845</v>
      </c>
      <c r="DB252" s="39">
        <f t="shared" si="143"/>
        <v>3.4606573231846038</v>
      </c>
      <c r="DC252" s="39">
        <f t="shared" si="116"/>
        <v>1.5855383251909205</v>
      </c>
      <c r="DD252" s="39">
        <f t="shared" si="149"/>
        <v>2.2128846153846156</v>
      </c>
      <c r="DE252" s="39">
        <f>CK252</f>
        <v>2.1685019545660936E-2</v>
      </c>
      <c r="DF252" s="37"/>
      <c r="DG252" s="39">
        <f t="shared" si="117"/>
        <v>0</v>
      </c>
      <c r="DH252" s="39">
        <f t="shared" si="118"/>
        <v>2.4547226110098412</v>
      </c>
      <c r="DI252" s="37"/>
      <c r="DJ252" s="37"/>
      <c r="DK252" s="37"/>
      <c r="DL252" s="37"/>
      <c r="DM252" s="39">
        <f t="shared" si="127"/>
        <v>0.47124330345603388</v>
      </c>
      <c r="DN252" s="39"/>
      <c r="DO252" s="39">
        <f t="shared" si="128"/>
        <v>0.47124330345603388</v>
      </c>
      <c r="DP252" s="39"/>
      <c r="DQ252" s="37">
        <f>DO252/'Conversions, Sources &amp; Comments'!E250</f>
        <v>0.65524401280060318</v>
      </c>
    </row>
    <row r="253" spans="1:121">
      <c r="A253" s="42">
        <f t="shared" si="119"/>
        <v>1501</v>
      </c>
      <c r="B253" s="36"/>
      <c r="C253" s="38">
        <v>8</v>
      </c>
      <c r="D253" s="38">
        <v>5.25</v>
      </c>
      <c r="E253" s="38">
        <v>3</v>
      </c>
      <c r="F253" s="38">
        <v>0.5</v>
      </c>
      <c r="G253" s="38">
        <v>2</v>
      </c>
      <c r="H253" s="38">
        <v>1.5</v>
      </c>
      <c r="I253" s="38">
        <v>4</v>
      </c>
      <c r="J253" s="38">
        <v>8</v>
      </c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8">
        <v>7.67</v>
      </c>
      <c r="V253" s="36"/>
      <c r="W253" s="36"/>
      <c r="X253" s="38">
        <v>7</v>
      </c>
      <c r="Y253" s="38">
        <v>3</v>
      </c>
      <c r="Z253" s="38">
        <v>1</v>
      </c>
      <c r="AA253" s="38">
        <v>0</v>
      </c>
      <c r="AB253" s="36"/>
      <c r="AC253" s="38">
        <v>0</v>
      </c>
      <c r="AD253" s="38">
        <v>6.25</v>
      </c>
      <c r="AE253" s="38">
        <v>0</v>
      </c>
      <c r="AF253" s="38">
        <v>7</v>
      </c>
      <c r="AG253" s="38">
        <v>6</v>
      </c>
      <c r="AH253" s="38">
        <v>8</v>
      </c>
      <c r="AI253" s="36"/>
      <c r="AJ253" s="36"/>
      <c r="AK253" s="36"/>
      <c r="AL253" s="36"/>
      <c r="AM253" s="38">
        <v>9</v>
      </c>
      <c r="AN253" s="38">
        <v>10</v>
      </c>
      <c r="AO253" s="38">
        <v>1</v>
      </c>
      <c r="AP253" s="38">
        <v>0</v>
      </c>
      <c r="AQ253" s="36"/>
      <c r="AR253" s="36"/>
      <c r="AS253" s="36"/>
      <c r="AT253" s="36"/>
      <c r="AU253" s="36"/>
      <c r="AV253" s="38">
        <v>30</v>
      </c>
      <c r="AW253" s="38">
        <v>2.33</v>
      </c>
      <c r="AX253" s="36"/>
      <c r="AY253" s="36"/>
      <c r="AZ253" s="38">
        <v>40</v>
      </c>
      <c r="BA253" s="38">
        <v>63.95</v>
      </c>
      <c r="BB253" s="38">
        <v>48</v>
      </c>
      <c r="BC253" s="36"/>
      <c r="BD253" s="36"/>
      <c r="BE253" s="36"/>
      <c r="BF253" s="36"/>
      <c r="BG253" s="59">
        <v>4.3499999999999996</v>
      </c>
      <c r="BH253" s="59">
        <v>0.57999999999999996</v>
      </c>
      <c r="BI253" s="59">
        <v>7.4614815196089687E-2</v>
      </c>
      <c r="BJ253" s="59"/>
      <c r="BK253" s="38">
        <v>1.7685000000000002</v>
      </c>
      <c r="BL253" s="59">
        <v>0.71</v>
      </c>
      <c r="BM253" s="36"/>
      <c r="BN253" s="38">
        <v>40</v>
      </c>
      <c r="BO253" s="36"/>
      <c r="BP253" s="39">
        <f t="shared" si="113"/>
        <v>0.71918750000000009</v>
      </c>
      <c r="BQ253" s="37"/>
      <c r="BR253" s="39">
        <f t="shared" si="114"/>
        <v>0.25830685047037294</v>
      </c>
      <c r="BS253" s="37"/>
      <c r="BT253" s="39">
        <f t="shared" si="142"/>
        <v>15.730260279965007</v>
      </c>
      <c r="BU253" s="37"/>
      <c r="BV253" s="39">
        <f t="shared" si="124"/>
        <v>0.13317153179805891</v>
      </c>
      <c r="BW253" s="39">
        <f t="shared" si="109"/>
        <v>0.7882425286523701</v>
      </c>
      <c r="BX253" s="39">
        <f t="shared" si="125"/>
        <v>7.8694885472705312E-2</v>
      </c>
      <c r="BY253" s="39">
        <f t="shared" si="146"/>
        <v>1.5855383251909205</v>
      </c>
      <c r="BZ253" s="37"/>
      <c r="CA253" s="39">
        <f t="shared" si="110"/>
        <v>2.804036891796557</v>
      </c>
      <c r="CB253" s="39">
        <f t="shared" si="111"/>
        <v>1.1257371745408848</v>
      </c>
      <c r="CC253" s="39">
        <f t="shared" si="144"/>
        <v>9.1936135416666689E-2</v>
      </c>
      <c r="CD253" s="39">
        <f>BP253*(12*AM253+AN253)/1000</f>
        <v>8.4864125000000012E-2</v>
      </c>
      <c r="CE253" s="39">
        <f t="shared" si="147"/>
        <v>2.1575625</v>
      </c>
      <c r="CF253" s="37"/>
      <c r="CG253" s="39">
        <f t="shared" si="148"/>
        <v>1.8967582417582418</v>
      </c>
      <c r="CH253" s="39">
        <f t="shared" si="150"/>
        <v>3.694304297694845</v>
      </c>
      <c r="CI253" s="37"/>
      <c r="CJ253" s="37"/>
      <c r="CK253" s="39">
        <f>BP253*(12*AC253+AD253)/(35.238*8)</f>
        <v>1.5944867312985982E-2</v>
      </c>
      <c r="CL253" s="39">
        <f>BP253*(12*AG253+AH253)/100</f>
        <v>0.57535000000000014</v>
      </c>
      <c r="CM253" s="39">
        <f>BP253*(12*$AC253+$AD253)/(35.238*8)/0.283</f>
        <v>5.6342287325038813E-2</v>
      </c>
      <c r="CN253" s="37"/>
      <c r="CO253" s="39">
        <f>0.063495+(0.016949+0.014096)*Wages!P251+1.22592*BR253</f>
        <v>0.55877594162863953</v>
      </c>
      <c r="CP253" s="39"/>
      <c r="CQ253" s="39">
        <f t="shared" si="126"/>
        <v>0.55877594162863953</v>
      </c>
      <c r="CR253" s="39">
        <f t="shared" si="135"/>
        <v>0.13317153179805891</v>
      </c>
      <c r="CS253" s="39">
        <f t="shared" si="135"/>
        <v>0.7882425286523701</v>
      </c>
      <c r="CT253" s="39">
        <f t="shared" si="112"/>
        <v>2.804036891796557</v>
      </c>
      <c r="CU253" s="39">
        <f t="shared" si="112"/>
        <v>1.1257371745408848</v>
      </c>
      <c r="CV253" s="39">
        <f t="shared" si="112"/>
        <v>9.1936135416666689E-2</v>
      </c>
      <c r="CW253" s="39">
        <f>CD253</f>
        <v>8.4864125000000012E-2</v>
      </c>
      <c r="CX253" s="39"/>
      <c r="CY253" s="39"/>
      <c r="CZ253" s="39">
        <f t="shared" si="115"/>
        <v>7.8694885472705312E-2</v>
      </c>
      <c r="DA253" s="39">
        <f t="shared" si="134"/>
        <v>3.694304297694845</v>
      </c>
      <c r="DB253" s="39">
        <f t="shared" si="143"/>
        <v>3.4606573231846038</v>
      </c>
      <c r="DC253" s="39">
        <f t="shared" si="116"/>
        <v>1.5855383251909205</v>
      </c>
      <c r="DD253" s="39">
        <f t="shared" si="149"/>
        <v>1.8967582417582418</v>
      </c>
      <c r="DE253" s="39">
        <f>CK253</f>
        <v>1.5944867312985982E-2</v>
      </c>
      <c r="DF253" s="37"/>
      <c r="DG253" s="39">
        <f t="shared" si="117"/>
        <v>0.57535000000000014</v>
      </c>
      <c r="DH253" s="39">
        <f t="shared" si="118"/>
        <v>1.8049430963307656</v>
      </c>
      <c r="DI253" s="37"/>
      <c r="DJ253" s="37"/>
      <c r="DK253" s="37"/>
      <c r="DL253" s="37"/>
      <c r="DM253" s="39">
        <f t="shared" si="127"/>
        <v>0.51492468996209939</v>
      </c>
      <c r="DN253" s="39"/>
      <c r="DO253" s="39">
        <f t="shared" si="128"/>
        <v>0.51492468996209939</v>
      </c>
      <c r="DP253" s="37"/>
      <c r="DQ253" s="37">
        <f>DO253/'Conversions, Sources &amp; Comments'!E251</f>
        <v>0.71598114533706347</v>
      </c>
    </row>
    <row r="254" spans="1:121">
      <c r="A254" s="42">
        <f t="shared" si="119"/>
        <v>1502</v>
      </c>
      <c r="B254" s="36"/>
      <c r="C254" s="38">
        <v>8</v>
      </c>
      <c r="D254" s="38">
        <v>0.75</v>
      </c>
      <c r="E254" s="38">
        <v>4</v>
      </c>
      <c r="F254" s="38">
        <v>0.25</v>
      </c>
      <c r="G254" s="38">
        <v>2</v>
      </c>
      <c r="H254" s="38">
        <v>4.5</v>
      </c>
      <c r="I254" s="38">
        <v>6</v>
      </c>
      <c r="J254" s="38">
        <v>8</v>
      </c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8">
        <v>7.67</v>
      </c>
      <c r="V254" s="36"/>
      <c r="W254" s="36"/>
      <c r="X254" s="38">
        <v>5</v>
      </c>
      <c r="Y254" s="38">
        <v>6</v>
      </c>
      <c r="Z254" s="38">
        <v>1</v>
      </c>
      <c r="AA254" s="38">
        <v>2.75</v>
      </c>
      <c r="AB254" s="36"/>
      <c r="AC254" s="38">
        <v>0</v>
      </c>
      <c r="AD254" s="38">
        <v>8</v>
      </c>
      <c r="AE254" s="38">
        <v>0</v>
      </c>
      <c r="AF254" s="38">
        <v>7</v>
      </c>
      <c r="AG254" s="36"/>
      <c r="AH254" s="36"/>
      <c r="AI254" s="36"/>
      <c r="AJ254" s="36"/>
      <c r="AK254" s="36"/>
      <c r="AL254" s="36"/>
      <c r="AM254" s="38">
        <v>11</v>
      </c>
      <c r="AN254" s="38">
        <v>5</v>
      </c>
      <c r="AO254" s="38">
        <v>1</v>
      </c>
      <c r="AP254" s="38">
        <v>4</v>
      </c>
      <c r="AQ254" s="38">
        <v>1</v>
      </c>
      <c r="AR254" s="38">
        <v>2</v>
      </c>
      <c r="AS254" s="36"/>
      <c r="AT254" s="36"/>
      <c r="AU254" s="36"/>
      <c r="AV254" s="38">
        <v>29.44</v>
      </c>
      <c r="AW254" s="38">
        <v>2.33</v>
      </c>
      <c r="AX254" s="38">
        <v>6.6</v>
      </c>
      <c r="AY254" s="36"/>
      <c r="AZ254" s="36"/>
      <c r="BA254" s="36"/>
      <c r="BB254" s="38">
        <v>82</v>
      </c>
      <c r="BC254" s="36"/>
      <c r="BD254" s="36"/>
      <c r="BE254" s="36"/>
      <c r="BF254" s="36"/>
      <c r="BG254" s="59">
        <v>3.23</v>
      </c>
      <c r="BH254" s="59">
        <v>0.57999999999999996</v>
      </c>
      <c r="BI254" s="59">
        <v>6.0797256826444136E-2</v>
      </c>
      <c r="BJ254" s="59"/>
      <c r="BK254" s="38">
        <v>1.62</v>
      </c>
      <c r="BL254" s="59">
        <v>0.69</v>
      </c>
      <c r="BM254" s="36"/>
      <c r="BN254" s="38">
        <v>40</v>
      </c>
      <c r="BO254" s="36"/>
      <c r="BP254" s="39">
        <f t="shared" si="113"/>
        <v>0.71918750000000009</v>
      </c>
      <c r="BQ254" s="37"/>
      <c r="BR254" s="39">
        <f t="shared" si="114"/>
        <v>0.24682654600502302</v>
      </c>
      <c r="BS254" s="37"/>
      <c r="BT254" s="37"/>
      <c r="BU254" s="37"/>
      <c r="BV254" s="39">
        <f t="shared" si="124"/>
        <v>9.8883689128213867E-2</v>
      </c>
      <c r="BW254" s="39">
        <f t="shared" si="109"/>
        <v>0.7882425286523701</v>
      </c>
      <c r="BX254" s="39">
        <f t="shared" si="125"/>
        <v>6.412175853331617E-2</v>
      </c>
      <c r="BY254" s="39">
        <f t="shared" si="146"/>
        <v>1.9488908580471735</v>
      </c>
      <c r="BZ254" s="37"/>
      <c r="CA254" s="39">
        <f t="shared" si="110"/>
        <v>2.5685834123327238</v>
      </c>
      <c r="CB254" s="39">
        <f t="shared" si="111"/>
        <v>1.0940262682157895</v>
      </c>
      <c r="CC254" s="39">
        <f t="shared" si="144"/>
        <v>9.1936135416666689E-2</v>
      </c>
      <c r="CD254" s="39">
        <f>BP254*(12*AM254+AN254)/1000</f>
        <v>9.8528687500000017E-2</v>
      </c>
      <c r="CE254" s="39">
        <f t="shared" si="147"/>
        <v>2.1172880000000003</v>
      </c>
      <c r="CF254" s="37"/>
      <c r="CG254" s="39">
        <f t="shared" si="148"/>
        <v>2.5290109890109895</v>
      </c>
      <c r="CH254" s="39">
        <f t="shared" si="150"/>
        <v>3.694304297694845</v>
      </c>
      <c r="CI254" s="37"/>
      <c r="CJ254" s="37"/>
      <c r="CK254" s="39">
        <f>BP254*(12*AC254+AD254)/(35.238*8)</f>
        <v>2.040943016062206E-2</v>
      </c>
      <c r="CL254" s="37"/>
      <c r="CM254" s="39">
        <f>BP254*(12*$AC254+$AD254)/(35.238*8)/0.283</f>
        <v>7.2118127776049687E-2</v>
      </c>
      <c r="CN254" s="37"/>
      <c r="CO254" s="39">
        <f>0.063495+(0.016949+0.014096)*Wages!P252+1.22592*BR254</f>
        <v>0.5447020067784778</v>
      </c>
      <c r="CP254" s="39"/>
      <c r="CQ254" s="39">
        <f t="shared" si="126"/>
        <v>0.5447020067784778</v>
      </c>
      <c r="CR254" s="39">
        <f t="shared" si="135"/>
        <v>9.8883689128213867E-2</v>
      </c>
      <c r="CS254" s="39">
        <f t="shared" si="135"/>
        <v>0.7882425286523701</v>
      </c>
      <c r="CT254" s="39">
        <f t="shared" si="112"/>
        <v>2.5685834123327238</v>
      </c>
      <c r="CU254" s="39">
        <f t="shared" si="112"/>
        <v>1.0940262682157895</v>
      </c>
      <c r="CV254" s="39">
        <f t="shared" si="112"/>
        <v>9.1936135416666689E-2</v>
      </c>
      <c r="CW254" s="39">
        <f>CD254</f>
        <v>9.8528687500000017E-2</v>
      </c>
      <c r="CX254" s="39"/>
      <c r="CY254" s="39"/>
      <c r="CZ254" s="39">
        <f t="shared" si="115"/>
        <v>6.412175853331617E-2</v>
      </c>
      <c r="DA254" s="39">
        <f t="shared" si="134"/>
        <v>3.694304297694845</v>
      </c>
      <c r="DB254" s="39">
        <v>3.460657323184603</v>
      </c>
      <c r="DC254" s="39">
        <f t="shared" si="116"/>
        <v>1.9488908580471735</v>
      </c>
      <c r="DD254" s="39">
        <f t="shared" si="149"/>
        <v>2.5290109890109895</v>
      </c>
      <c r="DE254" s="39">
        <f>CK254</f>
        <v>2.040943016062206E-2</v>
      </c>
      <c r="DF254" s="37"/>
      <c r="DG254" s="39">
        <f t="shared" si="117"/>
        <v>0</v>
      </c>
      <c r="DH254" s="39">
        <f t="shared" si="118"/>
        <v>2.3103271633033802</v>
      </c>
      <c r="DI254" s="37"/>
      <c r="DJ254" s="37"/>
      <c r="DK254" s="37"/>
      <c r="DL254" s="37"/>
      <c r="DM254" s="39">
        <f t="shared" si="127"/>
        <v>0.50704205787025103</v>
      </c>
      <c r="DN254" s="39"/>
      <c r="DO254" s="39">
        <f t="shared" si="128"/>
        <v>0.50704205787025103</v>
      </c>
      <c r="DP254" s="37"/>
      <c r="DQ254" s="37">
        <f>DO254/'Conversions, Sources &amp; Comments'!E252</f>
        <v>0.70502067662501222</v>
      </c>
    </row>
    <row r="255" spans="1:121">
      <c r="A255" s="42">
        <f t="shared" si="119"/>
        <v>1503</v>
      </c>
      <c r="B255" s="36"/>
      <c r="C255" s="38">
        <v>6</v>
      </c>
      <c r="D255" s="38">
        <v>3.75</v>
      </c>
      <c r="E255" s="38">
        <v>4</v>
      </c>
      <c r="F255" s="38">
        <v>0.25</v>
      </c>
      <c r="G255" s="38">
        <v>1</v>
      </c>
      <c r="H255" s="38">
        <v>11.75</v>
      </c>
      <c r="I255" s="38">
        <v>5</v>
      </c>
      <c r="J255" s="38">
        <v>3</v>
      </c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8">
        <v>7.67</v>
      </c>
      <c r="V255" s="36"/>
      <c r="W255" s="36"/>
      <c r="X255" s="38">
        <v>6</v>
      </c>
      <c r="Y255" s="38">
        <v>3</v>
      </c>
      <c r="Z255" s="38">
        <v>1</v>
      </c>
      <c r="AA255" s="38">
        <v>2.25</v>
      </c>
      <c r="AB255" s="36"/>
      <c r="AC255" s="36"/>
      <c r="AD255" s="36"/>
      <c r="AE255" s="38">
        <v>0</v>
      </c>
      <c r="AF255" s="38">
        <v>7</v>
      </c>
      <c r="AG255" s="38">
        <v>7</v>
      </c>
      <c r="AH255" s="38">
        <v>2</v>
      </c>
      <c r="AI255" s="38">
        <v>1</v>
      </c>
      <c r="AJ255" s="38">
        <v>9.5</v>
      </c>
      <c r="AK255" s="36"/>
      <c r="AL255" s="36"/>
      <c r="AM255" s="38">
        <v>12</v>
      </c>
      <c r="AN255" s="38">
        <v>0</v>
      </c>
      <c r="AO255" s="38">
        <v>1</v>
      </c>
      <c r="AP255" s="38">
        <v>4</v>
      </c>
      <c r="AQ255" s="36"/>
      <c r="AR255" s="36"/>
      <c r="AS255" s="36"/>
      <c r="AT255" s="36"/>
      <c r="AU255" s="36"/>
      <c r="AV255" s="36"/>
      <c r="AW255" s="38">
        <v>2.33</v>
      </c>
      <c r="AX255" s="38">
        <v>6.9</v>
      </c>
      <c r="AY255" s="36"/>
      <c r="AZ255" s="38">
        <v>40</v>
      </c>
      <c r="BA255" s="38">
        <v>57.17</v>
      </c>
      <c r="BB255" s="38">
        <v>81.599999999999994</v>
      </c>
      <c r="BC255" s="36"/>
      <c r="BD255" s="36"/>
      <c r="BE255" s="36"/>
      <c r="BF255" s="36"/>
      <c r="BG255" s="59">
        <v>4.22</v>
      </c>
      <c r="BH255" s="59">
        <v>0.57999999999999996</v>
      </c>
      <c r="BI255" s="59">
        <v>5.6651989315549794E-2</v>
      </c>
      <c r="BJ255" s="59"/>
      <c r="BK255" s="38">
        <v>1.62</v>
      </c>
      <c r="BL255" s="59">
        <v>0.68</v>
      </c>
      <c r="BM255" s="36"/>
      <c r="BN255" s="38">
        <v>40</v>
      </c>
      <c r="BO255" s="36"/>
      <c r="BP255" s="39">
        <f t="shared" si="113"/>
        <v>0.71918750000000009</v>
      </c>
      <c r="BQ255" s="37"/>
      <c r="BR255" s="39">
        <f t="shared" si="114"/>
        <v>0.19325179183339011</v>
      </c>
      <c r="BS255" s="37"/>
      <c r="BT255" s="39">
        <f>BP255*12*AZ255/(24*0.9144)</f>
        <v>15.730260279965007</v>
      </c>
      <c r="BU255" s="37"/>
      <c r="BV255" s="39">
        <f t="shared" si="124"/>
        <v>0.1291916929167376</v>
      </c>
      <c r="BW255" s="39">
        <f t="shared" si="109"/>
        <v>0.7882425286523701</v>
      </c>
      <c r="BX255" s="39">
        <f t="shared" si="125"/>
        <v>5.9749820451498709E-2</v>
      </c>
      <c r="BY255" s="39">
        <f t="shared" si="146"/>
        <v>1.8828267611642184</v>
      </c>
      <c r="BZ255" s="37"/>
      <c r="CA255" s="39">
        <f t="shared" si="110"/>
        <v>2.5685834123327238</v>
      </c>
      <c r="CB255" s="39">
        <f t="shared" si="111"/>
        <v>1.0781708150532421</v>
      </c>
      <c r="CC255" s="39">
        <f t="shared" si="144"/>
        <v>9.1936135416666689E-2</v>
      </c>
      <c r="CD255" s="39">
        <f>BP255*(12*AM255+AN255)/1000</f>
        <v>0.10356300000000002</v>
      </c>
      <c r="CE255" s="37"/>
      <c r="CF255" s="37"/>
      <c r="CG255" s="39">
        <f t="shared" si="148"/>
        <v>2.5290109890109895</v>
      </c>
      <c r="CH255" s="39">
        <f t="shared" si="150"/>
        <v>3.694304297694845</v>
      </c>
      <c r="CI255" s="37"/>
      <c r="CJ255" s="37"/>
      <c r="CK255" s="37"/>
      <c r="CL255" s="39">
        <f>BP255*(12*AG255+AH255)/100</f>
        <v>0.61850125</v>
      </c>
      <c r="CM255" s="37"/>
      <c r="CN255" s="37"/>
      <c r="CO255" s="39">
        <f>0.063495+(0.016949+0.014096)*Wages!P253+1.22592*BR255</f>
        <v>0.47902364414438958</v>
      </c>
      <c r="CP255" s="39"/>
      <c r="CQ255" s="39">
        <f t="shared" si="126"/>
        <v>0.47902364414438958</v>
      </c>
      <c r="CR255" s="39">
        <f t="shared" si="135"/>
        <v>0.1291916929167376</v>
      </c>
      <c r="CS255" s="39">
        <f t="shared" si="135"/>
        <v>0.7882425286523701</v>
      </c>
      <c r="CT255" s="39">
        <f t="shared" si="112"/>
        <v>2.5685834123327238</v>
      </c>
      <c r="CU255" s="39">
        <f t="shared" si="112"/>
        <v>1.0781708150532421</v>
      </c>
      <c r="CV255" s="39">
        <f t="shared" si="112"/>
        <v>9.1936135416666689E-2</v>
      </c>
      <c r="CW255" s="39">
        <f>CD255</f>
        <v>0.10356300000000002</v>
      </c>
      <c r="CX255" s="39"/>
      <c r="CY255" s="39"/>
      <c r="CZ255" s="39">
        <f t="shared" si="115"/>
        <v>5.9749820451498709E-2</v>
      </c>
      <c r="DA255" s="39">
        <f t="shared" si="134"/>
        <v>3.694304297694845</v>
      </c>
      <c r="DB255" s="39">
        <v>3.460657323184603</v>
      </c>
      <c r="DC255" s="39">
        <f t="shared" si="116"/>
        <v>1.8828267611642184</v>
      </c>
      <c r="DD255" s="39">
        <f t="shared" si="149"/>
        <v>2.5290109890109895</v>
      </c>
      <c r="DE255" s="39">
        <v>1.9E-2</v>
      </c>
      <c r="DF255" s="37"/>
      <c r="DG255" s="39">
        <f t="shared" si="117"/>
        <v>0.61850125</v>
      </c>
      <c r="DH255" s="39">
        <f t="shared" si="118"/>
        <v>2.1507810731265566</v>
      </c>
      <c r="DI255" s="37"/>
      <c r="DJ255" s="37"/>
      <c r="DK255" s="37"/>
      <c r="DL255" s="37"/>
      <c r="DM255" s="39">
        <f t="shared" si="127"/>
        <v>0.47757683179816007</v>
      </c>
      <c r="DN255" s="39"/>
      <c r="DO255" s="39">
        <f t="shared" si="128"/>
        <v>0.47757683179816007</v>
      </c>
      <c r="DP255" s="37"/>
      <c r="DQ255" s="37">
        <f>DO255/'Conversions, Sources &amp; Comments'!E253</f>
        <v>0.66405051783875557</v>
      </c>
    </row>
    <row r="256" spans="1:121">
      <c r="A256" s="42">
        <f t="shared" si="119"/>
        <v>1504</v>
      </c>
      <c r="B256" s="36"/>
      <c r="C256" s="38">
        <v>5</v>
      </c>
      <c r="D256" s="38">
        <v>0.25</v>
      </c>
      <c r="E256" s="38">
        <v>5</v>
      </c>
      <c r="F256" s="38">
        <v>0</v>
      </c>
      <c r="G256" s="38">
        <v>2</v>
      </c>
      <c r="H256" s="38">
        <v>4</v>
      </c>
      <c r="I256" s="38">
        <v>4</v>
      </c>
      <c r="J256" s="38">
        <v>0.25</v>
      </c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8">
        <v>7.67</v>
      </c>
      <c r="V256" s="36"/>
      <c r="W256" s="36"/>
      <c r="X256" s="36"/>
      <c r="Y256" s="36"/>
      <c r="Z256" s="38">
        <v>1</v>
      </c>
      <c r="AA256" s="38">
        <v>2</v>
      </c>
      <c r="AB256" s="36"/>
      <c r="AC256" s="38">
        <v>0</v>
      </c>
      <c r="AD256" s="38">
        <v>7</v>
      </c>
      <c r="AE256" s="38">
        <v>0</v>
      </c>
      <c r="AF256" s="38">
        <v>7</v>
      </c>
      <c r="AG256" s="36"/>
      <c r="AH256" s="36"/>
      <c r="AI256" s="38">
        <v>1</v>
      </c>
      <c r="AJ256" s="38">
        <v>10</v>
      </c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8">
        <v>2.33</v>
      </c>
      <c r="AX256" s="38">
        <v>6.4</v>
      </c>
      <c r="AY256" s="36"/>
      <c r="AZ256" s="38">
        <v>40</v>
      </c>
      <c r="BA256" s="38">
        <v>53.33</v>
      </c>
      <c r="BB256" s="36"/>
      <c r="BC256" s="36"/>
      <c r="BD256" s="36"/>
      <c r="BE256" s="36"/>
      <c r="BF256" s="36"/>
      <c r="BG256" s="59">
        <v>4.3899999999999997</v>
      </c>
      <c r="BH256" s="59">
        <v>0.57999999999999996</v>
      </c>
      <c r="BI256" s="59">
        <v>6.3560768500372566E-2</v>
      </c>
      <c r="BJ256" s="59"/>
      <c r="BK256" s="38">
        <v>1.4310000000000003</v>
      </c>
      <c r="BL256" s="59">
        <v>0.8</v>
      </c>
      <c r="BM256" s="36"/>
      <c r="BN256" s="38">
        <v>40</v>
      </c>
      <c r="BO256" s="36"/>
      <c r="BP256" s="39">
        <f t="shared" si="113"/>
        <v>0.71918750000000009</v>
      </c>
      <c r="BQ256" s="37"/>
      <c r="BR256" s="39">
        <f t="shared" si="114"/>
        <v>0.15370852089718487</v>
      </c>
      <c r="BS256" s="37"/>
      <c r="BT256" s="39">
        <f>BP256*12*AZ256/(24*0.9144)</f>
        <v>15.730260279965007</v>
      </c>
      <c r="BU256" s="37"/>
      <c r="BV256" s="39">
        <f t="shared" si="124"/>
        <v>0.13439609760769625</v>
      </c>
      <c r="BW256" s="39">
        <f t="shared" si="109"/>
        <v>0.7882425286523701</v>
      </c>
      <c r="BX256" s="39">
        <f t="shared" si="125"/>
        <v>6.7036383921193279E-2</v>
      </c>
      <c r="BY256" s="39">
        <f t="shared" si="146"/>
        <v>1.8497947127227408</v>
      </c>
      <c r="BZ256" s="37"/>
      <c r="CA256" s="39">
        <f t="shared" si="110"/>
        <v>2.2689153475605734</v>
      </c>
      <c r="CB256" s="39">
        <f t="shared" si="111"/>
        <v>1.268436253003814</v>
      </c>
      <c r="CC256" s="39">
        <f t="shared" si="144"/>
        <v>9.1936135416666689E-2</v>
      </c>
      <c r="CD256" s="37"/>
      <c r="CE256" s="37"/>
      <c r="CF256" s="37"/>
      <c r="CG256" s="37"/>
      <c r="CH256" s="39">
        <f t="shared" si="150"/>
        <v>3.694304297694845</v>
      </c>
      <c r="CI256" s="37"/>
      <c r="CJ256" s="37"/>
      <c r="CK256" s="39">
        <f>BP256*(12*AC256+AD256)/(35.238*8)</f>
        <v>1.78582513905443E-2</v>
      </c>
      <c r="CL256" s="37"/>
      <c r="CM256" s="39">
        <f>BP256*(12*$AC256+$AD256)/(35.238*8)/0.283</f>
        <v>6.3103361804043467E-2</v>
      </c>
      <c r="CN256" s="37"/>
      <c r="CO256" s="39">
        <f>0.063495+(0.016949+0.014096)*Wages!P254+1.22592*BR256</f>
        <v>0.43054675743827686</v>
      </c>
      <c r="CP256" s="39"/>
      <c r="CQ256" s="39">
        <f t="shared" si="126"/>
        <v>0.43054675743827686</v>
      </c>
      <c r="CR256" s="39">
        <f t="shared" si="135"/>
        <v>0.13439609760769625</v>
      </c>
      <c r="CS256" s="39">
        <f t="shared" si="135"/>
        <v>0.7882425286523701</v>
      </c>
      <c r="CT256" s="39">
        <f t="shared" si="112"/>
        <v>2.2689153475605734</v>
      </c>
      <c r="CU256" s="39">
        <f t="shared" si="112"/>
        <v>1.268436253003814</v>
      </c>
      <c r="CV256" s="39">
        <f t="shared" si="112"/>
        <v>9.1936135416666689E-2</v>
      </c>
      <c r="CW256" s="39">
        <v>0.09</v>
      </c>
      <c r="CX256" s="39"/>
      <c r="CY256" s="39"/>
      <c r="CZ256" s="39">
        <f t="shared" si="115"/>
        <v>6.7036383921193279E-2</v>
      </c>
      <c r="DA256" s="39">
        <f t="shared" si="134"/>
        <v>3.694304297694845</v>
      </c>
      <c r="DB256" s="39">
        <v>3.460657323184603</v>
      </c>
      <c r="DC256" s="39">
        <f t="shared" si="116"/>
        <v>1.8497947127227408</v>
      </c>
      <c r="DD256" s="39">
        <v>2.2999999999999998</v>
      </c>
      <c r="DE256" s="39">
        <f>CK256</f>
        <v>1.78582513905443E-2</v>
      </c>
      <c r="DF256" s="37"/>
      <c r="DG256" s="39">
        <f t="shared" si="117"/>
        <v>0</v>
      </c>
      <c r="DH256" s="39">
        <f t="shared" si="118"/>
        <v>2.0215362678904576</v>
      </c>
      <c r="DI256" s="37"/>
      <c r="DJ256" s="37"/>
      <c r="DK256" s="37"/>
      <c r="DL256" s="37"/>
      <c r="DM256" s="39">
        <f t="shared" si="127"/>
        <v>0.45558968320471449</v>
      </c>
      <c r="DN256" s="39"/>
      <c r="DO256" s="39">
        <f t="shared" si="128"/>
        <v>0.45558968320471449</v>
      </c>
      <c r="DP256" s="37"/>
      <c r="DQ256" s="37">
        <f>DO256/'Conversions, Sources &amp; Comments'!E254</f>
        <v>0.6334783115734276</v>
      </c>
    </row>
    <row r="257" spans="1:121">
      <c r="A257" s="42">
        <f t="shared" si="119"/>
        <v>1505</v>
      </c>
      <c r="B257" s="36"/>
      <c r="C257" s="38">
        <v>4</v>
      </c>
      <c r="D257" s="38">
        <v>10.25</v>
      </c>
      <c r="E257" s="38">
        <v>4</v>
      </c>
      <c r="F257" s="38">
        <v>1.25</v>
      </c>
      <c r="G257" s="38">
        <v>2</v>
      </c>
      <c r="H257" s="38">
        <v>0.5</v>
      </c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8">
        <v>7.67</v>
      </c>
      <c r="V257" s="36"/>
      <c r="W257" s="36"/>
      <c r="X257" s="36"/>
      <c r="Y257" s="36"/>
      <c r="Z257" s="38">
        <v>1</v>
      </c>
      <c r="AA257" s="38">
        <v>0</v>
      </c>
      <c r="AB257" s="36"/>
      <c r="AC257" s="36"/>
      <c r="AD257" s="36"/>
      <c r="AE257" s="38">
        <v>0</v>
      </c>
      <c r="AF257" s="38">
        <v>7</v>
      </c>
      <c r="AG257" s="38">
        <v>8</v>
      </c>
      <c r="AH257" s="38">
        <v>0</v>
      </c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8">
        <v>2.33</v>
      </c>
      <c r="AX257" s="38">
        <v>7.4</v>
      </c>
      <c r="AY257" s="36"/>
      <c r="AZ257" s="36"/>
      <c r="BA257" s="36"/>
      <c r="BB257" s="38">
        <v>48</v>
      </c>
      <c r="BC257" s="36"/>
      <c r="BD257" s="36"/>
      <c r="BE257" s="36"/>
      <c r="BF257" s="36"/>
      <c r="BG257" s="59">
        <v>3.53</v>
      </c>
      <c r="BH257" s="59">
        <v>0.57999999999999996</v>
      </c>
      <c r="BI257" s="59">
        <v>6.4942524337338478E-2</v>
      </c>
      <c r="BJ257" s="59"/>
      <c r="BK257" s="38">
        <v>1.1880000000000002</v>
      </c>
      <c r="BL257" s="59">
        <v>0.67</v>
      </c>
      <c r="BM257" s="36"/>
      <c r="BN257" s="38">
        <v>40</v>
      </c>
      <c r="BO257" s="36"/>
      <c r="BP257" s="39">
        <f t="shared" si="113"/>
        <v>0.71918750000000009</v>
      </c>
      <c r="BQ257" s="37"/>
      <c r="BR257" s="39">
        <f t="shared" si="114"/>
        <v>0.14860616335702936</v>
      </c>
      <c r="BS257" s="37"/>
      <c r="BT257" s="37"/>
      <c r="BU257" s="37"/>
      <c r="BV257" s="39">
        <f t="shared" si="124"/>
        <v>0.10806793270049378</v>
      </c>
      <c r="BW257" s="39">
        <f t="shared" si="109"/>
        <v>0.7882425286523701</v>
      </c>
      <c r="BX257" s="39">
        <f t="shared" si="125"/>
        <v>6.8493696615133631E-2</v>
      </c>
      <c r="BY257" s="39">
        <f t="shared" si="146"/>
        <v>1.5855383251909205</v>
      </c>
      <c r="BZ257" s="37"/>
      <c r="CA257" s="39">
        <f t="shared" si="110"/>
        <v>1.8836278357106644</v>
      </c>
      <c r="CB257" s="39">
        <f t="shared" si="111"/>
        <v>1.0623153618906944</v>
      </c>
      <c r="CC257" s="39">
        <f t="shared" si="144"/>
        <v>9.1936135416666689E-2</v>
      </c>
      <c r="CD257" s="37"/>
      <c r="CE257" s="37"/>
      <c r="CF257" s="37"/>
      <c r="CG257" s="37"/>
      <c r="CH257" s="39">
        <f t="shared" si="150"/>
        <v>3.694304297694845</v>
      </c>
      <c r="CI257" s="37"/>
      <c r="CJ257" s="37"/>
      <c r="CK257" s="37"/>
      <c r="CL257" s="39">
        <f t="shared" ref="CL257:CL263" si="151">BP257*(12*AG257+AH257)/100</f>
        <v>0.69042000000000003</v>
      </c>
      <c r="CM257" s="37"/>
      <c r="CN257" s="37"/>
      <c r="CO257" s="39">
        <f>0.063495+(0.016949+0.014096)*Wages!P255+1.22592*BR257</f>
        <v>0.42429167528264944</v>
      </c>
      <c r="CP257" s="39"/>
      <c r="CQ257" s="39">
        <f t="shared" si="126"/>
        <v>0.42429167528264944</v>
      </c>
      <c r="CR257" s="39">
        <f t="shared" si="135"/>
        <v>0.10806793270049378</v>
      </c>
      <c r="CS257" s="39">
        <f t="shared" si="135"/>
        <v>0.7882425286523701</v>
      </c>
      <c r="CT257" s="39">
        <f t="shared" si="112"/>
        <v>1.8836278357106644</v>
      </c>
      <c r="CU257" s="39">
        <f t="shared" si="112"/>
        <v>1.0623153618906944</v>
      </c>
      <c r="CV257" s="39">
        <f t="shared" si="112"/>
        <v>9.1936135416666689E-2</v>
      </c>
      <c r="CW257" s="39">
        <v>0.09</v>
      </c>
      <c r="CX257" s="39"/>
      <c r="CY257" s="39"/>
      <c r="CZ257" s="39">
        <f t="shared" si="115"/>
        <v>6.8493696615133631E-2</v>
      </c>
      <c r="DA257" s="39">
        <f t="shared" si="134"/>
        <v>3.694304297694845</v>
      </c>
      <c r="DB257" s="39">
        <v>3.460657323184603</v>
      </c>
      <c r="DC257" s="39">
        <f t="shared" si="116"/>
        <v>1.5855383251909205</v>
      </c>
      <c r="DD257" s="39">
        <v>2.2999999999999998</v>
      </c>
      <c r="DE257" s="39">
        <v>1.6E-2</v>
      </c>
      <c r="DF257" s="37"/>
      <c r="DG257" s="39">
        <f t="shared" si="117"/>
        <v>0.69042000000000003</v>
      </c>
      <c r="DH257" s="39">
        <f t="shared" si="118"/>
        <v>1.8111840615802581</v>
      </c>
      <c r="DI257" s="37"/>
      <c r="DJ257" s="37"/>
      <c r="DK257" s="37"/>
      <c r="DL257" s="37"/>
      <c r="DM257" s="39">
        <f t="shared" si="127"/>
        <v>0.4385821342494079</v>
      </c>
      <c r="DN257" s="39"/>
      <c r="DO257" s="39">
        <f t="shared" si="128"/>
        <v>0.4385821342494079</v>
      </c>
      <c r="DP257" s="37"/>
      <c r="DQ257" s="37">
        <f>DO257/'Conversions, Sources &amp; Comments'!E255</f>
        <v>0.60983002937260145</v>
      </c>
    </row>
    <row r="258" spans="1:121">
      <c r="A258" s="42">
        <f t="shared" si="119"/>
        <v>1506</v>
      </c>
      <c r="B258" s="36"/>
      <c r="C258" s="38">
        <v>5</v>
      </c>
      <c r="D258" s="38">
        <v>4.75</v>
      </c>
      <c r="E258" s="38">
        <v>2</v>
      </c>
      <c r="F258" s="38">
        <v>10.5</v>
      </c>
      <c r="G258" s="38">
        <v>1</v>
      </c>
      <c r="H258" s="38">
        <v>10.25</v>
      </c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8">
        <v>7.67</v>
      </c>
      <c r="V258" s="36"/>
      <c r="W258" s="36"/>
      <c r="X258" s="38">
        <v>6</v>
      </c>
      <c r="Y258" s="38">
        <v>6</v>
      </c>
      <c r="Z258" s="38">
        <v>1</v>
      </c>
      <c r="AA258" s="38">
        <v>1</v>
      </c>
      <c r="AB258" s="36"/>
      <c r="AC258" s="38">
        <v>0</v>
      </c>
      <c r="AD258" s="38">
        <v>6.25</v>
      </c>
      <c r="AE258" s="38">
        <v>0</v>
      </c>
      <c r="AF258" s="38">
        <v>7</v>
      </c>
      <c r="AG258" s="38">
        <v>6</v>
      </c>
      <c r="AH258" s="38">
        <v>9.5</v>
      </c>
      <c r="AI258" s="38">
        <v>1</v>
      </c>
      <c r="AJ258" s="38">
        <v>8.5</v>
      </c>
      <c r="AK258" s="36"/>
      <c r="AL258" s="36"/>
      <c r="AM258" s="38">
        <v>10</v>
      </c>
      <c r="AN258" s="38">
        <v>3.25</v>
      </c>
      <c r="AO258" s="38">
        <v>1</v>
      </c>
      <c r="AP258" s="38">
        <v>1</v>
      </c>
      <c r="AQ258" s="36"/>
      <c r="AR258" s="36"/>
      <c r="AS258" s="36"/>
      <c r="AT258" s="36"/>
      <c r="AU258" s="36"/>
      <c r="AV258" s="36"/>
      <c r="AW258" s="38">
        <v>2.33</v>
      </c>
      <c r="AX258" s="38">
        <v>5.6</v>
      </c>
      <c r="AY258" s="38">
        <v>5.5</v>
      </c>
      <c r="AZ258" s="36"/>
      <c r="BA258" s="36"/>
      <c r="BB258" s="38">
        <v>48</v>
      </c>
      <c r="BC258" s="36"/>
      <c r="BD258" s="36"/>
      <c r="BE258" s="36"/>
      <c r="BF258" s="36"/>
      <c r="BG258" s="59">
        <v>3.92</v>
      </c>
      <c r="BH258" s="59">
        <v>0.57999999999999996</v>
      </c>
      <c r="BI258" s="59">
        <v>5.3888477641621364E-2</v>
      </c>
      <c r="BJ258" s="59"/>
      <c r="BK258" s="38">
        <v>1.1880000000000002</v>
      </c>
      <c r="BL258" s="59">
        <v>0.67</v>
      </c>
      <c r="BM258" s="38"/>
      <c r="BN258" s="38">
        <v>40</v>
      </c>
      <c r="BO258" s="36"/>
      <c r="BP258" s="39">
        <f t="shared" si="113"/>
        <v>0.71918750000000009</v>
      </c>
      <c r="BQ258" s="37"/>
      <c r="BR258" s="39">
        <f t="shared" si="114"/>
        <v>0.16518882536253479</v>
      </c>
      <c r="BS258" s="37"/>
      <c r="BT258" s="37"/>
      <c r="BU258" s="39">
        <f>$BP258*12*AY258/(12*(45/36)*0.9144)</f>
        <v>3.460657261592301</v>
      </c>
      <c r="BV258" s="39">
        <f t="shared" si="124"/>
        <v>0.12000744934445769</v>
      </c>
      <c r="BW258" s="39">
        <f t="shared" si="109"/>
        <v>0.7882425286523701</v>
      </c>
      <c r="BX258" s="39">
        <f t="shared" si="125"/>
        <v>5.6835195063621592E-2</v>
      </c>
      <c r="BY258" s="39">
        <f t="shared" si="146"/>
        <v>1.7176665189568305</v>
      </c>
      <c r="BZ258" s="37"/>
      <c r="CA258" s="39">
        <f t="shared" si="110"/>
        <v>1.8836278357106644</v>
      </c>
      <c r="CB258" s="39">
        <f t="shared" si="111"/>
        <v>1.0623153618906944</v>
      </c>
      <c r="CC258" s="39">
        <f t="shared" si="144"/>
        <v>9.1936135416666689E-2</v>
      </c>
      <c r="CD258" s="39">
        <f t="shared" ref="CD258:CD272" si="152">BP258*(12*AM258+AN258)/1000</f>
        <v>8.8639859375000019E-2</v>
      </c>
      <c r="CE258" s="37"/>
      <c r="CF258" s="37"/>
      <c r="CG258" s="39">
        <f t="shared" ref="CG258:CG286" si="153">BP258*(12*AO258+AP258)/4.55</f>
        <v>2.0548214285714286</v>
      </c>
      <c r="CH258" s="39">
        <f t="shared" si="150"/>
        <v>3.694304297694845</v>
      </c>
      <c r="CI258" s="37"/>
      <c r="CJ258" s="37"/>
      <c r="CK258" s="39">
        <f t="shared" ref="CK258:CK266" si="154">BP258*(12*AC258+AD258)/(35.238*8)</f>
        <v>1.5944867312985982E-2</v>
      </c>
      <c r="CL258" s="39">
        <f t="shared" si="151"/>
        <v>0.58613781250000008</v>
      </c>
      <c r="CM258" s="39">
        <f t="shared" ref="CM258:CM266" si="155">BP258*(12*$AC258+$AD258)/(35.238*8)/0.283</f>
        <v>5.6342287325038813E-2</v>
      </c>
      <c r="CN258" s="37"/>
      <c r="CO258" s="39">
        <f>0.063495+(0.016949+0.014096)*Wages!P256+1.22592*BR258</f>
        <v>0.44462069228843859</v>
      </c>
      <c r="CP258" s="39"/>
      <c r="CQ258" s="39">
        <f t="shared" si="126"/>
        <v>0.44462069228843859</v>
      </c>
      <c r="CR258" s="39">
        <f t="shared" si="135"/>
        <v>0.12000744934445769</v>
      </c>
      <c r="CS258" s="39">
        <f t="shared" si="135"/>
        <v>0.7882425286523701</v>
      </c>
      <c r="CT258" s="39">
        <f t="shared" si="112"/>
        <v>1.8836278357106644</v>
      </c>
      <c r="CU258" s="39">
        <f t="shared" si="112"/>
        <v>1.0623153618906944</v>
      </c>
      <c r="CV258" s="39">
        <f t="shared" si="112"/>
        <v>9.1936135416666689E-2</v>
      </c>
      <c r="CW258" s="39">
        <f t="shared" si="112"/>
        <v>8.8639859375000019E-2</v>
      </c>
      <c r="CX258" s="39"/>
      <c r="CY258" s="39"/>
      <c r="CZ258" s="39">
        <f t="shared" si="115"/>
        <v>5.6835195063621592E-2</v>
      </c>
      <c r="DA258" s="39">
        <f t="shared" si="134"/>
        <v>3.694304297694845</v>
      </c>
      <c r="DB258" s="39">
        <f>BU258</f>
        <v>3.460657261592301</v>
      </c>
      <c r="DC258" s="39">
        <f t="shared" si="116"/>
        <v>1.7176665189568305</v>
      </c>
      <c r="DD258" s="39">
        <f t="shared" ref="DD258:DD286" si="156">CG258</f>
        <v>2.0548214285714286</v>
      </c>
      <c r="DE258" s="39">
        <f t="shared" ref="DE258:DE266" si="157">CK258</f>
        <v>1.5944867312985982E-2</v>
      </c>
      <c r="DF258" s="37"/>
      <c r="DG258" s="39">
        <f t="shared" si="117"/>
        <v>0.58613781250000008</v>
      </c>
      <c r="DH258" s="39">
        <f t="shared" si="118"/>
        <v>1.8049430963307656</v>
      </c>
      <c r="DI258" s="37"/>
      <c r="DJ258" s="37"/>
      <c r="DK258" s="37"/>
      <c r="DL258" s="37"/>
      <c r="DM258" s="39">
        <f t="shared" si="127"/>
        <v>0.44309830304442382</v>
      </c>
      <c r="DN258" s="39"/>
      <c r="DO258" s="39">
        <f t="shared" si="128"/>
        <v>0.44309830304442382</v>
      </c>
      <c r="DP258" s="37"/>
      <c r="DQ258" s="37">
        <f>DO258/'Conversions, Sources &amp; Comments'!E256</f>
        <v>0.61610957232213259</v>
      </c>
    </row>
    <row r="259" spans="1:121">
      <c r="A259" s="42">
        <f t="shared" si="119"/>
        <v>1507</v>
      </c>
      <c r="B259" s="36"/>
      <c r="C259" s="38">
        <v>5</v>
      </c>
      <c r="D259" s="38">
        <v>6.5</v>
      </c>
      <c r="E259" s="38">
        <v>2</v>
      </c>
      <c r="F259" s="38">
        <v>9.75</v>
      </c>
      <c r="G259" s="38">
        <v>2</v>
      </c>
      <c r="H259" s="38">
        <v>1</v>
      </c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8">
        <v>7.67</v>
      </c>
      <c r="V259" s="36"/>
      <c r="W259" s="36"/>
      <c r="X259" s="38">
        <v>6</v>
      </c>
      <c r="Y259" s="38">
        <v>0</v>
      </c>
      <c r="Z259" s="38">
        <v>1</v>
      </c>
      <c r="AA259" s="38">
        <v>2</v>
      </c>
      <c r="AB259" s="36"/>
      <c r="AC259" s="38">
        <v>0</v>
      </c>
      <c r="AD259" s="38">
        <v>4</v>
      </c>
      <c r="AE259" s="38">
        <v>0</v>
      </c>
      <c r="AF259" s="38">
        <v>7</v>
      </c>
      <c r="AG259" s="38">
        <v>7</v>
      </c>
      <c r="AH259" s="38">
        <v>0</v>
      </c>
      <c r="AI259" s="38">
        <v>1</v>
      </c>
      <c r="AJ259" s="38">
        <v>10</v>
      </c>
      <c r="AK259" s="36"/>
      <c r="AL259" s="36"/>
      <c r="AM259" s="38">
        <v>10</v>
      </c>
      <c r="AN259" s="38">
        <v>4.5</v>
      </c>
      <c r="AO259" s="38">
        <v>1</v>
      </c>
      <c r="AP259" s="38">
        <v>4</v>
      </c>
      <c r="AQ259" s="38">
        <v>1</v>
      </c>
      <c r="AR259" s="38">
        <v>8</v>
      </c>
      <c r="AS259" s="36"/>
      <c r="AT259" s="36"/>
      <c r="AU259" s="36"/>
      <c r="AV259" s="38">
        <v>26.67</v>
      </c>
      <c r="AW259" s="38">
        <v>2.33</v>
      </c>
      <c r="AX259" s="38">
        <v>5</v>
      </c>
      <c r="AY259" s="38">
        <v>6.5</v>
      </c>
      <c r="AZ259" s="38">
        <v>40</v>
      </c>
      <c r="BA259" s="38">
        <v>63.17</v>
      </c>
      <c r="BB259" s="38">
        <v>78.11</v>
      </c>
      <c r="BC259" s="36"/>
      <c r="BD259" s="36"/>
      <c r="BE259" s="36"/>
      <c r="BF259" s="36"/>
      <c r="BG259" s="59">
        <v>4.3899999999999997</v>
      </c>
      <c r="BH259" s="59">
        <v>0.57999999999999996</v>
      </c>
      <c r="BI259" s="59">
        <v>4.6979698456796899E-2</v>
      </c>
      <c r="BJ259" s="59"/>
      <c r="BK259" s="38">
        <v>1.2285000000000001</v>
      </c>
      <c r="BL259" s="59">
        <v>0.69</v>
      </c>
      <c r="BM259" s="38"/>
      <c r="BN259" s="38">
        <v>40</v>
      </c>
      <c r="BO259" s="36"/>
      <c r="BP259" s="39">
        <f t="shared" si="113"/>
        <v>0.71918750000000009</v>
      </c>
      <c r="BQ259" s="37"/>
      <c r="BR259" s="39">
        <f t="shared" si="114"/>
        <v>0.16965338821017087</v>
      </c>
      <c r="BS259" s="37"/>
      <c r="BT259" s="39">
        <f t="shared" ref="BT259:BT264" si="158">BP259*12*AZ259/(24*0.9144)</f>
        <v>15.730260279965007</v>
      </c>
      <c r="BU259" s="39">
        <f>$BP259*12*AY259/(12*(45/36)*0.9144)</f>
        <v>4.0898676727909011</v>
      </c>
      <c r="BV259" s="39">
        <f t="shared" si="124"/>
        <v>0.13439609760769625</v>
      </c>
      <c r="BW259" s="39">
        <f t="shared" si="109"/>
        <v>0.7882425286523701</v>
      </c>
      <c r="BX259" s="39">
        <f t="shared" si="125"/>
        <v>4.9548631593925245E-2</v>
      </c>
      <c r="BY259" s="39">
        <f t="shared" si="146"/>
        <v>1.8497947127227408</v>
      </c>
      <c r="BZ259" s="37"/>
      <c r="CA259" s="39">
        <f t="shared" si="110"/>
        <v>1.9478424210189824</v>
      </c>
      <c r="CB259" s="39">
        <f t="shared" si="111"/>
        <v>1.0940262682157895</v>
      </c>
      <c r="CC259" s="39">
        <f t="shared" si="144"/>
        <v>9.1936135416666689E-2</v>
      </c>
      <c r="CD259" s="39">
        <f t="shared" si="152"/>
        <v>8.9538843750000013E-2</v>
      </c>
      <c r="CE259" s="39">
        <f t="shared" ref="CE259:CE267" si="159">$BP259*12*AV259/120</f>
        <v>1.9180730625000002</v>
      </c>
      <c r="CF259" s="37"/>
      <c r="CG259" s="39">
        <f t="shared" si="153"/>
        <v>2.5290109890109895</v>
      </c>
      <c r="CH259" s="39">
        <f t="shared" si="150"/>
        <v>3.694304297694845</v>
      </c>
      <c r="CI259" s="37"/>
      <c r="CJ259" s="37"/>
      <c r="CK259" s="39">
        <f t="shared" si="154"/>
        <v>1.020471508031103E-2</v>
      </c>
      <c r="CL259" s="39">
        <f t="shared" si="151"/>
        <v>0.60411750000000008</v>
      </c>
      <c r="CM259" s="39">
        <f t="shared" si="155"/>
        <v>3.6059063888024843E-2</v>
      </c>
      <c r="CN259" s="37"/>
      <c r="CO259" s="39">
        <f>0.063495+(0.016949+0.014096)*Wages!P257+1.22592*BR259</f>
        <v>0.45009388917461268</v>
      </c>
      <c r="CP259" s="39"/>
      <c r="CQ259" s="39">
        <f t="shared" si="126"/>
        <v>0.45009388917461268</v>
      </c>
      <c r="CR259" s="39">
        <f t="shared" si="135"/>
        <v>0.13439609760769625</v>
      </c>
      <c r="CS259" s="39">
        <f t="shared" si="135"/>
        <v>0.7882425286523701</v>
      </c>
      <c r="CT259" s="39">
        <f t="shared" si="112"/>
        <v>1.9478424210189824</v>
      </c>
      <c r="CU259" s="39">
        <f t="shared" si="112"/>
        <v>1.0940262682157895</v>
      </c>
      <c r="CV259" s="39">
        <f t="shared" si="112"/>
        <v>9.1936135416666689E-2</v>
      </c>
      <c r="CW259" s="39">
        <f t="shared" si="112"/>
        <v>8.9538843750000013E-2</v>
      </c>
      <c r="CX259" s="39"/>
      <c r="CY259" s="39"/>
      <c r="CZ259" s="39">
        <f t="shared" si="115"/>
        <v>4.9548631593925245E-2</v>
      </c>
      <c r="DA259" s="39">
        <f t="shared" si="134"/>
        <v>3.694304297694845</v>
      </c>
      <c r="DB259" s="39">
        <f>BU259</f>
        <v>4.0898676727909011</v>
      </c>
      <c r="DC259" s="39">
        <f t="shared" si="116"/>
        <v>1.8497947127227408</v>
      </c>
      <c r="DD259" s="39">
        <f t="shared" si="156"/>
        <v>2.5290109890109895</v>
      </c>
      <c r="DE259" s="39">
        <f t="shared" si="157"/>
        <v>1.020471508031103E-2</v>
      </c>
      <c r="DF259" s="37"/>
      <c r="DG259" s="39">
        <f t="shared" si="117"/>
        <v>0.60411750000000008</v>
      </c>
      <c r="DH259" s="39">
        <f t="shared" si="118"/>
        <v>1.1551635816516901</v>
      </c>
      <c r="DI259" s="37"/>
      <c r="DJ259" s="37"/>
      <c r="DK259" s="37"/>
      <c r="DL259" s="37"/>
      <c r="DM259" s="39">
        <f t="shared" si="127"/>
        <v>0.44886011958304634</v>
      </c>
      <c r="DN259" s="39"/>
      <c r="DO259" s="39">
        <f t="shared" si="128"/>
        <v>0.44886011958304634</v>
      </c>
      <c r="DP259" s="37"/>
      <c r="DQ259" s="37">
        <f>DO259/'Conversions, Sources &amp; Comments'!E257</f>
        <v>0.6241211361196437</v>
      </c>
    </row>
    <row r="260" spans="1:121">
      <c r="A260" s="42">
        <f t="shared" si="119"/>
        <v>1508</v>
      </c>
      <c r="B260" s="36"/>
      <c r="C260" s="38">
        <v>3</v>
      </c>
      <c r="D260" s="38">
        <v>10.5</v>
      </c>
      <c r="E260" s="38">
        <v>2</v>
      </c>
      <c r="F260" s="38">
        <v>10</v>
      </c>
      <c r="G260" s="38">
        <v>2</v>
      </c>
      <c r="H260" s="38">
        <v>1</v>
      </c>
      <c r="I260" s="38">
        <v>5</v>
      </c>
      <c r="J260" s="38">
        <v>4</v>
      </c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8">
        <v>7.67</v>
      </c>
      <c r="V260" s="36"/>
      <c r="W260" s="36"/>
      <c r="X260" s="38">
        <v>5</v>
      </c>
      <c r="Y260" s="38">
        <v>9</v>
      </c>
      <c r="Z260" s="38">
        <v>1</v>
      </c>
      <c r="AA260" s="38">
        <v>1.5</v>
      </c>
      <c r="AB260" s="36"/>
      <c r="AC260" s="38">
        <v>0</v>
      </c>
      <c r="AD260" s="38">
        <v>8</v>
      </c>
      <c r="AE260" s="38">
        <v>0</v>
      </c>
      <c r="AF260" s="38">
        <v>7</v>
      </c>
      <c r="AG260" s="38">
        <v>6</v>
      </c>
      <c r="AH260" s="38">
        <v>11</v>
      </c>
      <c r="AI260" s="38">
        <v>1</v>
      </c>
      <c r="AJ260" s="38">
        <v>9</v>
      </c>
      <c r="AK260" s="36"/>
      <c r="AL260" s="36"/>
      <c r="AM260" s="38">
        <v>11</v>
      </c>
      <c r="AN260" s="38">
        <v>6.75</v>
      </c>
      <c r="AO260" s="38">
        <v>1</v>
      </c>
      <c r="AP260" s="38">
        <v>0</v>
      </c>
      <c r="AQ260" s="36"/>
      <c r="AR260" s="36"/>
      <c r="AS260" s="36"/>
      <c r="AT260" s="36"/>
      <c r="AU260" s="36"/>
      <c r="AV260" s="38">
        <v>20.67</v>
      </c>
      <c r="AW260" s="38">
        <v>2.33</v>
      </c>
      <c r="AX260" s="38">
        <v>5.9</v>
      </c>
      <c r="AY260" s="38">
        <v>7</v>
      </c>
      <c r="AZ260" s="38">
        <v>40</v>
      </c>
      <c r="BA260" s="38">
        <v>63.17</v>
      </c>
      <c r="BB260" s="38">
        <v>84</v>
      </c>
      <c r="BC260" s="36"/>
      <c r="BD260" s="36"/>
      <c r="BE260" s="36"/>
      <c r="BF260" s="36"/>
      <c r="BG260" s="59">
        <v>3.57</v>
      </c>
      <c r="BH260" s="59">
        <v>0.57999999999999996</v>
      </c>
      <c r="BI260" s="59">
        <v>5.2506721804655453E-2</v>
      </c>
      <c r="BJ260" s="59"/>
      <c r="BK260" s="38">
        <v>1.2690000000000001</v>
      </c>
      <c r="BL260" s="59">
        <v>0.71</v>
      </c>
      <c r="BM260" s="38"/>
      <c r="BN260" s="38">
        <v>40</v>
      </c>
      <c r="BO260" s="36"/>
      <c r="BP260" s="39">
        <f t="shared" si="113"/>
        <v>0.71918750000000009</v>
      </c>
      <c r="BQ260" s="37"/>
      <c r="BR260" s="39">
        <f t="shared" si="114"/>
        <v>0.1186298128086157</v>
      </c>
      <c r="BS260" s="37"/>
      <c r="BT260" s="39">
        <f t="shared" si="158"/>
        <v>15.730260279965007</v>
      </c>
      <c r="BU260" s="39">
        <f>$BP260*12*AY260/(12*(45/36)*0.9144)</f>
        <v>4.4044728783902016</v>
      </c>
      <c r="BV260" s="39">
        <f t="shared" si="124"/>
        <v>0.10929249851013111</v>
      </c>
      <c r="BW260" s="39">
        <f t="shared" si="109"/>
        <v>0.7882425286523701</v>
      </c>
      <c r="BX260" s="39">
        <f t="shared" si="125"/>
        <v>5.5377882369681247E-2</v>
      </c>
      <c r="BY260" s="39">
        <f t="shared" si="146"/>
        <v>1.7837306158397856</v>
      </c>
      <c r="BZ260" s="37"/>
      <c r="CA260" s="39">
        <f t="shared" si="110"/>
        <v>2.0120570063273004</v>
      </c>
      <c r="CB260" s="39">
        <f t="shared" si="111"/>
        <v>1.1257371745408848</v>
      </c>
      <c r="CC260" s="39">
        <f t="shared" si="144"/>
        <v>9.1936135416666689E-2</v>
      </c>
      <c r="CD260" s="39">
        <f t="shared" si="152"/>
        <v>9.9787265625000024E-2</v>
      </c>
      <c r="CE260" s="39">
        <f t="shared" si="159"/>
        <v>1.4865605625</v>
      </c>
      <c r="CF260" s="37"/>
      <c r="CG260" s="39">
        <f t="shared" si="153"/>
        <v>1.8967582417582418</v>
      </c>
      <c r="CH260" s="39">
        <f t="shared" si="150"/>
        <v>3.694304297694845</v>
      </c>
      <c r="CI260" s="37"/>
      <c r="CJ260" s="37"/>
      <c r="CK260" s="39">
        <f t="shared" si="154"/>
        <v>2.040943016062206E-2</v>
      </c>
      <c r="CL260" s="39">
        <f t="shared" si="151"/>
        <v>0.59692562500000013</v>
      </c>
      <c r="CM260" s="39">
        <f t="shared" si="155"/>
        <v>7.2118127776049687E-2</v>
      </c>
      <c r="CN260" s="37"/>
      <c r="CO260" s="39">
        <f>0.063495+(0.016949+0.014096)*Wages!P258+1.22592*BR260</f>
        <v>0.38754306761833812</v>
      </c>
      <c r="CP260" s="39"/>
      <c r="CQ260" s="39">
        <f t="shared" si="126"/>
        <v>0.38754306761833812</v>
      </c>
      <c r="CR260" s="39">
        <f t="shared" si="135"/>
        <v>0.10929249851013111</v>
      </c>
      <c r="CS260" s="39">
        <f t="shared" si="135"/>
        <v>0.7882425286523701</v>
      </c>
      <c r="CT260" s="39">
        <f t="shared" si="112"/>
        <v>2.0120570063273004</v>
      </c>
      <c r="CU260" s="39">
        <f t="shared" si="112"/>
        <v>1.1257371745408848</v>
      </c>
      <c r="CV260" s="39">
        <f t="shared" si="112"/>
        <v>9.1936135416666689E-2</v>
      </c>
      <c r="CW260" s="39">
        <f t="shared" si="112"/>
        <v>9.9787265625000024E-2</v>
      </c>
      <c r="CX260" s="39"/>
      <c r="CY260" s="39"/>
      <c r="CZ260" s="39">
        <f t="shared" si="115"/>
        <v>5.5377882369681247E-2</v>
      </c>
      <c r="DA260" s="39">
        <f t="shared" si="134"/>
        <v>3.694304297694845</v>
      </c>
      <c r="DB260" s="39">
        <f>BU260</f>
        <v>4.4044728783902016</v>
      </c>
      <c r="DC260" s="39">
        <f t="shared" si="116"/>
        <v>1.7837306158397856</v>
      </c>
      <c r="DD260" s="39">
        <f t="shared" si="156"/>
        <v>1.8967582417582418</v>
      </c>
      <c r="DE260" s="39">
        <f t="shared" si="157"/>
        <v>2.040943016062206E-2</v>
      </c>
      <c r="DF260" s="37"/>
      <c r="DG260" s="39">
        <f t="shared" si="117"/>
        <v>0.59692562500000013</v>
      </c>
      <c r="DH260" s="39">
        <f t="shared" si="118"/>
        <v>2.3103271633033802</v>
      </c>
      <c r="DI260" s="37"/>
      <c r="DJ260" s="37"/>
      <c r="DK260" s="37"/>
      <c r="DL260" s="37"/>
      <c r="DM260" s="39">
        <f t="shared" si="127"/>
        <v>0.43537085018516225</v>
      </c>
      <c r="DN260" s="39"/>
      <c r="DO260" s="39">
        <f t="shared" si="128"/>
        <v>0.43537085018516225</v>
      </c>
      <c r="DP260" s="37"/>
      <c r="DQ260" s="37">
        <f>DO260/'Conversions, Sources &amp; Comments'!E258</f>
        <v>0.60536487381268755</v>
      </c>
    </row>
    <row r="261" spans="1:121">
      <c r="A261" s="42">
        <f t="shared" si="119"/>
        <v>1509</v>
      </c>
      <c r="B261" s="36"/>
      <c r="C261" s="38">
        <v>3</v>
      </c>
      <c r="D261" s="38">
        <v>0</v>
      </c>
      <c r="E261" s="38">
        <v>3</v>
      </c>
      <c r="F261" s="38">
        <v>2</v>
      </c>
      <c r="G261" s="38">
        <v>1</v>
      </c>
      <c r="H261" s="38">
        <v>7.75</v>
      </c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8">
        <v>7.67</v>
      </c>
      <c r="V261" s="36"/>
      <c r="W261" s="36"/>
      <c r="X261" s="38">
        <v>5</v>
      </c>
      <c r="Y261" s="38">
        <v>6</v>
      </c>
      <c r="Z261" s="38">
        <v>1</v>
      </c>
      <c r="AA261" s="38">
        <v>0</v>
      </c>
      <c r="AB261" s="36"/>
      <c r="AC261" s="38">
        <v>0</v>
      </c>
      <c r="AD261" s="38">
        <v>8</v>
      </c>
      <c r="AE261" s="38">
        <v>0</v>
      </c>
      <c r="AF261" s="38">
        <v>7</v>
      </c>
      <c r="AG261" s="38">
        <v>6</v>
      </c>
      <c r="AH261" s="38">
        <v>6</v>
      </c>
      <c r="AI261" s="38">
        <v>1</v>
      </c>
      <c r="AJ261" s="38">
        <v>10</v>
      </c>
      <c r="AK261" s="36"/>
      <c r="AL261" s="36"/>
      <c r="AM261" s="38">
        <v>9</v>
      </c>
      <c r="AN261" s="38">
        <v>3.5</v>
      </c>
      <c r="AO261" s="38">
        <v>0</v>
      </c>
      <c r="AP261" s="38">
        <v>8</v>
      </c>
      <c r="AQ261" s="36"/>
      <c r="AR261" s="36"/>
      <c r="AS261" s="36"/>
      <c r="AT261" s="36"/>
      <c r="AU261" s="36"/>
      <c r="AV261" s="38">
        <v>27</v>
      </c>
      <c r="AW261" s="38">
        <v>2.33</v>
      </c>
      <c r="AX261" s="38">
        <v>6.6</v>
      </c>
      <c r="AY261" s="36"/>
      <c r="AZ261" s="38">
        <v>40</v>
      </c>
      <c r="BA261" s="38">
        <v>63.17</v>
      </c>
      <c r="BB261" s="38">
        <v>82</v>
      </c>
      <c r="BC261" s="36"/>
      <c r="BD261" s="36"/>
      <c r="BE261" s="36"/>
      <c r="BF261" s="36"/>
      <c r="BG261" s="59">
        <v>4.18</v>
      </c>
      <c r="BH261" s="59">
        <v>0.57999999999999996</v>
      </c>
      <c r="BI261" s="59">
        <v>5.1124965967691241E-2</v>
      </c>
      <c r="BJ261" s="59"/>
      <c r="BK261" s="38">
        <v>1.2150000000000001</v>
      </c>
      <c r="BL261" s="59">
        <v>0.68</v>
      </c>
      <c r="BM261" s="36"/>
      <c r="BN261" s="38">
        <v>40</v>
      </c>
      <c r="BO261" s="36"/>
      <c r="BP261" s="39">
        <f t="shared" si="113"/>
        <v>0.71918750000000009</v>
      </c>
      <c r="BQ261" s="37"/>
      <c r="BR261" s="39">
        <f t="shared" si="114"/>
        <v>9.1842435722799265E-2</v>
      </c>
      <c r="BS261" s="37"/>
      <c r="BT261" s="39">
        <f t="shared" si="158"/>
        <v>15.730260279965007</v>
      </c>
      <c r="BU261" s="37"/>
      <c r="BV261" s="39">
        <f t="shared" si="124"/>
        <v>0.12796712710710029</v>
      </c>
      <c r="BW261" s="39">
        <f t="shared" si="109"/>
        <v>0.7882425286523701</v>
      </c>
      <c r="BX261" s="39">
        <f t="shared" si="125"/>
        <v>5.3920569675742699E-2</v>
      </c>
      <c r="BY261" s="39">
        <f t="shared" si="146"/>
        <v>1.5855383251909205</v>
      </c>
      <c r="BZ261" s="37"/>
      <c r="CA261" s="39">
        <f t="shared" si="110"/>
        <v>1.9264375592495431</v>
      </c>
      <c r="CB261" s="39">
        <f t="shared" si="111"/>
        <v>1.0781708150532421</v>
      </c>
      <c r="CC261" s="39">
        <f t="shared" si="144"/>
        <v>9.1936135416666689E-2</v>
      </c>
      <c r="CD261" s="39">
        <f t="shared" si="152"/>
        <v>8.0189406250000012E-2</v>
      </c>
      <c r="CE261" s="39">
        <f t="shared" si="159"/>
        <v>1.94180625</v>
      </c>
      <c r="CF261" s="37"/>
      <c r="CG261" s="39">
        <f t="shared" si="153"/>
        <v>1.2645054945054948</v>
      </c>
      <c r="CH261" s="39">
        <f t="shared" si="150"/>
        <v>3.694304297694845</v>
      </c>
      <c r="CI261" s="37"/>
      <c r="CJ261" s="37"/>
      <c r="CK261" s="39">
        <f t="shared" si="154"/>
        <v>2.040943016062206E-2</v>
      </c>
      <c r="CL261" s="39">
        <f t="shared" si="151"/>
        <v>0.56096625000000011</v>
      </c>
      <c r="CM261" s="39">
        <f t="shared" si="155"/>
        <v>7.2118127776049687E-2</v>
      </c>
      <c r="CN261" s="37"/>
      <c r="CO261" s="39">
        <f>0.063495+(0.016949+0.014096)*Wages!P259+1.22592*BR261</f>
        <v>0.35470388630129407</v>
      </c>
      <c r="CP261" s="39"/>
      <c r="CQ261" s="39">
        <f t="shared" si="126"/>
        <v>0.35470388630129407</v>
      </c>
      <c r="CR261" s="39">
        <f t="shared" si="135"/>
        <v>0.12796712710710029</v>
      </c>
      <c r="CS261" s="39">
        <f t="shared" si="135"/>
        <v>0.7882425286523701</v>
      </c>
      <c r="CT261" s="39">
        <f t="shared" si="112"/>
        <v>1.9264375592495431</v>
      </c>
      <c r="CU261" s="39">
        <f t="shared" si="112"/>
        <v>1.0781708150532421</v>
      </c>
      <c r="CV261" s="39">
        <f t="shared" si="112"/>
        <v>9.1936135416666689E-2</v>
      </c>
      <c r="CW261" s="39">
        <f t="shared" si="112"/>
        <v>8.0189406250000012E-2</v>
      </c>
      <c r="CX261" s="39"/>
      <c r="CY261" s="39"/>
      <c r="CZ261" s="39">
        <f t="shared" si="115"/>
        <v>5.3920569675742699E-2</v>
      </c>
      <c r="DA261" s="39">
        <f t="shared" si="134"/>
        <v>3.694304297694845</v>
      </c>
      <c r="DB261" s="39">
        <v>3.7</v>
      </c>
      <c r="DC261" s="39">
        <f t="shared" si="116"/>
        <v>1.5855383251909205</v>
      </c>
      <c r="DD261" s="39">
        <f t="shared" si="156"/>
        <v>1.2645054945054948</v>
      </c>
      <c r="DE261" s="39">
        <f t="shared" si="157"/>
        <v>2.040943016062206E-2</v>
      </c>
      <c r="DF261" s="37"/>
      <c r="DG261" s="39">
        <f t="shared" si="117"/>
        <v>0.56096625000000011</v>
      </c>
      <c r="DH261" s="39">
        <f t="shared" si="118"/>
        <v>2.3103271633033802</v>
      </c>
      <c r="DI261" s="37"/>
      <c r="DJ261" s="37"/>
      <c r="DK261" s="37"/>
      <c r="DL261" s="37"/>
      <c r="DM261" s="39">
        <f t="shared" si="127"/>
        <v>0.40730383308534551</v>
      </c>
      <c r="DN261" s="39"/>
      <c r="DO261" s="39">
        <f t="shared" si="128"/>
        <v>0.40730383308534551</v>
      </c>
      <c r="DP261" s="37"/>
      <c r="DQ261" s="37">
        <f>DO261/'Conversions, Sources &amp; Comments'!E259</f>
        <v>0.56633886585257043</v>
      </c>
    </row>
    <row r="262" spans="1:121">
      <c r="A262" s="42">
        <f t="shared" si="119"/>
        <v>1510</v>
      </c>
      <c r="B262" s="36"/>
      <c r="C262" s="38">
        <v>4</v>
      </c>
      <c r="D262" s="38">
        <v>0</v>
      </c>
      <c r="E262" s="38">
        <v>4</v>
      </c>
      <c r="F262" s="38">
        <v>3</v>
      </c>
      <c r="G262" s="38">
        <v>1</v>
      </c>
      <c r="H262" s="38">
        <v>10.25</v>
      </c>
      <c r="I262" s="38">
        <v>3</v>
      </c>
      <c r="J262" s="38">
        <v>5.25</v>
      </c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8">
        <v>7.67</v>
      </c>
      <c r="V262" s="36"/>
      <c r="W262" s="36"/>
      <c r="X262" s="38">
        <v>6</v>
      </c>
      <c r="Y262" s="38">
        <v>0</v>
      </c>
      <c r="Z262" s="38">
        <v>1</v>
      </c>
      <c r="AA262" s="38">
        <v>0</v>
      </c>
      <c r="AB262" s="36"/>
      <c r="AC262" s="38">
        <v>0</v>
      </c>
      <c r="AD262" s="38">
        <v>8</v>
      </c>
      <c r="AE262" s="38">
        <v>0</v>
      </c>
      <c r="AF262" s="38">
        <v>7</v>
      </c>
      <c r="AG262" s="38">
        <v>6</v>
      </c>
      <c r="AH262" s="38">
        <v>8</v>
      </c>
      <c r="AI262" s="38">
        <v>2</v>
      </c>
      <c r="AJ262" s="38">
        <v>4</v>
      </c>
      <c r="AK262" s="36"/>
      <c r="AL262" s="36"/>
      <c r="AM262" s="38">
        <v>11</v>
      </c>
      <c r="AN262" s="38">
        <v>1</v>
      </c>
      <c r="AO262" s="38">
        <v>1</v>
      </c>
      <c r="AP262" s="38">
        <v>0</v>
      </c>
      <c r="AQ262" s="38">
        <v>1</v>
      </c>
      <c r="AR262" s="38">
        <v>1.25</v>
      </c>
      <c r="AS262" s="36"/>
      <c r="AT262" s="36"/>
      <c r="AU262" s="36"/>
      <c r="AV262" s="38">
        <v>20</v>
      </c>
      <c r="AW262" s="38">
        <v>2.33</v>
      </c>
      <c r="AX262" s="38">
        <v>6.11</v>
      </c>
      <c r="AY262" s="38">
        <v>5.5</v>
      </c>
      <c r="AZ262" s="38">
        <v>40</v>
      </c>
      <c r="BA262" s="36"/>
      <c r="BB262" s="38">
        <v>65</v>
      </c>
      <c r="BC262" s="36"/>
      <c r="BD262" s="36"/>
      <c r="BE262" s="36"/>
      <c r="BF262" s="36"/>
      <c r="BG262" s="59">
        <v>2.97</v>
      </c>
      <c r="BH262" s="59">
        <v>0.57999999999999996</v>
      </c>
      <c r="BI262" s="59">
        <v>4.007091927197412E-2</v>
      </c>
      <c r="BJ262" s="59"/>
      <c r="BK262" s="38">
        <v>1.2825</v>
      </c>
      <c r="BL262" s="59">
        <v>0.72</v>
      </c>
      <c r="BM262" s="38"/>
      <c r="BN262" s="38">
        <v>40</v>
      </c>
      <c r="BO262" s="36"/>
      <c r="BP262" s="39">
        <f t="shared" si="113"/>
        <v>0.71918750000000009</v>
      </c>
      <c r="BQ262" s="37"/>
      <c r="BR262" s="39">
        <f t="shared" si="114"/>
        <v>0.12245658096373234</v>
      </c>
      <c r="BS262" s="37"/>
      <c r="BT262" s="39">
        <f t="shared" si="158"/>
        <v>15.730260279965007</v>
      </c>
      <c r="BU262" s="39">
        <f>$BP262*12*AY262/(12*(45/36)*0.9144)</f>
        <v>3.460657261592301</v>
      </c>
      <c r="BV262" s="39">
        <f t="shared" si="124"/>
        <v>9.0924011365571267E-2</v>
      </c>
      <c r="BW262" s="39">
        <f t="shared" si="109"/>
        <v>0.7882425286523701</v>
      </c>
      <c r="BX262" s="39">
        <f t="shared" si="125"/>
        <v>4.2262068124230667E-2</v>
      </c>
      <c r="BY262" s="39">
        <f t="shared" si="146"/>
        <v>1.5855383251909205</v>
      </c>
      <c r="BZ262" s="37"/>
      <c r="CA262" s="39">
        <f t="shared" si="110"/>
        <v>2.0334618680967398</v>
      </c>
      <c r="CB262" s="39">
        <f t="shared" si="111"/>
        <v>1.1415926277034325</v>
      </c>
      <c r="CC262" s="39">
        <f t="shared" si="144"/>
        <v>9.1936135416666689E-2</v>
      </c>
      <c r="CD262" s="39">
        <f t="shared" si="152"/>
        <v>9.565193750000002E-2</v>
      </c>
      <c r="CE262" s="39">
        <f t="shared" si="159"/>
        <v>1.4383750000000002</v>
      </c>
      <c r="CF262" s="37"/>
      <c r="CG262" s="39">
        <f t="shared" si="153"/>
        <v>1.8967582417582418</v>
      </c>
      <c r="CH262" s="39">
        <f t="shared" si="150"/>
        <v>3.694304297694845</v>
      </c>
      <c r="CI262" s="37"/>
      <c r="CJ262" s="37"/>
      <c r="CK262" s="39">
        <f t="shared" si="154"/>
        <v>2.040943016062206E-2</v>
      </c>
      <c r="CL262" s="39">
        <f t="shared" si="151"/>
        <v>0.57535000000000014</v>
      </c>
      <c r="CM262" s="39">
        <f t="shared" si="155"/>
        <v>7.2118127776049687E-2</v>
      </c>
      <c r="CN262" s="37"/>
      <c r="CO262" s="39">
        <f>0.063495+(0.016949+0.014096)*Wages!P260+1.22592*BR262</f>
        <v>0.39223437923505872</v>
      </c>
      <c r="CP262" s="39"/>
      <c r="CQ262" s="39">
        <f t="shared" si="126"/>
        <v>0.39223437923505872</v>
      </c>
      <c r="CR262" s="39">
        <f t="shared" si="135"/>
        <v>9.0924011365571267E-2</v>
      </c>
      <c r="CS262" s="39">
        <f t="shared" si="135"/>
        <v>0.7882425286523701</v>
      </c>
      <c r="CT262" s="39">
        <f t="shared" si="112"/>
        <v>2.0334618680967398</v>
      </c>
      <c r="CU262" s="39">
        <f t="shared" si="112"/>
        <v>1.1415926277034325</v>
      </c>
      <c r="CV262" s="39">
        <f t="shared" si="112"/>
        <v>9.1936135416666689E-2</v>
      </c>
      <c r="CW262" s="39">
        <f t="shared" si="112"/>
        <v>9.565193750000002E-2</v>
      </c>
      <c r="CX262" s="39"/>
      <c r="CY262" s="39"/>
      <c r="CZ262" s="39">
        <f t="shared" si="115"/>
        <v>4.2262068124230667E-2</v>
      </c>
      <c r="DA262" s="39">
        <f t="shared" si="134"/>
        <v>3.694304297694845</v>
      </c>
      <c r="DB262" s="39">
        <f>BU262</f>
        <v>3.460657261592301</v>
      </c>
      <c r="DC262" s="39">
        <f t="shared" si="116"/>
        <v>1.5855383251909205</v>
      </c>
      <c r="DD262" s="39">
        <f t="shared" si="156"/>
        <v>1.8967582417582418</v>
      </c>
      <c r="DE262" s="39">
        <f t="shared" si="157"/>
        <v>2.040943016062206E-2</v>
      </c>
      <c r="DF262" s="37"/>
      <c r="DG262" s="39">
        <f t="shared" si="117"/>
        <v>0.57535000000000014</v>
      </c>
      <c r="DH262" s="39">
        <f t="shared" si="118"/>
        <v>2.3103271633033802</v>
      </c>
      <c r="DI262" s="37"/>
      <c r="DJ262" s="37"/>
      <c r="DK262" s="37"/>
      <c r="DL262" s="37"/>
      <c r="DM262" s="39">
        <f t="shared" si="127"/>
        <v>0.41722414302031402</v>
      </c>
      <c r="DN262" s="39"/>
      <c r="DO262" s="39">
        <f t="shared" si="128"/>
        <v>0.41722414302031402</v>
      </c>
      <c r="DP262" s="37"/>
      <c r="DQ262" s="37">
        <f>DO262/'Conversions, Sources &amp; Comments'!E260</f>
        <v>0.58013263998653197</v>
      </c>
    </row>
    <row r="263" spans="1:121">
      <c r="A263" s="42">
        <f t="shared" si="119"/>
        <v>1511</v>
      </c>
      <c r="B263" s="36"/>
      <c r="C263" s="38">
        <v>5</v>
      </c>
      <c r="D263" s="38">
        <v>8.5</v>
      </c>
      <c r="E263" s="38">
        <v>3</v>
      </c>
      <c r="F263" s="38">
        <v>1.25</v>
      </c>
      <c r="G263" s="38">
        <v>1</v>
      </c>
      <c r="H263" s="38">
        <v>5.25</v>
      </c>
      <c r="I263" s="38">
        <v>5</v>
      </c>
      <c r="J263" s="38">
        <v>4</v>
      </c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8">
        <v>7.14</v>
      </c>
      <c r="V263" s="36"/>
      <c r="W263" s="36"/>
      <c r="X263" s="38">
        <v>7</v>
      </c>
      <c r="Y263" s="38">
        <v>3</v>
      </c>
      <c r="Z263" s="38">
        <v>1</v>
      </c>
      <c r="AA263" s="38">
        <v>0</v>
      </c>
      <c r="AB263" s="36"/>
      <c r="AC263" s="38">
        <v>0</v>
      </c>
      <c r="AD263" s="38">
        <v>8</v>
      </c>
      <c r="AE263" s="38">
        <v>0</v>
      </c>
      <c r="AF263" s="38">
        <v>7.75</v>
      </c>
      <c r="AG263" s="38">
        <v>4</v>
      </c>
      <c r="AH263" s="38">
        <v>7</v>
      </c>
      <c r="AI263" s="36"/>
      <c r="AJ263" s="36"/>
      <c r="AK263" s="36"/>
      <c r="AL263" s="36"/>
      <c r="AM263" s="38">
        <v>8</v>
      </c>
      <c r="AN263" s="38">
        <v>2</v>
      </c>
      <c r="AO263" s="38">
        <v>1</v>
      </c>
      <c r="AP263" s="38">
        <v>3.25</v>
      </c>
      <c r="AQ263" s="36"/>
      <c r="AR263" s="36"/>
      <c r="AS263" s="36"/>
      <c r="AT263" s="36"/>
      <c r="AU263" s="36"/>
      <c r="AV263" s="38">
        <v>33.33</v>
      </c>
      <c r="AW263" s="38">
        <v>2.33</v>
      </c>
      <c r="AX263" s="38">
        <v>6.6</v>
      </c>
      <c r="AY263" s="38">
        <v>6.5</v>
      </c>
      <c r="AZ263" s="38">
        <v>40</v>
      </c>
      <c r="BA263" s="38">
        <v>62</v>
      </c>
      <c r="BB263" s="36"/>
      <c r="BC263" s="36"/>
      <c r="BD263" s="36"/>
      <c r="BE263" s="36"/>
      <c r="BF263" s="36"/>
      <c r="BG263" s="59">
        <v>3.57</v>
      </c>
      <c r="BH263" s="59">
        <v>0.57999999999999996</v>
      </c>
      <c r="BI263" s="59">
        <v>5.5270233478585583E-2</v>
      </c>
      <c r="BJ263" s="59"/>
      <c r="BK263" s="38">
        <v>1.1880000000000002</v>
      </c>
      <c r="BL263" s="59">
        <v>0.67</v>
      </c>
      <c r="BM263" s="38"/>
      <c r="BN263" s="38">
        <v>40</v>
      </c>
      <c r="BO263" s="36"/>
      <c r="BP263" s="39">
        <f t="shared" si="113"/>
        <v>0.71918750000000009</v>
      </c>
      <c r="BQ263" s="37"/>
      <c r="BR263" s="39">
        <f t="shared" si="114"/>
        <v>0.17475574575032637</v>
      </c>
      <c r="BS263" s="37"/>
      <c r="BT263" s="39">
        <f t="shared" si="158"/>
        <v>15.730260279965007</v>
      </c>
      <c r="BU263" s="39">
        <f>$BP263*12*AY263/(12*(45/36)*0.9144)</f>
        <v>4.0898676727909011</v>
      </c>
      <c r="BV263" s="39">
        <f t="shared" si="124"/>
        <v>0.10929249851013111</v>
      </c>
      <c r="BW263" s="39">
        <f t="shared" si="109"/>
        <v>0.7882425286523701</v>
      </c>
      <c r="BX263" s="39">
        <f t="shared" si="125"/>
        <v>5.8292507757560161E-2</v>
      </c>
      <c r="BY263" s="39">
        <f t="shared" si="146"/>
        <v>1.5855383251909205</v>
      </c>
      <c r="BZ263" s="37"/>
      <c r="CA263" s="39">
        <f t="shared" si="110"/>
        <v>1.8836278357106644</v>
      </c>
      <c r="CB263" s="39">
        <f t="shared" si="111"/>
        <v>1.0623153618906944</v>
      </c>
      <c r="CC263" s="39">
        <f t="shared" si="144"/>
        <v>8.5583312500000008E-2</v>
      </c>
      <c r="CD263" s="39">
        <f t="shared" si="152"/>
        <v>7.0480375000000012E-2</v>
      </c>
      <c r="CE263" s="39">
        <f t="shared" si="159"/>
        <v>2.3970519375000001</v>
      </c>
      <c r="CF263" s="37"/>
      <c r="CG263" s="39">
        <f t="shared" si="153"/>
        <v>2.4104635989010994</v>
      </c>
      <c r="CH263" s="39">
        <f t="shared" si="150"/>
        <v>3.694304297694845</v>
      </c>
      <c r="CI263" s="37"/>
      <c r="CJ263" s="37"/>
      <c r="CK263" s="39">
        <f t="shared" si="154"/>
        <v>2.040943016062206E-2</v>
      </c>
      <c r="CL263" s="39">
        <f t="shared" si="151"/>
        <v>0.39555312500000006</v>
      </c>
      <c r="CM263" s="39">
        <f t="shared" si="155"/>
        <v>7.2118127776049687E-2</v>
      </c>
      <c r="CN263" s="37"/>
      <c r="CO263" s="39">
        <f>0.063495+(0.016949+0.014096)*Wages!P261+1.22592*BR263</f>
        <v>0.45634897133024011</v>
      </c>
      <c r="CP263" s="39"/>
      <c r="CQ263" s="39">
        <f t="shared" si="126"/>
        <v>0.45634897133024011</v>
      </c>
      <c r="CR263" s="39">
        <f t="shared" si="135"/>
        <v>0.10929249851013111</v>
      </c>
      <c r="CS263" s="39">
        <f t="shared" si="135"/>
        <v>0.7882425286523701</v>
      </c>
      <c r="CT263" s="39">
        <f t="shared" si="112"/>
        <v>1.8836278357106644</v>
      </c>
      <c r="CU263" s="39">
        <f t="shared" si="112"/>
        <v>1.0623153618906944</v>
      </c>
      <c r="CV263" s="39">
        <f t="shared" si="112"/>
        <v>8.5583312500000008E-2</v>
      </c>
      <c r="CW263" s="39">
        <f t="shared" si="112"/>
        <v>7.0480375000000012E-2</v>
      </c>
      <c r="CX263" s="39"/>
      <c r="CY263" s="39"/>
      <c r="CZ263" s="39">
        <f t="shared" si="115"/>
        <v>5.8292507757560161E-2</v>
      </c>
      <c r="DA263" s="39">
        <f t="shared" si="134"/>
        <v>3.694304297694845</v>
      </c>
      <c r="DB263" s="39">
        <f>BU263</f>
        <v>4.0898676727909011</v>
      </c>
      <c r="DC263" s="39">
        <f t="shared" si="116"/>
        <v>1.5855383251909205</v>
      </c>
      <c r="DD263" s="39">
        <f t="shared" si="156"/>
        <v>2.4104635989010994</v>
      </c>
      <c r="DE263" s="39">
        <f t="shared" si="157"/>
        <v>2.040943016062206E-2</v>
      </c>
      <c r="DF263" s="37"/>
      <c r="DG263" s="39">
        <f t="shared" si="117"/>
        <v>0.39555312500000006</v>
      </c>
      <c r="DH263" s="39">
        <f t="shared" si="118"/>
        <v>2.3103271633033802</v>
      </c>
      <c r="DI263" s="37"/>
      <c r="DJ263" s="37"/>
      <c r="DK263" s="37"/>
      <c r="DL263" s="37"/>
      <c r="DM263" s="39">
        <f t="shared" si="127"/>
        <v>0.46181699797110082</v>
      </c>
      <c r="DN263" s="39"/>
      <c r="DO263" s="39">
        <f t="shared" si="128"/>
        <v>0.46181699797110082</v>
      </c>
      <c r="DP263" s="37"/>
      <c r="DQ263" s="37">
        <f>DO263/'Conversions, Sources &amp; Comments'!E261</f>
        <v>0.64213713109738524</v>
      </c>
    </row>
    <row r="264" spans="1:121">
      <c r="A264" s="42">
        <f t="shared" si="119"/>
        <v>1512</v>
      </c>
      <c r="B264" s="36"/>
      <c r="C264" s="38">
        <v>9</v>
      </c>
      <c r="D264" s="38">
        <v>1.25</v>
      </c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8">
        <v>7.14</v>
      </c>
      <c r="V264" s="36"/>
      <c r="W264" s="36"/>
      <c r="X264" s="38">
        <v>6</v>
      </c>
      <c r="Y264" s="38">
        <v>7.5</v>
      </c>
      <c r="Z264" s="36"/>
      <c r="AA264" s="36"/>
      <c r="AB264" s="36"/>
      <c r="AC264" s="38">
        <v>0</v>
      </c>
      <c r="AD264" s="38">
        <v>8</v>
      </c>
      <c r="AE264" s="38">
        <v>0</v>
      </c>
      <c r="AF264" s="38">
        <v>7.75</v>
      </c>
      <c r="AG264" s="36"/>
      <c r="AH264" s="36"/>
      <c r="AI264" s="36"/>
      <c r="AJ264" s="36"/>
      <c r="AK264" s="36"/>
      <c r="AL264" s="36"/>
      <c r="AM264" s="38">
        <v>10</v>
      </c>
      <c r="AN264" s="38">
        <v>7.5</v>
      </c>
      <c r="AO264" s="38">
        <v>1</v>
      </c>
      <c r="AP264" s="38">
        <v>1.25</v>
      </c>
      <c r="AQ264" s="36"/>
      <c r="AR264" s="36"/>
      <c r="AS264" s="36"/>
      <c r="AT264" s="36"/>
      <c r="AU264" s="36"/>
      <c r="AV264" s="38">
        <v>20</v>
      </c>
      <c r="AW264" s="38">
        <v>2.33</v>
      </c>
      <c r="AX264" s="38">
        <v>6.11</v>
      </c>
      <c r="AY264" s="38">
        <v>7</v>
      </c>
      <c r="AZ264" s="38">
        <v>40</v>
      </c>
      <c r="BA264" s="38">
        <v>53.33</v>
      </c>
      <c r="BB264" s="36"/>
      <c r="BC264" s="36"/>
      <c r="BD264" s="36"/>
      <c r="BE264" s="36"/>
      <c r="BF264" s="36"/>
      <c r="BG264" s="59">
        <v>3.83</v>
      </c>
      <c r="BH264" s="59">
        <v>0.57999999999999996</v>
      </c>
      <c r="BI264" s="59">
        <v>7.185130352216125E-2</v>
      </c>
      <c r="BJ264" s="59"/>
      <c r="BK264" s="38">
        <v>1.1880000000000002</v>
      </c>
      <c r="BL264" s="59">
        <v>0.67</v>
      </c>
      <c r="BM264" s="38"/>
      <c r="BN264" s="38">
        <v>40</v>
      </c>
      <c r="BO264" s="36"/>
      <c r="BP264" s="39">
        <f t="shared" si="113"/>
        <v>0.71918750000000009</v>
      </c>
      <c r="BQ264" s="37"/>
      <c r="BR264" s="39">
        <f t="shared" si="114"/>
        <v>0.27871628063099496</v>
      </c>
      <c r="BS264" s="37"/>
      <c r="BT264" s="39">
        <f t="shared" si="158"/>
        <v>15.730260279965007</v>
      </c>
      <c r="BU264" s="39">
        <f>$BP264*12*AY264/(12*(45/36)*0.9144)</f>
        <v>4.4044728783902016</v>
      </c>
      <c r="BV264" s="39">
        <f t="shared" si="124"/>
        <v>0.11725217627277371</v>
      </c>
      <c r="BW264" s="39">
        <f t="shared" si="109"/>
        <v>0.7882425286523701</v>
      </c>
      <c r="BX264" s="39">
        <f t="shared" si="125"/>
        <v>7.5780260084828202E-2</v>
      </c>
      <c r="BY264" s="39">
        <v>1.6</v>
      </c>
      <c r="BZ264" s="37"/>
      <c r="CA264" s="39">
        <f t="shared" si="110"/>
        <v>1.8836278357106644</v>
      </c>
      <c r="CB264" s="39">
        <f t="shared" si="111"/>
        <v>1.0623153618906944</v>
      </c>
      <c r="CC264" s="39">
        <f t="shared" si="144"/>
        <v>8.5583312500000008E-2</v>
      </c>
      <c r="CD264" s="39">
        <f t="shared" si="152"/>
        <v>9.1696406250000015E-2</v>
      </c>
      <c r="CE264" s="39">
        <f t="shared" si="159"/>
        <v>1.4383750000000002</v>
      </c>
      <c r="CF264" s="37"/>
      <c r="CG264" s="39">
        <f t="shared" si="153"/>
        <v>2.0943372252747259</v>
      </c>
      <c r="CH264" s="39">
        <f t="shared" si="150"/>
        <v>3.694304297694845</v>
      </c>
      <c r="CI264" s="37"/>
      <c r="CJ264" s="37"/>
      <c r="CK264" s="39">
        <f t="shared" si="154"/>
        <v>2.040943016062206E-2</v>
      </c>
      <c r="CL264" s="37"/>
      <c r="CM264" s="39">
        <f t="shared" si="155"/>
        <v>7.2118127776049687E-2</v>
      </c>
      <c r="CN264" s="37"/>
      <c r="CO264" s="39">
        <f>0.063495+(0.016949+0.014096)*Wages!P262+1.22592*BR264</f>
        <v>0.58379627025114933</v>
      </c>
      <c r="CP264" s="39"/>
      <c r="CQ264" s="39">
        <f t="shared" si="126"/>
        <v>0.58379627025114933</v>
      </c>
      <c r="CR264" s="39">
        <f t="shared" si="135"/>
        <v>0.11725217627277371</v>
      </c>
      <c r="CS264" s="39">
        <f t="shared" si="135"/>
        <v>0.7882425286523701</v>
      </c>
      <c r="CT264" s="39">
        <f t="shared" si="112"/>
        <v>1.8836278357106644</v>
      </c>
      <c r="CU264" s="39">
        <f t="shared" si="112"/>
        <v>1.0623153618906944</v>
      </c>
      <c r="CV264" s="39">
        <f t="shared" si="112"/>
        <v>8.5583312500000008E-2</v>
      </c>
      <c r="CW264" s="39">
        <f t="shared" si="112"/>
        <v>9.1696406250000015E-2</v>
      </c>
      <c r="CX264" s="39"/>
      <c r="CY264" s="39"/>
      <c r="CZ264" s="39">
        <f t="shared" si="115"/>
        <v>7.5780260084828202E-2</v>
      </c>
      <c r="DA264" s="39">
        <f t="shared" si="134"/>
        <v>3.694304297694845</v>
      </c>
      <c r="DB264" s="39">
        <f>BU264</f>
        <v>4.4044728783902016</v>
      </c>
      <c r="DC264" s="39">
        <f t="shared" si="116"/>
        <v>1.6</v>
      </c>
      <c r="DD264" s="39">
        <f t="shared" si="156"/>
        <v>2.0943372252747259</v>
      </c>
      <c r="DE264" s="39">
        <f t="shared" si="157"/>
        <v>2.040943016062206E-2</v>
      </c>
      <c r="DF264" s="37"/>
      <c r="DG264" s="39">
        <f t="shared" si="117"/>
        <v>0</v>
      </c>
      <c r="DH264" s="39">
        <f t="shared" si="118"/>
        <v>2.3103271633033802</v>
      </c>
      <c r="DI264" s="37"/>
      <c r="DJ264" s="37"/>
      <c r="DK264" s="37"/>
      <c r="DL264" s="37"/>
      <c r="DM264" s="39">
        <f t="shared" si="127"/>
        <v>0.52829293627097318</v>
      </c>
      <c r="DN264" s="39"/>
      <c r="DO264" s="39">
        <f t="shared" si="128"/>
        <v>0.52829293627097318</v>
      </c>
      <c r="DP264" s="37"/>
      <c r="DQ264" s="37">
        <f>DO264/'Conversions, Sources &amp; Comments'!E262</f>
        <v>0.73456913012388714</v>
      </c>
    </row>
    <row r="265" spans="1:121">
      <c r="A265" s="42">
        <f t="shared" si="119"/>
        <v>1513</v>
      </c>
      <c r="B265" s="36"/>
      <c r="C265" s="38">
        <v>6</v>
      </c>
      <c r="D265" s="38">
        <v>0.5</v>
      </c>
      <c r="E265" s="38">
        <v>5</v>
      </c>
      <c r="F265" s="38">
        <v>0</v>
      </c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8">
        <v>7.14</v>
      </c>
      <c r="V265" s="36"/>
      <c r="W265" s="36"/>
      <c r="X265" s="38">
        <v>6</v>
      </c>
      <c r="Y265" s="38">
        <v>9</v>
      </c>
      <c r="Z265" s="38">
        <v>1</v>
      </c>
      <c r="AA265" s="38">
        <v>0</v>
      </c>
      <c r="AB265" s="36"/>
      <c r="AC265" s="38">
        <v>0</v>
      </c>
      <c r="AD265" s="38">
        <v>8</v>
      </c>
      <c r="AE265" s="38">
        <v>0</v>
      </c>
      <c r="AF265" s="38">
        <v>7.75</v>
      </c>
      <c r="AG265" s="36"/>
      <c r="AH265" s="36"/>
      <c r="AI265" s="38">
        <v>1</v>
      </c>
      <c r="AJ265" s="38">
        <v>10</v>
      </c>
      <c r="AK265" s="36"/>
      <c r="AL265" s="36"/>
      <c r="AM265" s="38">
        <v>10</v>
      </c>
      <c r="AN265" s="38">
        <v>9</v>
      </c>
      <c r="AO265" s="38">
        <v>1</v>
      </c>
      <c r="AP265" s="38">
        <v>4</v>
      </c>
      <c r="AQ265" s="38">
        <v>1</v>
      </c>
      <c r="AR265" s="38">
        <v>0</v>
      </c>
      <c r="AS265" s="36"/>
      <c r="AT265" s="36"/>
      <c r="AU265" s="36"/>
      <c r="AV265" s="38">
        <v>22</v>
      </c>
      <c r="AW265" s="38">
        <v>2.33</v>
      </c>
      <c r="AX265" s="38">
        <v>6.4</v>
      </c>
      <c r="AY265" s="38">
        <v>6</v>
      </c>
      <c r="AZ265" s="36"/>
      <c r="BA265" s="38">
        <v>53.33</v>
      </c>
      <c r="BB265" s="36"/>
      <c r="BC265" s="36"/>
      <c r="BD265" s="36"/>
      <c r="BE265" s="36"/>
      <c r="BF265" s="36"/>
      <c r="BG265" s="59">
        <v>5.04</v>
      </c>
      <c r="BH265" s="59">
        <v>0.57999999999999996</v>
      </c>
      <c r="BI265" s="59">
        <v>6.2179012663408355E-2</v>
      </c>
      <c r="BJ265" s="59"/>
      <c r="BK265" s="38">
        <v>1.1880000000000002</v>
      </c>
      <c r="BL265" s="59">
        <v>0.67</v>
      </c>
      <c r="BM265" s="38"/>
      <c r="BN265" s="38">
        <v>40</v>
      </c>
      <c r="BO265" s="36"/>
      <c r="BP265" s="39">
        <f t="shared" si="113"/>
        <v>0.71918750000000009</v>
      </c>
      <c r="BQ265" s="37"/>
      <c r="BR265" s="39">
        <f t="shared" si="114"/>
        <v>0.18496046083063739</v>
      </c>
      <c r="BS265" s="37"/>
      <c r="BT265" s="37"/>
      <c r="BU265" s="39">
        <f>$BP265*12*AY265/(12*(45/36)*0.9144)</f>
        <v>3.7752624671916015</v>
      </c>
      <c r="BV265" s="39">
        <f t="shared" si="124"/>
        <v>0.15429529201430273</v>
      </c>
      <c r="BW265" s="39">
        <f t="shared" si="109"/>
        <v>0.7882425286523701</v>
      </c>
      <c r="BX265" s="39">
        <f t="shared" si="125"/>
        <v>6.5579071227254718E-2</v>
      </c>
      <c r="BY265" s="39">
        <f t="shared" ref="BY265:BY296" si="160">$BP265*(12*Z265+AA265)/(12*0.453592)</f>
        <v>1.5855383251909205</v>
      </c>
      <c r="BZ265" s="37"/>
      <c r="CA265" s="39">
        <f t="shared" si="110"/>
        <v>1.8836278357106644</v>
      </c>
      <c r="CB265" s="39">
        <f t="shared" si="111"/>
        <v>1.0623153618906944</v>
      </c>
      <c r="CC265" s="39">
        <f t="shared" si="144"/>
        <v>8.5583312500000008E-2</v>
      </c>
      <c r="CD265" s="39">
        <f t="shared" si="152"/>
        <v>9.2775187500000009E-2</v>
      </c>
      <c r="CE265" s="39">
        <f t="shared" si="159"/>
        <v>1.5822125</v>
      </c>
      <c r="CF265" s="37"/>
      <c r="CG265" s="39">
        <f t="shared" si="153"/>
        <v>2.5290109890109895</v>
      </c>
      <c r="CH265" s="39">
        <f t="shared" si="150"/>
        <v>3.694304297694845</v>
      </c>
      <c r="CI265" s="37"/>
      <c r="CJ265" s="37"/>
      <c r="CK265" s="39">
        <f t="shared" si="154"/>
        <v>2.040943016062206E-2</v>
      </c>
      <c r="CL265" s="37"/>
      <c r="CM265" s="39">
        <f t="shared" si="155"/>
        <v>7.2118127776049687E-2</v>
      </c>
      <c r="CN265" s="37"/>
      <c r="CO265" s="39">
        <f>0.063495+(0.016949+0.014096)*Wages!P263+1.22592*BR265</f>
        <v>0.46885913564149495</v>
      </c>
      <c r="CP265" s="39"/>
      <c r="CQ265" s="39">
        <f t="shared" si="126"/>
        <v>0.46885913564149495</v>
      </c>
      <c r="CR265" s="39">
        <f t="shared" si="135"/>
        <v>0.15429529201430273</v>
      </c>
      <c r="CS265" s="39">
        <f t="shared" si="135"/>
        <v>0.7882425286523701</v>
      </c>
      <c r="CT265" s="39">
        <f t="shared" si="112"/>
        <v>1.8836278357106644</v>
      </c>
      <c r="CU265" s="39">
        <f t="shared" si="112"/>
        <v>1.0623153618906944</v>
      </c>
      <c r="CV265" s="39">
        <f t="shared" si="112"/>
        <v>8.5583312500000008E-2</v>
      </c>
      <c r="CW265" s="39">
        <f t="shared" si="112"/>
        <v>9.2775187500000009E-2</v>
      </c>
      <c r="CX265" s="39"/>
      <c r="CY265" s="39"/>
      <c r="CZ265" s="39">
        <f t="shared" si="115"/>
        <v>6.5579071227254718E-2</v>
      </c>
      <c r="DA265" s="39">
        <f t="shared" si="134"/>
        <v>3.694304297694845</v>
      </c>
      <c r="DB265" s="39">
        <f>BU265</f>
        <v>3.7752624671916015</v>
      </c>
      <c r="DC265" s="39">
        <f t="shared" si="116"/>
        <v>1.5855383251909205</v>
      </c>
      <c r="DD265" s="39">
        <f t="shared" si="156"/>
        <v>2.5290109890109895</v>
      </c>
      <c r="DE265" s="39">
        <f t="shared" si="157"/>
        <v>2.040943016062206E-2</v>
      </c>
      <c r="DF265" s="37"/>
      <c r="DG265" s="39">
        <f t="shared" si="117"/>
        <v>0</v>
      </c>
      <c r="DH265" s="39">
        <f t="shared" si="118"/>
        <v>2.3103271633033802</v>
      </c>
      <c r="DI265" s="37"/>
      <c r="DJ265" s="37"/>
      <c r="DK265" s="37"/>
      <c r="DL265" s="37"/>
      <c r="DM265" s="39">
        <f t="shared" si="127"/>
        <v>0.47309287544345474</v>
      </c>
      <c r="DN265" s="39"/>
      <c r="DO265" s="39">
        <f t="shared" si="128"/>
        <v>0.47309287544345474</v>
      </c>
      <c r="DP265" s="37"/>
      <c r="DQ265" s="37">
        <f>DO265/'Conversions, Sources &amp; Comments'!E263</f>
        <v>0.65781576493397709</v>
      </c>
    </row>
    <row r="266" spans="1:121">
      <c r="A266" s="42">
        <f t="shared" si="119"/>
        <v>1514</v>
      </c>
      <c r="B266" s="36"/>
      <c r="C266" s="38">
        <v>5</v>
      </c>
      <c r="D266" s="38">
        <v>4</v>
      </c>
      <c r="E266" s="38">
        <v>5</v>
      </c>
      <c r="F266" s="38">
        <v>10</v>
      </c>
      <c r="G266" s="38">
        <v>1</v>
      </c>
      <c r="H266" s="38">
        <v>8</v>
      </c>
      <c r="I266" s="38">
        <v>4</v>
      </c>
      <c r="J266" s="38">
        <v>8</v>
      </c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8">
        <v>7.14</v>
      </c>
      <c r="V266" s="36"/>
      <c r="W266" s="36"/>
      <c r="X266" s="38">
        <v>6</v>
      </c>
      <c r="Y266" s="38">
        <v>6</v>
      </c>
      <c r="Z266" s="38">
        <v>1</v>
      </c>
      <c r="AA266" s="38">
        <v>7</v>
      </c>
      <c r="AB266" s="36"/>
      <c r="AC266" s="38">
        <v>0</v>
      </c>
      <c r="AD266" s="38">
        <v>8</v>
      </c>
      <c r="AE266" s="38">
        <v>0</v>
      </c>
      <c r="AF266" s="38">
        <v>7.75</v>
      </c>
      <c r="AG266" s="36"/>
      <c r="AH266" s="36"/>
      <c r="AI266" s="36"/>
      <c r="AJ266" s="36"/>
      <c r="AK266" s="36"/>
      <c r="AL266" s="36"/>
      <c r="AM266" s="38">
        <v>11</v>
      </c>
      <c r="AN266" s="38">
        <v>9.25</v>
      </c>
      <c r="AO266" s="38">
        <v>1</v>
      </c>
      <c r="AP266" s="38">
        <v>8</v>
      </c>
      <c r="AQ266" s="36"/>
      <c r="AR266" s="36"/>
      <c r="AS266" s="36"/>
      <c r="AT266" s="36"/>
      <c r="AU266" s="36"/>
      <c r="AV266" s="38">
        <v>19.329999999999998</v>
      </c>
      <c r="AW266" s="38">
        <v>2.33</v>
      </c>
      <c r="AX266" s="38">
        <v>7</v>
      </c>
      <c r="AY266" s="36"/>
      <c r="AZ266" s="38">
        <v>40</v>
      </c>
      <c r="BA266" s="36"/>
      <c r="BB266" s="36"/>
      <c r="BC266" s="36"/>
      <c r="BD266" s="36"/>
      <c r="BE266" s="36"/>
      <c r="BF266" s="36"/>
      <c r="BG266" s="59">
        <v>4.13</v>
      </c>
      <c r="BH266" s="59">
        <v>0.57999999999999996</v>
      </c>
      <c r="BI266" s="59">
        <v>4.9743210130727022E-2</v>
      </c>
      <c r="BJ266" s="59"/>
      <c r="BK266" s="38">
        <v>1.1880000000000002</v>
      </c>
      <c r="BL266" s="59">
        <v>0.65</v>
      </c>
      <c r="BM266" s="36"/>
      <c r="BN266" s="38">
        <v>40</v>
      </c>
      <c r="BO266" s="36"/>
      <c r="BP266" s="39">
        <f t="shared" si="113"/>
        <v>0.71918750000000009</v>
      </c>
      <c r="BQ266" s="37"/>
      <c r="BR266" s="39">
        <f t="shared" si="114"/>
        <v>0.16327544128497648</v>
      </c>
      <c r="BS266" s="37"/>
      <c r="BT266" s="39">
        <f>BP266*12*AZ266/(24*0.9144)</f>
        <v>15.730260279965007</v>
      </c>
      <c r="BU266" s="37"/>
      <c r="BV266" s="39">
        <f t="shared" si="124"/>
        <v>0.12643641984505363</v>
      </c>
      <c r="BW266" s="39">
        <f t="shared" ref="BW266:BW329" si="161">$BP266*12*$BH266/(14*0.45359)</f>
        <v>0.7882425286523701</v>
      </c>
      <c r="BX266" s="39">
        <f t="shared" si="125"/>
        <v>5.2463256981804138E-2</v>
      </c>
      <c r="BY266" s="39">
        <f t="shared" si="160"/>
        <v>2.5104356815522912</v>
      </c>
      <c r="BZ266" s="37"/>
      <c r="CA266" s="39">
        <f t="shared" ref="CA266:CA329" si="162">$BP266*$BK266/0.45359</f>
        <v>1.8836278357106644</v>
      </c>
      <c r="CB266" s="39">
        <f t="shared" ref="CB266:CB329" si="163">$BP266*12*$BL266/(12*0.45359)</f>
        <v>1.0306044555655989</v>
      </c>
      <c r="CC266" s="39">
        <f t="shared" si="144"/>
        <v>8.5583312500000008E-2</v>
      </c>
      <c r="CD266" s="39">
        <f t="shared" si="152"/>
        <v>0.10158523437500001</v>
      </c>
      <c r="CE266" s="39">
        <f t="shared" si="159"/>
        <v>1.3901894374999999</v>
      </c>
      <c r="CF266" s="37"/>
      <c r="CG266" s="39">
        <f t="shared" si="153"/>
        <v>3.161263736263737</v>
      </c>
      <c r="CH266" s="39">
        <f t="shared" si="150"/>
        <v>3.694304297694845</v>
      </c>
      <c r="CI266" s="37"/>
      <c r="CJ266" s="37"/>
      <c r="CK266" s="39">
        <f t="shared" si="154"/>
        <v>2.040943016062206E-2</v>
      </c>
      <c r="CL266" s="37"/>
      <c r="CM266" s="39">
        <f t="shared" si="155"/>
        <v>7.2118127776049687E-2</v>
      </c>
      <c r="CN266" s="37"/>
      <c r="CO266" s="39">
        <f>0.063495+(0.016949+0.014096)*Wages!P264+1.22592*BR266</f>
        <v>0.44227503648007838</v>
      </c>
      <c r="CP266" s="39"/>
      <c r="CQ266" s="39">
        <f t="shared" si="126"/>
        <v>0.44227503648007838</v>
      </c>
      <c r="CR266" s="39">
        <f t="shared" si="135"/>
        <v>0.12643641984505363</v>
      </c>
      <c r="CS266" s="39">
        <f t="shared" si="135"/>
        <v>0.7882425286523701</v>
      </c>
      <c r="CT266" s="39">
        <f t="shared" ref="CT266:CW329" si="164">CA266</f>
        <v>1.8836278357106644</v>
      </c>
      <c r="CU266" s="39">
        <f t="shared" si="164"/>
        <v>1.0306044555655989</v>
      </c>
      <c r="CV266" s="39">
        <f t="shared" si="164"/>
        <v>8.5583312500000008E-2</v>
      </c>
      <c r="CW266" s="39">
        <f t="shared" si="164"/>
        <v>0.10158523437500001</v>
      </c>
      <c r="CX266" s="39"/>
      <c r="CY266" s="39"/>
      <c r="CZ266" s="39">
        <f t="shared" si="115"/>
        <v>5.2463256981804138E-2</v>
      </c>
      <c r="DA266" s="39">
        <f t="shared" si="134"/>
        <v>3.694304297694845</v>
      </c>
      <c r="DB266" s="39">
        <v>4</v>
      </c>
      <c r="DC266" s="39">
        <f t="shared" si="116"/>
        <v>2.5104356815522912</v>
      </c>
      <c r="DD266" s="39">
        <f t="shared" si="156"/>
        <v>3.161263736263737</v>
      </c>
      <c r="DE266" s="39">
        <f t="shared" si="157"/>
        <v>2.040943016062206E-2</v>
      </c>
      <c r="DF266" s="37"/>
      <c r="DG266" s="39">
        <f t="shared" si="117"/>
        <v>0</v>
      </c>
      <c r="DH266" s="39">
        <f t="shared" si="118"/>
        <v>2.3103271633033802</v>
      </c>
      <c r="DI266" s="37"/>
      <c r="DJ266" s="37"/>
      <c r="DK266" s="37"/>
      <c r="DL266" s="37"/>
      <c r="DM266" s="39">
        <f t="shared" si="127"/>
        <v>0.46425538240647357</v>
      </c>
      <c r="DN266" s="39"/>
      <c r="DO266" s="39">
        <f t="shared" si="128"/>
        <v>0.46425538240647357</v>
      </c>
      <c r="DP266" s="37"/>
      <c r="DQ266" s="37">
        <f>DO266/'Conversions, Sources &amp; Comments'!E264</f>
        <v>0.64552760219897243</v>
      </c>
    </row>
    <row r="267" spans="1:121">
      <c r="A267" s="42">
        <f t="shared" si="119"/>
        <v>1515</v>
      </c>
      <c r="B267" s="36"/>
      <c r="C267" s="38">
        <v>6</v>
      </c>
      <c r="D267" s="38">
        <v>9.75</v>
      </c>
      <c r="E267" s="38">
        <v>2</v>
      </c>
      <c r="F267" s="38">
        <v>10</v>
      </c>
      <c r="G267" s="38">
        <v>2</v>
      </c>
      <c r="H267" s="38">
        <v>3</v>
      </c>
      <c r="I267" s="38">
        <v>2</v>
      </c>
      <c r="J267" s="38">
        <v>8</v>
      </c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8">
        <v>7.14</v>
      </c>
      <c r="V267" s="36"/>
      <c r="W267" s="36"/>
      <c r="X267" s="36"/>
      <c r="Y267" s="36"/>
      <c r="Z267" s="38">
        <v>1</v>
      </c>
      <c r="AA267" s="38">
        <v>2.75</v>
      </c>
      <c r="AB267" s="36"/>
      <c r="AC267" s="38" t="s">
        <v>8</v>
      </c>
      <c r="AD267" s="38" t="s">
        <v>8</v>
      </c>
      <c r="AE267" s="38">
        <v>0</v>
      </c>
      <c r="AF267" s="38">
        <v>7.75</v>
      </c>
      <c r="AG267" s="38">
        <v>8</v>
      </c>
      <c r="AH267" s="38">
        <v>8</v>
      </c>
      <c r="AI267" s="38">
        <v>2</v>
      </c>
      <c r="AJ267" s="38">
        <v>2</v>
      </c>
      <c r="AK267" s="36"/>
      <c r="AL267" s="36"/>
      <c r="AM267" s="38">
        <v>11</v>
      </c>
      <c r="AN267" s="38">
        <v>0</v>
      </c>
      <c r="AO267" s="38">
        <v>1</v>
      </c>
      <c r="AP267" s="38">
        <v>5</v>
      </c>
      <c r="AQ267" s="36"/>
      <c r="AR267" s="36"/>
      <c r="AS267" s="36"/>
      <c r="AT267" s="36"/>
      <c r="AU267" s="36"/>
      <c r="AV267" s="38">
        <v>26.67</v>
      </c>
      <c r="AW267" s="38">
        <v>2.33</v>
      </c>
      <c r="AX267" s="38">
        <v>6.4</v>
      </c>
      <c r="AY267" s="36"/>
      <c r="AZ267" s="38">
        <v>40</v>
      </c>
      <c r="BA267" s="38">
        <v>62</v>
      </c>
      <c r="BB267" s="38">
        <v>88</v>
      </c>
      <c r="BC267" s="36"/>
      <c r="BD267" s="36"/>
      <c r="BE267" s="36"/>
      <c r="BF267" s="36"/>
      <c r="BG267" s="59">
        <v>4.6100000000000003</v>
      </c>
      <c r="BH267" s="59">
        <v>0.57999999999999996</v>
      </c>
      <c r="BI267" s="59">
        <v>5.9415500989479925E-2</v>
      </c>
      <c r="BJ267" s="59"/>
      <c r="BK267" s="38">
        <v>1.1880000000000002</v>
      </c>
      <c r="BL267" s="59">
        <v>0.67</v>
      </c>
      <c r="BM267" s="36"/>
      <c r="BN267" s="38">
        <v>40</v>
      </c>
      <c r="BO267" s="36"/>
      <c r="BP267" s="39">
        <f t="shared" ref="BP267:BP330" si="165">(31.1*0.925/$BN267)</f>
        <v>0.71918750000000009</v>
      </c>
      <c r="BQ267" s="37"/>
      <c r="BR267" s="39">
        <f t="shared" ref="BR267:BR330" si="166">(31.1*0.925/$BN267)*(12*C267+D267)/35.238/8</f>
        <v>0.20855886445385668</v>
      </c>
      <c r="BS267" s="37"/>
      <c r="BT267" s="39">
        <f>BP267*12*AZ267/(24*0.9144)</f>
        <v>15.730260279965007</v>
      </c>
      <c r="BU267" s="37"/>
      <c r="BV267" s="39">
        <f t="shared" si="124"/>
        <v>0.14113120956070155</v>
      </c>
      <c r="BW267" s="39">
        <f t="shared" si="161"/>
        <v>0.7882425286523701</v>
      </c>
      <c r="BX267" s="39">
        <f t="shared" si="125"/>
        <v>6.2664445839377608E-2</v>
      </c>
      <c r="BY267" s="39">
        <f t="shared" si="160"/>
        <v>1.9488908580471735</v>
      </c>
      <c r="BZ267" s="37"/>
      <c r="CA267" s="39">
        <f t="shared" si="162"/>
        <v>1.8836278357106644</v>
      </c>
      <c r="CB267" s="39">
        <f t="shared" si="163"/>
        <v>1.0623153618906944</v>
      </c>
      <c r="CC267" s="39">
        <f t="shared" si="144"/>
        <v>8.5583312500000008E-2</v>
      </c>
      <c r="CD267" s="39">
        <f t="shared" si="152"/>
        <v>9.493275000000001E-2</v>
      </c>
      <c r="CE267" s="39">
        <f t="shared" si="159"/>
        <v>1.9180730625000002</v>
      </c>
      <c r="CF267" s="37"/>
      <c r="CG267" s="39">
        <f t="shared" si="153"/>
        <v>2.6870741758241765</v>
      </c>
      <c r="CH267" s="39">
        <f t="shared" si="150"/>
        <v>3.694304297694845</v>
      </c>
      <c r="CI267" s="37"/>
      <c r="CJ267" s="37"/>
      <c r="CK267" s="37"/>
      <c r="CL267" s="39">
        <f>BP267*(12*AG267+AH267)/100</f>
        <v>0.74795500000000004</v>
      </c>
      <c r="CM267" s="37"/>
      <c r="CN267" s="37"/>
      <c r="CO267" s="39">
        <f>0.063495+(0.016949+0.014096)*Wages!P265+1.22592*BR267</f>
        <v>0.49778889061127196</v>
      </c>
      <c r="CP267" s="39"/>
      <c r="CQ267" s="39">
        <f t="shared" si="126"/>
        <v>0.49778889061127196</v>
      </c>
      <c r="CR267" s="39">
        <f t="shared" si="135"/>
        <v>0.14113120956070155</v>
      </c>
      <c r="CS267" s="39">
        <f t="shared" si="135"/>
        <v>0.7882425286523701</v>
      </c>
      <c r="CT267" s="39">
        <f t="shared" si="164"/>
        <v>1.8836278357106644</v>
      </c>
      <c r="CU267" s="39">
        <f t="shared" si="164"/>
        <v>1.0623153618906944</v>
      </c>
      <c r="CV267" s="39">
        <f t="shared" si="164"/>
        <v>8.5583312500000008E-2</v>
      </c>
      <c r="CW267" s="39">
        <f t="shared" si="164"/>
        <v>9.493275000000001E-2</v>
      </c>
      <c r="CX267" s="39"/>
      <c r="CY267" s="39"/>
      <c r="CZ267" s="39">
        <f t="shared" ref="CZ267:CZ330" si="167">BX267</f>
        <v>6.2664445839377608E-2</v>
      </c>
      <c r="DA267" s="39">
        <f t="shared" si="134"/>
        <v>3.694304297694845</v>
      </c>
      <c r="DB267" s="39">
        <v>4</v>
      </c>
      <c r="DC267" s="39">
        <f t="shared" ref="DC267:DC330" si="168">BY267</f>
        <v>1.9488908580471735</v>
      </c>
      <c r="DD267" s="39">
        <f t="shared" si="156"/>
        <v>2.6870741758241765</v>
      </c>
      <c r="DE267" s="39">
        <v>0.02</v>
      </c>
      <c r="DF267" s="37"/>
      <c r="DG267" s="39">
        <f t="shared" ref="DG267:DG330" si="169">CL267</f>
        <v>0.74795500000000004</v>
      </c>
      <c r="DH267" s="39">
        <f t="shared" ref="DH267:DH330" si="170">1000*DE267/8.834</f>
        <v>2.2639800769753227</v>
      </c>
      <c r="DI267" s="37"/>
      <c r="DJ267" s="37"/>
      <c r="DK267" s="37"/>
      <c r="DL267" s="37"/>
      <c r="DM267" s="39">
        <f t="shared" si="127"/>
        <v>0.48827213341621001</v>
      </c>
      <c r="DN267" s="39"/>
      <c r="DO267" s="39">
        <f t="shared" si="128"/>
        <v>0.48827213341621001</v>
      </c>
      <c r="DP267" s="37"/>
      <c r="DQ267" s="37">
        <f>DO267/'Conversions, Sources &amp; Comments'!E265</f>
        <v>0.67892188534451714</v>
      </c>
    </row>
    <row r="268" spans="1:121">
      <c r="A268" s="42">
        <f t="shared" ref="A268:A331" si="171">A267+1</f>
        <v>1516</v>
      </c>
      <c r="B268" s="36"/>
      <c r="C268" s="38">
        <v>5</v>
      </c>
      <c r="D268" s="38">
        <v>3.5</v>
      </c>
      <c r="E268" s="38">
        <v>3</v>
      </c>
      <c r="F268" s="38">
        <v>4.25</v>
      </c>
      <c r="G268" s="38">
        <v>1</v>
      </c>
      <c r="H268" s="38">
        <v>10</v>
      </c>
      <c r="I268" s="38">
        <v>3</v>
      </c>
      <c r="J268" s="38">
        <v>7.5</v>
      </c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8">
        <v>7.14</v>
      </c>
      <c r="V268" s="36"/>
      <c r="W268" s="36"/>
      <c r="X268" s="38">
        <v>7</v>
      </c>
      <c r="Y268" s="38">
        <v>4</v>
      </c>
      <c r="Z268" s="38">
        <v>1</v>
      </c>
      <c r="AA268" s="38">
        <v>4</v>
      </c>
      <c r="AB268" s="36"/>
      <c r="AC268" s="36"/>
      <c r="AD268" s="38" t="s">
        <v>8</v>
      </c>
      <c r="AE268" s="38">
        <v>0</v>
      </c>
      <c r="AF268" s="38">
        <v>7.75</v>
      </c>
      <c r="AG268" s="36"/>
      <c r="AH268" s="36"/>
      <c r="AI268" s="36"/>
      <c r="AJ268" s="36"/>
      <c r="AK268" s="36"/>
      <c r="AL268" s="36"/>
      <c r="AM268" s="38">
        <v>7</v>
      </c>
      <c r="AN268" s="38">
        <v>9.75</v>
      </c>
      <c r="AO268" s="38">
        <v>1</v>
      </c>
      <c r="AP268" s="38">
        <v>6</v>
      </c>
      <c r="AQ268" s="36"/>
      <c r="AR268" s="36"/>
      <c r="AS268" s="36"/>
      <c r="AT268" s="36"/>
      <c r="AU268" s="36"/>
      <c r="AV268" s="36"/>
      <c r="AW268" s="38">
        <v>2.33</v>
      </c>
      <c r="AX268" s="38">
        <v>6.9</v>
      </c>
      <c r="AY268" s="36"/>
      <c r="AZ268" s="38">
        <v>40</v>
      </c>
      <c r="BA268" s="38">
        <v>62</v>
      </c>
      <c r="BB268" s="38">
        <v>80</v>
      </c>
      <c r="BC268" s="36"/>
      <c r="BD268" s="36"/>
      <c r="BE268" s="36"/>
      <c r="BF268" s="36"/>
      <c r="BG268" s="59">
        <v>6.24</v>
      </c>
      <c r="BH268" s="59">
        <v>0.57999999999999996</v>
      </c>
      <c r="BI268" s="59">
        <v>6.3560768500372566E-2</v>
      </c>
      <c r="BJ268" s="59"/>
      <c r="BK268" s="38">
        <v>1.4580000000000002</v>
      </c>
      <c r="BL268" s="59">
        <v>0.82</v>
      </c>
      <c r="BM268" s="36"/>
      <c r="BN268" s="38">
        <v>40</v>
      </c>
      <c r="BO268" s="36"/>
      <c r="BP268" s="39">
        <f t="shared" si="165"/>
        <v>0.71918750000000009</v>
      </c>
      <c r="BQ268" s="37"/>
      <c r="BR268" s="39">
        <f t="shared" si="166"/>
        <v>0.1619998518999376</v>
      </c>
      <c r="BS268" s="37"/>
      <c r="BT268" s="39">
        <f>BP268*12*AZ268/(24*0.9144)</f>
        <v>15.730260279965007</v>
      </c>
      <c r="BU268" s="37"/>
      <c r="BV268" s="39">
        <f t="shared" si="124"/>
        <v>0.19103226630342246</v>
      </c>
      <c r="BW268" s="39">
        <f t="shared" si="161"/>
        <v>0.7882425286523701</v>
      </c>
      <c r="BX268" s="39">
        <f t="shared" si="125"/>
        <v>6.7036383921193279E-2</v>
      </c>
      <c r="BY268" s="39">
        <f t="shared" si="160"/>
        <v>2.114051100254561</v>
      </c>
      <c r="BZ268" s="37"/>
      <c r="CA268" s="39">
        <f t="shared" si="162"/>
        <v>2.3117250710994517</v>
      </c>
      <c r="CB268" s="39">
        <f t="shared" si="163"/>
        <v>1.3001471593289091</v>
      </c>
      <c r="CC268" s="39">
        <f t="shared" si="144"/>
        <v>8.5583312500000008E-2</v>
      </c>
      <c r="CD268" s="39">
        <f t="shared" si="152"/>
        <v>6.7423828125000015E-2</v>
      </c>
      <c r="CE268" s="37"/>
      <c r="CF268" s="37"/>
      <c r="CG268" s="39">
        <f t="shared" si="153"/>
        <v>2.8451373626373631</v>
      </c>
      <c r="CH268" s="39">
        <f t="shared" si="150"/>
        <v>3.694304297694845</v>
      </c>
      <c r="CI268" s="37"/>
      <c r="CJ268" s="37"/>
      <c r="CK268" s="37"/>
      <c r="CL268" s="37"/>
      <c r="CM268" s="37"/>
      <c r="CN268" s="37"/>
      <c r="CO268" s="39">
        <f>0.063495+(0.016949+0.014096)*Wages!P266+1.22592*BR268</f>
        <v>0.44071126594117149</v>
      </c>
      <c r="CP268" s="39"/>
      <c r="CQ268" s="39">
        <f t="shared" si="126"/>
        <v>0.44071126594117149</v>
      </c>
      <c r="CR268" s="39">
        <f t="shared" si="135"/>
        <v>0.19103226630342246</v>
      </c>
      <c r="CS268" s="39">
        <f t="shared" si="135"/>
        <v>0.7882425286523701</v>
      </c>
      <c r="CT268" s="39">
        <f t="shared" si="164"/>
        <v>2.3117250710994517</v>
      </c>
      <c r="CU268" s="39">
        <f t="shared" si="164"/>
        <v>1.3001471593289091</v>
      </c>
      <c r="CV268" s="39">
        <f t="shared" si="164"/>
        <v>8.5583312500000008E-2</v>
      </c>
      <c r="CW268" s="39">
        <f t="shared" si="164"/>
        <v>6.7423828125000015E-2</v>
      </c>
      <c r="CX268" s="39"/>
      <c r="CY268" s="39"/>
      <c r="CZ268" s="39">
        <f t="shared" si="167"/>
        <v>6.7036383921193279E-2</v>
      </c>
      <c r="DA268" s="39">
        <f t="shared" si="134"/>
        <v>3.694304297694845</v>
      </c>
      <c r="DB268" s="39">
        <v>4</v>
      </c>
      <c r="DC268" s="39">
        <f t="shared" si="168"/>
        <v>2.114051100254561</v>
      </c>
      <c r="DD268" s="39">
        <f t="shared" si="156"/>
        <v>2.8451373626373631</v>
      </c>
      <c r="DE268" s="39">
        <v>0.02</v>
      </c>
      <c r="DF268" s="37"/>
      <c r="DG268" s="39">
        <f t="shared" si="169"/>
        <v>0</v>
      </c>
      <c r="DH268" s="39">
        <f t="shared" si="170"/>
        <v>2.2639800769753227</v>
      </c>
      <c r="DI268" s="37"/>
      <c r="DJ268" s="37"/>
      <c r="DK268" s="37"/>
      <c r="DL268" s="37"/>
      <c r="DM268" s="39">
        <f t="shared" si="127"/>
        <v>0.48177809493816121</v>
      </c>
      <c r="DN268" s="39"/>
      <c r="DO268" s="39">
        <f t="shared" si="128"/>
        <v>0.48177809493816121</v>
      </c>
      <c r="DP268" s="37"/>
      <c r="DQ268" s="37">
        <f>DO268/'Conversions, Sources &amp; Comments'!E266</f>
        <v>0.66989219770666364</v>
      </c>
    </row>
    <row r="269" spans="1:121">
      <c r="A269" s="42">
        <f t="shared" si="171"/>
        <v>1517</v>
      </c>
      <c r="B269" s="36"/>
      <c r="C269" s="38">
        <v>6</v>
      </c>
      <c r="D269" s="38">
        <v>5</v>
      </c>
      <c r="E269" s="38">
        <v>3</v>
      </c>
      <c r="F269" s="38">
        <v>4</v>
      </c>
      <c r="G269" s="36"/>
      <c r="H269" s="36"/>
      <c r="I269" s="38">
        <v>2</v>
      </c>
      <c r="J269" s="38">
        <v>8</v>
      </c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8">
        <v>7.14</v>
      </c>
      <c r="V269" s="36"/>
      <c r="W269" s="36"/>
      <c r="X269" s="38">
        <v>8</v>
      </c>
      <c r="Y269" s="38">
        <v>6</v>
      </c>
      <c r="Z269" s="38">
        <v>1</v>
      </c>
      <c r="AA269" s="38">
        <v>3</v>
      </c>
      <c r="AB269" s="36"/>
      <c r="AC269" s="38">
        <v>0</v>
      </c>
      <c r="AD269" s="38">
        <v>8.5</v>
      </c>
      <c r="AE269" s="38">
        <v>0</v>
      </c>
      <c r="AF269" s="38">
        <v>7.75</v>
      </c>
      <c r="AG269" s="36"/>
      <c r="AH269" s="36"/>
      <c r="AI269" s="36"/>
      <c r="AJ269" s="36"/>
      <c r="AK269" s="36"/>
      <c r="AL269" s="36"/>
      <c r="AM269" s="38">
        <v>8</v>
      </c>
      <c r="AN269" s="38">
        <v>4</v>
      </c>
      <c r="AO269" s="38">
        <v>1</v>
      </c>
      <c r="AP269" s="38">
        <v>3</v>
      </c>
      <c r="AQ269" s="38">
        <v>1</v>
      </c>
      <c r="AR269" s="38">
        <v>8</v>
      </c>
      <c r="AS269" s="36"/>
      <c r="AT269" s="36"/>
      <c r="AU269" s="36"/>
      <c r="AV269" s="36"/>
      <c r="AW269" s="38">
        <v>2.33</v>
      </c>
      <c r="AX269" s="38">
        <v>6.5</v>
      </c>
      <c r="AY269" s="36"/>
      <c r="AZ269" s="38">
        <v>40</v>
      </c>
      <c r="BA269" s="38">
        <v>62</v>
      </c>
      <c r="BB269" s="38">
        <v>90</v>
      </c>
      <c r="BC269" s="36"/>
      <c r="BD269" s="36"/>
      <c r="BE269" s="36"/>
      <c r="BF269" s="36"/>
      <c r="BG269" s="59">
        <v>7.58</v>
      </c>
      <c r="BH269" s="59">
        <v>0.57999999999999996</v>
      </c>
      <c r="BI269" s="59">
        <v>6.4942524337338478E-2</v>
      </c>
      <c r="BJ269" s="59"/>
      <c r="BK269" s="38">
        <v>1.1880000000000002</v>
      </c>
      <c r="BL269" s="59">
        <v>0.67</v>
      </c>
      <c r="BM269" s="36"/>
      <c r="BN269" s="38">
        <v>40</v>
      </c>
      <c r="BO269" s="36"/>
      <c r="BP269" s="39">
        <f t="shared" si="165"/>
        <v>0.71918750000000009</v>
      </c>
      <c r="BQ269" s="37"/>
      <c r="BR269" s="39">
        <f t="shared" si="166"/>
        <v>0.19644076529598731</v>
      </c>
      <c r="BS269" s="37"/>
      <c r="BT269" s="39">
        <f>BP269*12*AZ269/(24*0.9144)</f>
        <v>15.730260279965007</v>
      </c>
      <c r="BU269" s="37"/>
      <c r="BV269" s="39">
        <f t="shared" si="124"/>
        <v>0.23205522092627276</v>
      </c>
      <c r="BW269" s="39">
        <f t="shared" si="161"/>
        <v>0.7882425286523701</v>
      </c>
      <c r="BX269" s="39">
        <f t="shared" si="125"/>
        <v>6.8493696615133631E-2</v>
      </c>
      <c r="BY269" s="39">
        <f t="shared" si="160"/>
        <v>1.9819229064886508</v>
      </c>
      <c r="BZ269" s="37"/>
      <c r="CA269" s="39">
        <f t="shared" si="162"/>
        <v>1.8836278357106644</v>
      </c>
      <c r="CB269" s="39">
        <f t="shared" si="163"/>
        <v>1.0623153618906944</v>
      </c>
      <c r="CC269" s="39">
        <f t="shared" si="144"/>
        <v>8.5583312500000008E-2</v>
      </c>
      <c r="CD269" s="39">
        <f t="shared" si="152"/>
        <v>7.1918750000000004E-2</v>
      </c>
      <c r="CE269" s="37"/>
      <c r="CF269" s="37"/>
      <c r="CG269" s="39">
        <f t="shared" si="153"/>
        <v>2.3709478021978025</v>
      </c>
      <c r="CH269" s="39">
        <f t="shared" si="150"/>
        <v>3.694304297694845</v>
      </c>
      <c r="CI269" s="37"/>
      <c r="CJ269" s="37"/>
      <c r="CK269" s="39">
        <f t="shared" ref="CK269:CK275" si="172">BP269*(12*AC269+AD269)/(35.238*8)</f>
        <v>2.1685019545660936E-2</v>
      </c>
      <c r="CL269" s="37"/>
      <c r="CM269" s="39">
        <f t="shared" ref="CM269:CM275" si="173">BP269*(12*$AC269+$AD269)/(35.238*8)/0.283</f>
        <v>7.662551076205279E-2</v>
      </c>
      <c r="CN269" s="37"/>
      <c r="CO269" s="39">
        <f>0.063495+(0.016949+0.014096)*Wages!P267+1.22592*BR269</f>
        <v>0.48293307049165674</v>
      </c>
      <c r="CP269" s="39"/>
      <c r="CQ269" s="39">
        <f t="shared" si="126"/>
        <v>0.48293307049165674</v>
      </c>
      <c r="CR269" s="39">
        <f t="shared" si="135"/>
        <v>0.23205522092627276</v>
      </c>
      <c r="CS269" s="39">
        <f t="shared" si="135"/>
        <v>0.7882425286523701</v>
      </c>
      <c r="CT269" s="39">
        <f t="shared" si="164"/>
        <v>1.8836278357106644</v>
      </c>
      <c r="CU269" s="39">
        <f t="shared" si="164"/>
        <v>1.0623153618906944</v>
      </c>
      <c r="CV269" s="39">
        <f t="shared" si="164"/>
        <v>8.5583312500000008E-2</v>
      </c>
      <c r="CW269" s="39">
        <f t="shared" si="164"/>
        <v>7.1918750000000004E-2</v>
      </c>
      <c r="CX269" s="39"/>
      <c r="CY269" s="39"/>
      <c r="CZ269" s="39">
        <f t="shared" si="167"/>
        <v>6.8493696615133631E-2</v>
      </c>
      <c r="DA269" s="39">
        <f t="shared" si="134"/>
        <v>3.694304297694845</v>
      </c>
      <c r="DB269" s="39">
        <v>4</v>
      </c>
      <c r="DC269" s="39">
        <f t="shared" si="168"/>
        <v>1.9819229064886508</v>
      </c>
      <c r="DD269" s="39">
        <f t="shared" si="156"/>
        <v>2.3709478021978025</v>
      </c>
      <c r="DE269" s="39">
        <f t="shared" ref="DE269:DE275" si="174">CK269</f>
        <v>2.1685019545660936E-2</v>
      </c>
      <c r="DF269" s="37"/>
      <c r="DG269" s="39">
        <f t="shared" si="169"/>
        <v>0</v>
      </c>
      <c r="DH269" s="39">
        <f t="shared" si="170"/>
        <v>2.4547226110098412</v>
      </c>
      <c r="DI269" s="37"/>
      <c r="DJ269" s="37"/>
      <c r="DK269" s="37"/>
      <c r="DL269" s="37"/>
      <c r="DM269" s="39">
        <f t="shared" si="127"/>
        <v>0.49623282453218404</v>
      </c>
      <c r="DN269" s="39"/>
      <c r="DO269" s="39">
        <f t="shared" si="128"/>
        <v>0.49623282453218404</v>
      </c>
      <c r="DP269" s="37"/>
      <c r="DQ269" s="37">
        <f>DO269/'Conversions, Sources &amp; Comments'!E267</f>
        <v>0.68999089184973872</v>
      </c>
    </row>
    <row r="270" spans="1:121">
      <c r="A270" s="42">
        <f t="shared" si="171"/>
        <v>1518</v>
      </c>
      <c r="B270" s="36"/>
      <c r="C270" s="38">
        <v>5</v>
      </c>
      <c r="D270" s="38">
        <v>11.5</v>
      </c>
      <c r="E270" s="38">
        <v>3</v>
      </c>
      <c r="F270" s="38">
        <v>6</v>
      </c>
      <c r="G270" s="38">
        <v>2</v>
      </c>
      <c r="H270" s="38">
        <v>2.75</v>
      </c>
      <c r="I270" s="38">
        <v>4</v>
      </c>
      <c r="J270" s="38">
        <v>0</v>
      </c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8">
        <v>7.14</v>
      </c>
      <c r="V270" s="36"/>
      <c r="W270" s="36"/>
      <c r="X270" s="38">
        <v>7</v>
      </c>
      <c r="Y270" s="38">
        <v>8.5</v>
      </c>
      <c r="Z270" s="38">
        <v>1</v>
      </c>
      <c r="AA270" s="38">
        <v>2.75</v>
      </c>
      <c r="AB270" s="36"/>
      <c r="AC270" s="38">
        <v>0</v>
      </c>
      <c r="AD270" s="38">
        <v>7.5</v>
      </c>
      <c r="AE270" s="38">
        <v>0</v>
      </c>
      <c r="AF270" s="38">
        <v>7.75</v>
      </c>
      <c r="AG270" s="38">
        <v>7</v>
      </c>
      <c r="AH270" s="38">
        <v>6.5</v>
      </c>
      <c r="AI270" s="36"/>
      <c r="AJ270" s="36"/>
      <c r="AK270" s="36"/>
      <c r="AL270" s="36"/>
      <c r="AM270" s="38">
        <v>7</v>
      </c>
      <c r="AN270" s="38">
        <v>1</v>
      </c>
      <c r="AO270" s="38">
        <v>1</v>
      </c>
      <c r="AP270" s="38">
        <v>2</v>
      </c>
      <c r="AQ270" s="36"/>
      <c r="AR270" s="36"/>
      <c r="AS270" s="36"/>
      <c r="AT270" s="36"/>
      <c r="AU270" s="36"/>
      <c r="AV270" s="38">
        <v>23.33</v>
      </c>
      <c r="AW270" s="38">
        <v>2.33</v>
      </c>
      <c r="AX270" s="38">
        <v>6.7</v>
      </c>
      <c r="AY270" s="36"/>
      <c r="AZ270" s="38">
        <v>40</v>
      </c>
      <c r="BA270" s="38">
        <v>53.33</v>
      </c>
      <c r="BB270" s="38">
        <v>88</v>
      </c>
      <c r="BC270" s="36"/>
      <c r="BD270" s="36"/>
      <c r="BE270" s="36"/>
      <c r="BF270" s="36"/>
      <c r="BG270" s="59">
        <v>5.51</v>
      </c>
      <c r="BH270" s="59">
        <v>0.57999999999999996</v>
      </c>
      <c r="BI270" s="59">
        <v>9.2577641076631273E-2</v>
      </c>
      <c r="BJ270" s="59"/>
      <c r="BK270" s="38">
        <v>1.1880000000000002</v>
      </c>
      <c r="BL270" s="59">
        <v>0.67</v>
      </c>
      <c r="BM270" s="36"/>
      <c r="BN270" s="38">
        <v>40</v>
      </c>
      <c r="BO270" s="36"/>
      <c r="BP270" s="39">
        <f t="shared" si="165"/>
        <v>0.71918750000000009</v>
      </c>
      <c r="BQ270" s="37"/>
      <c r="BR270" s="39">
        <f t="shared" si="166"/>
        <v>0.18240928206055965</v>
      </c>
      <c r="BS270" s="37"/>
      <c r="BT270" s="39">
        <f>BP270*12*AZ270/(24*0.9144)</f>
        <v>15.730260279965007</v>
      </c>
      <c r="BU270" s="37"/>
      <c r="BV270" s="39">
        <f t="shared" si="124"/>
        <v>0.1686839402775413</v>
      </c>
      <c r="BW270" s="39">
        <f t="shared" si="161"/>
        <v>0.7882425286523701</v>
      </c>
      <c r="BX270" s="39">
        <f t="shared" si="125"/>
        <v>9.7639950493913705E-2</v>
      </c>
      <c r="BY270" s="39">
        <f t="shared" si="160"/>
        <v>1.9488908580471735</v>
      </c>
      <c r="BZ270" s="37"/>
      <c r="CA270" s="39">
        <f t="shared" si="162"/>
        <v>1.8836278357106644</v>
      </c>
      <c r="CB270" s="39">
        <f t="shared" si="163"/>
        <v>1.0623153618906944</v>
      </c>
      <c r="CC270" s="39">
        <f t="shared" si="144"/>
        <v>8.5583312500000008E-2</v>
      </c>
      <c r="CD270" s="39">
        <f t="shared" si="152"/>
        <v>6.113093750000001E-2</v>
      </c>
      <c r="CE270" s="39">
        <f t="shared" ref="CE270:CE293" si="175">$BP270*12*AV270/120</f>
        <v>1.6778644374999998</v>
      </c>
      <c r="CF270" s="37"/>
      <c r="CG270" s="39">
        <f t="shared" si="153"/>
        <v>2.2128846153846156</v>
      </c>
      <c r="CH270" s="39">
        <f t="shared" si="150"/>
        <v>3.694304297694845</v>
      </c>
      <c r="CI270" s="37"/>
      <c r="CJ270" s="37"/>
      <c r="CK270" s="39">
        <f t="shared" si="172"/>
        <v>1.913384077558318E-2</v>
      </c>
      <c r="CL270" s="39">
        <f t="shared" ref="CL270:CL277" si="176">BP270*(12*AG270+AH270)/100</f>
        <v>0.65086468750000004</v>
      </c>
      <c r="CM270" s="39">
        <f t="shared" si="173"/>
        <v>6.7610744790046584E-2</v>
      </c>
      <c r="CN270" s="37"/>
      <c r="CO270" s="39">
        <f>0.063495+(0.016949+0.014096)*Wages!P268+1.22592*BR270</f>
        <v>0.46573159456368124</v>
      </c>
      <c r="CP270" s="39"/>
      <c r="CQ270" s="39">
        <f t="shared" si="126"/>
        <v>0.46573159456368124</v>
      </c>
      <c r="CR270" s="39">
        <f t="shared" si="135"/>
        <v>0.1686839402775413</v>
      </c>
      <c r="CS270" s="39">
        <f t="shared" si="135"/>
        <v>0.7882425286523701</v>
      </c>
      <c r="CT270" s="39">
        <f t="shared" si="164"/>
        <v>1.8836278357106644</v>
      </c>
      <c r="CU270" s="39">
        <f t="shared" si="164"/>
        <v>1.0623153618906944</v>
      </c>
      <c r="CV270" s="39">
        <f t="shared" si="164"/>
        <v>8.5583312500000008E-2</v>
      </c>
      <c r="CW270" s="39">
        <f t="shared" si="164"/>
        <v>6.113093750000001E-2</v>
      </c>
      <c r="CX270" s="39"/>
      <c r="CY270" s="39"/>
      <c r="CZ270" s="39">
        <f t="shared" si="167"/>
        <v>9.7639950493913705E-2</v>
      </c>
      <c r="DA270" s="39">
        <f t="shared" si="134"/>
        <v>3.694304297694845</v>
      </c>
      <c r="DB270" s="39">
        <v>4</v>
      </c>
      <c r="DC270" s="39">
        <f t="shared" si="168"/>
        <v>1.9488908580471735</v>
      </c>
      <c r="DD270" s="39">
        <f t="shared" si="156"/>
        <v>2.2128846153846156</v>
      </c>
      <c r="DE270" s="39">
        <f t="shared" si="174"/>
        <v>1.913384077558318E-2</v>
      </c>
      <c r="DF270" s="37"/>
      <c r="DG270" s="39">
        <f t="shared" si="169"/>
        <v>0.65086468750000004</v>
      </c>
      <c r="DH270" s="39">
        <f t="shared" si="170"/>
        <v>2.1659317155969191</v>
      </c>
      <c r="DI270" s="37"/>
      <c r="DJ270" s="37"/>
      <c r="DK270" s="37"/>
      <c r="DL270" s="37"/>
      <c r="DM270" s="39">
        <f t="shared" si="127"/>
        <v>0.48885232636380144</v>
      </c>
      <c r="DN270" s="39"/>
      <c r="DO270" s="39">
        <f t="shared" si="128"/>
        <v>0.48885232636380144</v>
      </c>
      <c r="DP270" s="37"/>
      <c r="DQ270" s="37">
        <f>DO270/'Conversions, Sources &amp; Comments'!E268</f>
        <v>0.67972861925965256</v>
      </c>
    </row>
    <row r="271" spans="1:121">
      <c r="A271" s="42">
        <f t="shared" si="171"/>
        <v>1519</v>
      </c>
      <c r="B271" s="36"/>
      <c r="C271" s="38">
        <v>7</v>
      </c>
      <c r="D271" s="38">
        <v>2</v>
      </c>
      <c r="E271" s="38">
        <v>3</v>
      </c>
      <c r="F271" s="38">
        <v>11.75</v>
      </c>
      <c r="G271" s="38">
        <v>2</v>
      </c>
      <c r="H271" s="38">
        <v>3.75</v>
      </c>
      <c r="I271" s="38">
        <v>3</v>
      </c>
      <c r="J271" s="38">
        <v>6.5</v>
      </c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8">
        <v>7.14</v>
      </c>
      <c r="V271" s="36"/>
      <c r="W271" s="36"/>
      <c r="X271" s="38">
        <v>10</v>
      </c>
      <c r="Y271" s="38">
        <v>8</v>
      </c>
      <c r="Z271" s="38">
        <v>1</v>
      </c>
      <c r="AA271" s="38">
        <v>1.5</v>
      </c>
      <c r="AB271" s="36"/>
      <c r="AC271" s="38">
        <v>0</v>
      </c>
      <c r="AD271" s="38">
        <v>6.75</v>
      </c>
      <c r="AE271" s="38">
        <v>0</v>
      </c>
      <c r="AF271" s="38">
        <v>7.75</v>
      </c>
      <c r="AG271" s="38">
        <v>8</v>
      </c>
      <c r="AH271" s="38">
        <v>0</v>
      </c>
      <c r="AI271" s="38">
        <v>2</v>
      </c>
      <c r="AJ271" s="38">
        <v>0</v>
      </c>
      <c r="AK271" s="36"/>
      <c r="AL271" s="36"/>
      <c r="AM271" s="38">
        <v>9</v>
      </c>
      <c r="AN271" s="38">
        <v>2</v>
      </c>
      <c r="AO271" s="38">
        <v>1</v>
      </c>
      <c r="AP271" s="38">
        <v>4</v>
      </c>
      <c r="AQ271" s="38">
        <v>1</v>
      </c>
      <c r="AR271" s="38">
        <v>3.25</v>
      </c>
      <c r="AS271" s="36"/>
      <c r="AT271" s="36"/>
      <c r="AU271" s="36"/>
      <c r="AV271" s="38">
        <v>19</v>
      </c>
      <c r="AW271" s="38">
        <v>2.33</v>
      </c>
      <c r="AX271" s="38">
        <v>5.8</v>
      </c>
      <c r="AY271" s="38">
        <v>6.75</v>
      </c>
      <c r="AZ271" s="36"/>
      <c r="BA271" s="38">
        <v>53.33</v>
      </c>
      <c r="BB271" s="38">
        <v>66</v>
      </c>
      <c r="BC271" s="36"/>
      <c r="BD271" s="36"/>
      <c r="BE271" s="36"/>
      <c r="BF271" s="36"/>
      <c r="BG271" s="59">
        <v>12.01</v>
      </c>
      <c r="BH271" s="59">
        <v>0.57999999999999996</v>
      </c>
      <c r="BI271" s="59">
        <v>7.7378326870019817E-2</v>
      </c>
      <c r="BJ271" s="59"/>
      <c r="BK271" s="38">
        <v>1.1880000000000002</v>
      </c>
      <c r="BL271" s="59">
        <v>0.77</v>
      </c>
      <c r="BM271" s="38"/>
      <c r="BN271" s="38">
        <v>40</v>
      </c>
      <c r="BO271" s="36"/>
      <c r="BP271" s="39">
        <f t="shared" si="165"/>
        <v>0.71918750000000009</v>
      </c>
      <c r="BQ271" s="37"/>
      <c r="BR271" s="39">
        <f t="shared" si="166"/>
        <v>0.21940137422668712</v>
      </c>
      <c r="BS271" s="37"/>
      <c r="BT271" s="37"/>
      <c r="BU271" s="39">
        <f>$BP271*12*AY271/(12*(45/36)*0.9144)</f>
        <v>4.2471702755905518</v>
      </c>
      <c r="BV271" s="39">
        <f t="shared" si="124"/>
        <v>0.36767588434360637</v>
      </c>
      <c r="BW271" s="39">
        <f t="shared" si="161"/>
        <v>0.7882425286523701</v>
      </c>
      <c r="BX271" s="39">
        <f t="shared" si="125"/>
        <v>8.1609510860584225E-2</v>
      </c>
      <c r="BY271" s="39">
        <f t="shared" si="160"/>
        <v>1.7837306158397856</v>
      </c>
      <c r="BZ271" s="37"/>
      <c r="CA271" s="39">
        <f t="shared" si="162"/>
        <v>1.8836278357106644</v>
      </c>
      <c r="CB271" s="39">
        <f t="shared" si="163"/>
        <v>1.220869893516171</v>
      </c>
      <c r="CC271" s="39">
        <f t="shared" si="144"/>
        <v>8.5583312500000008E-2</v>
      </c>
      <c r="CD271" s="39">
        <f t="shared" si="152"/>
        <v>7.9110625000000018E-2</v>
      </c>
      <c r="CE271" s="39">
        <f t="shared" si="175"/>
        <v>1.3664562499999999</v>
      </c>
      <c r="CF271" s="37"/>
      <c r="CG271" s="39">
        <f t="shared" si="153"/>
        <v>2.5290109890109895</v>
      </c>
      <c r="CH271" s="39">
        <f t="shared" si="150"/>
        <v>3.694304297694845</v>
      </c>
      <c r="CI271" s="37"/>
      <c r="CJ271" s="37"/>
      <c r="CK271" s="39">
        <f t="shared" si="172"/>
        <v>1.7220456698024862E-2</v>
      </c>
      <c r="CL271" s="39">
        <f t="shared" si="176"/>
        <v>0.69042000000000003</v>
      </c>
      <c r="CM271" s="39">
        <f t="shared" si="173"/>
        <v>6.0849670311041923E-2</v>
      </c>
      <c r="CN271" s="37"/>
      <c r="CO271" s="39">
        <f>0.063495+(0.016949+0.014096)*Wages!P269+1.22592*BR271</f>
        <v>0.51108094019198025</v>
      </c>
      <c r="CP271" s="39"/>
      <c r="CQ271" s="39">
        <f t="shared" si="126"/>
        <v>0.51108094019198025</v>
      </c>
      <c r="CR271" s="39">
        <f t="shared" si="135"/>
        <v>0.36767588434360637</v>
      </c>
      <c r="CS271" s="39">
        <f t="shared" si="135"/>
        <v>0.7882425286523701</v>
      </c>
      <c r="CT271" s="39">
        <f t="shared" si="164"/>
        <v>1.8836278357106644</v>
      </c>
      <c r="CU271" s="39">
        <f t="shared" si="164"/>
        <v>1.220869893516171</v>
      </c>
      <c r="CV271" s="39">
        <f t="shared" si="164"/>
        <v>8.5583312500000008E-2</v>
      </c>
      <c r="CW271" s="39">
        <f t="shared" si="164"/>
        <v>7.9110625000000018E-2</v>
      </c>
      <c r="CX271" s="39"/>
      <c r="CY271" s="39"/>
      <c r="CZ271" s="39">
        <f t="shared" si="167"/>
        <v>8.1609510860584225E-2</v>
      </c>
      <c r="DA271" s="39">
        <f t="shared" si="134"/>
        <v>3.694304297694845</v>
      </c>
      <c r="DB271" s="39">
        <f>BU271</f>
        <v>4.2471702755905518</v>
      </c>
      <c r="DC271" s="39">
        <f t="shared" si="168"/>
        <v>1.7837306158397856</v>
      </c>
      <c r="DD271" s="39">
        <f t="shared" si="156"/>
        <v>2.5290109890109895</v>
      </c>
      <c r="DE271" s="39">
        <f t="shared" si="174"/>
        <v>1.7220456698024862E-2</v>
      </c>
      <c r="DF271" s="37"/>
      <c r="DG271" s="39">
        <f t="shared" si="169"/>
        <v>0.69042000000000003</v>
      </c>
      <c r="DH271" s="39">
        <f t="shared" si="170"/>
        <v>1.9493385440372268</v>
      </c>
      <c r="DI271" s="37"/>
      <c r="DJ271" s="37"/>
      <c r="DK271" s="37"/>
      <c r="DL271" s="37"/>
      <c r="DM271" s="39">
        <f t="shared" si="127"/>
        <v>0.52995513774599179</v>
      </c>
      <c r="DN271" s="39"/>
      <c r="DO271" s="39">
        <f t="shared" si="128"/>
        <v>0.52995513774599179</v>
      </c>
      <c r="DP271" s="37"/>
      <c r="DQ271" s="37">
        <f>DO271/'Conversions, Sources &amp; Comments'!E269</f>
        <v>0.7368803514326816</v>
      </c>
    </row>
    <row r="272" spans="1:121">
      <c r="A272" s="42">
        <f t="shared" si="171"/>
        <v>1520</v>
      </c>
      <c r="B272" s="36"/>
      <c r="C272" s="38">
        <v>9</v>
      </c>
      <c r="D272" s="38">
        <v>4.25</v>
      </c>
      <c r="E272" s="38">
        <v>5</v>
      </c>
      <c r="F272" s="38">
        <v>2</v>
      </c>
      <c r="G272" s="38">
        <v>3</v>
      </c>
      <c r="H272" s="38">
        <v>4</v>
      </c>
      <c r="I272" s="38">
        <v>4</v>
      </c>
      <c r="J272" s="38">
        <v>11</v>
      </c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8">
        <v>7.14</v>
      </c>
      <c r="V272" s="36"/>
      <c r="W272" s="36"/>
      <c r="X272" s="38">
        <v>8</v>
      </c>
      <c r="Y272" s="38">
        <v>11.25</v>
      </c>
      <c r="Z272" s="38">
        <v>1</v>
      </c>
      <c r="AA272" s="38">
        <v>3</v>
      </c>
      <c r="AB272" s="36"/>
      <c r="AC272" s="38">
        <v>0</v>
      </c>
      <c r="AD272" s="38">
        <v>7.5</v>
      </c>
      <c r="AE272" s="38">
        <v>0</v>
      </c>
      <c r="AF272" s="38">
        <v>7.75</v>
      </c>
      <c r="AG272" s="38">
        <v>8</v>
      </c>
      <c r="AH272" s="38">
        <v>2</v>
      </c>
      <c r="AI272" s="36"/>
      <c r="AJ272" s="36"/>
      <c r="AK272" s="36"/>
      <c r="AL272" s="36"/>
      <c r="AM272" s="38">
        <v>9</v>
      </c>
      <c r="AN272" s="38">
        <v>11.25</v>
      </c>
      <c r="AO272" s="38">
        <v>1</v>
      </c>
      <c r="AP272" s="38">
        <v>2.5</v>
      </c>
      <c r="AQ272" s="38">
        <v>1</v>
      </c>
      <c r="AR272" s="38">
        <v>3</v>
      </c>
      <c r="AS272" s="36"/>
      <c r="AT272" s="36"/>
      <c r="AU272" s="36"/>
      <c r="AV272" s="38">
        <v>26.67</v>
      </c>
      <c r="AW272" s="38">
        <v>2.33</v>
      </c>
      <c r="AX272" s="38">
        <v>6.6</v>
      </c>
      <c r="AY272" s="38">
        <v>5.5</v>
      </c>
      <c r="AZ272" s="38">
        <v>40</v>
      </c>
      <c r="BA272" s="38">
        <v>90.08</v>
      </c>
      <c r="BB272" s="38">
        <v>81.400000000000006</v>
      </c>
      <c r="BC272" s="36"/>
      <c r="BD272" s="36"/>
      <c r="BE272" s="36"/>
      <c r="BF272" s="36"/>
      <c r="BG272" s="59">
        <v>5.68</v>
      </c>
      <c r="BH272" s="59">
        <v>0.57999999999999996</v>
      </c>
      <c r="BI272" s="59">
        <v>0.10777695528324104</v>
      </c>
      <c r="BJ272" s="59"/>
      <c r="BK272" s="38">
        <v>1.1880000000000002</v>
      </c>
      <c r="BL272" s="59">
        <v>0.95</v>
      </c>
      <c r="BM272" s="38"/>
      <c r="BN272" s="38">
        <v>40</v>
      </c>
      <c r="BO272" s="36"/>
      <c r="BP272" s="39">
        <f t="shared" si="165"/>
        <v>0.71918750000000009</v>
      </c>
      <c r="BQ272" s="37"/>
      <c r="BR272" s="39">
        <f t="shared" si="166"/>
        <v>0.28636981694122826</v>
      </c>
      <c r="BS272" s="37"/>
      <c r="BT272" s="39">
        <f>BP272*12*AZ272/(24*0.9144)</f>
        <v>15.730260279965007</v>
      </c>
      <c r="BU272" s="39">
        <f>$BP272*12*AY272/(12*(45/36)*0.9144)</f>
        <v>3.460657261592301</v>
      </c>
      <c r="BV272" s="39">
        <f t="shared" ref="BV272:BV335" si="177">$BP272*12*$BG272/(8*35.238)</f>
        <v>0.17388834496849989</v>
      </c>
      <c r="BW272" s="39">
        <f t="shared" si="161"/>
        <v>0.7882425286523701</v>
      </c>
      <c r="BX272" s="39">
        <f t="shared" ref="BX272:BX335" si="178">$BP272*240*$BI272/(36*4.546)</f>
        <v>0.11367039012724141</v>
      </c>
      <c r="BY272" s="39">
        <f t="shared" si="160"/>
        <v>1.9819229064886508</v>
      </c>
      <c r="BZ272" s="37"/>
      <c r="CA272" s="39">
        <f t="shared" si="162"/>
        <v>1.8836278357106644</v>
      </c>
      <c r="CB272" s="39">
        <f t="shared" si="163"/>
        <v>1.5062680504420292</v>
      </c>
      <c r="CC272" s="39">
        <f t="shared" si="144"/>
        <v>8.5583312500000008E-2</v>
      </c>
      <c r="CD272" s="39">
        <f t="shared" si="152"/>
        <v>8.5763109375000007E-2</v>
      </c>
      <c r="CE272" s="39">
        <f t="shared" si="175"/>
        <v>1.9180730625000002</v>
      </c>
      <c r="CF272" s="37"/>
      <c r="CG272" s="39">
        <f t="shared" si="153"/>
        <v>2.2919162087912093</v>
      </c>
      <c r="CH272" s="39">
        <f t="shared" si="150"/>
        <v>3.694304297694845</v>
      </c>
      <c r="CI272" s="37"/>
      <c r="CJ272" s="37"/>
      <c r="CK272" s="39">
        <f t="shared" si="172"/>
        <v>1.913384077558318E-2</v>
      </c>
      <c r="CL272" s="39">
        <f t="shared" si="176"/>
        <v>0.70480375000000006</v>
      </c>
      <c r="CM272" s="39">
        <f t="shared" si="173"/>
        <v>6.7610744790046584E-2</v>
      </c>
      <c r="CN272" s="37"/>
      <c r="CO272" s="39">
        <f>0.063495+(0.016949+0.014096)*Wages!P270+1.22592*BR272</f>
        <v>0.59317889348459052</v>
      </c>
      <c r="CP272" s="39"/>
      <c r="CQ272" s="39">
        <f t="shared" ref="CQ272:CQ296" si="179">CO272</f>
        <v>0.59317889348459052</v>
      </c>
      <c r="CR272" s="39">
        <f t="shared" si="135"/>
        <v>0.17388834496849989</v>
      </c>
      <c r="CS272" s="39">
        <f t="shared" si="135"/>
        <v>0.7882425286523701</v>
      </c>
      <c r="CT272" s="39">
        <f t="shared" si="164"/>
        <v>1.8836278357106644</v>
      </c>
      <c r="CU272" s="39">
        <f t="shared" si="164"/>
        <v>1.5062680504420292</v>
      </c>
      <c r="CV272" s="39">
        <f t="shared" si="164"/>
        <v>8.5583312500000008E-2</v>
      </c>
      <c r="CW272" s="39">
        <f t="shared" si="164"/>
        <v>8.5763109375000007E-2</v>
      </c>
      <c r="CX272" s="39"/>
      <c r="CY272" s="39"/>
      <c r="CZ272" s="39">
        <f t="shared" si="167"/>
        <v>0.11367039012724141</v>
      </c>
      <c r="DA272" s="39">
        <f t="shared" si="134"/>
        <v>3.694304297694845</v>
      </c>
      <c r="DB272" s="39">
        <f>BU272</f>
        <v>3.460657261592301</v>
      </c>
      <c r="DC272" s="39">
        <f t="shared" si="168"/>
        <v>1.9819229064886508</v>
      </c>
      <c r="DD272" s="39">
        <f t="shared" si="156"/>
        <v>2.2919162087912093</v>
      </c>
      <c r="DE272" s="39">
        <f t="shared" si="174"/>
        <v>1.913384077558318E-2</v>
      </c>
      <c r="DF272" s="37"/>
      <c r="DG272" s="39">
        <f t="shared" si="169"/>
        <v>0.70480375000000006</v>
      </c>
      <c r="DH272" s="39">
        <f t="shared" si="170"/>
        <v>2.1659317155969191</v>
      </c>
      <c r="DI272" s="37"/>
      <c r="DJ272" s="37"/>
      <c r="DK272" s="37"/>
      <c r="DL272" s="37"/>
      <c r="DM272" s="39">
        <f t="shared" ref="DM272:DM335" si="180">($CQ$6*$CQ272+$CR$6*$CR272+$CS$6*$CS272+$CT$6*$CT272+$CU$6*$CU272+$CV$6*$CV272+$CZ$6*$CZ272+$DA$6*$DA272+$DB$6*$DB272+$DC$6*$DC272+$DD$6*$DD272+$DH$6*$DH272)/414.8987</f>
        <v>0.55220943791424593</v>
      </c>
      <c r="DN272" s="39"/>
      <c r="DO272" s="39">
        <f t="shared" ref="DO272:DO335" si="181">($CQ$6*$CQ272+$CR$6*$CR272+$CS$6*$CS272+$CT$6*$CT272+$CU$6*$CU272+$CV$6*$CV272+$CZ$6*$CZ272+$DA$6*$DA272+$DB$6*$DB272+$DC$6*$DC272+$DD$6*$DD272+$DH$6*$DH272)/414.8987</f>
        <v>0.55220943791424593</v>
      </c>
      <c r="DP272" s="37"/>
      <c r="DQ272" s="37">
        <f>DO272/'Conversions, Sources &amp; Comments'!E270</f>
        <v>0.76782402073763223</v>
      </c>
    </row>
    <row r="273" spans="1:121">
      <c r="A273" s="42">
        <f t="shared" si="171"/>
        <v>1521</v>
      </c>
      <c r="B273" s="36"/>
      <c r="C273" s="38">
        <v>7</v>
      </c>
      <c r="D273" s="38">
        <v>8.5</v>
      </c>
      <c r="E273" s="38">
        <v>5</v>
      </c>
      <c r="F273" s="38">
        <v>9.5</v>
      </c>
      <c r="G273" s="38">
        <v>2</v>
      </c>
      <c r="H273" s="38">
        <v>8</v>
      </c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8">
        <v>9</v>
      </c>
      <c r="V273" s="36"/>
      <c r="W273" s="36"/>
      <c r="X273" s="38">
        <v>9</v>
      </c>
      <c r="Y273" s="38">
        <v>8.5</v>
      </c>
      <c r="Z273" s="38">
        <v>1</v>
      </c>
      <c r="AA273" s="38">
        <v>2</v>
      </c>
      <c r="AB273" s="36"/>
      <c r="AC273" s="38">
        <v>0</v>
      </c>
      <c r="AD273" s="38">
        <v>6</v>
      </c>
      <c r="AE273" s="38">
        <v>0</v>
      </c>
      <c r="AF273" s="38">
        <v>7.75</v>
      </c>
      <c r="AG273" s="38">
        <v>8</v>
      </c>
      <c r="AH273" s="38">
        <v>0</v>
      </c>
      <c r="AI273" s="36"/>
      <c r="AJ273" s="36"/>
      <c r="AK273" s="36"/>
      <c r="AL273" s="36"/>
      <c r="AM273" s="36"/>
      <c r="AN273" s="36"/>
      <c r="AO273" s="38">
        <v>1</v>
      </c>
      <c r="AP273" s="38">
        <v>7</v>
      </c>
      <c r="AQ273" s="38">
        <v>1</v>
      </c>
      <c r="AR273" s="38">
        <v>8</v>
      </c>
      <c r="AS273" s="36"/>
      <c r="AT273" s="36"/>
      <c r="AU273" s="36"/>
      <c r="AV273" s="38">
        <v>22</v>
      </c>
      <c r="AW273" s="38">
        <v>2.33</v>
      </c>
      <c r="AX273" s="38">
        <v>5.5</v>
      </c>
      <c r="AY273" s="38">
        <v>5</v>
      </c>
      <c r="AZ273" s="36"/>
      <c r="BA273" s="38">
        <v>65.39</v>
      </c>
      <c r="BB273" s="38">
        <v>48</v>
      </c>
      <c r="BC273" s="36"/>
      <c r="BD273" s="36"/>
      <c r="BE273" s="36"/>
      <c r="BF273" s="36"/>
      <c r="BG273" s="59">
        <v>5.68</v>
      </c>
      <c r="BH273" s="59">
        <v>0.57999999999999996</v>
      </c>
      <c r="BI273" s="59">
        <v>9.2577641076631273E-2</v>
      </c>
      <c r="BJ273" s="59"/>
      <c r="BK273" s="38">
        <v>1.1880000000000002</v>
      </c>
      <c r="BL273" s="59">
        <v>0.81</v>
      </c>
      <c r="BM273" s="38"/>
      <c r="BN273" s="38">
        <v>40</v>
      </c>
      <c r="BO273" s="36"/>
      <c r="BP273" s="39">
        <f t="shared" si="165"/>
        <v>0.71918750000000009</v>
      </c>
      <c r="BQ273" s="37"/>
      <c r="BR273" s="39">
        <f t="shared" si="166"/>
        <v>0.23598403623219252</v>
      </c>
      <c r="BS273" s="37"/>
      <c r="BT273" s="37"/>
      <c r="BU273" s="39">
        <f>$BP273*12*AY273/(12*(45/36)*0.9144)</f>
        <v>3.1460520559930014</v>
      </c>
      <c r="BV273" s="39">
        <f t="shared" si="177"/>
        <v>0.17388834496849989</v>
      </c>
      <c r="BW273" s="39">
        <f t="shared" si="161"/>
        <v>0.7882425286523701</v>
      </c>
      <c r="BX273" s="39">
        <f t="shared" si="178"/>
        <v>9.7639950493913705E-2</v>
      </c>
      <c r="BY273" s="39">
        <f t="shared" si="160"/>
        <v>1.8497947127227408</v>
      </c>
      <c r="BZ273" s="37"/>
      <c r="CA273" s="39">
        <f t="shared" si="162"/>
        <v>1.8836278357106644</v>
      </c>
      <c r="CB273" s="39">
        <f t="shared" si="163"/>
        <v>1.2842917061663619</v>
      </c>
      <c r="CC273" s="39">
        <f t="shared" si="144"/>
        <v>0.10787812500000002</v>
      </c>
      <c r="CD273" s="37"/>
      <c r="CE273" s="39">
        <f t="shared" si="175"/>
        <v>1.5822125</v>
      </c>
      <c r="CF273" s="37"/>
      <c r="CG273" s="39">
        <f t="shared" si="153"/>
        <v>3.00320054945055</v>
      </c>
      <c r="CH273" s="39">
        <f t="shared" si="150"/>
        <v>3.694304297694845</v>
      </c>
      <c r="CI273" s="37"/>
      <c r="CJ273" s="37"/>
      <c r="CK273" s="39">
        <f t="shared" si="172"/>
        <v>1.5307072620466542E-2</v>
      </c>
      <c r="CL273" s="39">
        <f t="shared" si="176"/>
        <v>0.69042000000000003</v>
      </c>
      <c r="CM273" s="39">
        <f t="shared" si="173"/>
        <v>5.4088595832037255E-2</v>
      </c>
      <c r="CN273" s="37"/>
      <c r="CO273" s="39">
        <f>0.063495+(0.016949+0.014096)*Wages!P271+1.22592*BR273</f>
        <v>0.5314099571977694</v>
      </c>
      <c r="CP273" s="39"/>
      <c r="CQ273" s="39">
        <f t="shared" si="179"/>
        <v>0.5314099571977694</v>
      </c>
      <c r="CR273" s="39">
        <f t="shared" si="135"/>
        <v>0.17388834496849989</v>
      </c>
      <c r="CS273" s="39">
        <f t="shared" si="135"/>
        <v>0.7882425286523701</v>
      </c>
      <c r="CT273" s="39">
        <f t="shared" si="164"/>
        <v>1.8836278357106644</v>
      </c>
      <c r="CU273" s="39">
        <f t="shared" si="164"/>
        <v>1.2842917061663619</v>
      </c>
      <c r="CV273" s="39">
        <f t="shared" si="164"/>
        <v>0.10787812500000002</v>
      </c>
      <c r="CW273" s="39">
        <v>0.09</v>
      </c>
      <c r="CX273" s="39"/>
      <c r="CY273" s="39"/>
      <c r="CZ273" s="39">
        <f t="shared" si="167"/>
        <v>9.7639950493913705E-2</v>
      </c>
      <c r="DA273" s="39">
        <f t="shared" si="134"/>
        <v>3.694304297694845</v>
      </c>
      <c r="DB273" s="39">
        <f>BU273</f>
        <v>3.1460520559930014</v>
      </c>
      <c r="DC273" s="39">
        <f t="shared" si="168"/>
        <v>1.8497947127227408</v>
      </c>
      <c r="DD273" s="39">
        <f t="shared" si="156"/>
        <v>3.00320054945055</v>
      </c>
      <c r="DE273" s="39">
        <f t="shared" si="174"/>
        <v>1.5307072620466542E-2</v>
      </c>
      <c r="DF273" s="37"/>
      <c r="DG273" s="39">
        <f t="shared" si="169"/>
        <v>0.69042000000000003</v>
      </c>
      <c r="DH273" s="39">
        <f t="shared" si="170"/>
        <v>1.7327453724775348</v>
      </c>
      <c r="DI273" s="37"/>
      <c r="DJ273" s="37"/>
      <c r="DK273" s="37"/>
      <c r="DL273" s="37"/>
      <c r="DM273" s="39">
        <f t="shared" si="180"/>
        <v>0.51271164021237059</v>
      </c>
      <c r="DN273" s="39"/>
      <c r="DO273" s="39">
        <f t="shared" si="181"/>
        <v>0.51271164021237059</v>
      </c>
      <c r="DP273" s="37"/>
      <c r="DQ273" s="37">
        <f>DO273/'Conversions, Sources &amp; Comments'!E271</f>
        <v>0.71290399264777338</v>
      </c>
    </row>
    <row r="274" spans="1:121">
      <c r="A274" s="42">
        <f t="shared" si="171"/>
        <v>1522</v>
      </c>
      <c r="B274" s="36"/>
      <c r="C274" s="38">
        <v>6</v>
      </c>
      <c r="D274" s="38">
        <v>0.25</v>
      </c>
      <c r="E274" s="38">
        <v>3</v>
      </c>
      <c r="F274" s="38">
        <v>11</v>
      </c>
      <c r="G274" s="38">
        <v>2</v>
      </c>
      <c r="H274" s="38">
        <v>1.5</v>
      </c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8">
        <v>9</v>
      </c>
      <c r="V274" s="36"/>
      <c r="W274" s="36"/>
      <c r="X274" s="38">
        <v>6</v>
      </c>
      <c r="Y274" s="38">
        <v>0</v>
      </c>
      <c r="Z274" s="38">
        <v>1</v>
      </c>
      <c r="AA274" s="38">
        <v>3</v>
      </c>
      <c r="AB274" s="36"/>
      <c r="AC274" s="38">
        <v>0</v>
      </c>
      <c r="AD274" s="38">
        <v>7</v>
      </c>
      <c r="AE274" s="38">
        <v>0</v>
      </c>
      <c r="AF274" s="38">
        <v>7.75</v>
      </c>
      <c r="AG274" s="38">
        <v>8</v>
      </c>
      <c r="AH274" s="38">
        <v>0</v>
      </c>
      <c r="AI274" s="36"/>
      <c r="AJ274" s="36"/>
      <c r="AK274" s="36"/>
      <c r="AL274" s="36"/>
      <c r="AM274" s="38">
        <v>11</v>
      </c>
      <c r="AN274" s="38">
        <v>11.25</v>
      </c>
      <c r="AO274" s="38">
        <v>1</v>
      </c>
      <c r="AP274" s="38">
        <v>2.5</v>
      </c>
      <c r="AQ274" s="36"/>
      <c r="AR274" s="36"/>
      <c r="AS274" s="36"/>
      <c r="AT274" s="36"/>
      <c r="AU274" s="36"/>
      <c r="AV274" s="38">
        <v>30</v>
      </c>
      <c r="AW274" s="38">
        <v>2.33</v>
      </c>
      <c r="AX274" s="38">
        <v>6</v>
      </c>
      <c r="AY274" s="36"/>
      <c r="AZ274" s="36"/>
      <c r="BA274" s="38">
        <v>70.77</v>
      </c>
      <c r="BB274" s="36"/>
      <c r="BC274" s="36"/>
      <c r="BD274" s="36"/>
      <c r="BE274" s="36"/>
      <c r="BF274" s="36"/>
      <c r="BG274" s="59">
        <v>5.85</v>
      </c>
      <c r="BH274" s="59">
        <v>0.57999999999999996</v>
      </c>
      <c r="BI274" s="59">
        <v>7.185130352216125E-2</v>
      </c>
      <c r="BJ274" s="59"/>
      <c r="BK274" s="38">
        <v>1.2015</v>
      </c>
      <c r="BL274" s="59">
        <v>0.47</v>
      </c>
      <c r="BM274" s="36"/>
      <c r="BN274" s="38">
        <v>40</v>
      </c>
      <c r="BO274" s="36"/>
      <c r="BP274" s="39">
        <f t="shared" si="165"/>
        <v>0.71918750000000009</v>
      </c>
      <c r="BQ274" s="37"/>
      <c r="BR274" s="39">
        <f t="shared" si="166"/>
        <v>0.18432266613811799</v>
      </c>
      <c r="BS274" s="37"/>
      <c r="BT274" s="37"/>
      <c r="BU274" s="37"/>
      <c r="BV274" s="39">
        <f t="shared" si="177"/>
        <v>0.17909274965945854</v>
      </c>
      <c r="BW274" s="39">
        <f t="shared" si="161"/>
        <v>0.7882425286523701</v>
      </c>
      <c r="BX274" s="39">
        <f t="shared" si="178"/>
        <v>7.5780260084828202E-2</v>
      </c>
      <c r="BY274" s="39">
        <f t="shared" si="160"/>
        <v>1.9819229064886508</v>
      </c>
      <c r="BZ274" s="37"/>
      <c r="CA274" s="39">
        <f t="shared" si="162"/>
        <v>1.9050326974801035</v>
      </c>
      <c r="CB274" s="39">
        <f t="shared" si="163"/>
        <v>0.74520629863974064</v>
      </c>
      <c r="CC274" s="39">
        <f t="shared" si="144"/>
        <v>0.10787812500000002</v>
      </c>
      <c r="CD274" s="39">
        <f>BP274*(12*AM274+AN274)/1000</f>
        <v>0.10302360937500001</v>
      </c>
      <c r="CE274" s="39">
        <f t="shared" si="175"/>
        <v>2.1575625</v>
      </c>
      <c r="CF274" s="37"/>
      <c r="CG274" s="39">
        <f t="shared" si="153"/>
        <v>2.2919162087912093</v>
      </c>
      <c r="CH274" s="39">
        <f t="shared" si="150"/>
        <v>3.694304297694845</v>
      </c>
      <c r="CI274" s="37"/>
      <c r="CJ274" s="37"/>
      <c r="CK274" s="39">
        <f t="shared" si="172"/>
        <v>1.78582513905443E-2</v>
      </c>
      <c r="CL274" s="39">
        <f t="shared" si="176"/>
        <v>0.69042000000000003</v>
      </c>
      <c r="CM274" s="39">
        <f t="shared" si="173"/>
        <v>6.3103361804043467E-2</v>
      </c>
      <c r="CN274" s="37"/>
      <c r="CO274" s="39">
        <f>0.063495+(0.016949+0.014096)*Wages!P272+1.22592*BR274</f>
        <v>0.46807725037204156</v>
      </c>
      <c r="CP274" s="39"/>
      <c r="CQ274" s="39">
        <f t="shared" si="179"/>
        <v>0.46807725037204156</v>
      </c>
      <c r="CR274" s="39">
        <f t="shared" si="135"/>
        <v>0.17909274965945854</v>
      </c>
      <c r="CS274" s="39">
        <f t="shared" si="135"/>
        <v>0.7882425286523701</v>
      </c>
      <c r="CT274" s="39">
        <f t="shared" si="164"/>
        <v>1.9050326974801035</v>
      </c>
      <c r="CU274" s="39">
        <f t="shared" si="164"/>
        <v>0.74520629863974064</v>
      </c>
      <c r="CV274" s="39">
        <f t="shared" si="164"/>
        <v>0.10787812500000002</v>
      </c>
      <c r="CW274" s="39">
        <f>CD274</f>
        <v>0.10302360937500001</v>
      </c>
      <c r="CX274" s="39"/>
      <c r="CY274" s="39"/>
      <c r="CZ274" s="39">
        <f t="shared" si="167"/>
        <v>7.5780260084828202E-2</v>
      </c>
      <c r="DA274" s="39">
        <f t="shared" si="134"/>
        <v>3.694304297694845</v>
      </c>
      <c r="DB274" s="39">
        <v>3.6</v>
      </c>
      <c r="DC274" s="39">
        <f t="shared" si="168"/>
        <v>1.9819229064886508</v>
      </c>
      <c r="DD274" s="39">
        <f t="shared" si="156"/>
        <v>2.2919162087912093</v>
      </c>
      <c r="DE274" s="39">
        <f t="shared" si="174"/>
        <v>1.78582513905443E-2</v>
      </c>
      <c r="DF274" s="37"/>
      <c r="DG274" s="39">
        <f t="shared" si="169"/>
        <v>0.69042000000000003</v>
      </c>
      <c r="DH274" s="39">
        <f t="shared" si="170"/>
        <v>2.0215362678904576</v>
      </c>
      <c r="DI274" s="37"/>
      <c r="DJ274" s="37"/>
      <c r="DK274" s="37"/>
      <c r="DL274" s="37"/>
      <c r="DM274" s="39">
        <f t="shared" si="180"/>
        <v>0.47482663870340752</v>
      </c>
      <c r="DN274" s="39"/>
      <c r="DO274" s="39">
        <f t="shared" si="181"/>
        <v>0.47482663870340752</v>
      </c>
      <c r="DP274" s="37"/>
      <c r="DQ274" s="37">
        <f>DO274/'Conversions, Sources &amp; Comments'!E272</f>
        <v>0.66022648989784649</v>
      </c>
    </row>
    <row r="275" spans="1:121">
      <c r="A275" s="42">
        <f t="shared" si="171"/>
        <v>1523</v>
      </c>
      <c r="B275" s="36"/>
      <c r="C275" s="38">
        <v>5</v>
      </c>
      <c r="D275" s="38">
        <v>6</v>
      </c>
      <c r="E275" s="38">
        <v>3</v>
      </c>
      <c r="F275" s="38">
        <v>0</v>
      </c>
      <c r="G275" s="38">
        <v>2</v>
      </c>
      <c r="H275" s="38">
        <v>3</v>
      </c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8">
        <v>9</v>
      </c>
      <c r="V275" s="36"/>
      <c r="W275" s="36"/>
      <c r="X275" s="38">
        <v>6</v>
      </c>
      <c r="Y275" s="38">
        <v>6</v>
      </c>
      <c r="Z275" s="38">
        <v>1</v>
      </c>
      <c r="AA275" s="38">
        <v>1</v>
      </c>
      <c r="AB275" s="36"/>
      <c r="AC275" s="38">
        <v>0</v>
      </c>
      <c r="AD275" s="38">
        <v>8</v>
      </c>
      <c r="AE275" s="38">
        <v>0</v>
      </c>
      <c r="AF275" s="38">
        <v>7.75</v>
      </c>
      <c r="AG275" s="38">
        <v>8</v>
      </c>
      <c r="AH275" s="38">
        <v>0</v>
      </c>
      <c r="AI275" s="36"/>
      <c r="AJ275" s="36"/>
      <c r="AK275" s="36"/>
      <c r="AL275" s="36"/>
      <c r="AM275" s="36"/>
      <c r="AN275" s="36"/>
      <c r="AO275" s="38">
        <v>1</v>
      </c>
      <c r="AP275" s="38">
        <v>2</v>
      </c>
      <c r="AQ275" s="36"/>
      <c r="AR275" s="36"/>
      <c r="AS275" s="36"/>
      <c r="AT275" s="36"/>
      <c r="AU275" s="36"/>
      <c r="AV275" s="38">
        <v>16.670000000000002</v>
      </c>
      <c r="AW275" s="38">
        <v>2.33</v>
      </c>
      <c r="AX275" s="38">
        <v>5.9</v>
      </c>
      <c r="AY275" s="38">
        <v>6.5</v>
      </c>
      <c r="AZ275" s="38">
        <v>40</v>
      </c>
      <c r="BA275" s="38">
        <v>86.67</v>
      </c>
      <c r="BB275" s="36"/>
      <c r="BC275" s="36"/>
      <c r="BD275" s="36"/>
      <c r="BE275" s="36"/>
      <c r="BF275" s="36"/>
      <c r="BG275" s="59">
        <v>4.18</v>
      </c>
      <c r="BH275" s="59">
        <v>0.57999999999999996</v>
      </c>
      <c r="BI275" s="59">
        <v>5.5270233478585583E-2</v>
      </c>
      <c r="BJ275" s="59"/>
      <c r="BK275" s="38">
        <v>1.0125</v>
      </c>
      <c r="BL275" s="59">
        <v>0.56999999999999995</v>
      </c>
      <c r="BM275" s="38"/>
      <c r="BN275" s="38">
        <v>40</v>
      </c>
      <c r="BO275" s="36"/>
      <c r="BP275" s="39">
        <f t="shared" si="165"/>
        <v>0.71918750000000009</v>
      </c>
      <c r="BQ275" s="37"/>
      <c r="BR275" s="39">
        <f t="shared" si="166"/>
        <v>0.16837779882513199</v>
      </c>
      <c r="BS275" s="37"/>
      <c r="BT275" s="39">
        <f>BP275*12*AZ275/(24*0.9144)</f>
        <v>15.730260279965007</v>
      </c>
      <c r="BU275" s="39">
        <f>$BP275*12*AY275/(12*(45/36)*0.9144)</f>
        <v>4.0898676727909011</v>
      </c>
      <c r="BV275" s="39">
        <f t="shared" si="177"/>
        <v>0.12796712710710029</v>
      </c>
      <c r="BW275" s="39">
        <f t="shared" si="161"/>
        <v>0.7882425286523701</v>
      </c>
      <c r="BX275" s="39">
        <f t="shared" si="178"/>
        <v>5.8292507757560161E-2</v>
      </c>
      <c r="BY275" s="39">
        <f t="shared" si="160"/>
        <v>1.7176665189568305</v>
      </c>
      <c r="BZ275" s="37"/>
      <c r="CA275" s="39">
        <f t="shared" si="162"/>
        <v>1.6053646327079523</v>
      </c>
      <c r="CB275" s="39">
        <f t="shared" si="163"/>
        <v>0.90376083026521736</v>
      </c>
      <c r="CC275" s="39">
        <f t="shared" ref="CC275:CC292" si="182">2*BP275*U275/120</f>
        <v>0.10787812500000002</v>
      </c>
      <c r="CD275" s="37"/>
      <c r="CE275" s="39">
        <f t="shared" si="175"/>
        <v>1.1988855625000001</v>
      </c>
      <c r="CF275" s="37"/>
      <c r="CG275" s="39">
        <f t="shared" si="153"/>
        <v>2.2128846153846156</v>
      </c>
      <c r="CH275" s="39">
        <f t="shared" si="150"/>
        <v>3.694304297694845</v>
      </c>
      <c r="CI275" s="37"/>
      <c r="CJ275" s="37"/>
      <c r="CK275" s="39">
        <f t="shared" si="172"/>
        <v>2.040943016062206E-2</v>
      </c>
      <c r="CL275" s="39">
        <f t="shared" si="176"/>
        <v>0.69042000000000003</v>
      </c>
      <c r="CM275" s="39">
        <f t="shared" si="173"/>
        <v>7.2118127776049687E-2</v>
      </c>
      <c r="CN275" s="37"/>
      <c r="CO275" s="39">
        <f>0.063495+(0.016949+0.014096)*Wages!P273+1.22592*BR275</f>
        <v>0.4485301186357058</v>
      </c>
      <c r="CP275" s="39"/>
      <c r="CQ275" s="39">
        <f t="shared" si="179"/>
        <v>0.4485301186357058</v>
      </c>
      <c r="CR275" s="39">
        <f t="shared" si="135"/>
        <v>0.12796712710710029</v>
      </c>
      <c r="CS275" s="39">
        <f t="shared" si="135"/>
        <v>0.7882425286523701</v>
      </c>
      <c r="CT275" s="39">
        <f t="shared" si="164"/>
        <v>1.6053646327079523</v>
      </c>
      <c r="CU275" s="39">
        <f t="shared" si="164"/>
        <v>0.90376083026521736</v>
      </c>
      <c r="CV275" s="39">
        <f t="shared" si="164"/>
        <v>0.10787812500000002</v>
      </c>
      <c r="CW275" s="39">
        <v>0.12</v>
      </c>
      <c r="CX275" s="39"/>
      <c r="CY275" s="39"/>
      <c r="CZ275" s="39">
        <f t="shared" si="167"/>
        <v>5.8292507757560161E-2</v>
      </c>
      <c r="DA275" s="39">
        <f t="shared" si="134"/>
        <v>3.694304297694845</v>
      </c>
      <c r="DB275" s="39">
        <f>BU275</f>
        <v>4.0898676727909011</v>
      </c>
      <c r="DC275" s="39">
        <f t="shared" si="168"/>
        <v>1.7176665189568305</v>
      </c>
      <c r="DD275" s="39">
        <f t="shared" si="156"/>
        <v>2.2128846153846156</v>
      </c>
      <c r="DE275" s="39">
        <f t="shared" si="174"/>
        <v>2.040943016062206E-2</v>
      </c>
      <c r="DF275" s="37"/>
      <c r="DG275" s="39">
        <f t="shared" si="169"/>
        <v>0.69042000000000003</v>
      </c>
      <c r="DH275" s="39">
        <f t="shared" si="170"/>
        <v>2.3103271633033802</v>
      </c>
      <c r="DI275" s="37"/>
      <c r="DJ275" s="37"/>
      <c r="DK275" s="37"/>
      <c r="DL275" s="37"/>
      <c r="DM275" s="39">
        <f t="shared" si="180"/>
        <v>0.45763707519288788</v>
      </c>
      <c r="DN275" s="39"/>
      <c r="DO275" s="39">
        <f t="shared" si="181"/>
        <v>0.45763707519288788</v>
      </c>
      <c r="DP275" s="37"/>
      <c r="DQ275" s="37">
        <f>DO275/'Conversions, Sources &amp; Comments'!E273</f>
        <v>0.63632512410586639</v>
      </c>
    </row>
    <row r="276" spans="1:121">
      <c r="A276" s="42">
        <f t="shared" si="171"/>
        <v>1524</v>
      </c>
      <c r="B276" s="36"/>
      <c r="C276" s="38">
        <v>5</v>
      </c>
      <c r="D276" s="38">
        <v>1.5</v>
      </c>
      <c r="E276" s="38">
        <v>4</v>
      </c>
      <c r="F276" s="38">
        <v>0</v>
      </c>
      <c r="G276" s="38">
        <v>2</v>
      </c>
      <c r="H276" s="38">
        <v>10.25</v>
      </c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8">
        <v>9</v>
      </c>
      <c r="V276" s="36"/>
      <c r="W276" s="36"/>
      <c r="X276" s="38">
        <v>6</v>
      </c>
      <c r="Y276" s="38">
        <v>7.5</v>
      </c>
      <c r="Z276" s="38">
        <v>1</v>
      </c>
      <c r="AA276" s="38">
        <v>3</v>
      </c>
      <c r="AB276" s="36"/>
      <c r="AC276" s="36"/>
      <c r="AD276" s="36"/>
      <c r="AE276" s="38">
        <v>0</v>
      </c>
      <c r="AF276" s="38">
        <v>7.75</v>
      </c>
      <c r="AG276" s="38">
        <v>8</v>
      </c>
      <c r="AH276" s="38">
        <v>2</v>
      </c>
      <c r="AI276" s="36"/>
      <c r="AJ276" s="36"/>
      <c r="AK276" s="36"/>
      <c r="AL276" s="36"/>
      <c r="AM276" s="38">
        <v>15</v>
      </c>
      <c r="AN276" s="38">
        <v>8</v>
      </c>
      <c r="AO276" s="38">
        <v>1</v>
      </c>
      <c r="AP276" s="38">
        <v>5</v>
      </c>
      <c r="AQ276" s="36"/>
      <c r="AR276" s="36"/>
      <c r="AS276" s="36"/>
      <c r="AT276" s="36"/>
      <c r="AU276" s="36"/>
      <c r="AV276" s="38">
        <v>16</v>
      </c>
      <c r="AW276" s="38">
        <v>2.33</v>
      </c>
      <c r="AX276" s="38">
        <v>6.8</v>
      </c>
      <c r="AY276" s="38">
        <v>6</v>
      </c>
      <c r="AZ276" s="38">
        <v>36</v>
      </c>
      <c r="BA276" s="38">
        <v>86.67</v>
      </c>
      <c r="BB276" s="38">
        <v>72</v>
      </c>
      <c r="BC276" s="36"/>
      <c r="BD276" s="36"/>
      <c r="BE276" s="36"/>
      <c r="BF276" s="36"/>
      <c r="BG276" s="59">
        <v>4.8600000000000003</v>
      </c>
      <c r="BH276" s="59">
        <v>0.57999999999999996</v>
      </c>
      <c r="BI276" s="59">
        <v>7.8760082706984036E-2</v>
      </c>
      <c r="BJ276" s="59"/>
      <c r="BK276" s="38">
        <v>1.1880000000000002</v>
      </c>
      <c r="BL276" s="59">
        <v>0.74</v>
      </c>
      <c r="BM276" s="38"/>
      <c r="BN276" s="38">
        <v>40</v>
      </c>
      <c r="BO276" s="36"/>
      <c r="BP276" s="39">
        <f t="shared" si="165"/>
        <v>0.71918750000000009</v>
      </c>
      <c r="BQ276" s="37"/>
      <c r="BR276" s="39">
        <f t="shared" si="166"/>
        <v>0.15689749435978206</v>
      </c>
      <c r="BS276" s="37"/>
      <c r="BT276" s="39">
        <f>BP276*12*AZ276/(24*0.9144)</f>
        <v>14.157234251968505</v>
      </c>
      <c r="BU276" s="39">
        <f>$BP276*12*AY276/(12*(45/36)*0.9144)</f>
        <v>3.7752624671916015</v>
      </c>
      <c r="BV276" s="39">
        <f t="shared" si="177"/>
        <v>0.14878474587093479</v>
      </c>
      <c r="BW276" s="39">
        <f t="shared" si="161"/>
        <v>0.7882425286523701</v>
      </c>
      <c r="BX276" s="39">
        <f t="shared" si="178"/>
        <v>8.3066823554522787E-2</v>
      </c>
      <c r="BY276" s="39">
        <f t="shared" si="160"/>
        <v>1.9819229064886508</v>
      </c>
      <c r="BZ276" s="37"/>
      <c r="CA276" s="39">
        <f t="shared" si="162"/>
        <v>1.8836278357106644</v>
      </c>
      <c r="CB276" s="39">
        <f t="shared" si="163"/>
        <v>1.1733035340285278</v>
      </c>
      <c r="CC276" s="39">
        <f t="shared" si="182"/>
        <v>0.10787812500000002</v>
      </c>
      <c r="CD276" s="39">
        <f>BP276*(12*AM276+AN276)/1000</f>
        <v>0.13520725000000003</v>
      </c>
      <c r="CE276" s="39">
        <f t="shared" si="175"/>
        <v>1.1507000000000001</v>
      </c>
      <c r="CF276" s="37"/>
      <c r="CG276" s="39">
        <f t="shared" si="153"/>
        <v>2.6870741758241765</v>
      </c>
      <c r="CH276" s="39">
        <f t="shared" si="150"/>
        <v>3.694304297694845</v>
      </c>
      <c r="CI276" s="37"/>
      <c r="CJ276" s="37"/>
      <c r="CK276" s="37"/>
      <c r="CL276" s="39">
        <f t="shared" si="176"/>
        <v>0.70480375000000006</v>
      </c>
      <c r="CM276" s="37"/>
      <c r="CN276" s="37"/>
      <c r="CO276" s="39">
        <f>0.063495+(0.016949+0.014096)*Wages!P274+1.22592*BR276</f>
        <v>0.43445618378554396</v>
      </c>
      <c r="CP276" s="39"/>
      <c r="CQ276" s="39">
        <f t="shared" si="179"/>
        <v>0.43445618378554396</v>
      </c>
      <c r="CR276" s="39">
        <f t="shared" si="135"/>
        <v>0.14878474587093479</v>
      </c>
      <c r="CS276" s="39">
        <f t="shared" si="135"/>
        <v>0.7882425286523701</v>
      </c>
      <c r="CT276" s="39">
        <f t="shared" si="164"/>
        <v>1.8836278357106644</v>
      </c>
      <c r="CU276" s="39">
        <f t="shared" si="164"/>
        <v>1.1733035340285278</v>
      </c>
      <c r="CV276" s="39">
        <f t="shared" si="164"/>
        <v>0.10787812500000002</v>
      </c>
      <c r="CW276" s="39">
        <f>CD276</f>
        <v>0.13520725000000003</v>
      </c>
      <c r="CX276" s="39"/>
      <c r="CY276" s="39"/>
      <c r="CZ276" s="39">
        <f t="shared" si="167"/>
        <v>8.3066823554522787E-2</v>
      </c>
      <c r="DA276" s="39">
        <f t="shared" si="134"/>
        <v>3.694304297694845</v>
      </c>
      <c r="DB276" s="39">
        <f>BU276</f>
        <v>3.7752624671916015</v>
      </c>
      <c r="DC276" s="39">
        <f t="shared" si="168"/>
        <v>1.9819229064886508</v>
      </c>
      <c r="DD276" s="39">
        <f t="shared" si="156"/>
        <v>2.6870741758241765</v>
      </c>
      <c r="DE276" s="39">
        <v>0.02</v>
      </c>
      <c r="DF276" s="37"/>
      <c r="DG276" s="39">
        <f t="shared" si="169"/>
        <v>0.70480375000000006</v>
      </c>
      <c r="DH276" s="39">
        <f t="shared" si="170"/>
        <v>2.2639800769753227</v>
      </c>
      <c r="DI276" s="37"/>
      <c r="DJ276" s="37"/>
      <c r="DK276" s="37"/>
      <c r="DL276" s="37"/>
      <c r="DM276" s="39">
        <f t="shared" si="180"/>
        <v>0.4720834309619209</v>
      </c>
      <c r="DN276" s="39"/>
      <c r="DO276" s="39">
        <f t="shared" si="181"/>
        <v>0.4720834309619209</v>
      </c>
      <c r="DP276" s="37"/>
      <c r="DQ276" s="37">
        <f>DO276/'Conversions, Sources &amp; Comments'!E274</f>
        <v>0.65641217479714375</v>
      </c>
    </row>
    <row r="277" spans="1:121">
      <c r="A277" s="42">
        <f t="shared" si="171"/>
        <v>1525</v>
      </c>
      <c r="B277" s="36"/>
      <c r="C277" s="38">
        <v>5</v>
      </c>
      <c r="D277" s="38">
        <v>5</v>
      </c>
      <c r="E277" s="38">
        <v>4</v>
      </c>
      <c r="F277" s="38">
        <v>3</v>
      </c>
      <c r="G277" s="38">
        <v>2</v>
      </c>
      <c r="H277" s="38">
        <v>4.75</v>
      </c>
      <c r="I277" s="38">
        <v>6</v>
      </c>
      <c r="J277" s="38">
        <v>10</v>
      </c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8">
        <v>9</v>
      </c>
      <c r="V277" s="36"/>
      <c r="W277" s="36"/>
      <c r="X277" s="38">
        <v>7</v>
      </c>
      <c r="Y277" s="38">
        <v>0</v>
      </c>
      <c r="Z277" s="38">
        <v>1</v>
      </c>
      <c r="AA277" s="38">
        <v>2.25</v>
      </c>
      <c r="AB277" s="36"/>
      <c r="AC277" s="38">
        <v>0</v>
      </c>
      <c r="AD277" s="38">
        <v>7.5</v>
      </c>
      <c r="AE277" s="38">
        <v>0</v>
      </c>
      <c r="AF277" s="38">
        <v>7.75</v>
      </c>
      <c r="AG277" s="38">
        <v>8</v>
      </c>
      <c r="AH277" s="38">
        <v>0</v>
      </c>
      <c r="AI277" s="36"/>
      <c r="AJ277" s="36"/>
      <c r="AK277" s="36"/>
      <c r="AL277" s="36"/>
      <c r="AM277" s="38">
        <v>12</v>
      </c>
      <c r="AN277" s="38">
        <v>6</v>
      </c>
      <c r="AO277" s="38">
        <v>1</v>
      </c>
      <c r="AP277" s="38">
        <v>3.5</v>
      </c>
      <c r="AQ277" s="36"/>
      <c r="AR277" s="36"/>
      <c r="AS277" s="36"/>
      <c r="AT277" s="36"/>
      <c r="AU277" s="36"/>
      <c r="AV277" s="38">
        <v>26.33</v>
      </c>
      <c r="AW277" s="38">
        <v>2.33</v>
      </c>
      <c r="AX277" s="38">
        <v>7</v>
      </c>
      <c r="AY277" s="38">
        <v>5.25</v>
      </c>
      <c r="AZ277" s="38">
        <v>36.9</v>
      </c>
      <c r="BA277" s="38">
        <v>78.44</v>
      </c>
      <c r="BB277" s="38">
        <v>80</v>
      </c>
      <c r="BC277" s="36"/>
      <c r="BD277" s="36"/>
      <c r="BE277" s="36"/>
      <c r="BF277" s="36"/>
      <c r="BG277" s="59">
        <v>6.72</v>
      </c>
      <c r="BH277" s="59">
        <v>0.57999999999999996</v>
      </c>
      <c r="BI277" s="59">
        <v>7.7378326870019817E-2</v>
      </c>
      <c r="BJ277" s="59"/>
      <c r="BK277" s="38">
        <v>1.4310000000000003</v>
      </c>
      <c r="BL277" s="59">
        <v>0.65</v>
      </c>
      <c r="BM277" s="38"/>
      <c r="BN277" s="38">
        <v>40</v>
      </c>
      <c r="BO277" s="36"/>
      <c r="BP277" s="39">
        <f t="shared" si="165"/>
        <v>0.71918750000000009</v>
      </c>
      <c r="BQ277" s="37"/>
      <c r="BR277" s="39">
        <f t="shared" si="166"/>
        <v>0.16582662005505422</v>
      </c>
      <c r="BS277" s="37"/>
      <c r="BT277" s="39">
        <f>BP277*12*AZ277/(24*0.9144)</f>
        <v>14.511165108267718</v>
      </c>
      <c r="BU277" s="39">
        <f>$BP277*12*AY277/(12*(45/36)*0.9144)</f>
        <v>3.3033546587926512</v>
      </c>
      <c r="BV277" s="39">
        <f t="shared" si="177"/>
        <v>0.20572705601907032</v>
      </c>
      <c r="BW277" s="39">
        <f t="shared" si="161"/>
        <v>0.7882425286523701</v>
      </c>
      <c r="BX277" s="39">
        <f t="shared" si="178"/>
        <v>8.1609510860584225E-2</v>
      </c>
      <c r="BY277" s="39">
        <f t="shared" si="160"/>
        <v>1.8828267611642184</v>
      </c>
      <c r="BZ277" s="37"/>
      <c r="CA277" s="39">
        <f t="shared" si="162"/>
        <v>2.2689153475605734</v>
      </c>
      <c r="CB277" s="39">
        <f t="shared" si="163"/>
        <v>1.0306044555655989</v>
      </c>
      <c r="CC277" s="39">
        <f t="shared" si="182"/>
        <v>0.10787812500000002</v>
      </c>
      <c r="CD277" s="39">
        <f>BP277*(12*AM277+AN277)/1000</f>
        <v>0.10787812500000001</v>
      </c>
      <c r="CE277" s="39">
        <f t="shared" si="175"/>
        <v>1.8936206874999999</v>
      </c>
      <c r="CF277" s="37"/>
      <c r="CG277" s="39">
        <f t="shared" si="153"/>
        <v>2.4499793956043958</v>
      </c>
      <c r="CH277" s="39">
        <f t="shared" si="150"/>
        <v>3.694304297694845</v>
      </c>
      <c r="CI277" s="37"/>
      <c r="CJ277" s="37"/>
      <c r="CK277" s="39">
        <f t="shared" ref="CK277:CK285" si="183">BP277*(12*AC277+AD277)/(35.238*8)</f>
        <v>1.913384077558318E-2</v>
      </c>
      <c r="CL277" s="39">
        <f t="shared" si="176"/>
        <v>0.69042000000000003</v>
      </c>
      <c r="CM277" s="39">
        <f t="shared" ref="CM277:CM285" si="184">BP277*(12*$AC277+$AD277)/(35.238*8)/0.283</f>
        <v>6.7610744790046584E-2</v>
      </c>
      <c r="CN277" s="37"/>
      <c r="CO277" s="39">
        <f>0.063495+(0.016949+0.014096)*Wages!P275+1.22592*BR277</f>
        <v>0.44540257755789203</v>
      </c>
      <c r="CP277" s="39"/>
      <c r="CQ277" s="39">
        <f t="shared" si="179"/>
        <v>0.44540257755789203</v>
      </c>
      <c r="CR277" s="39">
        <f t="shared" si="135"/>
        <v>0.20572705601907032</v>
      </c>
      <c r="CS277" s="39">
        <f t="shared" si="135"/>
        <v>0.7882425286523701</v>
      </c>
      <c r="CT277" s="39">
        <f t="shared" si="164"/>
        <v>2.2689153475605734</v>
      </c>
      <c r="CU277" s="39">
        <f t="shared" si="164"/>
        <v>1.0306044555655989</v>
      </c>
      <c r="CV277" s="39">
        <f t="shared" si="164"/>
        <v>0.10787812500000002</v>
      </c>
      <c r="CW277" s="39">
        <f>CD277</f>
        <v>0.10787812500000001</v>
      </c>
      <c r="CX277" s="39"/>
      <c r="CY277" s="39"/>
      <c r="CZ277" s="39">
        <f t="shared" si="167"/>
        <v>8.1609510860584225E-2</v>
      </c>
      <c r="DA277" s="39">
        <f t="shared" si="134"/>
        <v>3.694304297694845</v>
      </c>
      <c r="DB277" s="39">
        <f>BU277</f>
        <v>3.3033546587926512</v>
      </c>
      <c r="DC277" s="39">
        <f t="shared" si="168"/>
        <v>1.8828267611642184</v>
      </c>
      <c r="DD277" s="39">
        <f t="shared" si="156"/>
        <v>2.4499793956043958</v>
      </c>
      <c r="DE277" s="39">
        <f t="shared" ref="DE277:DE285" si="185">CK277</f>
        <v>1.913384077558318E-2</v>
      </c>
      <c r="DF277" s="37"/>
      <c r="DG277" s="39">
        <f t="shared" si="169"/>
        <v>0.69042000000000003</v>
      </c>
      <c r="DH277" s="39">
        <f t="shared" si="170"/>
        <v>2.1659317155969191</v>
      </c>
      <c r="DI277" s="37"/>
      <c r="DJ277" s="37"/>
      <c r="DK277" s="37"/>
      <c r="DL277" s="37"/>
      <c r="DM277" s="39">
        <f t="shared" si="180"/>
        <v>0.47744762102152855</v>
      </c>
      <c r="DN277" s="39"/>
      <c r="DO277" s="39">
        <f t="shared" si="181"/>
        <v>0.47744762102152855</v>
      </c>
      <c r="DP277" s="37"/>
      <c r="DQ277" s="37">
        <f>DO277/'Conversions, Sources &amp; Comments'!E275</f>
        <v>0.66387085568301518</v>
      </c>
    </row>
    <row r="278" spans="1:121">
      <c r="A278" s="42">
        <f t="shared" si="171"/>
        <v>1526</v>
      </c>
      <c r="B278" s="36"/>
      <c r="C278" s="38">
        <v>6</v>
      </c>
      <c r="D278" s="38">
        <v>2.5</v>
      </c>
      <c r="E278" s="38">
        <v>6</v>
      </c>
      <c r="F278" s="38">
        <v>6</v>
      </c>
      <c r="G278" s="38">
        <v>2</v>
      </c>
      <c r="H278" s="38">
        <v>10</v>
      </c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8">
        <v>9</v>
      </c>
      <c r="V278" s="36"/>
      <c r="W278" s="36"/>
      <c r="X278" s="38">
        <v>6</v>
      </c>
      <c r="Y278" s="38">
        <v>9</v>
      </c>
      <c r="Z278" s="38">
        <v>1</v>
      </c>
      <c r="AA278" s="38">
        <v>2</v>
      </c>
      <c r="AB278" s="36"/>
      <c r="AC278" s="38">
        <v>0</v>
      </c>
      <c r="AD278" s="38">
        <v>8.75</v>
      </c>
      <c r="AE278" s="38">
        <v>0</v>
      </c>
      <c r="AF278" s="38">
        <v>7.75</v>
      </c>
      <c r="AG278" s="36"/>
      <c r="AH278" s="36"/>
      <c r="AI278" s="36"/>
      <c r="AJ278" s="36"/>
      <c r="AK278" s="36"/>
      <c r="AL278" s="36"/>
      <c r="AM278" s="36"/>
      <c r="AN278" s="36"/>
      <c r="AO278" s="38">
        <v>1</v>
      </c>
      <c r="AP278" s="38">
        <v>2</v>
      </c>
      <c r="AQ278" s="38">
        <v>0</v>
      </c>
      <c r="AR278" s="38">
        <v>11</v>
      </c>
      <c r="AS278" s="36"/>
      <c r="AT278" s="36"/>
      <c r="AU278" s="36"/>
      <c r="AV278" s="38">
        <v>20</v>
      </c>
      <c r="AW278" s="38">
        <v>2.33</v>
      </c>
      <c r="AX278" s="38">
        <v>7</v>
      </c>
      <c r="AY278" s="36"/>
      <c r="AZ278" s="38">
        <v>40.53</v>
      </c>
      <c r="BA278" s="38">
        <v>99.67</v>
      </c>
      <c r="BB278" s="38">
        <v>108</v>
      </c>
      <c r="BC278" s="36"/>
      <c r="BD278" s="36"/>
      <c r="BE278" s="36"/>
      <c r="BF278" s="36"/>
      <c r="BG278" s="59">
        <v>8.39</v>
      </c>
      <c r="BH278" s="59">
        <v>0.57999999999999996</v>
      </c>
      <c r="BI278" s="59">
        <v>9.8104664424489826E-2</v>
      </c>
      <c r="BJ278" s="59"/>
      <c r="BK278" s="38">
        <v>1.2690000000000001</v>
      </c>
      <c r="BL278" s="59">
        <v>0.71</v>
      </c>
      <c r="BM278" s="36"/>
      <c r="BN278" s="38">
        <v>45</v>
      </c>
      <c r="BO278" s="36"/>
      <c r="BP278" s="39">
        <f t="shared" si="165"/>
        <v>0.63927777777777783</v>
      </c>
      <c r="BQ278" s="37"/>
      <c r="BR278" s="39">
        <f t="shared" si="166"/>
        <v>0.16894472744070482</v>
      </c>
      <c r="BS278" s="37"/>
      <c r="BT278" s="39">
        <f>BP278*12*AZ278/(24*0.9144)</f>
        <v>14.16772109215515</v>
      </c>
      <c r="BU278" s="37"/>
      <c r="BV278" s="39">
        <f t="shared" si="177"/>
        <v>0.22831349206349213</v>
      </c>
      <c r="BW278" s="39">
        <f t="shared" si="161"/>
        <v>0.7006600254687736</v>
      </c>
      <c r="BX278" s="39">
        <f t="shared" si="178"/>
        <v>9.1972623350817517E-2</v>
      </c>
      <c r="BY278" s="39">
        <f t="shared" si="160"/>
        <v>1.6442619668646583</v>
      </c>
      <c r="BZ278" s="37"/>
      <c r="CA278" s="39">
        <f t="shared" si="162"/>
        <v>1.788495116735378</v>
      </c>
      <c r="CB278" s="39">
        <f t="shared" si="163"/>
        <v>1.0006552662585644</v>
      </c>
      <c r="CC278" s="39">
        <f t="shared" si="182"/>
        <v>9.5891666666666681E-2</v>
      </c>
      <c r="CD278" s="37"/>
      <c r="CE278" s="39">
        <f t="shared" si="175"/>
        <v>1.2785555555555557</v>
      </c>
      <c r="CF278" s="37"/>
      <c r="CG278" s="39">
        <f t="shared" si="153"/>
        <v>1.9670085470085472</v>
      </c>
      <c r="CH278" s="39">
        <f t="shared" si="150"/>
        <v>3.2838260423954182</v>
      </c>
      <c r="CI278" s="37"/>
      <c r="CJ278" s="37"/>
      <c r="CK278" s="39">
        <f t="shared" si="183"/>
        <v>1.9842501545049223E-2</v>
      </c>
      <c r="CL278" s="37"/>
      <c r="CM278" s="39">
        <f t="shared" si="184"/>
        <v>7.0114846448937188E-2</v>
      </c>
      <c r="CN278" s="37"/>
      <c r="CO278" s="39">
        <f>0.063495+(0.016949+0.014096)*Wages!P276+1.22592*BR278</f>
        <v>0.42937874915299773</v>
      </c>
      <c r="CP278" s="39"/>
      <c r="CQ278" s="39">
        <f t="shared" si="179"/>
        <v>0.42937874915299773</v>
      </c>
      <c r="CR278" s="39">
        <f t="shared" si="135"/>
        <v>0.22831349206349213</v>
      </c>
      <c r="CS278" s="39">
        <f t="shared" si="135"/>
        <v>0.7006600254687736</v>
      </c>
      <c r="CT278" s="39">
        <f t="shared" si="164"/>
        <v>1.788495116735378</v>
      </c>
      <c r="CU278" s="39">
        <f t="shared" si="164"/>
        <v>1.0006552662585644</v>
      </c>
      <c r="CV278" s="39">
        <f t="shared" si="164"/>
        <v>9.5891666666666681E-2</v>
      </c>
      <c r="CW278" s="39">
        <v>0.08</v>
      </c>
      <c r="CX278" s="39"/>
      <c r="CY278" s="39"/>
      <c r="CZ278" s="39">
        <f t="shared" si="167"/>
        <v>9.1972623350817517E-2</v>
      </c>
      <c r="DA278" s="39">
        <f t="shared" si="134"/>
        <v>3.2838260423954182</v>
      </c>
      <c r="DB278" s="39">
        <v>3.1</v>
      </c>
      <c r="DC278" s="39">
        <f t="shared" si="168"/>
        <v>1.6442619668646583</v>
      </c>
      <c r="DD278" s="39">
        <f t="shared" si="156"/>
        <v>1.9670085470085472</v>
      </c>
      <c r="DE278" s="39">
        <f t="shared" si="185"/>
        <v>1.9842501545049223E-2</v>
      </c>
      <c r="DF278" s="37"/>
      <c r="DG278" s="39">
        <f t="shared" si="169"/>
        <v>0</v>
      </c>
      <c r="DH278" s="39">
        <f t="shared" si="170"/>
        <v>2.246151408767175</v>
      </c>
      <c r="DI278" s="37"/>
      <c r="DJ278" s="37"/>
      <c r="DK278" s="37"/>
      <c r="DL278" s="37"/>
      <c r="DM278" s="39">
        <f t="shared" si="180"/>
        <v>0.45583022745926544</v>
      </c>
      <c r="DN278" s="39"/>
      <c r="DO278" s="39">
        <f t="shared" si="181"/>
        <v>0.45583022745926544</v>
      </c>
      <c r="DP278" s="37"/>
      <c r="DQ278" s="37">
        <f>DO278/'Conversions, Sources &amp; Comments'!E276</f>
        <v>0.71303937553374264</v>
      </c>
    </row>
    <row r="279" spans="1:121">
      <c r="A279" s="42">
        <f t="shared" si="171"/>
        <v>1527</v>
      </c>
      <c r="B279" s="36"/>
      <c r="C279" s="38">
        <v>12</v>
      </c>
      <c r="D279" s="38">
        <v>11</v>
      </c>
      <c r="E279" s="38">
        <v>5</v>
      </c>
      <c r="F279" s="38">
        <v>7.75</v>
      </c>
      <c r="G279" s="38">
        <v>3</v>
      </c>
      <c r="H279" s="38">
        <v>9.25</v>
      </c>
      <c r="I279" s="38">
        <v>12</v>
      </c>
      <c r="J279" s="38">
        <v>0.75</v>
      </c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8">
        <v>9</v>
      </c>
      <c r="V279" s="36"/>
      <c r="W279" s="36"/>
      <c r="X279" s="38">
        <v>6</v>
      </c>
      <c r="Y279" s="38">
        <v>0</v>
      </c>
      <c r="Z279" s="38">
        <v>1</v>
      </c>
      <c r="AA279" s="38">
        <v>4</v>
      </c>
      <c r="AB279" s="36"/>
      <c r="AC279" s="38">
        <v>0</v>
      </c>
      <c r="AD279" s="38">
        <v>6.5</v>
      </c>
      <c r="AE279" s="38">
        <v>0</v>
      </c>
      <c r="AF279" s="38">
        <v>7.75</v>
      </c>
      <c r="AG279" s="36"/>
      <c r="AH279" s="36"/>
      <c r="AI279" s="38">
        <v>2</v>
      </c>
      <c r="AJ279" s="38">
        <v>0</v>
      </c>
      <c r="AK279" s="36"/>
      <c r="AL279" s="36"/>
      <c r="AM279" s="38">
        <v>10</v>
      </c>
      <c r="AN279" s="38">
        <v>3</v>
      </c>
      <c r="AO279" s="38">
        <v>1</v>
      </c>
      <c r="AP279" s="38">
        <v>3.5</v>
      </c>
      <c r="AQ279" s="36"/>
      <c r="AR279" s="36"/>
      <c r="AS279" s="36"/>
      <c r="AT279" s="36"/>
      <c r="AU279" s="36"/>
      <c r="AV279" s="38">
        <v>24</v>
      </c>
      <c r="AW279" s="38">
        <v>2.33</v>
      </c>
      <c r="AX279" s="38">
        <v>5.4</v>
      </c>
      <c r="AY279" s="36"/>
      <c r="AZ279" s="38">
        <v>36</v>
      </c>
      <c r="BA279" s="38">
        <v>84</v>
      </c>
      <c r="BB279" s="36"/>
      <c r="BC279" s="36"/>
      <c r="BD279" s="36"/>
      <c r="BE279" s="36"/>
      <c r="BF279" s="36"/>
      <c r="BG279" s="59">
        <v>9.94</v>
      </c>
      <c r="BH279" s="59">
        <v>0.57999999999999996</v>
      </c>
      <c r="BI279" s="59">
        <v>0.15337489790307371</v>
      </c>
      <c r="BJ279" s="59"/>
      <c r="BK279" s="38">
        <v>1.2825</v>
      </c>
      <c r="BL279" s="59">
        <v>0.93</v>
      </c>
      <c r="BM279" s="36"/>
      <c r="BN279" s="38">
        <v>45</v>
      </c>
      <c r="BO279" s="36"/>
      <c r="BP279" s="39">
        <f t="shared" si="165"/>
        <v>0.63927777777777783</v>
      </c>
      <c r="BQ279" s="37"/>
      <c r="BR279" s="39">
        <f t="shared" si="166"/>
        <v>0.35149574165515768</v>
      </c>
      <c r="BS279" s="37"/>
      <c r="BT279" s="39">
        <f>BP279*12*AZ279/(24*0.9144)</f>
        <v>12.584208223972004</v>
      </c>
      <c r="BU279" s="37"/>
      <c r="BV279" s="39">
        <f t="shared" si="177"/>
        <v>0.270492981062111</v>
      </c>
      <c r="BW279" s="39">
        <f t="shared" si="161"/>
        <v>0.7006600254687736</v>
      </c>
      <c r="BX279" s="39">
        <f t="shared" si="178"/>
        <v>0.14378818580198052</v>
      </c>
      <c r="BY279" s="39">
        <f t="shared" si="160"/>
        <v>1.8791565335596097</v>
      </c>
      <c r="BZ279" s="37"/>
      <c r="CA279" s="39">
        <f t="shared" si="162"/>
        <v>1.8075216605304352</v>
      </c>
      <c r="CB279" s="39">
        <f t="shared" si="163"/>
        <v>1.3107174614372745</v>
      </c>
      <c r="CC279" s="39">
        <f t="shared" si="182"/>
        <v>9.5891666666666681E-2</v>
      </c>
      <c r="CD279" s="39">
        <f t="shared" ref="CD279:CD285" si="186">BP279*(12*AM279+AN279)/1000</f>
        <v>7.8631166666666669E-2</v>
      </c>
      <c r="CE279" s="39">
        <f t="shared" si="175"/>
        <v>1.5342666666666669</v>
      </c>
      <c r="CF279" s="37"/>
      <c r="CG279" s="39">
        <f t="shared" si="153"/>
        <v>2.1777594627594632</v>
      </c>
      <c r="CH279" s="39">
        <f t="shared" si="150"/>
        <v>3.2838260423954182</v>
      </c>
      <c r="CI279" s="37"/>
      <c r="CJ279" s="37"/>
      <c r="CK279" s="39">
        <f t="shared" si="183"/>
        <v>1.4740144004893707E-2</v>
      </c>
      <c r="CL279" s="37"/>
      <c r="CM279" s="39">
        <f t="shared" si="184"/>
        <v>5.2085314504924762E-2</v>
      </c>
      <c r="CN279" s="37"/>
      <c r="CO279" s="39">
        <f>0.063495+(0.016949+0.014096)*Wages!P277+1.22592*BR279</f>
        <v>0.65317168849877971</v>
      </c>
      <c r="CP279" s="39"/>
      <c r="CQ279" s="39">
        <f t="shared" si="179"/>
        <v>0.65317168849877971</v>
      </c>
      <c r="CR279" s="39">
        <f t="shared" si="135"/>
        <v>0.270492981062111</v>
      </c>
      <c r="CS279" s="39">
        <f t="shared" si="135"/>
        <v>0.7006600254687736</v>
      </c>
      <c r="CT279" s="39">
        <f t="shared" si="164"/>
        <v>1.8075216605304352</v>
      </c>
      <c r="CU279" s="39">
        <f t="shared" si="164"/>
        <v>1.3107174614372745</v>
      </c>
      <c r="CV279" s="39">
        <f t="shared" si="164"/>
        <v>9.5891666666666681E-2</v>
      </c>
      <c r="CW279" s="39">
        <f t="shared" si="164"/>
        <v>7.8631166666666669E-2</v>
      </c>
      <c r="CX279" s="39"/>
      <c r="CY279" s="39"/>
      <c r="CZ279" s="39">
        <f t="shared" si="167"/>
        <v>0.14378818580198052</v>
      </c>
      <c r="DA279" s="39">
        <f t="shared" si="134"/>
        <v>3.2838260423954182</v>
      </c>
      <c r="DB279" s="39">
        <v>3.1</v>
      </c>
      <c r="DC279" s="39">
        <f t="shared" si="168"/>
        <v>1.8791565335596097</v>
      </c>
      <c r="DD279" s="39">
        <f t="shared" si="156"/>
        <v>2.1777594627594632</v>
      </c>
      <c r="DE279" s="39">
        <f t="shared" si="185"/>
        <v>1.4740144004893707E-2</v>
      </c>
      <c r="DF279" s="37"/>
      <c r="DG279" s="39">
        <f t="shared" si="169"/>
        <v>0</v>
      </c>
      <c r="DH279" s="39">
        <f t="shared" si="170"/>
        <v>1.6685696179413299</v>
      </c>
      <c r="DI279" s="37"/>
      <c r="DJ279" s="37"/>
      <c r="DK279" s="37"/>
      <c r="DL279" s="37"/>
      <c r="DM279" s="39">
        <f t="shared" si="180"/>
        <v>0.58197213028486072</v>
      </c>
      <c r="DN279" s="39"/>
      <c r="DO279" s="39">
        <f t="shared" si="181"/>
        <v>0.58197213028486072</v>
      </c>
      <c r="DP279" s="37"/>
      <c r="DQ279" s="37">
        <f>DO279/'Conversions, Sources &amp; Comments'!E277</f>
        <v>0.91035876815221106</v>
      </c>
    </row>
    <row r="280" spans="1:121">
      <c r="A280" s="42">
        <f t="shared" si="171"/>
        <v>1528</v>
      </c>
      <c r="B280" s="36"/>
      <c r="C280" s="38">
        <v>8</v>
      </c>
      <c r="D280" s="38">
        <v>10.25</v>
      </c>
      <c r="E280" s="38">
        <v>6</v>
      </c>
      <c r="F280" s="38">
        <v>7</v>
      </c>
      <c r="G280" s="38">
        <v>3</v>
      </c>
      <c r="H280" s="38">
        <v>0</v>
      </c>
      <c r="I280" s="38">
        <v>7</v>
      </c>
      <c r="J280" s="38">
        <v>5</v>
      </c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8">
        <v>9</v>
      </c>
      <c r="V280" s="36"/>
      <c r="W280" s="36"/>
      <c r="X280" s="38">
        <v>6</v>
      </c>
      <c r="Y280" s="38">
        <v>2.75</v>
      </c>
      <c r="Z280" s="38">
        <v>1</v>
      </c>
      <c r="AA280" s="38">
        <v>0.5</v>
      </c>
      <c r="AB280" s="36"/>
      <c r="AC280" s="38">
        <v>0</v>
      </c>
      <c r="AD280" s="38">
        <v>8.75</v>
      </c>
      <c r="AE280" s="38">
        <v>0</v>
      </c>
      <c r="AF280" s="38">
        <v>7.75</v>
      </c>
      <c r="AG280" s="38">
        <v>8</v>
      </c>
      <c r="AH280" s="38">
        <v>2</v>
      </c>
      <c r="AI280" s="38">
        <v>1</v>
      </c>
      <c r="AJ280" s="38">
        <v>10</v>
      </c>
      <c r="AK280" s="36"/>
      <c r="AL280" s="36"/>
      <c r="AM280" s="38">
        <v>12</v>
      </c>
      <c r="AN280" s="38">
        <v>0</v>
      </c>
      <c r="AO280" s="38">
        <v>1</v>
      </c>
      <c r="AP280" s="38">
        <v>1.5</v>
      </c>
      <c r="AQ280" s="36"/>
      <c r="AR280" s="36"/>
      <c r="AS280" s="36"/>
      <c r="AT280" s="36"/>
      <c r="AU280" s="36"/>
      <c r="AV280" s="38">
        <v>21</v>
      </c>
      <c r="AW280" s="38">
        <v>2.33</v>
      </c>
      <c r="AX280" s="38">
        <v>5.8</v>
      </c>
      <c r="AY280" s="38">
        <v>5.5</v>
      </c>
      <c r="AZ280" s="36"/>
      <c r="BA280" s="38">
        <v>96</v>
      </c>
      <c r="BB280" s="36"/>
      <c r="BC280" s="36"/>
      <c r="BD280" s="36"/>
      <c r="BE280" s="36"/>
      <c r="BF280" s="36"/>
      <c r="BG280" s="59">
        <v>6.8</v>
      </c>
      <c r="BH280" s="59">
        <v>0.57999999999999996</v>
      </c>
      <c r="BI280" s="59">
        <v>9.3959396913595492E-2</v>
      </c>
      <c r="BJ280" s="59"/>
      <c r="BK280" s="38">
        <v>1.3230000000000002</v>
      </c>
      <c r="BL280" s="59">
        <v>0.8</v>
      </c>
      <c r="BM280" s="38"/>
      <c r="BN280" s="38">
        <v>45</v>
      </c>
      <c r="BO280" s="36"/>
      <c r="BP280" s="39">
        <f t="shared" si="165"/>
        <v>0.63927777777777783</v>
      </c>
      <c r="BQ280" s="37"/>
      <c r="BR280" s="39">
        <f t="shared" si="166"/>
        <v>0.24094466161845485</v>
      </c>
      <c r="BS280" s="37"/>
      <c r="BT280" s="37"/>
      <c r="BU280" s="39">
        <f>$BP280*12*AY280/(12*(45/36)*0.9144)</f>
        <v>3.0761397880820458</v>
      </c>
      <c r="BV280" s="39">
        <f t="shared" si="177"/>
        <v>0.1850455001229733</v>
      </c>
      <c r="BW280" s="39">
        <f t="shared" si="161"/>
        <v>0.7006600254687736</v>
      </c>
      <c r="BX280" s="39">
        <f t="shared" si="178"/>
        <v>8.8086456166979799E-2</v>
      </c>
      <c r="BY280" s="39">
        <f t="shared" si="160"/>
        <v>1.468091041843445</v>
      </c>
      <c r="BZ280" s="37"/>
      <c r="CA280" s="39">
        <f t="shared" si="162"/>
        <v>1.864601291915607</v>
      </c>
      <c r="CB280" s="39">
        <f t="shared" si="163"/>
        <v>1.1274988915589459</v>
      </c>
      <c r="CC280" s="39">
        <f t="shared" si="182"/>
        <v>9.5891666666666681E-2</v>
      </c>
      <c r="CD280" s="39">
        <f t="shared" si="186"/>
        <v>9.2056000000000013E-2</v>
      </c>
      <c r="CE280" s="39">
        <f t="shared" si="175"/>
        <v>1.3424833333333335</v>
      </c>
      <c r="CF280" s="37"/>
      <c r="CG280" s="39">
        <f t="shared" si="153"/>
        <v>1.8967582417582418</v>
      </c>
      <c r="CH280" s="39">
        <f t="shared" si="150"/>
        <v>3.2838260423954182</v>
      </c>
      <c r="CI280" s="37"/>
      <c r="CJ280" s="37"/>
      <c r="CK280" s="39">
        <f t="shared" si="183"/>
        <v>1.9842501545049223E-2</v>
      </c>
      <c r="CL280" s="39">
        <f>BP280*(12*AG280+AH280)/100</f>
        <v>0.62649222222222223</v>
      </c>
      <c r="CM280" s="39">
        <f t="shared" si="184"/>
        <v>7.0114846448937188E-2</v>
      </c>
      <c r="CN280" s="37"/>
      <c r="CO280" s="39">
        <f>0.063495+(0.016949+0.014096)*Wages!P278+1.22592*BR280</f>
        <v>0.51764490846018507</v>
      </c>
      <c r="CP280" s="39"/>
      <c r="CQ280" s="39">
        <f t="shared" si="179"/>
        <v>0.51764490846018507</v>
      </c>
      <c r="CR280" s="39">
        <f t="shared" si="135"/>
        <v>0.1850455001229733</v>
      </c>
      <c r="CS280" s="39">
        <f t="shared" si="135"/>
        <v>0.7006600254687736</v>
      </c>
      <c r="CT280" s="39">
        <f t="shared" si="164"/>
        <v>1.864601291915607</v>
      </c>
      <c r="CU280" s="39">
        <f t="shared" si="164"/>
        <v>1.1274988915589459</v>
      </c>
      <c r="CV280" s="39">
        <f t="shared" si="164"/>
        <v>9.5891666666666681E-2</v>
      </c>
      <c r="CW280" s="39">
        <f t="shared" si="164"/>
        <v>9.2056000000000013E-2</v>
      </c>
      <c r="CX280" s="39"/>
      <c r="CY280" s="39"/>
      <c r="CZ280" s="39">
        <f t="shared" si="167"/>
        <v>8.8086456166979799E-2</v>
      </c>
      <c r="DA280" s="39">
        <f t="shared" si="134"/>
        <v>3.2838260423954182</v>
      </c>
      <c r="DB280" s="39">
        <f>BU280</f>
        <v>3.0761397880820458</v>
      </c>
      <c r="DC280" s="39">
        <f t="shared" si="168"/>
        <v>1.468091041843445</v>
      </c>
      <c r="DD280" s="39">
        <f t="shared" si="156"/>
        <v>1.8967582417582418</v>
      </c>
      <c r="DE280" s="39">
        <f t="shared" si="185"/>
        <v>1.9842501545049223E-2</v>
      </c>
      <c r="DF280" s="37"/>
      <c r="DG280" s="39">
        <f t="shared" si="169"/>
        <v>0.62649222222222223</v>
      </c>
      <c r="DH280" s="39">
        <f t="shared" si="170"/>
        <v>2.246151408767175</v>
      </c>
      <c r="DI280" s="37"/>
      <c r="DJ280" s="37"/>
      <c r="DK280" s="37"/>
      <c r="DL280" s="37"/>
      <c r="DM280" s="39">
        <f t="shared" si="180"/>
        <v>0.48813345157094884</v>
      </c>
      <c r="DN280" s="39"/>
      <c r="DO280" s="39">
        <f t="shared" si="181"/>
        <v>0.48813345157094884</v>
      </c>
      <c r="DP280" s="37"/>
      <c r="DQ280" s="37">
        <f>DO280/'Conversions, Sources &amp; Comments'!E278</f>
        <v>0.76357018582402703</v>
      </c>
    </row>
    <row r="281" spans="1:121">
      <c r="A281" s="42">
        <f t="shared" si="171"/>
        <v>1529</v>
      </c>
      <c r="B281" s="36"/>
      <c r="C281" s="38">
        <v>8</v>
      </c>
      <c r="D281" s="38">
        <v>10</v>
      </c>
      <c r="E281" s="36"/>
      <c r="F281" s="36"/>
      <c r="G281" s="38">
        <v>2</v>
      </c>
      <c r="H281" s="38">
        <v>4.5</v>
      </c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8">
        <v>9</v>
      </c>
      <c r="V281" s="36"/>
      <c r="W281" s="36"/>
      <c r="X281" s="38">
        <v>6</v>
      </c>
      <c r="Y281" s="38">
        <v>0</v>
      </c>
      <c r="Z281" s="38">
        <v>1</v>
      </c>
      <c r="AA281" s="38">
        <v>2</v>
      </c>
      <c r="AB281" s="36"/>
      <c r="AC281" s="38">
        <v>0</v>
      </c>
      <c r="AD281" s="38">
        <v>8.5</v>
      </c>
      <c r="AE281" s="38">
        <v>0</v>
      </c>
      <c r="AF281" s="38">
        <v>7.75</v>
      </c>
      <c r="AG281" s="38">
        <v>8</v>
      </c>
      <c r="AH281" s="38">
        <v>0</v>
      </c>
      <c r="AI281" s="38">
        <v>1</v>
      </c>
      <c r="AJ281" s="38">
        <v>10.5</v>
      </c>
      <c r="AK281" s="36"/>
      <c r="AL281" s="36"/>
      <c r="AM281" s="38">
        <v>11</v>
      </c>
      <c r="AN281" s="38">
        <v>10.75</v>
      </c>
      <c r="AO281" s="38">
        <v>1</v>
      </c>
      <c r="AP281" s="38">
        <v>2.25</v>
      </c>
      <c r="AQ281" s="36"/>
      <c r="AR281" s="36"/>
      <c r="AS281" s="36"/>
      <c r="AT281" s="36"/>
      <c r="AU281" s="36"/>
      <c r="AV281" s="38">
        <v>20</v>
      </c>
      <c r="AW281" s="38">
        <v>2.33</v>
      </c>
      <c r="AX281" s="38">
        <v>7.11</v>
      </c>
      <c r="AY281" s="36"/>
      <c r="AZ281" s="38">
        <v>36</v>
      </c>
      <c r="BA281" s="38">
        <v>88</v>
      </c>
      <c r="BB281" s="36"/>
      <c r="BC281" s="36"/>
      <c r="BD281" s="36"/>
      <c r="BE281" s="36"/>
      <c r="BF281" s="36"/>
      <c r="BG281" s="59">
        <v>5.08</v>
      </c>
      <c r="BH281" s="59">
        <v>0.57999999999999996</v>
      </c>
      <c r="BI281" s="59">
        <v>9.8104664424489826E-2</v>
      </c>
      <c r="BJ281" s="59"/>
      <c r="BK281" s="38">
        <v>1.3770000000000002</v>
      </c>
      <c r="BL281" s="59">
        <v>0.61</v>
      </c>
      <c r="BM281" s="36"/>
      <c r="BN281" s="38">
        <v>45</v>
      </c>
      <c r="BO281" s="36"/>
      <c r="BP281" s="39">
        <f t="shared" si="165"/>
        <v>0.63927777777777783</v>
      </c>
      <c r="BQ281" s="37"/>
      <c r="BR281" s="39">
        <f t="shared" si="166"/>
        <v>0.24037773300288201</v>
      </c>
      <c r="BS281" s="37"/>
      <c r="BT281" s="39">
        <f>BP281*12*AZ281/(24*0.9144)</f>
        <v>12.584208223972004</v>
      </c>
      <c r="BU281" s="37"/>
      <c r="BV281" s="39">
        <f t="shared" si="177"/>
        <v>0.13823987362128007</v>
      </c>
      <c r="BW281" s="39">
        <f t="shared" si="161"/>
        <v>0.7006600254687736</v>
      </c>
      <c r="BX281" s="39">
        <f t="shared" si="178"/>
        <v>9.1972623350817517E-2</v>
      </c>
      <c r="BY281" s="39">
        <f t="shared" si="160"/>
        <v>1.6442619668646583</v>
      </c>
      <c r="BZ281" s="37"/>
      <c r="CA281" s="39">
        <f t="shared" si="162"/>
        <v>1.9407074670958357</v>
      </c>
      <c r="CB281" s="39">
        <f t="shared" si="163"/>
        <v>0.85971790481369614</v>
      </c>
      <c r="CC281" s="39">
        <f t="shared" si="182"/>
        <v>9.5891666666666681E-2</v>
      </c>
      <c r="CD281" s="39">
        <f t="shared" si="186"/>
        <v>9.1256902777777787E-2</v>
      </c>
      <c r="CE281" s="39">
        <f t="shared" si="175"/>
        <v>1.2785555555555557</v>
      </c>
      <c r="CF281" s="37"/>
      <c r="CG281" s="39">
        <f t="shared" si="153"/>
        <v>2.0021336996336996</v>
      </c>
      <c r="CH281" s="39">
        <f t="shared" ref="CH281:CH292" si="187">BP281*12*AW281/(12*0.453592)</f>
        <v>3.2838260423954182</v>
      </c>
      <c r="CI281" s="37"/>
      <c r="CJ281" s="37"/>
      <c r="CK281" s="39">
        <f t="shared" si="183"/>
        <v>1.9275572929476389E-2</v>
      </c>
      <c r="CL281" s="39">
        <f>BP281*(12*AG281+AH281)/100</f>
        <v>0.61370666666666673</v>
      </c>
      <c r="CM281" s="39">
        <f t="shared" si="184"/>
        <v>6.8111565121824702E-2</v>
      </c>
      <c r="CN281" s="37"/>
      <c r="CO281" s="39">
        <f>0.063495+(0.016949+0.014096)*Wages!P279+1.22592*BR281</f>
        <v>0.51694989933178193</v>
      </c>
      <c r="CP281" s="39"/>
      <c r="CQ281" s="39">
        <f t="shared" si="179"/>
        <v>0.51694989933178193</v>
      </c>
      <c r="CR281" s="39">
        <f t="shared" si="135"/>
        <v>0.13823987362128007</v>
      </c>
      <c r="CS281" s="39">
        <f t="shared" si="135"/>
        <v>0.7006600254687736</v>
      </c>
      <c r="CT281" s="39">
        <f t="shared" si="164"/>
        <v>1.9407074670958357</v>
      </c>
      <c r="CU281" s="39">
        <f t="shared" si="164"/>
        <v>0.85971790481369614</v>
      </c>
      <c r="CV281" s="39">
        <f t="shared" si="164"/>
        <v>9.5891666666666681E-2</v>
      </c>
      <c r="CW281" s="39">
        <f t="shared" si="164"/>
        <v>9.1256902777777787E-2</v>
      </c>
      <c r="CX281" s="39"/>
      <c r="CY281" s="39"/>
      <c r="CZ281" s="39">
        <f t="shared" si="167"/>
        <v>9.1972623350817517E-2</v>
      </c>
      <c r="DA281" s="39">
        <f t="shared" ref="DA281:DA292" si="188">CH281</f>
        <v>3.2838260423954182</v>
      </c>
      <c r="DB281" s="39">
        <v>3.0761397880820458</v>
      </c>
      <c r="DC281" s="39">
        <f t="shared" si="168"/>
        <v>1.6442619668646583</v>
      </c>
      <c r="DD281" s="39">
        <f t="shared" si="156"/>
        <v>2.0021336996336996</v>
      </c>
      <c r="DE281" s="39">
        <f t="shared" si="185"/>
        <v>1.9275572929476389E-2</v>
      </c>
      <c r="DF281" s="37"/>
      <c r="DG281" s="39">
        <f t="shared" si="169"/>
        <v>0.61370666666666673</v>
      </c>
      <c r="DH281" s="39">
        <f t="shared" si="170"/>
        <v>2.1819756542309703</v>
      </c>
      <c r="DI281" s="37"/>
      <c r="DJ281" s="37"/>
      <c r="DK281" s="37"/>
      <c r="DL281" s="37"/>
      <c r="DM281" s="39">
        <f t="shared" si="180"/>
        <v>0.48225570596874101</v>
      </c>
      <c r="DN281" s="39"/>
      <c r="DO281" s="39">
        <f t="shared" si="181"/>
        <v>0.48225570596874101</v>
      </c>
      <c r="DP281" s="37"/>
      <c r="DQ281" s="37">
        <f>DO281/'Conversions, Sources &amp; Comments'!E279</f>
        <v>0.75437583274853026</v>
      </c>
    </row>
    <row r="282" spans="1:121">
      <c r="A282" s="42">
        <f t="shared" si="171"/>
        <v>1530</v>
      </c>
      <c r="B282" s="36"/>
      <c r="C282" s="38">
        <v>8</v>
      </c>
      <c r="D282" s="38">
        <v>5</v>
      </c>
      <c r="E282" s="38">
        <v>5</v>
      </c>
      <c r="F282" s="38">
        <v>0.5</v>
      </c>
      <c r="G282" s="38">
        <v>2</v>
      </c>
      <c r="H282" s="38">
        <v>10.5</v>
      </c>
      <c r="I282" s="38">
        <v>5</v>
      </c>
      <c r="J282" s="38">
        <v>10</v>
      </c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8">
        <v>9</v>
      </c>
      <c r="V282" s="36"/>
      <c r="W282" s="36"/>
      <c r="X282" s="38">
        <v>6</v>
      </c>
      <c r="Y282" s="38">
        <v>5</v>
      </c>
      <c r="Z282" s="38">
        <v>1</v>
      </c>
      <c r="AA282" s="38">
        <v>3</v>
      </c>
      <c r="AB282" s="36"/>
      <c r="AC282" s="38">
        <v>0</v>
      </c>
      <c r="AD282" s="38">
        <v>8</v>
      </c>
      <c r="AE282" s="38">
        <v>0</v>
      </c>
      <c r="AF282" s="38">
        <v>7.75</v>
      </c>
      <c r="AG282" s="36"/>
      <c r="AH282" s="36"/>
      <c r="AI282" s="36"/>
      <c r="AJ282" s="36"/>
      <c r="AK282" s="36"/>
      <c r="AL282" s="36"/>
      <c r="AM282" s="38">
        <v>11</v>
      </c>
      <c r="AN282" s="38">
        <v>0.5</v>
      </c>
      <c r="AO282" s="38">
        <v>1</v>
      </c>
      <c r="AP282" s="38">
        <v>4</v>
      </c>
      <c r="AQ282" s="38">
        <v>1</v>
      </c>
      <c r="AR282" s="38">
        <v>1.75</v>
      </c>
      <c r="AS282" s="36"/>
      <c r="AT282" s="36"/>
      <c r="AU282" s="36"/>
      <c r="AV282" s="38">
        <v>17</v>
      </c>
      <c r="AW282" s="38">
        <v>2.33</v>
      </c>
      <c r="AX282" s="38">
        <v>5.7</v>
      </c>
      <c r="AY282" s="38">
        <v>5.5</v>
      </c>
      <c r="AZ282" s="38">
        <v>39.25</v>
      </c>
      <c r="BA282" s="38">
        <v>92</v>
      </c>
      <c r="BB282" s="36"/>
      <c r="BC282" s="36"/>
      <c r="BD282" s="36"/>
      <c r="BE282" s="36"/>
      <c r="BF282" s="36"/>
      <c r="BG282" s="59">
        <v>5.47</v>
      </c>
      <c r="BH282" s="59">
        <v>0.57999999999999996</v>
      </c>
      <c r="BI282" s="59">
        <v>8.9814129402701143E-2</v>
      </c>
      <c r="BJ282" s="59"/>
      <c r="BK282" s="38">
        <v>1.2690000000000001</v>
      </c>
      <c r="BL282" s="59">
        <v>0.75</v>
      </c>
      <c r="BM282" s="38"/>
      <c r="BN282" s="38">
        <v>45</v>
      </c>
      <c r="BO282" s="36"/>
      <c r="BP282" s="39">
        <f t="shared" si="165"/>
        <v>0.63927777777777783</v>
      </c>
      <c r="BQ282" s="37"/>
      <c r="BR282" s="39">
        <f t="shared" si="166"/>
        <v>0.2290391606914253</v>
      </c>
      <c r="BS282" s="37"/>
      <c r="BT282" s="39">
        <f>BP282*12*AZ282/(24*0.9144)</f>
        <v>13.720282577525035</v>
      </c>
      <c r="BU282" s="39">
        <f t="shared" ref="BU282:BU288" si="189">$BP282*12*AY282/(12*(45/36)*0.9144)</f>
        <v>3.0761397880820458</v>
      </c>
      <c r="BV282" s="39">
        <f t="shared" si="177"/>
        <v>0.14885277730480354</v>
      </c>
      <c r="BW282" s="39">
        <f t="shared" si="161"/>
        <v>0.7006600254687736</v>
      </c>
      <c r="BX282" s="39">
        <f t="shared" si="178"/>
        <v>8.4200288983142052E-2</v>
      </c>
      <c r="BY282" s="39">
        <f t="shared" si="160"/>
        <v>1.7617092502121341</v>
      </c>
      <c r="BZ282" s="37"/>
      <c r="CA282" s="39">
        <f t="shared" si="162"/>
        <v>1.788495116735378</v>
      </c>
      <c r="CB282" s="39">
        <f t="shared" si="163"/>
        <v>1.0570302108365117</v>
      </c>
      <c r="CC282" s="39">
        <f t="shared" si="182"/>
        <v>9.5891666666666681E-2</v>
      </c>
      <c r="CD282" s="39">
        <f t="shared" si="186"/>
        <v>8.4704305555555567E-2</v>
      </c>
      <c r="CE282" s="39">
        <f t="shared" si="175"/>
        <v>1.0867722222222223</v>
      </c>
      <c r="CF282" s="37"/>
      <c r="CG282" s="39">
        <f t="shared" si="153"/>
        <v>2.2480097680097684</v>
      </c>
      <c r="CH282" s="39">
        <f t="shared" si="187"/>
        <v>3.2838260423954182</v>
      </c>
      <c r="CI282" s="37"/>
      <c r="CJ282" s="37"/>
      <c r="CK282" s="39">
        <f t="shared" si="183"/>
        <v>1.8141715698330719E-2</v>
      </c>
      <c r="CL282" s="37"/>
      <c r="CM282" s="39">
        <f t="shared" si="184"/>
        <v>6.4105002467599717E-2</v>
      </c>
      <c r="CN282" s="37"/>
      <c r="CO282" s="39">
        <f>0.063495+(0.016949+0.014096)*Wages!P280+1.22592*BR282</f>
        <v>0.50304971676372101</v>
      </c>
      <c r="CP282" s="39"/>
      <c r="CQ282" s="39">
        <f t="shared" si="179"/>
        <v>0.50304971676372101</v>
      </c>
      <c r="CR282" s="39">
        <f t="shared" si="135"/>
        <v>0.14885277730480354</v>
      </c>
      <c r="CS282" s="39">
        <f t="shared" si="135"/>
        <v>0.7006600254687736</v>
      </c>
      <c r="CT282" s="39">
        <f t="shared" si="164"/>
        <v>1.788495116735378</v>
      </c>
      <c r="CU282" s="39">
        <f t="shared" si="164"/>
        <v>1.0570302108365117</v>
      </c>
      <c r="CV282" s="39">
        <f t="shared" si="164"/>
        <v>9.5891666666666681E-2</v>
      </c>
      <c r="CW282" s="39">
        <f t="shared" si="164"/>
        <v>8.4704305555555567E-2</v>
      </c>
      <c r="CX282" s="39"/>
      <c r="CY282" s="39"/>
      <c r="CZ282" s="39">
        <f t="shared" si="167"/>
        <v>8.4200288983142052E-2</v>
      </c>
      <c r="DA282" s="39">
        <f t="shared" si="188"/>
        <v>3.2838260423954182</v>
      </c>
      <c r="DB282" s="39">
        <f t="shared" ref="DB282:DB288" si="190">BU282</f>
        <v>3.0761397880820458</v>
      </c>
      <c r="DC282" s="39">
        <f t="shared" si="168"/>
        <v>1.7617092502121341</v>
      </c>
      <c r="DD282" s="39">
        <f t="shared" si="156"/>
        <v>2.2480097680097684</v>
      </c>
      <c r="DE282" s="39">
        <f t="shared" si="185"/>
        <v>1.8141715698330719E-2</v>
      </c>
      <c r="DF282" s="37"/>
      <c r="DG282" s="39">
        <f t="shared" si="169"/>
        <v>0</v>
      </c>
      <c r="DH282" s="39">
        <f t="shared" si="170"/>
        <v>2.05362414515856</v>
      </c>
      <c r="DI282" s="37"/>
      <c r="DJ282" s="37"/>
      <c r="DK282" s="37"/>
      <c r="DL282" s="37"/>
      <c r="DM282" s="39">
        <f t="shared" si="180"/>
        <v>0.47537420898598998</v>
      </c>
      <c r="DN282" s="39"/>
      <c r="DO282" s="39">
        <f t="shared" si="181"/>
        <v>0.47537420898598998</v>
      </c>
      <c r="DP282" s="37"/>
      <c r="DQ282" s="37">
        <f>DO282/'Conversions, Sources &amp; Comments'!E280</f>
        <v>0.7436113462890257</v>
      </c>
    </row>
    <row r="283" spans="1:121">
      <c r="A283" s="42">
        <f t="shared" si="171"/>
        <v>1531</v>
      </c>
      <c r="B283" s="36"/>
      <c r="C283" s="38">
        <v>8</v>
      </c>
      <c r="D283" s="38">
        <v>2.25</v>
      </c>
      <c r="E283" s="38">
        <v>7</v>
      </c>
      <c r="F283" s="38">
        <v>4</v>
      </c>
      <c r="G283" s="38">
        <v>3</v>
      </c>
      <c r="H283" s="38">
        <v>4.5</v>
      </c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8">
        <v>12.5</v>
      </c>
      <c r="V283" s="36"/>
      <c r="W283" s="36"/>
      <c r="X283" s="38">
        <v>6</v>
      </c>
      <c r="Y283" s="38">
        <v>6</v>
      </c>
      <c r="Z283" s="38">
        <v>1</v>
      </c>
      <c r="AA283" s="38">
        <v>6</v>
      </c>
      <c r="AB283" s="36"/>
      <c r="AC283" s="38">
        <v>0</v>
      </c>
      <c r="AD283" s="38">
        <v>8.5</v>
      </c>
      <c r="AE283" s="38">
        <v>0</v>
      </c>
      <c r="AF283" s="38">
        <v>7.25</v>
      </c>
      <c r="AG283" s="38">
        <v>8</v>
      </c>
      <c r="AH283" s="38">
        <v>0</v>
      </c>
      <c r="AI283" s="36"/>
      <c r="AJ283" s="36"/>
      <c r="AK283" s="36"/>
      <c r="AL283" s="36"/>
      <c r="AM283" s="38">
        <v>12</v>
      </c>
      <c r="AN283" s="38">
        <v>9</v>
      </c>
      <c r="AO283" s="38">
        <v>1</v>
      </c>
      <c r="AP283" s="38">
        <v>5</v>
      </c>
      <c r="AQ283" s="38">
        <v>1</v>
      </c>
      <c r="AR283" s="38">
        <v>6.5</v>
      </c>
      <c r="AS283" s="36"/>
      <c r="AT283" s="36"/>
      <c r="AU283" s="36"/>
      <c r="AV283" s="38">
        <v>20</v>
      </c>
      <c r="AW283" s="38">
        <v>2.33</v>
      </c>
      <c r="AX283" s="38">
        <v>6.9</v>
      </c>
      <c r="AY283" s="38">
        <v>5.5</v>
      </c>
      <c r="AZ283" s="38">
        <v>40</v>
      </c>
      <c r="BA283" s="38">
        <v>94</v>
      </c>
      <c r="BB283" s="38">
        <v>52</v>
      </c>
      <c r="BC283" s="36"/>
      <c r="BD283" s="36"/>
      <c r="BE283" s="36"/>
      <c r="BF283" s="36"/>
      <c r="BG283" s="59">
        <v>4.6100000000000003</v>
      </c>
      <c r="BH283" s="59">
        <v>0.57999999999999996</v>
      </c>
      <c r="BI283" s="59">
        <v>0.1340303161855696</v>
      </c>
      <c r="BJ283" s="59"/>
      <c r="BK283" s="38">
        <v>1.3635000000000002</v>
      </c>
      <c r="BL283" s="59">
        <v>0.74</v>
      </c>
      <c r="BM283" s="38"/>
      <c r="BN283" s="38">
        <v>45</v>
      </c>
      <c r="BO283" s="36"/>
      <c r="BP283" s="39">
        <f t="shared" si="165"/>
        <v>0.63927777777777783</v>
      </c>
      <c r="BQ283" s="37"/>
      <c r="BR283" s="39">
        <f t="shared" si="166"/>
        <v>0.22280294592012415</v>
      </c>
      <c r="BS283" s="37"/>
      <c r="BT283" s="39">
        <f>BP283*12*AZ283/(24*0.9144)</f>
        <v>13.982453582191116</v>
      </c>
      <c r="BU283" s="39">
        <f t="shared" si="189"/>
        <v>3.0761397880820458</v>
      </c>
      <c r="BV283" s="39">
        <f t="shared" si="177"/>
        <v>0.12544996405395692</v>
      </c>
      <c r="BW283" s="39">
        <f t="shared" si="161"/>
        <v>0.7006600254687736</v>
      </c>
      <c r="BX283" s="39">
        <f t="shared" si="178"/>
        <v>0.12565273894407369</v>
      </c>
      <c r="BY283" s="39">
        <f t="shared" si="160"/>
        <v>2.114051100254561</v>
      </c>
      <c r="BZ283" s="37"/>
      <c r="CA283" s="39">
        <f t="shared" si="162"/>
        <v>1.9216809233007788</v>
      </c>
      <c r="CB283" s="39">
        <f t="shared" si="163"/>
        <v>1.0429364746920249</v>
      </c>
      <c r="CC283" s="39">
        <f t="shared" si="182"/>
        <v>0.13318287037037038</v>
      </c>
      <c r="CD283" s="39">
        <f t="shared" si="186"/>
        <v>9.7809500000000008E-2</v>
      </c>
      <c r="CE283" s="39">
        <f t="shared" si="175"/>
        <v>1.2785555555555557</v>
      </c>
      <c r="CF283" s="37"/>
      <c r="CG283" s="39">
        <f t="shared" si="153"/>
        <v>2.3885103785103787</v>
      </c>
      <c r="CH283" s="39">
        <f t="shared" si="187"/>
        <v>3.2838260423954182</v>
      </c>
      <c r="CI283" s="37"/>
      <c r="CJ283" s="37"/>
      <c r="CK283" s="39">
        <f t="shared" si="183"/>
        <v>1.9275572929476389E-2</v>
      </c>
      <c r="CL283" s="39">
        <f t="shared" ref="CL283:CL291" si="191">BP283*(12*AG283+AH283)/100</f>
        <v>0.61370666666666673</v>
      </c>
      <c r="CM283" s="39">
        <f t="shared" si="184"/>
        <v>6.8111565121824702E-2</v>
      </c>
      <c r="CN283" s="37"/>
      <c r="CO283" s="39">
        <f>0.063495+(0.016949+0.014096)*Wages!P281+1.22592*BR283</f>
        <v>0.49540461635128741</v>
      </c>
      <c r="CP283" s="39"/>
      <c r="CQ283" s="39">
        <f t="shared" si="179"/>
        <v>0.49540461635128741</v>
      </c>
      <c r="CR283" s="39">
        <f t="shared" ref="CR283:CS346" si="192">BV283</f>
        <v>0.12544996405395692</v>
      </c>
      <c r="CS283" s="39">
        <f t="shared" si="192"/>
        <v>0.7006600254687736</v>
      </c>
      <c r="CT283" s="39">
        <f t="shared" si="164"/>
        <v>1.9216809233007788</v>
      </c>
      <c r="CU283" s="39">
        <f t="shared" si="164"/>
        <v>1.0429364746920249</v>
      </c>
      <c r="CV283" s="39">
        <f t="shared" si="164"/>
        <v>0.13318287037037038</v>
      </c>
      <c r="CW283" s="39">
        <f t="shared" si="164"/>
        <v>9.7809500000000008E-2</v>
      </c>
      <c r="CX283" s="39"/>
      <c r="CY283" s="39"/>
      <c r="CZ283" s="39">
        <f t="shared" si="167"/>
        <v>0.12565273894407369</v>
      </c>
      <c r="DA283" s="39">
        <f t="shared" si="188"/>
        <v>3.2838260423954182</v>
      </c>
      <c r="DB283" s="39">
        <f t="shared" si="190"/>
        <v>3.0761397880820458</v>
      </c>
      <c r="DC283" s="39">
        <f t="shared" si="168"/>
        <v>2.114051100254561</v>
      </c>
      <c r="DD283" s="39">
        <f t="shared" si="156"/>
        <v>2.3885103785103787</v>
      </c>
      <c r="DE283" s="39">
        <f t="shared" si="185"/>
        <v>1.9275572929476389E-2</v>
      </c>
      <c r="DF283" s="37"/>
      <c r="DG283" s="39">
        <f t="shared" si="169"/>
        <v>0.61370666666666673</v>
      </c>
      <c r="DH283" s="39">
        <f t="shared" si="170"/>
        <v>2.1819756542309703</v>
      </c>
      <c r="DI283" s="37"/>
      <c r="DJ283" s="37"/>
      <c r="DK283" s="37"/>
      <c r="DL283" s="37"/>
      <c r="DM283" s="39">
        <f t="shared" si="180"/>
        <v>0.49807266677903161</v>
      </c>
      <c r="DN283" s="39"/>
      <c r="DO283" s="39">
        <f t="shared" si="181"/>
        <v>0.49807266677903161</v>
      </c>
      <c r="DP283" s="37"/>
      <c r="DQ283" s="37">
        <f>DO283/'Conversions, Sources &amp; Comments'!E281</f>
        <v>0.77911775458612742</v>
      </c>
    </row>
    <row r="284" spans="1:121">
      <c r="A284" s="42">
        <f t="shared" si="171"/>
        <v>1532</v>
      </c>
      <c r="B284" s="36"/>
      <c r="C284" s="38">
        <v>8</v>
      </c>
      <c r="D284" s="38">
        <v>0</v>
      </c>
      <c r="E284" s="38">
        <v>5</v>
      </c>
      <c r="F284" s="38">
        <v>5.5</v>
      </c>
      <c r="G284" s="38">
        <v>3</v>
      </c>
      <c r="H284" s="38">
        <v>2.25</v>
      </c>
      <c r="I284" s="38">
        <v>16</v>
      </c>
      <c r="J284" s="38">
        <v>0</v>
      </c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8">
        <v>12.5</v>
      </c>
      <c r="V284" s="36"/>
      <c r="W284" s="36"/>
      <c r="X284" s="38">
        <v>7</v>
      </c>
      <c r="Y284" s="38">
        <v>3</v>
      </c>
      <c r="Z284" s="38">
        <v>1</v>
      </c>
      <c r="AA284" s="38">
        <v>5.5</v>
      </c>
      <c r="AB284" s="36"/>
      <c r="AC284" s="38">
        <v>0</v>
      </c>
      <c r="AD284" s="38">
        <v>5</v>
      </c>
      <c r="AE284" s="38">
        <v>0</v>
      </c>
      <c r="AF284" s="38">
        <v>7.25</v>
      </c>
      <c r="AG284" s="38">
        <v>8</v>
      </c>
      <c r="AH284" s="38">
        <v>0</v>
      </c>
      <c r="AI284" s="36"/>
      <c r="AJ284" s="36"/>
      <c r="AK284" s="36"/>
      <c r="AL284" s="36"/>
      <c r="AM284" s="38">
        <v>13</v>
      </c>
      <c r="AN284" s="38">
        <v>8.75</v>
      </c>
      <c r="AO284" s="38">
        <v>1</v>
      </c>
      <c r="AP284" s="38">
        <v>1.25</v>
      </c>
      <c r="AQ284" s="38">
        <v>2</v>
      </c>
      <c r="AR284" s="38">
        <v>8</v>
      </c>
      <c r="AS284" s="36"/>
      <c r="AT284" s="36"/>
      <c r="AU284" s="36"/>
      <c r="AV284" s="38">
        <v>20</v>
      </c>
      <c r="AW284" s="38">
        <v>2.33</v>
      </c>
      <c r="AX284" s="38">
        <v>5.9</v>
      </c>
      <c r="AY284" s="38">
        <v>5.5</v>
      </c>
      <c r="AZ284" s="36"/>
      <c r="BA284" s="38">
        <v>104</v>
      </c>
      <c r="BB284" s="38">
        <v>52</v>
      </c>
      <c r="BC284" s="36"/>
      <c r="BD284" s="36"/>
      <c r="BE284" s="36"/>
      <c r="BF284" s="36"/>
      <c r="BG284" s="59">
        <v>6.29</v>
      </c>
      <c r="BH284" s="59">
        <v>0.57999999999999996</v>
      </c>
      <c r="BI284" s="59">
        <v>0.11330397863109959</v>
      </c>
      <c r="BJ284" s="59"/>
      <c r="BK284" s="38">
        <v>1.2285000000000001</v>
      </c>
      <c r="BL284" s="59">
        <v>0.69</v>
      </c>
      <c r="BM284" s="38"/>
      <c r="BN284" s="38">
        <v>45</v>
      </c>
      <c r="BO284" s="36"/>
      <c r="BP284" s="39">
        <f t="shared" si="165"/>
        <v>0.63927777777777783</v>
      </c>
      <c r="BQ284" s="37"/>
      <c r="BR284" s="39">
        <f t="shared" si="166"/>
        <v>0.21770058837996861</v>
      </c>
      <c r="BS284" s="37"/>
      <c r="BT284" s="37"/>
      <c r="BU284" s="39">
        <f t="shared" si="189"/>
        <v>3.0761397880820458</v>
      </c>
      <c r="BV284" s="39">
        <f t="shared" si="177"/>
        <v>0.17116708761375032</v>
      </c>
      <c r="BW284" s="39">
        <f t="shared" si="161"/>
        <v>0.7006600254687736</v>
      </c>
      <c r="BX284" s="39">
        <f t="shared" si="178"/>
        <v>0.1062219030248866</v>
      </c>
      <c r="BY284" s="39">
        <f t="shared" si="160"/>
        <v>2.0553274585808232</v>
      </c>
      <c r="BZ284" s="37"/>
      <c r="CA284" s="39">
        <f t="shared" si="162"/>
        <v>1.7314154853502064</v>
      </c>
      <c r="CB284" s="39">
        <f t="shared" si="163"/>
        <v>0.97246779396959071</v>
      </c>
      <c r="CC284" s="39">
        <f t="shared" si="182"/>
        <v>0.13318287037037038</v>
      </c>
      <c r="CD284" s="39">
        <f t="shared" si="186"/>
        <v>0.1053210138888889</v>
      </c>
      <c r="CE284" s="39">
        <f t="shared" si="175"/>
        <v>1.2785555555555557</v>
      </c>
      <c r="CF284" s="37"/>
      <c r="CG284" s="39">
        <f t="shared" si="153"/>
        <v>1.8616330891330892</v>
      </c>
      <c r="CH284" s="39">
        <f t="shared" si="187"/>
        <v>3.2838260423954182</v>
      </c>
      <c r="CI284" s="37"/>
      <c r="CJ284" s="37"/>
      <c r="CK284" s="39">
        <f t="shared" si="183"/>
        <v>1.1338572311456699E-2</v>
      </c>
      <c r="CL284" s="39">
        <f t="shared" si="191"/>
        <v>0.61370666666666673</v>
      </c>
      <c r="CM284" s="39">
        <f t="shared" si="184"/>
        <v>4.0065626542249821E-2</v>
      </c>
      <c r="CN284" s="37"/>
      <c r="CO284" s="39">
        <f>0.063495+(0.016949+0.014096)*Wages!P282+1.22592*BR284</f>
        <v>0.48914953419565999</v>
      </c>
      <c r="CP284" s="39"/>
      <c r="CQ284" s="39">
        <f t="shared" si="179"/>
        <v>0.48914953419565999</v>
      </c>
      <c r="CR284" s="39">
        <f t="shared" si="192"/>
        <v>0.17116708761375032</v>
      </c>
      <c r="CS284" s="39">
        <f t="shared" si="192"/>
        <v>0.7006600254687736</v>
      </c>
      <c r="CT284" s="39">
        <f t="shared" si="164"/>
        <v>1.7314154853502064</v>
      </c>
      <c r="CU284" s="39">
        <f t="shared" si="164"/>
        <v>0.97246779396959071</v>
      </c>
      <c r="CV284" s="39">
        <f t="shared" si="164"/>
        <v>0.13318287037037038</v>
      </c>
      <c r="CW284" s="39">
        <f t="shared" si="164"/>
        <v>0.1053210138888889</v>
      </c>
      <c r="CX284" s="39"/>
      <c r="CY284" s="39"/>
      <c r="CZ284" s="39">
        <f t="shared" si="167"/>
        <v>0.1062219030248866</v>
      </c>
      <c r="DA284" s="39">
        <f t="shared" si="188"/>
        <v>3.2838260423954182</v>
      </c>
      <c r="DB284" s="39">
        <f t="shared" si="190"/>
        <v>3.0761397880820458</v>
      </c>
      <c r="DC284" s="39">
        <f t="shared" si="168"/>
        <v>2.0553274585808232</v>
      </c>
      <c r="DD284" s="39">
        <f t="shared" si="156"/>
        <v>1.8616330891330892</v>
      </c>
      <c r="DE284" s="39">
        <f t="shared" si="185"/>
        <v>1.1338572311456699E-2</v>
      </c>
      <c r="DF284" s="37"/>
      <c r="DG284" s="39">
        <f t="shared" si="169"/>
        <v>0.61370666666666673</v>
      </c>
      <c r="DH284" s="39">
        <f t="shared" si="170"/>
        <v>1.2835150907241</v>
      </c>
      <c r="DI284" s="37"/>
      <c r="DJ284" s="37"/>
      <c r="DK284" s="37"/>
      <c r="DL284" s="37"/>
      <c r="DM284" s="39">
        <f t="shared" si="180"/>
        <v>0.47477004057202349</v>
      </c>
      <c r="DN284" s="39"/>
      <c r="DO284" s="39">
        <f t="shared" si="181"/>
        <v>0.47477004057202349</v>
      </c>
      <c r="DP284" s="37"/>
      <c r="DQ284" s="37">
        <f>DO284/'Conversions, Sources &amp; Comments'!E282</f>
        <v>0.74266626664607827</v>
      </c>
    </row>
    <row r="285" spans="1:121">
      <c r="A285" s="42">
        <f t="shared" si="171"/>
        <v>1533</v>
      </c>
      <c r="B285" s="36"/>
      <c r="C285" s="38">
        <v>7</v>
      </c>
      <c r="D285" s="38">
        <v>8</v>
      </c>
      <c r="E285" s="38">
        <v>4</v>
      </c>
      <c r="F285" s="38">
        <v>1.75</v>
      </c>
      <c r="G285" s="38">
        <v>2</v>
      </c>
      <c r="H285" s="38">
        <v>9.5</v>
      </c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8">
        <v>12.5</v>
      </c>
      <c r="V285" s="36"/>
      <c r="W285" s="36"/>
      <c r="X285" s="38">
        <v>6</v>
      </c>
      <c r="Y285" s="38">
        <v>0</v>
      </c>
      <c r="Z285" s="38">
        <v>1</v>
      </c>
      <c r="AA285" s="38">
        <v>4</v>
      </c>
      <c r="AB285" s="36"/>
      <c r="AC285" s="38">
        <v>0</v>
      </c>
      <c r="AD285" s="38">
        <v>6</v>
      </c>
      <c r="AE285" s="38">
        <v>0</v>
      </c>
      <c r="AF285" s="38">
        <v>7.25</v>
      </c>
      <c r="AG285" s="38">
        <v>8</v>
      </c>
      <c r="AH285" s="38">
        <v>0</v>
      </c>
      <c r="AI285" s="36"/>
      <c r="AJ285" s="36"/>
      <c r="AK285" s="36"/>
      <c r="AL285" s="36"/>
      <c r="AM285" s="38">
        <v>14</v>
      </c>
      <c r="AN285" s="38">
        <v>2</v>
      </c>
      <c r="AO285" s="38">
        <v>1</v>
      </c>
      <c r="AP285" s="38">
        <v>4</v>
      </c>
      <c r="AQ285" s="38">
        <v>1</v>
      </c>
      <c r="AR285" s="38">
        <v>5</v>
      </c>
      <c r="AS285" s="36"/>
      <c r="AT285" s="36"/>
      <c r="AU285" s="36"/>
      <c r="AV285" s="38">
        <v>18</v>
      </c>
      <c r="AW285" s="38">
        <v>2.33</v>
      </c>
      <c r="AX285" s="38">
        <v>7.11</v>
      </c>
      <c r="AY285" s="38">
        <v>5.5</v>
      </c>
      <c r="AZ285" s="36"/>
      <c r="BA285" s="38">
        <v>108</v>
      </c>
      <c r="BB285" s="38">
        <v>53.4</v>
      </c>
      <c r="BC285" s="36"/>
      <c r="BD285" s="36"/>
      <c r="BE285" s="36"/>
      <c r="BF285" s="36"/>
      <c r="BG285" s="59">
        <v>6.59</v>
      </c>
      <c r="BH285" s="59">
        <v>0.57999999999999996</v>
      </c>
      <c r="BI285" s="59">
        <v>8.9814129402701143E-2</v>
      </c>
      <c r="BJ285" s="59"/>
      <c r="BK285" s="38">
        <v>1.2285000000000001</v>
      </c>
      <c r="BL285" s="59">
        <v>0.69</v>
      </c>
      <c r="BM285" s="38"/>
      <c r="BN285" s="38">
        <v>45</v>
      </c>
      <c r="BO285" s="36"/>
      <c r="BP285" s="39">
        <f t="shared" si="165"/>
        <v>0.63927777777777783</v>
      </c>
      <c r="BQ285" s="37"/>
      <c r="BR285" s="39">
        <f t="shared" si="166"/>
        <v>0.20862973053080325</v>
      </c>
      <c r="BS285" s="37"/>
      <c r="BT285" s="37"/>
      <c r="BU285" s="39">
        <f t="shared" si="189"/>
        <v>3.0761397880820458</v>
      </c>
      <c r="BV285" s="39">
        <f t="shared" si="177"/>
        <v>0.17933085967799914</v>
      </c>
      <c r="BW285" s="39">
        <f t="shared" si="161"/>
        <v>0.7006600254687736</v>
      </c>
      <c r="BX285" s="39">
        <f t="shared" si="178"/>
        <v>8.4200288983142052E-2</v>
      </c>
      <c r="BY285" s="39">
        <f t="shared" si="160"/>
        <v>1.8791565335596097</v>
      </c>
      <c r="BZ285" s="37"/>
      <c r="CA285" s="39">
        <f t="shared" si="162"/>
        <v>1.7314154853502064</v>
      </c>
      <c r="CB285" s="39">
        <f t="shared" si="163"/>
        <v>0.97246779396959071</v>
      </c>
      <c r="CC285" s="39">
        <f t="shared" si="182"/>
        <v>0.13318287037037038</v>
      </c>
      <c r="CD285" s="39">
        <f t="shared" si="186"/>
        <v>0.10867722222222223</v>
      </c>
      <c r="CE285" s="39">
        <f t="shared" si="175"/>
        <v>1.1507000000000001</v>
      </c>
      <c r="CF285" s="37"/>
      <c r="CG285" s="39">
        <f t="shared" si="153"/>
        <v>2.2480097680097684</v>
      </c>
      <c r="CH285" s="39">
        <f t="shared" si="187"/>
        <v>3.2838260423954182</v>
      </c>
      <c r="CI285" s="37"/>
      <c r="CJ285" s="37"/>
      <c r="CK285" s="39">
        <f t="shared" si="183"/>
        <v>1.3606286773748038E-2</v>
      </c>
      <c r="CL285" s="39">
        <f t="shared" si="191"/>
        <v>0.61370666666666673</v>
      </c>
      <c r="CM285" s="39">
        <f t="shared" si="184"/>
        <v>4.8078751850699784E-2</v>
      </c>
      <c r="CN285" s="37"/>
      <c r="CO285" s="39">
        <f>0.063495+(0.016949+0.014096)*Wages!P283+1.22592*BR285</f>
        <v>0.47802938814121121</v>
      </c>
      <c r="CP285" s="39"/>
      <c r="CQ285" s="39">
        <f t="shared" si="179"/>
        <v>0.47802938814121121</v>
      </c>
      <c r="CR285" s="39">
        <f t="shared" si="192"/>
        <v>0.17933085967799914</v>
      </c>
      <c r="CS285" s="39">
        <f t="shared" si="192"/>
        <v>0.7006600254687736</v>
      </c>
      <c r="CT285" s="39">
        <f t="shared" si="164"/>
        <v>1.7314154853502064</v>
      </c>
      <c r="CU285" s="39">
        <f t="shared" si="164"/>
        <v>0.97246779396959071</v>
      </c>
      <c r="CV285" s="39">
        <f t="shared" si="164"/>
        <v>0.13318287037037038</v>
      </c>
      <c r="CW285" s="39">
        <f t="shared" si="164"/>
        <v>0.10867722222222223</v>
      </c>
      <c r="CX285" s="39"/>
      <c r="CY285" s="39"/>
      <c r="CZ285" s="39">
        <f t="shared" si="167"/>
        <v>8.4200288983142052E-2</v>
      </c>
      <c r="DA285" s="39">
        <f t="shared" si="188"/>
        <v>3.2838260423954182</v>
      </c>
      <c r="DB285" s="39">
        <f t="shared" si="190"/>
        <v>3.0761397880820458</v>
      </c>
      <c r="DC285" s="39">
        <f t="shared" si="168"/>
        <v>1.8791565335596097</v>
      </c>
      <c r="DD285" s="39">
        <f t="shared" si="156"/>
        <v>2.2480097680097684</v>
      </c>
      <c r="DE285" s="39">
        <f t="shared" si="185"/>
        <v>1.3606286773748038E-2</v>
      </c>
      <c r="DF285" s="37"/>
      <c r="DG285" s="39">
        <f t="shared" si="169"/>
        <v>0.61370666666666673</v>
      </c>
      <c r="DH285" s="39">
        <f t="shared" si="170"/>
        <v>1.54021810886892</v>
      </c>
      <c r="DI285" s="37"/>
      <c r="DJ285" s="37"/>
      <c r="DK285" s="37"/>
      <c r="DL285" s="37"/>
      <c r="DM285" s="39">
        <f t="shared" si="180"/>
        <v>0.46566604931001682</v>
      </c>
      <c r="DN285" s="39"/>
      <c r="DO285" s="39">
        <f t="shared" si="181"/>
        <v>0.46566604931001682</v>
      </c>
      <c r="DP285" s="37"/>
      <c r="DQ285" s="37">
        <f>DO285/'Conversions, Sources &amp; Comments'!E283</f>
        <v>0.72842520966197111</v>
      </c>
    </row>
    <row r="286" spans="1:121">
      <c r="A286" s="42">
        <f t="shared" si="171"/>
        <v>1534</v>
      </c>
      <c r="B286" s="36"/>
      <c r="C286" s="38">
        <v>7</v>
      </c>
      <c r="D286" s="38">
        <v>0</v>
      </c>
      <c r="E286" s="38">
        <v>4</v>
      </c>
      <c r="F286" s="38">
        <v>0</v>
      </c>
      <c r="G286" s="38">
        <v>3</v>
      </c>
      <c r="H286" s="38">
        <v>8</v>
      </c>
      <c r="I286" s="38">
        <v>16</v>
      </c>
      <c r="J286" s="38">
        <v>0</v>
      </c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8">
        <v>12.5</v>
      </c>
      <c r="V286" s="36"/>
      <c r="W286" s="36"/>
      <c r="X286" s="38">
        <v>6</v>
      </c>
      <c r="Y286" s="38">
        <v>6</v>
      </c>
      <c r="Z286" s="38">
        <v>1</v>
      </c>
      <c r="AA286" s="38">
        <v>5</v>
      </c>
      <c r="AB286" s="36"/>
      <c r="AC286" s="38" t="s">
        <v>8</v>
      </c>
      <c r="AD286" s="36"/>
      <c r="AE286" s="38">
        <v>0</v>
      </c>
      <c r="AF286" s="38">
        <v>7.25</v>
      </c>
      <c r="AG286" s="38">
        <v>3</v>
      </c>
      <c r="AH286" s="38">
        <v>4</v>
      </c>
      <c r="AI286" s="36"/>
      <c r="AJ286" s="36"/>
      <c r="AK286" s="36"/>
      <c r="AL286" s="36"/>
      <c r="AM286" s="36"/>
      <c r="AN286" s="36"/>
      <c r="AO286" s="38">
        <v>1</v>
      </c>
      <c r="AP286" s="38">
        <v>2</v>
      </c>
      <c r="AQ286" s="38">
        <v>1</v>
      </c>
      <c r="AR286" s="38">
        <v>6</v>
      </c>
      <c r="AS286" s="36"/>
      <c r="AT286" s="36"/>
      <c r="AU286" s="36"/>
      <c r="AV286" s="38">
        <v>14</v>
      </c>
      <c r="AW286" s="38">
        <v>2.33</v>
      </c>
      <c r="AX286" s="38">
        <v>8.1999999999999993</v>
      </c>
      <c r="AY286" s="38">
        <v>5.5</v>
      </c>
      <c r="AZ286" s="38">
        <v>40</v>
      </c>
      <c r="BA286" s="38">
        <v>112</v>
      </c>
      <c r="BB286" s="38">
        <v>104</v>
      </c>
      <c r="BC286" s="36"/>
      <c r="BD286" s="36"/>
      <c r="BE286" s="36"/>
      <c r="BF286" s="36"/>
      <c r="BG286" s="59">
        <v>5.25</v>
      </c>
      <c r="BH286" s="59">
        <v>0.57999999999999996</v>
      </c>
      <c r="BI286" s="59">
        <v>6.2179012663408355E-2</v>
      </c>
      <c r="BJ286" s="59"/>
      <c r="BK286" s="38">
        <v>1.1880000000000002</v>
      </c>
      <c r="BL286" s="59">
        <v>0.67</v>
      </c>
      <c r="BM286" s="38"/>
      <c r="BN286" s="38">
        <v>45</v>
      </c>
      <c r="BO286" s="36"/>
      <c r="BP286" s="39">
        <f t="shared" si="165"/>
        <v>0.63927777777777783</v>
      </c>
      <c r="BQ286" s="37"/>
      <c r="BR286" s="39">
        <f t="shared" si="166"/>
        <v>0.19048801483247252</v>
      </c>
      <c r="BS286" s="37"/>
      <c r="BT286" s="39">
        <f>BP286*12*AZ286/(24*0.9144)</f>
        <v>13.982453582191116</v>
      </c>
      <c r="BU286" s="39">
        <f t="shared" si="189"/>
        <v>3.0761397880820458</v>
      </c>
      <c r="BV286" s="39">
        <f t="shared" si="177"/>
        <v>0.1428660111243544</v>
      </c>
      <c r="BW286" s="39">
        <f t="shared" si="161"/>
        <v>0.7006600254687736</v>
      </c>
      <c r="BX286" s="39">
        <f t="shared" si="178"/>
        <v>5.8292507757559758E-2</v>
      </c>
      <c r="BY286" s="39">
        <f t="shared" si="160"/>
        <v>1.9966038169070852</v>
      </c>
      <c r="BZ286" s="37"/>
      <c r="CA286" s="39">
        <f t="shared" si="162"/>
        <v>1.674335853965035</v>
      </c>
      <c r="CB286" s="39">
        <f t="shared" si="163"/>
        <v>0.94428032168061726</v>
      </c>
      <c r="CC286" s="39">
        <f t="shared" si="182"/>
        <v>0.13318287037037038</v>
      </c>
      <c r="CD286" s="37"/>
      <c r="CE286" s="39">
        <f t="shared" si="175"/>
        <v>0.89498888888888894</v>
      </c>
      <c r="CF286" s="37"/>
      <c r="CG286" s="39">
        <f t="shared" si="153"/>
        <v>1.9670085470085472</v>
      </c>
      <c r="CH286" s="39">
        <f t="shared" si="187"/>
        <v>3.2838260423954182</v>
      </c>
      <c r="CI286" s="37"/>
      <c r="CJ286" s="37"/>
      <c r="CK286" s="37"/>
      <c r="CL286" s="39">
        <f t="shared" si="191"/>
        <v>0.25571111111111117</v>
      </c>
      <c r="CM286" s="37"/>
      <c r="CN286" s="37"/>
      <c r="CO286" s="39">
        <f>0.063495+(0.016949+0.014096)*Wages!P284+1.22592*BR286</f>
        <v>0.45578909603231355</v>
      </c>
      <c r="CP286" s="39"/>
      <c r="CQ286" s="39">
        <f t="shared" si="179"/>
        <v>0.45578909603231355</v>
      </c>
      <c r="CR286" s="39">
        <f t="shared" si="192"/>
        <v>0.1428660111243544</v>
      </c>
      <c r="CS286" s="39">
        <f t="shared" si="192"/>
        <v>0.7006600254687736</v>
      </c>
      <c r="CT286" s="39">
        <f t="shared" si="164"/>
        <v>1.674335853965035</v>
      </c>
      <c r="CU286" s="39">
        <f t="shared" si="164"/>
        <v>0.94428032168061726</v>
      </c>
      <c r="CV286" s="39">
        <f t="shared" si="164"/>
        <v>0.13318287037037038</v>
      </c>
      <c r="CW286" s="39">
        <v>0.09</v>
      </c>
      <c r="CX286" s="39"/>
      <c r="CY286" s="39"/>
      <c r="CZ286" s="39">
        <f t="shared" si="167"/>
        <v>5.8292507757559758E-2</v>
      </c>
      <c r="DA286" s="39">
        <f t="shared" si="188"/>
        <v>3.2838260423954182</v>
      </c>
      <c r="DB286" s="39">
        <f t="shared" si="190"/>
        <v>3.0761397880820458</v>
      </c>
      <c r="DC286" s="39">
        <f t="shared" si="168"/>
        <v>1.9966038169070852</v>
      </c>
      <c r="DD286" s="39">
        <f t="shared" si="156"/>
        <v>1.9670085470085472</v>
      </c>
      <c r="DE286" s="39">
        <v>1.4E-2</v>
      </c>
      <c r="DF286" s="37"/>
      <c r="DG286" s="39">
        <f t="shared" si="169"/>
        <v>0.25571111111111117</v>
      </c>
      <c r="DH286" s="39">
        <f t="shared" si="170"/>
        <v>1.5847860538827259</v>
      </c>
      <c r="DI286" s="37"/>
      <c r="DJ286" s="37"/>
      <c r="DK286" s="37"/>
      <c r="DL286" s="37"/>
      <c r="DM286" s="39">
        <f t="shared" si="180"/>
        <v>0.43841864910461453</v>
      </c>
      <c r="DN286" s="39"/>
      <c r="DO286" s="39">
        <f t="shared" si="181"/>
        <v>0.43841864910461453</v>
      </c>
      <c r="DP286" s="37"/>
      <c r="DQ286" s="37">
        <f>DO286/'Conversions, Sources &amp; Comments'!E284</f>
        <v>0.68580304891657784</v>
      </c>
    </row>
    <row r="287" spans="1:121">
      <c r="A287" s="42">
        <f t="shared" si="171"/>
        <v>1535</v>
      </c>
      <c r="B287" s="36"/>
      <c r="C287" s="38">
        <v>10</v>
      </c>
      <c r="D287" s="38">
        <v>3.5</v>
      </c>
      <c r="E287" s="38">
        <v>4</v>
      </c>
      <c r="F287" s="38">
        <v>5</v>
      </c>
      <c r="G287" s="38">
        <v>3</v>
      </c>
      <c r="H287" s="38">
        <v>4.75</v>
      </c>
      <c r="I287" s="38">
        <v>6</v>
      </c>
      <c r="J287" s="38">
        <v>6.5</v>
      </c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8">
        <v>12.5</v>
      </c>
      <c r="V287" s="36"/>
      <c r="W287" s="36"/>
      <c r="X287" s="38">
        <v>7</v>
      </c>
      <c r="Y287" s="38">
        <v>7</v>
      </c>
      <c r="Z287" s="38">
        <v>1</v>
      </c>
      <c r="AA287" s="38">
        <v>3.75</v>
      </c>
      <c r="AB287" s="36"/>
      <c r="AC287" s="38">
        <v>0</v>
      </c>
      <c r="AD287" s="38">
        <v>6.5</v>
      </c>
      <c r="AE287" s="38">
        <v>0</v>
      </c>
      <c r="AF287" s="38">
        <v>7.25</v>
      </c>
      <c r="AG287" s="38">
        <v>8</v>
      </c>
      <c r="AH287" s="38">
        <v>0</v>
      </c>
      <c r="AI287" s="36"/>
      <c r="AJ287" s="36"/>
      <c r="AK287" s="36"/>
      <c r="AL287" s="36"/>
      <c r="AM287" s="38">
        <v>12</v>
      </c>
      <c r="AN287" s="38">
        <v>3</v>
      </c>
      <c r="AO287" s="36"/>
      <c r="AP287" s="36"/>
      <c r="AQ287" s="36"/>
      <c r="AR287" s="36"/>
      <c r="AS287" s="36"/>
      <c r="AT287" s="36"/>
      <c r="AU287" s="36"/>
      <c r="AV287" s="38">
        <v>20</v>
      </c>
      <c r="AW287" s="38">
        <v>2.33</v>
      </c>
      <c r="AX287" s="38">
        <v>7</v>
      </c>
      <c r="AY287" s="38">
        <v>7</v>
      </c>
      <c r="AZ287" s="38">
        <v>40</v>
      </c>
      <c r="BA287" s="38">
        <v>120</v>
      </c>
      <c r="BB287" s="38">
        <v>76</v>
      </c>
      <c r="BC287" s="36"/>
      <c r="BD287" s="36"/>
      <c r="BE287" s="36"/>
      <c r="BF287" s="36"/>
      <c r="BG287" s="59">
        <v>7.28</v>
      </c>
      <c r="BH287" s="59">
        <v>0.57999999999999996</v>
      </c>
      <c r="BI287" s="59">
        <v>9.9486420261454045E-2</v>
      </c>
      <c r="BJ287" s="59"/>
      <c r="BK287" s="38">
        <v>1.1880000000000002</v>
      </c>
      <c r="BL287" s="59">
        <v>0.87</v>
      </c>
      <c r="BM287" s="38"/>
      <c r="BN287" s="38">
        <v>45</v>
      </c>
      <c r="BO287" s="36"/>
      <c r="BP287" s="39">
        <f t="shared" si="165"/>
        <v>0.63927777777777783</v>
      </c>
      <c r="BQ287" s="37"/>
      <c r="BR287" s="39">
        <f t="shared" si="166"/>
        <v>0.28006273609298044</v>
      </c>
      <c r="BS287" s="37"/>
      <c r="BT287" s="39">
        <f>BP287*12*AZ287/(24*0.9144)</f>
        <v>13.982453582191116</v>
      </c>
      <c r="BU287" s="39">
        <f t="shared" si="189"/>
        <v>3.9150870030135128</v>
      </c>
      <c r="BV287" s="39">
        <f t="shared" si="177"/>
        <v>0.19810753542577145</v>
      </c>
      <c r="BW287" s="39">
        <f t="shared" si="161"/>
        <v>0.7006600254687736</v>
      </c>
      <c r="BX287" s="39">
        <f t="shared" si="178"/>
        <v>9.3268012412096243E-2</v>
      </c>
      <c r="BY287" s="39">
        <f t="shared" si="160"/>
        <v>1.8497947127227408</v>
      </c>
      <c r="BZ287" s="37"/>
      <c r="CA287" s="39">
        <f t="shared" si="162"/>
        <v>1.674335853965035</v>
      </c>
      <c r="CB287" s="39">
        <f t="shared" si="163"/>
        <v>1.2261550445703537</v>
      </c>
      <c r="CC287" s="39">
        <f t="shared" si="182"/>
        <v>0.13318287037037038</v>
      </c>
      <c r="CD287" s="39">
        <f>BP287*(12*AM287+AN287)/1000</f>
        <v>9.397383333333334E-2</v>
      </c>
      <c r="CE287" s="39">
        <f t="shared" si="175"/>
        <v>1.2785555555555557</v>
      </c>
      <c r="CF287" s="37"/>
      <c r="CG287" s="37"/>
      <c r="CH287" s="39">
        <f t="shared" si="187"/>
        <v>3.2838260423954182</v>
      </c>
      <c r="CI287" s="37"/>
      <c r="CJ287" s="37"/>
      <c r="CK287" s="39">
        <f t="shared" ref="CK287:CK295" si="193">BP287*(12*AC287+AD287)/(35.238*8)</f>
        <v>1.4740144004893707E-2</v>
      </c>
      <c r="CL287" s="39">
        <f t="shared" si="191"/>
        <v>0.61370666666666673</v>
      </c>
      <c r="CM287" s="39">
        <f t="shared" ref="CM287:CM295" si="194">BP287*(12*$AC287+$AD287)/(35.238*8)/0.283</f>
        <v>5.2085314504924762E-2</v>
      </c>
      <c r="CN287" s="37"/>
      <c r="CO287" s="39">
        <f>0.063495+(0.016949+0.014096)*Wages!P285+1.22592*BR287</f>
        <v>0.56560053831999546</v>
      </c>
      <c r="CP287" s="39"/>
      <c r="CQ287" s="39">
        <f t="shared" si="179"/>
        <v>0.56560053831999546</v>
      </c>
      <c r="CR287" s="39">
        <f t="shared" si="192"/>
        <v>0.19810753542577145</v>
      </c>
      <c r="CS287" s="39">
        <f t="shared" si="192"/>
        <v>0.7006600254687736</v>
      </c>
      <c r="CT287" s="39">
        <f t="shared" si="164"/>
        <v>1.674335853965035</v>
      </c>
      <c r="CU287" s="39">
        <f t="shared" si="164"/>
        <v>1.2261550445703537</v>
      </c>
      <c r="CV287" s="39">
        <f t="shared" si="164"/>
        <v>0.13318287037037038</v>
      </c>
      <c r="CW287" s="39">
        <f>CD287</f>
        <v>9.397383333333334E-2</v>
      </c>
      <c r="CX287" s="39"/>
      <c r="CY287" s="39"/>
      <c r="CZ287" s="39">
        <f t="shared" si="167"/>
        <v>9.3268012412096243E-2</v>
      </c>
      <c r="DA287" s="39">
        <f t="shared" si="188"/>
        <v>3.2838260423954182</v>
      </c>
      <c r="DB287" s="39">
        <f t="shared" si="190"/>
        <v>3.9150870030135128</v>
      </c>
      <c r="DC287" s="39">
        <f t="shared" si="168"/>
        <v>1.8497947127227408</v>
      </c>
      <c r="DD287" s="39">
        <v>2.1</v>
      </c>
      <c r="DE287" s="39">
        <f t="shared" ref="DE287:DE295" si="195">CK287</f>
        <v>1.4740144004893707E-2</v>
      </c>
      <c r="DF287" s="37"/>
      <c r="DG287" s="39">
        <f t="shared" si="169"/>
        <v>0.61370666666666673</v>
      </c>
      <c r="DH287" s="39">
        <f t="shared" si="170"/>
        <v>1.6685696179413299</v>
      </c>
      <c r="DI287" s="37"/>
      <c r="DJ287" s="37"/>
      <c r="DK287" s="37"/>
      <c r="DL287" s="37"/>
      <c r="DM287" s="39">
        <f t="shared" si="180"/>
        <v>0.52342074761211266</v>
      </c>
      <c r="DN287" s="39"/>
      <c r="DO287" s="39">
        <f t="shared" si="181"/>
        <v>0.52342074761211266</v>
      </c>
      <c r="DP287" s="37"/>
      <c r="DQ287" s="37">
        <f>DO287/'Conversions, Sources &amp; Comments'!E285</f>
        <v>0.818768876076999</v>
      </c>
    </row>
    <row r="288" spans="1:121">
      <c r="A288" s="42">
        <f t="shared" si="171"/>
        <v>1536</v>
      </c>
      <c r="B288" s="36"/>
      <c r="C288" s="38">
        <v>10</v>
      </c>
      <c r="D288" s="38">
        <v>7.25</v>
      </c>
      <c r="E288" s="38">
        <v>4</v>
      </c>
      <c r="F288" s="38">
        <v>1.25</v>
      </c>
      <c r="G288" s="38">
        <v>3</v>
      </c>
      <c r="H288" s="38">
        <v>10.75</v>
      </c>
      <c r="I288" s="38">
        <v>8</v>
      </c>
      <c r="J288" s="38">
        <v>0</v>
      </c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8">
        <v>12.5</v>
      </c>
      <c r="V288" s="36"/>
      <c r="W288" s="36"/>
      <c r="X288" s="38">
        <v>7</v>
      </c>
      <c r="Y288" s="38">
        <v>1.5</v>
      </c>
      <c r="Z288" s="38">
        <v>1</v>
      </c>
      <c r="AA288" s="38">
        <v>5.25</v>
      </c>
      <c r="AB288" s="36"/>
      <c r="AC288" s="38">
        <v>0</v>
      </c>
      <c r="AD288" s="38">
        <v>6.5</v>
      </c>
      <c r="AE288" s="38">
        <v>0</v>
      </c>
      <c r="AF288" s="38">
        <v>7.25</v>
      </c>
      <c r="AG288" s="38">
        <v>7</v>
      </c>
      <c r="AH288" s="38">
        <v>9.5</v>
      </c>
      <c r="AI288" s="38">
        <v>2</v>
      </c>
      <c r="AJ288" s="38">
        <v>0</v>
      </c>
      <c r="AK288" s="36"/>
      <c r="AL288" s="36"/>
      <c r="AM288" s="38">
        <v>15</v>
      </c>
      <c r="AN288" s="38">
        <v>0</v>
      </c>
      <c r="AO288" s="36"/>
      <c r="AP288" s="36"/>
      <c r="AQ288" s="38">
        <v>1</v>
      </c>
      <c r="AR288" s="38">
        <v>4</v>
      </c>
      <c r="AS288" s="36"/>
      <c r="AT288" s="36"/>
      <c r="AU288" s="36"/>
      <c r="AV288" s="38">
        <v>18</v>
      </c>
      <c r="AW288" s="38">
        <v>2.33</v>
      </c>
      <c r="AX288" s="38">
        <v>7.9</v>
      </c>
      <c r="AY288" s="38">
        <v>7</v>
      </c>
      <c r="AZ288" s="38">
        <v>40</v>
      </c>
      <c r="BA288" s="38">
        <v>112</v>
      </c>
      <c r="BB288" s="38">
        <v>80</v>
      </c>
      <c r="BC288" s="36"/>
      <c r="BD288" s="36"/>
      <c r="BE288" s="36"/>
      <c r="BF288" s="36"/>
      <c r="BG288" s="59">
        <v>5.73</v>
      </c>
      <c r="BH288" s="59">
        <v>0.57999999999999996</v>
      </c>
      <c r="BI288" s="59">
        <v>8.9814129402701143E-2</v>
      </c>
      <c r="BJ288" s="59"/>
      <c r="BK288" s="38">
        <v>1.7955000000000001</v>
      </c>
      <c r="BL288" s="59">
        <v>0.96</v>
      </c>
      <c r="BM288" s="38"/>
      <c r="BN288" s="38">
        <v>45</v>
      </c>
      <c r="BO288" s="36"/>
      <c r="BP288" s="39">
        <f t="shared" si="165"/>
        <v>0.63927777777777783</v>
      </c>
      <c r="BQ288" s="37"/>
      <c r="BR288" s="39">
        <f t="shared" si="166"/>
        <v>0.28856666532657299</v>
      </c>
      <c r="BS288" s="37"/>
      <c r="BT288" s="39">
        <f>BP288*12*AZ288/(24*0.9144)</f>
        <v>13.982453582191116</v>
      </c>
      <c r="BU288" s="39">
        <f t="shared" si="189"/>
        <v>3.9150870030135128</v>
      </c>
      <c r="BV288" s="39">
        <f t="shared" si="177"/>
        <v>0.15592804642715255</v>
      </c>
      <c r="BW288" s="39">
        <f t="shared" si="161"/>
        <v>0.7006600254687736</v>
      </c>
      <c r="BX288" s="39">
        <f t="shared" si="178"/>
        <v>8.4200288983142052E-2</v>
      </c>
      <c r="BY288" s="39">
        <f t="shared" si="160"/>
        <v>2.0259656377439543</v>
      </c>
      <c r="BZ288" s="37"/>
      <c r="CA288" s="39">
        <f t="shared" si="162"/>
        <v>2.530530324742609</v>
      </c>
      <c r="CB288" s="39">
        <f t="shared" si="163"/>
        <v>1.352998669870735</v>
      </c>
      <c r="CC288" s="39">
        <f t="shared" si="182"/>
        <v>0.13318287037037038</v>
      </c>
      <c r="CD288" s="39">
        <f>BP288*(12*AM288+AN288)/1000</f>
        <v>0.11507000000000001</v>
      </c>
      <c r="CE288" s="39">
        <f t="shared" si="175"/>
        <v>1.1507000000000001</v>
      </c>
      <c r="CF288" s="37"/>
      <c r="CG288" s="37"/>
      <c r="CH288" s="39">
        <f t="shared" si="187"/>
        <v>3.2838260423954182</v>
      </c>
      <c r="CI288" s="37"/>
      <c r="CJ288" s="37"/>
      <c r="CK288" s="39">
        <f t="shared" si="193"/>
        <v>1.4740144004893707E-2</v>
      </c>
      <c r="CL288" s="39">
        <f t="shared" si="191"/>
        <v>0.59772472222222228</v>
      </c>
      <c r="CM288" s="39">
        <f t="shared" si="194"/>
        <v>5.2085314504924762E-2</v>
      </c>
      <c r="CN288" s="37"/>
      <c r="CO288" s="39">
        <f>0.063495+(0.016949+0.014096)*Wages!P286+1.22592*BR288</f>
        <v>0.5760256752460412</v>
      </c>
      <c r="CP288" s="39"/>
      <c r="CQ288" s="39">
        <f t="shared" si="179"/>
        <v>0.5760256752460412</v>
      </c>
      <c r="CR288" s="39">
        <f t="shared" si="192"/>
        <v>0.15592804642715255</v>
      </c>
      <c r="CS288" s="39">
        <f t="shared" si="192"/>
        <v>0.7006600254687736</v>
      </c>
      <c r="CT288" s="39">
        <f t="shared" si="164"/>
        <v>2.530530324742609</v>
      </c>
      <c r="CU288" s="39">
        <f t="shared" si="164"/>
        <v>1.352998669870735</v>
      </c>
      <c r="CV288" s="39">
        <f t="shared" si="164"/>
        <v>0.13318287037037038</v>
      </c>
      <c r="CW288" s="39">
        <f>CD288</f>
        <v>0.11507000000000001</v>
      </c>
      <c r="CX288" s="39"/>
      <c r="CY288" s="39"/>
      <c r="CZ288" s="39">
        <f t="shared" si="167"/>
        <v>8.4200288983142052E-2</v>
      </c>
      <c r="DA288" s="39">
        <f t="shared" si="188"/>
        <v>3.2838260423954182</v>
      </c>
      <c r="DB288" s="39">
        <f t="shared" si="190"/>
        <v>3.9150870030135128</v>
      </c>
      <c r="DC288" s="39">
        <f t="shared" si="168"/>
        <v>2.0259656377439543</v>
      </c>
      <c r="DD288" s="39">
        <v>2.1</v>
      </c>
      <c r="DE288" s="39">
        <f t="shared" si="195"/>
        <v>1.4740144004893707E-2</v>
      </c>
      <c r="DF288" s="37"/>
      <c r="DG288" s="39">
        <f t="shared" si="169"/>
        <v>0.59772472222222228</v>
      </c>
      <c r="DH288" s="39">
        <f t="shared" si="170"/>
        <v>1.6685696179413299</v>
      </c>
      <c r="DI288" s="37"/>
      <c r="DJ288" s="37"/>
      <c r="DK288" s="37"/>
      <c r="DL288" s="37"/>
      <c r="DM288" s="39">
        <f t="shared" si="180"/>
        <v>0.53215434531488437</v>
      </c>
      <c r="DN288" s="39"/>
      <c r="DO288" s="39">
        <f t="shared" si="181"/>
        <v>0.53215434531488437</v>
      </c>
      <c r="DP288" s="37"/>
      <c r="DQ288" s="37">
        <f>DO288/'Conversions, Sources &amp; Comments'!E286</f>
        <v>0.83243053929503064</v>
      </c>
    </row>
    <row r="289" spans="1:121">
      <c r="A289" s="42">
        <f t="shared" si="171"/>
        <v>1537</v>
      </c>
      <c r="B289" s="36"/>
      <c r="C289" s="38">
        <v>7</v>
      </c>
      <c r="D289" s="38">
        <v>1</v>
      </c>
      <c r="E289" s="38">
        <v>5</v>
      </c>
      <c r="F289" s="38">
        <v>0</v>
      </c>
      <c r="G289" s="38">
        <v>2</v>
      </c>
      <c r="H289" s="38">
        <v>8.5</v>
      </c>
      <c r="I289" s="38">
        <v>5</v>
      </c>
      <c r="J289" s="38">
        <v>4</v>
      </c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8">
        <v>12.5</v>
      </c>
      <c r="V289" s="36"/>
      <c r="W289" s="36"/>
      <c r="X289" s="36"/>
      <c r="Y289" s="36"/>
      <c r="Z289" s="38">
        <v>1</v>
      </c>
      <c r="AA289" s="38">
        <v>3</v>
      </c>
      <c r="AB289" s="36"/>
      <c r="AC289" s="38">
        <v>0</v>
      </c>
      <c r="AD289" s="38">
        <v>8</v>
      </c>
      <c r="AE289" s="38">
        <v>0</v>
      </c>
      <c r="AF289" s="38">
        <v>7.25</v>
      </c>
      <c r="AG289" s="38">
        <v>8</v>
      </c>
      <c r="AH289" s="38">
        <v>0</v>
      </c>
      <c r="AI289" s="36"/>
      <c r="AJ289" s="36"/>
      <c r="AK289" s="36"/>
      <c r="AL289" s="36"/>
      <c r="AM289" s="38">
        <v>13</v>
      </c>
      <c r="AN289" s="38">
        <v>4</v>
      </c>
      <c r="AO289" s="38">
        <v>1</v>
      </c>
      <c r="AP289" s="38">
        <v>4</v>
      </c>
      <c r="AQ289" s="38">
        <v>1</v>
      </c>
      <c r="AR289" s="38">
        <v>2.5</v>
      </c>
      <c r="AS289" s="36"/>
      <c r="AT289" s="36"/>
      <c r="AU289" s="36"/>
      <c r="AV289" s="38">
        <v>16</v>
      </c>
      <c r="AW289" s="38">
        <v>2.33</v>
      </c>
      <c r="AX289" s="38">
        <v>6.11</v>
      </c>
      <c r="AY289" s="36"/>
      <c r="AZ289" s="36"/>
      <c r="BA289" s="36"/>
      <c r="BB289" s="36"/>
      <c r="BC289" s="36"/>
      <c r="BD289" s="36"/>
      <c r="BE289" s="36"/>
      <c r="BF289" s="36"/>
      <c r="BG289" s="59">
        <v>5.12</v>
      </c>
      <c r="BH289" s="59">
        <v>0.57999999999999996</v>
      </c>
      <c r="BI289" s="59">
        <v>6.2179012663408355E-2</v>
      </c>
      <c r="BJ289" s="59"/>
      <c r="BK289" s="38">
        <v>1.1880000000000002</v>
      </c>
      <c r="BL289" s="59">
        <v>0.67</v>
      </c>
      <c r="BM289" s="36"/>
      <c r="BN289" s="38">
        <v>45</v>
      </c>
      <c r="BO289" s="36"/>
      <c r="BP289" s="39">
        <f t="shared" si="165"/>
        <v>0.63927777777777783</v>
      </c>
      <c r="BQ289" s="37"/>
      <c r="BR289" s="39">
        <f t="shared" si="166"/>
        <v>0.19275572929476387</v>
      </c>
      <c r="BS289" s="37"/>
      <c r="BT289" s="37"/>
      <c r="BU289" s="37"/>
      <c r="BV289" s="39">
        <f t="shared" si="177"/>
        <v>0.13932837656317992</v>
      </c>
      <c r="BW289" s="39">
        <f t="shared" si="161"/>
        <v>0.7006600254687736</v>
      </c>
      <c r="BX289" s="39">
        <f t="shared" si="178"/>
        <v>5.8292507757559758E-2</v>
      </c>
      <c r="BY289" s="39">
        <f t="shared" si="160"/>
        <v>1.7617092502121341</v>
      </c>
      <c r="BZ289" s="37"/>
      <c r="CA289" s="39">
        <f t="shared" si="162"/>
        <v>1.674335853965035</v>
      </c>
      <c r="CB289" s="39">
        <f t="shared" si="163"/>
        <v>0.94428032168061726</v>
      </c>
      <c r="CC289" s="39">
        <f t="shared" si="182"/>
        <v>0.13318287037037038</v>
      </c>
      <c r="CD289" s="39">
        <f>BP289*(12*AM289+AN289)/1000</f>
        <v>0.10228444444444446</v>
      </c>
      <c r="CE289" s="39">
        <f t="shared" si="175"/>
        <v>1.0228444444444444</v>
      </c>
      <c r="CF289" s="37"/>
      <c r="CG289" s="39">
        <f>BP289*(12*AO289+AP289)/4.55</f>
        <v>2.2480097680097684</v>
      </c>
      <c r="CH289" s="39">
        <f t="shared" si="187"/>
        <v>3.2838260423954182</v>
      </c>
      <c r="CI289" s="37"/>
      <c r="CJ289" s="37"/>
      <c r="CK289" s="39">
        <f t="shared" si="193"/>
        <v>1.8141715698330719E-2</v>
      </c>
      <c r="CL289" s="39">
        <f t="shared" si="191"/>
        <v>0.61370666666666673</v>
      </c>
      <c r="CM289" s="39">
        <f t="shared" si="194"/>
        <v>6.4105002467599717E-2</v>
      </c>
      <c r="CN289" s="37"/>
      <c r="CO289" s="39">
        <f>0.063495+(0.016949+0.014096)*Wages!P287+1.22592*BR289</f>
        <v>0.45856913254592579</v>
      </c>
      <c r="CP289" s="39"/>
      <c r="CQ289" s="39">
        <f t="shared" si="179"/>
        <v>0.45856913254592579</v>
      </c>
      <c r="CR289" s="39">
        <f t="shared" si="192"/>
        <v>0.13932837656317992</v>
      </c>
      <c r="CS289" s="39">
        <f t="shared" si="192"/>
        <v>0.7006600254687736</v>
      </c>
      <c r="CT289" s="39">
        <f t="shared" si="164"/>
        <v>1.674335853965035</v>
      </c>
      <c r="CU289" s="39">
        <f t="shared" si="164"/>
        <v>0.94428032168061726</v>
      </c>
      <c r="CV289" s="39">
        <f t="shared" si="164"/>
        <v>0.13318287037037038</v>
      </c>
      <c r="CW289" s="39">
        <f>CD289</f>
        <v>0.10228444444444446</v>
      </c>
      <c r="CX289" s="39"/>
      <c r="CY289" s="39"/>
      <c r="CZ289" s="39">
        <f t="shared" si="167"/>
        <v>5.8292507757559758E-2</v>
      </c>
      <c r="DA289" s="39">
        <f t="shared" si="188"/>
        <v>3.2838260423954182</v>
      </c>
      <c r="DB289" s="39">
        <v>3.9150870030135128</v>
      </c>
      <c r="DC289" s="39">
        <f t="shared" si="168"/>
        <v>1.7617092502121341</v>
      </c>
      <c r="DD289" s="39">
        <f>CG289</f>
        <v>2.2480097680097684</v>
      </c>
      <c r="DE289" s="39">
        <f t="shared" si="195"/>
        <v>1.8141715698330719E-2</v>
      </c>
      <c r="DF289" s="37"/>
      <c r="DG289" s="39">
        <f t="shared" si="169"/>
        <v>0.61370666666666673</v>
      </c>
      <c r="DH289" s="39">
        <f t="shared" si="170"/>
        <v>2.05362414515856</v>
      </c>
      <c r="DI289" s="37"/>
      <c r="DJ289" s="37"/>
      <c r="DK289" s="37"/>
      <c r="DL289" s="37"/>
      <c r="DM289" s="39">
        <f t="shared" si="180"/>
        <v>0.45524399341282562</v>
      </c>
      <c r="DN289" s="39"/>
      <c r="DO289" s="39">
        <f t="shared" si="181"/>
        <v>0.45524399341282562</v>
      </c>
      <c r="DP289" s="37"/>
      <c r="DQ289" s="37">
        <f>DO289/'Conversions, Sources &amp; Comments'!E287</f>
        <v>0.71212234999833668</v>
      </c>
    </row>
    <row r="290" spans="1:121">
      <c r="A290" s="42">
        <f t="shared" si="171"/>
        <v>1538</v>
      </c>
      <c r="B290" s="36"/>
      <c r="C290" s="38">
        <v>6</v>
      </c>
      <c r="D290" s="38">
        <v>11.5</v>
      </c>
      <c r="E290" s="38">
        <v>4</v>
      </c>
      <c r="F290" s="38">
        <v>7.5</v>
      </c>
      <c r="G290" s="38">
        <v>2</v>
      </c>
      <c r="H290" s="38">
        <v>9.5</v>
      </c>
      <c r="I290" s="38">
        <v>5</v>
      </c>
      <c r="J290" s="38">
        <v>5</v>
      </c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8">
        <v>12.5</v>
      </c>
      <c r="V290" s="36"/>
      <c r="W290" s="36"/>
      <c r="X290" s="38">
        <v>7</v>
      </c>
      <c r="Y290" s="38">
        <v>0</v>
      </c>
      <c r="Z290" s="38">
        <v>1</v>
      </c>
      <c r="AA290" s="38">
        <v>4.75</v>
      </c>
      <c r="AB290" s="36"/>
      <c r="AC290" s="38">
        <v>0</v>
      </c>
      <c r="AD290" s="38">
        <v>8</v>
      </c>
      <c r="AE290" s="38">
        <v>0</v>
      </c>
      <c r="AF290" s="38">
        <v>7.25</v>
      </c>
      <c r="AG290" s="38">
        <v>8</v>
      </c>
      <c r="AH290" s="38">
        <v>0</v>
      </c>
      <c r="AI290" s="36"/>
      <c r="AJ290" s="36"/>
      <c r="AK290" s="36"/>
      <c r="AL290" s="36"/>
      <c r="AM290" s="38">
        <v>14</v>
      </c>
      <c r="AN290" s="38">
        <v>2</v>
      </c>
      <c r="AO290" s="38">
        <v>1</v>
      </c>
      <c r="AP290" s="38">
        <v>4.25</v>
      </c>
      <c r="AQ290" s="36"/>
      <c r="AR290" s="36"/>
      <c r="AS290" s="36"/>
      <c r="AT290" s="36"/>
      <c r="AU290" s="36"/>
      <c r="AV290" s="38">
        <v>19.75</v>
      </c>
      <c r="AW290" s="38">
        <v>2.33</v>
      </c>
      <c r="AX290" s="38">
        <v>7.1</v>
      </c>
      <c r="AY290" s="38">
        <v>7</v>
      </c>
      <c r="AZ290" s="38">
        <v>40</v>
      </c>
      <c r="BA290" s="36"/>
      <c r="BB290" s="36"/>
      <c r="BC290" s="36"/>
      <c r="BD290" s="36"/>
      <c r="BE290" s="36"/>
      <c r="BF290" s="36"/>
      <c r="BG290" s="59">
        <v>7.02</v>
      </c>
      <c r="BH290" s="59">
        <v>0.57999999999999996</v>
      </c>
      <c r="BI290" s="59">
        <v>8.2905350217878371E-2</v>
      </c>
      <c r="BJ290" s="59"/>
      <c r="BK290" s="38">
        <v>1.3635000000000002</v>
      </c>
      <c r="BL290" s="59">
        <v>0.77</v>
      </c>
      <c r="BM290" s="38"/>
      <c r="BN290" s="38">
        <v>45</v>
      </c>
      <c r="BO290" s="36"/>
      <c r="BP290" s="39">
        <f t="shared" si="165"/>
        <v>0.63927777777777783</v>
      </c>
      <c r="BQ290" s="37"/>
      <c r="BR290" s="39">
        <f t="shared" si="166"/>
        <v>0.18935415760132687</v>
      </c>
      <c r="BS290" s="37"/>
      <c r="BT290" s="39">
        <f>BP290*12*AZ290/(24*0.9144)</f>
        <v>13.982453582191116</v>
      </c>
      <c r="BU290" s="39">
        <f>$BP290*12*AY290/(12*(45/36)*0.9144)</f>
        <v>3.9150870030135128</v>
      </c>
      <c r="BV290" s="39">
        <f t="shared" si="177"/>
        <v>0.19103226630342246</v>
      </c>
      <c r="BW290" s="39">
        <f t="shared" si="161"/>
        <v>0.7006600254687736</v>
      </c>
      <c r="BX290" s="39">
        <f t="shared" si="178"/>
        <v>7.7723343676746867E-2</v>
      </c>
      <c r="BY290" s="39">
        <f t="shared" si="160"/>
        <v>1.9672419960702163</v>
      </c>
      <c r="BZ290" s="37"/>
      <c r="CA290" s="39">
        <f t="shared" si="162"/>
        <v>1.9216809233007788</v>
      </c>
      <c r="CB290" s="39">
        <f t="shared" si="163"/>
        <v>1.0852176831254854</v>
      </c>
      <c r="CC290" s="39">
        <f t="shared" si="182"/>
        <v>0.13318287037037038</v>
      </c>
      <c r="CD290" s="39">
        <f>BP290*(12*AM290+AN290)/1000</f>
        <v>0.10867722222222223</v>
      </c>
      <c r="CE290" s="39">
        <f t="shared" si="175"/>
        <v>1.2625736111111112</v>
      </c>
      <c r="CF290" s="37"/>
      <c r="CG290" s="39">
        <f>BP290*(12*AO290+AP290)/4.55</f>
        <v>2.2831349206349207</v>
      </c>
      <c r="CH290" s="39">
        <f t="shared" si="187"/>
        <v>3.2838260423954182</v>
      </c>
      <c r="CI290" s="37"/>
      <c r="CJ290" s="37"/>
      <c r="CK290" s="39">
        <f t="shared" si="193"/>
        <v>1.8141715698330719E-2</v>
      </c>
      <c r="CL290" s="39">
        <f t="shared" si="191"/>
        <v>0.61370666666666673</v>
      </c>
      <c r="CM290" s="39">
        <f t="shared" si="194"/>
        <v>6.4105002467599717E-2</v>
      </c>
      <c r="CN290" s="37"/>
      <c r="CO290" s="39">
        <f>0.063495+(0.016949+0.014096)*Wages!P288+1.22592*BR290</f>
        <v>0.45439907777550748</v>
      </c>
      <c r="CP290" s="39"/>
      <c r="CQ290" s="39">
        <f t="shared" si="179"/>
        <v>0.45439907777550748</v>
      </c>
      <c r="CR290" s="39">
        <f t="shared" si="192"/>
        <v>0.19103226630342246</v>
      </c>
      <c r="CS290" s="39">
        <f t="shared" si="192"/>
        <v>0.7006600254687736</v>
      </c>
      <c r="CT290" s="39">
        <f t="shared" si="164"/>
        <v>1.9216809233007788</v>
      </c>
      <c r="CU290" s="39">
        <f t="shared" si="164"/>
        <v>1.0852176831254854</v>
      </c>
      <c r="CV290" s="39">
        <f t="shared" si="164"/>
        <v>0.13318287037037038</v>
      </c>
      <c r="CW290" s="39">
        <f>CD290</f>
        <v>0.10867722222222223</v>
      </c>
      <c r="CX290" s="39"/>
      <c r="CY290" s="39"/>
      <c r="CZ290" s="39">
        <f t="shared" si="167"/>
        <v>7.7723343676746867E-2</v>
      </c>
      <c r="DA290" s="39">
        <f t="shared" si="188"/>
        <v>3.2838260423954182</v>
      </c>
      <c r="DB290" s="39">
        <f>BU290</f>
        <v>3.9150870030135128</v>
      </c>
      <c r="DC290" s="39">
        <f t="shared" si="168"/>
        <v>1.9672419960702163</v>
      </c>
      <c r="DD290" s="39">
        <f>CG290</f>
        <v>2.2831349206349207</v>
      </c>
      <c r="DE290" s="39">
        <f t="shared" si="195"/>
        <v>1.8141715698330719E-2</v>
      </c>
      <c r="DF290" s="37"/>
      <c r="DG290" s="39">
        <f t="shared" si="169"/>
        <v>0.61370666666666673</v>
      </c>
      <c r="DH290" s="39">
        <f t="shared" si="170"/>
        <v>2.05362414515856</v>
      </c>
      <c r="DI290" s="37"/>
      <c r="DJ290" s="37"/>
      <c r="DK290" s="37"/>
      <c r="DL290" s="37"/>
      <c r="DM290" s="39">
        <f t="shared" si="180"/>
        <v>0.47479296672048871</v>
      </c>
      <c r="DN290" s="39"/>
      <c r="DO290" s="39">
        <f t="shared" si="181"/>
        <v>0.47479296672048871</v>
      </c>
      <c r="DP290" s="37"/>
      <c r="DQ290" s="37">
        <f>DO290/'Conversions, Sources &amp; Comments'!E288</f>
        <v>0.74270212922297696</v>
      </c>
    </row>
    <row r="291" spans="1:121">
      <c r="A291" s="42">
        <f t="shared" si="171"/>
        <v>1539</v>
      </c>
      <c r="B291" s="36"/>
      <c r="C291" s="38">
        <v>5</v>
      </c>
      <c r="D291" s="38">
        <v>7.25</v>
      </c>
      <c r="E291" s="38">
        <v>5</v>
      </c>
      <c r="F291" s="38">
        <v>4</v>
      </c>
      <c r="G291" s="38">
        <v>2</v>
      </c>
      <c r="H291" s="38">
        <v>8</v>
      </c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8">
        <v>12.5</v>
      </c>
      <c r="V291" s="36"/>
      <c r="W291" s="36"/>
      <c r="X291" s="38">
        <v>6</v>
      </c>
      <c r="Y291" s="38">
        <v>8</v>
      </c>
      <c r="Z291" s="38">
        <v>1</v>
      </c>
      <c r="AA291" s="38">
        <v>3</v>
      </c>
      <c r="AB291" s="36"/>
      <c r="AC291" s="38">
        <v>0</v>
      </c>
      <c r="AD291" s="38">
        <v>7</v>
      </c>
      <c r="AE291" s="38">
        <v>0</v>
      </c>
      <c r="AF291" s="38">
        <v>7.25</v>
      </c>
      <c r="AG291" s="38">
        <v>8</v>
      </c>
      <c r="AH291" s="38">
        <v>0</v>
      </c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8">
        <v>17</v>
      </c>
      <c r="AW291" s="38">
        <v>2.33</v>
      </c>
      <c r="AX291" s="38">
        <v>7.7</v>
      </c>
      <c r="AY291" s="36"/>
      <c r="AZ291" s="38">
        <v>40</v>
      </c>
      <c r="BA291" s="38">
        <v>112</v>
      </c>
      <c r="BB291" s="36"/>
      <c r="BC291" s="36"/>
      <c r="BD291" s="36"/>
      <c r="BE291" s="36"/>
      <c r="BF291" s="36"/>
      <c r="BG291" s="59">
        <v>5.73</v>
      </c>
      <c r="BH291" s="59">
        <v>0.57999999999999996</v>
      </c>
      <c r="BI291" s="59">
        <v>8.5668861891806808E-2</v>
      </c>
      <c r="BJ291" s="59"/>
      <c r="BK291" s="38">
        <v>1.4850000000000001</v>
      </c>
      <c r="BL291" s="59">
        <v>0.77</v>
      </c>
      <c r="BM291" s="36"/>
      <c r="BN291" s="38">
        <v>45</v>
      </c>
      <c r="BO291" s="36"/>
      <c r="BP291" s="39">
        <f t="shared" si="165"/>
        <v>0.63927777777777783</v>
      </c>
      <c r="BQ291" s="37"/>
      <c r="BR291" s="39">
        <f t="shared" si="166"/>
        <v>0.1525037975890926</v>
      </c>
      <c r="BS291" s="37"/>
      <c r="BT291" s="39">
        <f>BP291*12*AZ291/(24*0.9144)</f>
        <v>13.982453582191116</v>
      </c>
      <c r="BU291" s="37"/>
      <c r="BV291" s="39">
        <f t="shared" si="177"/>
        <v>0.15592804642715255</v>
      </c>
      <c r="BW291" s="39">
        <f t="shared" si="161"/>
        <v>0.7006600254687736</v>
      </c>
      <c r="BX291" s="39">
        <f t="shared" si="178"/>
        <v>8.0314121799304306E-2</v>
      </c>
      <c r="BY291" s="39">
        <f t="shared" si="160"/>
        <v>1.7617092502121341</v>
      </c>
      <c r="BZ291" s="37"/>
      <c r="CA291" s="39">
        <f t="shared" si="162"/>
        <v>2.0929198174562935</v>
      </c>
      <c r="CB291" s="39">
        <f t="shared" si="163"/>
        <v>1.0852176831254854</v>
      </c>
      <c r="CC291" s="39">
        <f t="shared" si="182"/>
        <v>0.13318287037037038</v>
      </c>
      <c r="CD291" s="37"/>
      <c r="CE291" s="39">
        <f t="shared" si="175"/>
        <v>1.0867722222222223</v>
      </c>
      <c r="CF291" s="37"/>
      <c r="CG291" s="37"/>
      <c r="CH291" s="39">
        <f t="shared" si="187"/>
        <v>3.2838260423954182</v>
      </c>
      <c r="CI291" s="37"/>
      <c r="CJ291" s="37"/>
      <c r="CK291" s="39">
        <f t="shared" si="193"/>
        <v>1.5874001236039378E-2</v>
      </c>
      <c r="CL291" s="39">
        <f t="shared" si="191"/>
        <v>0.61370666666666673</v>
      </c>
      <c r="CM291" s="39">
        <f t="shared" si="194"/>
        <v>5.6091877159149747E-2</v>
      </c>
      <c r="CN291" s="37"/>
      <c r="CO291" s="39">
        <f>0.063495+(0.016949+0.014096)*Wages!P289+1.22592*BR291</f>
        <v>0.40922348442930928</v>
      </c>
      <c r="CP291" s="39"/>
      <c r="CQ291" s="39">
        <f t="shared" si="179"/>
        <v>0.40922348442930928</v>
      </c>
      <c r="CR291" s="39">
        <f t="shared" si="192"/>
        <v>0.15592804642715255</v>
      </c>
      <c r="CS291" s="39">
        <f t="shared" si="192"/>
        <v>0.7006600254687736</v>
      </c>
      <c r="CT291" s="39">
        <f t="shared" si="164"/>
        <v>2.0929198174562935</v>
      </c>
      <c r="CU291" s="39">
        <f t="shared" si="164"/>
        <v>1.0852176831254854</v>
      </c>
      <c r="CV291" s="39">
        <f t="shared" si="164"/>
        <v>0.13318287037037038</v>
      </c>
      <c r="CW291" s="39">
        <v>0.08</v>
      </c>
      <c r="CX291" s="39"/>
      <c r="CY291" s="39"/>
      <c r="CZ291" s="39">
        <f t="shared" si="167"/>
        <v>8.0314121799304306E-2</v>
      </c>
      <c r="DA291" s="39">
        <f t="shared" si="188"/>
        <v>3.2838260423954182</v>
      </c>
      <c r="DB291" s="39">
        <v>3.6</v>
      </c>
      <c r="DC291" s="39">
        <f t="shared" si="168"/>
        <v>1.7617092502121341</v>
      </c>
      <c r="DD291" s="39">
        <v>2.1</v>
      </c>
      <c r="DE291" s="39">
        <f t="shared" si="195"/>
        <v>1.5874001236039378E-2</v>
      </c>
      <c r="DF291" s="37"/>
      <c r="DG291" s="39">
        <f t="shared" si="169"/>
        <v>0.61370666666666673</v>
      </c>
      <c r="DH291" s="39">
        <f t="shared" si="170"/>
        <v>1.79692112701374</v>
      </c>
      <c r="DI291" s="37"/>
      <c r="DJ291" s="37"/>
      <c r="DK291" s="37"/>
      <c r="DL291" s="37"/>
      <c r="DM291" s="39">
        <f t="shared" si="180"/>
        <v>0.4445328102212433</v>
      </c>
      <c r="DN291" s="39"/>
      <c r="DO291" s="39">
        <f t="shared" si="181"/>
        <v>0.4445328102212433</v>
      </c>
      <c r="DP291" s="37"/>
      <c r="DQ291" s="37">
        <f>DO291/'Conversions, Sources &amp; Comments'!E289</f>
        <v>0.69536721856108274</v>
      </c>
    </row>
    <row r="292" spans="1:121">
      <c r="A292" s="42">
        <f t="shared" si="171"/>
        <v>1540</v>
      </c>
      <c r="B292" s="36"/>
      <c r="C292" s="38">
        <v>5</v>
      </c>
      <c r="D292" s="38">
        <v>8.5</v>
      </c>
      <c r="E292" s="38">
        <v>5</v>
      </c>
      <c r="F292" s="38">
        <v>4</v>
      </c>
      <c r="G292" s="38">
        <v>3</v>
      </c>
      <c r="H292" s="38">
        <v>0.5</v>
      </c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8">
        <v>12.5</v>
      </c>
      <c r="V292" s="36"/>
      <c r="W292" s="36"/>
      <c r="X292" s="38">
        <v>6</v>
      </c>
      <c r="Y292" s="38">
        <v>0</v>
      </c>
      <c r="Z292" s="38">
        <v>1</v>
      </c>
      <c r="AA292" s="38">
        <v>3</v>
      </c>
      <c r="AB292" s="36"/>
      <c r="AC292" s="38">
        <v>0</v>
      </c>
      <c r="AD292" s="38">
        <v>7</v>
      </c>
      <c r="AE292" s="38">
        <v>0</v>
      </c>
      <c r="AF292" s="38">
        <v>7.25</v>
      </c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8">
        <v>22</v>
      </c>
      <c r="AW292" s="38">
        <v>2.33</v>
      </c>
      <c r="AX292" s="38">
        <v>7</v>
      </c>
      <c r="AY292" s="38">
        <v>5.5</v>
      </c>
      <c r="AZ292" s="38">
        <v>40</v>
      </c>
      <c r="BA292" s="38">
        <v>120</v>
      </c>
      <c r="BB292" s="36"/>
      <c r="BC292" s="36"/>
      <c r="BD292" s="36"/>
      <c r="BE292" s="36"/>
      <c r="BF292" s="36"/>
      <c r="BG292" s="59">
        <v>6.16</v>
      </c>
      <c r="BH292" s="59">
        <v>0.57999999999999996</v>
      </c>
      <c r="BI292" s="59">
        <v>8.2905350217878371E-2</v>
      </c>
      <c r="BJ292" s="59"/>
      <c r="BK292" s="38">
        <v>1.4850000000000001</v>
      </c>
      <c r="BL292" s="59">
        <v>0.77</v>
      </c>
      <c r="BM292" s="38"/>
      <c r="BN292" s="38">
        <v>45</v>
      </c>
      <c r="BO292" s="36"/>
      <c r="BP292" s="39">
        <f t="shared" si="165"/>
        <v>0.63927777777777783</v>
      </c>
      <c r="BQ292" s="37"/>
      <c r="BR292" s="39">
        <f t="shared" si="166"/>
        <v>0.15533844066695679</v>
      </c>
      <c r="BS292" s="37"/>
      <c r="BT292" s="39">
        <f>BP292*12*AZ292/(24*0.9144)</f>
        <v>13.982453582191116</v>
      </c>
      <c r="BU292" s="39">
        <f>$BP292*12*AY292/(12*(45/36)*0.9144)</f>
        <v>3.0761397880820458</v>
      </c>
      <c r="BV292" s="39">
        <f t="shared" si="177"/>
        <v>0.16762945305257584</v>
      </c>
      <c r="BW292" s="39">
        <f t="shared" si="161"/>
        <v>0.7006600254687736</v>
      </c>
      <c r="BX292" s="39">
        <f t="shared" si="178"/>
        <v>7.7723343676746867E-2</v>
      </c>
      <c r="BY292" s="39">
        <f t="shared" si="160"/>
        <v>1.7617092502121341</v>
      </c>
      <c r="BZ292" s="37"/>
      <c r="CA292" s="39">
        <f t="shared" si="162"/>
        <v>2.0929198174562935</v>
      </c>
      <c r="CB292" s="39">
        <f t="shared" si="163"/>
        <v>1.0852176831254854</v>
      </c>
      <c r="CC292" s="39">
        <f t="shared" si="182"/>
        <v>0.13318287037037038</v>
      </c>
      <c r="CD292" s="37"/>
      <c r="CE292" s="39">
        <f t="shared" si="175"/>
        <v>1.4064111111111113</v>
      </c>
      <c r="CF292" s="37"/>
      <c r="CG292" s="37"/>
      <c r="CH292" s="39">
        <f t="shared" si="187"/>
        <v>3.2838260423954182</v>
      </c>
      <c r="CI292" s="37"/>
      <c r="CJ292" s="37"/>
      <c r="CK292" s="39">
        <f t="shared" si="193"/>
        <v>1.5874001236039378E-2</v>
      </c>
      <c r="CL292" s="37"/>
      <c r="CM292" s="39">
        <f t="shared" si="194"/>
        <v>5.6091877159149747E-2</v>
      </c>
      <c r="CN292" s="37"/>
      <c r="CO292" s="39">
        <f>0.063495+(0.016949+0.014096)*Wages!P290+1.22592*BR292</f>
        <v>0.41269853007132451</v>
      </c>
      <c r="CP292" s="39"/>
      <c r="CQ292" s="39">
        <f t="shared" si="179"/>
        <v>0.41269853007132451</v>
      </c>
      <c r="CR292" s="39">
        <f t="shared" si="192"/>
        <v>0.16762945305257584</v>
      </c>
      <c r="CS292" s="39">
        <f t="shared" si="192"/>
        <v>0.7006600254687736</v>
      </c>
      <c r="CT292" s="39">
        <f t="shared" si="164"/>
        <v>2.0929198174562935</v>
      </c>
      <c r="CU292" s="39">
        <f t="shared" si="164"/>
        <v>1.0852176831254854</v>
      </c>
      <c r="CV292" s="39">
        <f t="shared" si="164"/>
        <v>0.13318287037037038</v>
      </c>
      <c r="CW292" s="39">
        <v>0.08</v>
      </c>
      <c r="CX292" s="39"/>
      <c r="CY292" s="39"/>
      <c r="CZ292" s="39">
        <f t="shared" si="167"/>
        <v>7.7723343676746867E-2</v>
      </c>
      <c r="DA292" s="39">
        <f t="shared" si="188"/>
        <v>3.2838260423954182</v>
      </c>
      <c r="DB292" s="39">
        <f>BU292</f>
        <v>3.0761397880820458</v>
      </c>
      <c r="DC292" s="39">
        <f t="shared" si="168"/>
        <v>1.7617092502121341</v>
      </c>
      <c r="DD292" s="39">
        <v>2.1</v>
      </c>
      <c r="DE292" s="39">
        <f t="shared" si="195"/>
        <v>1.5874001236039378E-2</v>
      </c>
      <c r="DF292" s="37"/>
      <c r="DG292" s="39">
        <f t="shared" si="169"/>
        <v>0</v>
      </c>
      <c r="DH292" s="39">
        <f t="shared" si="170"/>
        <v>1.79692112701374</v>
      </c>
      <c r="DI292" s="37"/>
      <c r="DJ292" s="37"/>
      <c r="DK292" s="37"/>
      <c r="DL292" s="37"/>
      <c r="DM292" s="39">
        <f t="shared" si="180"/>
        <v>0.44007415265850219</v>
      </c>
      <c r="DN292" s="39"/>
      <c r="DO292" s="39">
        <f t="shared" si="181"/>
        <v>0.44007415265850219</v>
      </c>
      <c r="DP292" s="37"/>
      <c r="DQ292" s="37">
        <f>DO292/'Conversions, Sources &amp; Comments'!E290</f>
        <v>0.68839269556383409</v>
      </c>
    </row>
    <row r="293" spans="1:121">
      <c r="A293" s="42">
        <f t="shared" si="171"/>
        <v>1541</v>
      </c>
      <c r="B293" s="36"/>
      <c r="C293" s="38">
        <v>9</v>
      </c>
      <c r="D293" s="38">
        <v>0.25</v>
      </c>
      <c r="E293" s="38">
        <v>4</v>
      </c>
      <c r="F293" s="38">
        <v>6</v>
      </c>
      <c r="G293" s="38">
        <v>2</v>
      </c>
      <c r="H293" s="38">
        <v>10.5</v>
      </c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8">
        <v>6</v>
      </c>
      <c r="Y293" s="38">
        <v>0</v>
      </c>
      <c r="Z293" s="38">
        <v>1</v>
      </c>
      <c r="AA293" s="38">
        <v>5.5</v>
      </c>
      <c r="AB293" s="36"/>
      <c r="AC293" s="38">
        <v>0</v>
      </c>
      <c r="AD293" s="38">
        <v>7</v>
      </c>
      <c r="AE293" s="38">
        <v>0</v>
      </c>
      <c r="AF293" s="38">
        <v>8.25</v>
      </c>
      <c r="AG293" s="38">
        <v>8</v>
      </c>
      <c r="AH293" s="38">
        <v>4</v>
      </c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8">
        <v>19</v>
      </c>
      <c r="AW293" s="36"/>
      <c r="AX293" s="38">
        <v>6.3</v>
      </c>
      <c r="AY293" s="36"/>
      <c r="AZ293" s="38">
        <v>40</v>
      </c>
      <c r="BA293" s="38">
        <v>120</v>
      </c>
      <c r="BB293" s="38">
        <v>108</v>
      </c>
      <c r="BC293" s="36"/>
      <c r="BD293" s="36"/>
      <c r="BE293" s="36"/>
      <c r="BF293" s="36"/>
      <c r="BG293" s="59">
        <v>7.53</v>
      </c>
      <c r="BH293" s="59">
        <v>1.17</v>
      </c>
      <c r="BI293" s="59">
        <v>8.0141838543948241E-2</v>
      </c>
      <c r="BJ293" s="59"/>
      <c r="BK293" s="38">
        <v>1.4850000000000001</v>
      </c>
      <c r="BL293" s="59">
        <v>0.77</v>
      </c>
      <c r="BM293" s="36"/>
      <c r="BN293" s="38">
        <v>45</v>
      </c>
      <c r="BO293" s="36"/>
      <c r="BP293" s="39">
        <f t="shared" si="165"/>
        <v>0.63927777777777783</v>
      </c>
      <c r="BQ293" s="37"/>
      <c r="BR293" s="39">
        <f t="shared" si="166"/>
        <v>0.24548009054303754</v>
      </c>
      <c r="BS293" s="37"/>
      <c r="BT293" s="39">
        <f>BP293*12*AZ293/(24*0.9144)</f>
        <v>13.982453582191116</v>
      </c>
      <c r="BU293" s="37"/>
      <c r="BV293" s="39">
        <f t="shared" si="177"/>
        <v>0.20491067881264546</v>
      </c>
      <c r="BW293" s="39">
        <f t="shared" si="161"/>
        <v>1.4134003962042501</v>
      </c>
      <c r="BX293" s="39">
        <f t="shared" si="178"/>
        <v>7.5132565554187847E-2</v>
      </c>
      <c r="BY293" s="39">
        <f t="shared" si="160"/>
        <v>2.0553274585808232</v>
      </c>
      <c r="BZ293" s="37"/>
      <c r="CA293" s="39">
        <f t="shared" si="162"/>
        <v>2.0929198174562935</v>
      </c>
      <c r="CB293" s="39">
        <f t="shared" si="163"/>
        <v>1.0852176831254854</v>
      </c>
      <c r="CC293" s="37"/>
      <c r="CD293" s="37"/>
      <c r="CE293" s="39">
        <f t="shared" si="175"/>
        <v>1.2146277777777779</v>
      </c>
      <c r="CF293" s="37"/>
      <c r="CG293" s="37"/>
      <c r="CH293" s="37"/>
      <c r="CI293" s="37"/>
      <c r="CJ293" s="37"/>
      <c r="CK293" s="39">
        <f t="shared" si="193"/>
        <v>1.5874001236039378E-2</v>
      </c>
      <c r="CL293" s="39">
        <f>BP293*(12*AG293+AH293)/100</f>
        <v>0.63927777777777783</v>
      </c>
      <c r="CM293" s="39">
        <f t="shared" si="194"/>
        <v>5.6091877159149747E-2</v>
      </c>
      <c r="CN293" s="37"/>
      <c r="CO293" s="39">
        <f>0.063495+(0.016949+0.014096)*Wages!P291+1.22592*BR293</f>
        <v>0.52320498148740946</v>
      </c>
      <c r="CP293" s="39"/>
      <c r="CQ293" s="39">
        <f t="shared" si="179"/>
        <v>0.52320498148740946</v>
      </c>
      <c r="CR293" s="39">
        <f t="shared" si="192"/>
        <v>0.20491067881264546</v>
      </c>
      <c r="CS293" s="39">
        <f t="shared" si="192"/>
        <v>1.4134003962042501</v>
      </c>
      <c r="CT293" s="39">
        <f t="shared" si="164"/>
        <v>2.0929198174562935</v>
      </c>
      <c r="CU293" s="39">
        <f t="shared" si="164"/>
        <v>1.0852176831254854</v>
      </c>
      <c r="CV293" s="39">
        <v>0.08</v>
      </c>
      <c r="CW293" s="39">
        <v>0.08</v>
      </c>
      <c r="CX293" s="39"/>
      <c r="CY293" s="39"/>
      <c r="CZ293" s="39">
        <f t="shared" si="167"/>
        <v>7.5132565554187847E-2</v>
      </c>
      <c r="DA293" s="39">
        <v>3.3</v>
      </c>
      <c r="DB293" s="39">
        <v>2.6</v>
      </c>
      <c r="DC293" s="39">
        <f t="shared" si="168"/>
        <v>2.0553274585808232</v>
      </c>
      <c r="DD293" s="39">
        <v>2.1</v>
      </c>
      <c r="DE293" s="39">
        <f t="shared" si="195"/>
        <v>1.5874001236039378E-2</v>
      </c>
      <c r="DF293" s="37"/>
      <c r="DG293" s="39">
        <f t="shared" si="169"/>
        <v>0.63927777777777783</v>
      </c>
      <c r="DH293" s="39">
        <f t="shared" si="170"/>
        <v>1.79692112701374</v>
      </c>
      <c r="DI293" s="37"/>
      <c r="DJ293" s="37"/>
      <c r="DK293" s="37"/>
      <c r="DL293" s="37"/>
      <c r="DM293" s="39">
        <f t="shared" si="180"/>
        <v>0.52628743158641589</v>
      </c>
      <c r="DN293" s="39"/>
      <c r="DO293" s="39">
        <f t="shared" si="181"/>
        <v>0.52628743158641589</v>
      </c>
      <c r="DP293" s="37"/>
      <c r="DQ293" s="37">
        <f>DO293/'Conversions, Sources &amp; Comments'!E291</f>
        <v>0.82325313014299861</v>
      </c>
    </row>
    <row r="294" spans="1:121">
      <c r="A294" s="42">
        <f t="shared" si="171"/>
        <v>1542</v>
      </c>
      <c r="B294" s="36"/>
      <c r="C294" s="38">
        <v>7</v>
      </c>
      <c r="D294" s="38">
        <v>11.25</v>
      </c>
      <c r="E294" s="38">
        <v>6</v>
      </c>
      <c r="F294" s="38">
        <v>4</v>
      </c>
      <c r="G294" s="38">
        <v>3</v>
      </c>
      <c r="H294" s="38">
        <v>0</v>
      </c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8">
        <v>5</v>
      </c>
      <c r="Y294" s="38">
        <v>10</v>
      </c>
      <c r="Z294" s="38">
        <v>1</v>
      </c>
      <c r="AA294" s="38">
        <v>4.25</v>
      </c>
      <c r="AB294" s="36"/>
      <c r="AC294" s="38">
        <v>0</v>
      </c>
      <c r="AD294" s="38">
        <v>7</v>
      </c>
      <c r="AE294" s="38">
        <v>0</v>
      </c>
      <c r="AF294" s="38">
        <v>8.25</v>
      </c>
      <c r="AG294" s="38">
        <v>8</v>
      </c>
      <c r="AH294" s="38">
        <v>8</v>
      </c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8">
        <v>8.11</v>
      </c>
      <c r="AY294" s="36"/>
      <c r="AZ294" s="38">
        <v>40</v>
      </c>
      <c r="BA294" s="38">
        <v>124.44</v>
      </c>
      <c r="BB294" s="36"/>
      <c r="BC294" s="36"/>
      <c r="BD294" s="36"/>
      <c r="BE294" s="36"/>
      <c r="BF294" s="36"/>
      <c r="BG294" s="59">
        <v>6.03</v>
      </c>
      <c r="BH294" s="59">
        <v>1.17</v>
      </c>
      <c r="BI294" s="59">
        <v>7.3233059359125469E-2</v>
      </c>
      <c r="BJ294" s="59"/>
      <c r="BK294" s="38">
        <v>1.4850000000000001</v>
      </c>
      <c r="BL294" s="59">
        <v>0.77</v>
      </c>
      <c r="BM294" s="36"/>
      <c r="BN294" s="38">
        <v>64.2</v>
      </c>
      <c r="BO294" s="36"/>
      <c r="BP294" s="39">
        <f t="shared" si="165"/>
        <v>0.44809190031152651</v>
      </c>
      <c r="BQ294" s="37"/>
      <c r="BR294" s="39">
        <f t="shared" si="166"/>
        <v>0.15140173074760521</v>
      </c>
      <c r="BS294" s="37"/>
      <c r="BT294" s="39">
        <f>BP294*12*AZ294/(24*0.9144)</f>
        <v>9.8007852211619984</v>
      </c>
      <c r="BU294" s="37"/>
      <c r="BV294" s="39">
        <f t="shared" si="177"/>
        <v>0.11501762978369255</v>
      </c>
      <c r="BW294" s="39">
        <f t="shared" si="161"/>
        <v>0.9907012122926987</v>
      </c>
      <c r="BX294" s="39">
        <f t="shared" si="178"/>
        <v>4.8123098304527573E-2</v>
      </c>
      <c r="BY294" s="39">
        <f t="shared" si="160"/>
        <v>1.3377465100909898</v>
      </c>
      <c r="BZ294" s="37"/>
      <c r="CA294" s="39">
        <f t="shared" si="162"/>
        <v>1.4669998720488038</v>
      </c>
      <c r="CB294" s="39">
        <f t="shared" si="163"/>
        <v>0.76066660032160205</v>
      </c>
      <c r="CC294" s="37"/>
      <c r="CD294" s="37"/>
      <c r="CE294" s="37"/>
      <c r="CF294" s="37"/>
      <c r="CG294" s="37"/>
      <c r="CH294" s="37"/>
      <c r="CI294" s="37"/>
      <c r="CJ294" s="37"/>
      <c r="CK294" s="39">
        <f t="shared" si="193"/>
        <v>1.1126636380401433E-2</v>
      </c>
      <c r="CL294" s="39">
        <f>BP294*(12*AG294+AH294)/100</f>
        <v>0.4660155763239876</v>
      </c>
      <c r="CM294" s="39">
        <f t="shared" si="194"/>
        <v>3.9316736326506833E-2</v>
      </c>
      <c r="CN294" s="37"/>
      <c r="CO294" s="39">
        <f>0.063495+(0.016949+0.014096)*Wages!P292+1.22592*BR294</f>
        <v>0.36038951411947484</v>
      </c>
      <c r="CP294" s="39"/>
      <c r="CQ294" s="39">
        <f t="shared" si="179"/>
        <v>0.36038951411947484</v>
      </c>
      <c r="CR294" s="39">
        <f t="shared" si="192"/>
        <v>0.11501762978369255</v>
      </c>
      <c r="CS294" s="39">
        <f t="shared" si="192"/>
        <v>0.9907012122926987</v>
      </c>
      <c r="CT294" s="39">
        <f t="shared" si="164"/>
        <v>1.4669998720488038</v>
      </c>
      <c r="CU294" s="39">
        <f t="shared" si="164"/>
        <v>0.76066660032160205</v>
      </c>
      <c r="CV294" s="39">
        <v>0.08</v>
      </c>
      <c r="CW294" s="39">
        <v>0.08</v>
      </c>
      <c r="CX294" s="39"/>
      <c r="CY294" s="39"/>
      <c r="CZ294" s="39">
        <f t="shared" si="167"/>
        <v>4.8123098304527573E-2</v>
      </c>
      <c r="DA294" s="39">
        <v>1.8</v>
      </c>
      <c r="DB294" s="39">
        <v>2.6</v>
      </c>
      <c r="DC294" s="39">
        <f t="shared" si="168"/>
        <v>1.3377465100909898</v>
      </c>
      <c r="DD294" s="39">
        <v>1.5</v>
      </c>
      <c r="DE294" s="39">
        <f t="shared" si="195"/>
        <v>1.1126636380401433E-2</v>
      </c>
      <c r="DF294" s="37"/>
      <c r="DG294" s="39">
        <f t="shared" si="169"/>
        <v>0.4660155763239876</v>
      </c>
      <c r="DH294" s="39">
        <f t="shared" si="170"/>
        <v>1.2595241544488831</v>
      </c>
      <c r="DI294" s="37"/>
      <c r="DJ294" s="37"/>
      <c r="DK294" s="37"/>
      <c r="DL294" s="37"/>
      <c r="DM294" s="39">
        <f t="shared" si="180"/>
        <v>0.36921800691189849</v>
      </c>
      <c r="DN294" s="39"/>
      <c r="DO294" s="39">
        <f t="shared" si="181"/>
        <v>0.36921800691189849</v>
      </c>
      <c r="DP294" s="37"/>
      <c r="DQ294" s="37">
        <f>DO294/'Conversions, Sources &amp; Comments'!E292</f>
        <v>0.82397831037607994</v>
      </c>
    </row>
    <row r="295" spans="1:121">
      <c r="A295" s="42">
        <f t="shared" si="171"/>
        <v>1543</v>
      </c>
      <c r="B295" s="36"/>
      <c r="C295" s="38">
        <v>9</v>
      </c>
      <c r="D295" s="38">
        <v>3.25</v>
      </c>
      <c r="E295" s="36"/>
      <c r="F295" s="36"/>
      <c r="G295" s="38">
        <v>3</v>
      </c>
      <c r="H295" s="38">
        <v>0</v>
      </c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8">
        <v>6</v>
      </c>
      <c r="Y295" s="38">
        <v>9</v>
      </c>
      <c r="Z295" s="38">
        <v>1</v>
      </c>
      <c r="AA295" s="38">
        <v>3.5</v>
      </c>
      <c r="AB295" s="36"/>
      <c r="AC295" s="38">
        <v>0</v>
      </c>
      <c r="AD295" s="38">
        <v>7</v>
      </c>
      <c r="AE295" s="38">
        <v>0</v>
      </c>
      <c r="AF295" s="38">
        <v>8.25</v>
      </c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8">
        <v>30</v>
      </c>
      <c r="AW295" s="36"/>
      <c r="AX295" s="38">
        <v>7.9</v>
      </c>
      <c r="AY295" s="38">
        <v>5.5</v>
      </c>
      <c r="AZ295" s="36"/>
      <c r="BA295" s="36"/>
      <c r="BB295" s="36"/>
      <c r="BC295" s="36"/>
      <c r="BD295" s="36"/>
      <c r="BE295" s="36"/>
      <c r="BF295" s="36"/>
      <c r="BG295" s="59">
        <v>6.63</v>
      </c>
      <c r="BH295" s="59">
        <v>1.17</v>
      </c>
      <c r="BI295" s="59">
        <v>7.7378326870019817E-2</v>
      </c>
      <c r="BJ295" s="59"/>
      <c r="BK295" s="38">
        <v>1.4850000000000001</v>
      </c>
      <c r="BL295" s="59">
        <v>0.77</v>
      </c>
      <c r="BM295" s="38"/>
      <c r="BN295" s="38">
        <v>64.2</v>
      </c>
      <c r="BO295" s="36"/>
      <c r="BP295" s="39">
        <f t="shared" si="165"/>
        <v>0.44809190031152651</v>
      </c>
      <c r="BQ295" s="37"/>
      <c r="BR295" s="39">
        <f t="shared" si="166"/>
        <v>0.17683404247423706</v>
      </c>
      <c r="BS295" s="37"/>
      <c r="BT295" s="37"/>
      <c r="BU295" s="39">
        <f>$BP295*12*AY295/(12*(45/36)*0.9144)</f>
        <v>2.1561727486556395</v>
      </c>
      <c r="BV295" s="39">
        <f t="shared" si="177"/>
        <v>0.12646217006067687</v>
      </c>
      <c r="BW295" s="39">
        <f t="shared" si="161"/>
        <v>0.9907012122926987</v>
      </c>
      <c r="BX295" s="39">
        <f t="shared" si="178"/>
        <v>5.084704726516151E-2</v>
      </c>
      <c r="BY295" s="39">
        <f t="shared" si="160"/>
        <v>1.2760043634714056</v>
      </c>
      <c r="BZ295" s="37"/>
      <c r="CA295" s="39">
        <f t="shared" si="162"/>
        <v>1.4669998720488038</v>
      </c>
      <c r="CB295" s="39">
        <f t="shared" si="163"/>
        <v>0.76066660032160205</v>
      </c>
      <c r="CC295" s="37"/>
      <c r="CD295" s="37"/>
      <c r="CE295" s="39">
        <f>$BP295*12*AV295/120</f>
        <v>1.3442757009345796</v>
      </c>
      <c r="CF295" s="37"/>
      <c r="CG295" s="37"/>
      <c r="CH295" s="37"/>
      <c r="CI295" s="37"/>
      <c r="CJ295" s="37"/>
      <c r="CK295" s="39">
        <f t="shared" si="193"/>
        <v>1.1126636380401433E-2</v>
      </c>
      <c r="CL295" s="37"/>
      <c r="CM295" s="39">
        <f t="shared" si="194"/>
        <v>3.9316736326506833E-2</v>
      </c>
      <c r="CN295" s="37"/>
      <c r="CO295" s="39">
        <f>0.063495+(0.016949+0.014096)*Wages!P293+1.22592*BR295</f>
        <v>0.39156749371138738</v>
      </c>
      <c r="CP295" s="39"/>
      <c r="CQ295" s="39">
        <f t="shared" si="179"/>
        <v>0.39156749371138738</v>
      </c>
      <c r="CR295" s="39">
        <f t="shared" si="192"/>
        <v>0.12646217006067687</v>
      </c>
      <c r="CS295" s="39">
        <f t="shared" si="192"/>
        <v>0.9907012122926987</v>
      </c>
      <c r="CT295" s="39">
        <f t="shared" si="164"/>
        <v>1.4669998720488038</v>
      </c>
      <c r="CU295" s="39">
        <f t="shared" si="164"/>
        <v>0.76066660032160205</v>
      </c>
      <c r="CV295" s="39">
        <v>0.08</v>
      </c>
      <c r="CW295" s="39">
        <v>0.08</v>
      </c>
      <c r="CX295" s="39"/>
      <c r="CY295" s="39"/>
      <c r="CZ295" s="39">
        <f t="shared" si="167"/>
        <v>5.084704726516151E-2</v>
      </c>
      <c r="DA295" s="39">
        <v>1.8</v>
      </c>
      <c r="DB295" s="39">
        <f>BU295</f>
        <v>2.1561727486556395</v>
      </c>
      <c r="DC295" s="39">
        <f t="shared" si="168"/>
        <v>1.2760043634714056</v>
      </c>
      <c r="DD295" s="39">
        <v>1.5</v>
      </c>
      <c r="DE295" s="39">
        <f t="shared" si="195"/>
        <v>1.1126636380401433E-2</v>
      </c>
      <c r="DF295" s="37"/>
      <c r="DG295" s="39">
        <f t="shared" si="169"/>
        <v>0</v>
      </c>
      <c r="DH295" s="39">
        <f t="shared" si="170"/>
        <v>1.2595241544488831</v>
      </c>
      <c r="DI295" s="37"/>
      <c r="DJ295" s="37"/>
      <c r="DK295" s="37"/>
      <c r="DL295" s="37"/>
      <c r="DM295" s="39">
        <f t="shared" si="180"/>
        <v>0.37978830094519855</v>
      </c>
      <c r="DN295" s="39"/>
      <c r="DO295" s="39">
        <f t="shared" si="181"/>
        <v>0.37978830094519855</v>
      </c>
      <c r="DP295" s="37"/>
      <c r="DQ295" s="37">
        <f>DO295/'Conversions, Sources &amp; Comments'!E293</f>
        <v>0.84756787766339603</v>
      </c>
    </row>
    <row r="296" spans="1:121">
      <c r="A296" s="42">
        <f t="shared" si="171"/>
        <v>1544</v>
      </c>
      <c r="B296" s="36"/>
      <c r="C296" s="38">
        <v>9</v>
      </c>
      <c r="D296" s="38">
        <v>0.25</v>
      </c>
      <c r="E296" s="36"/>
      <c r="F296" s="36"/>
      <c r="G296" s="38">
        <v>3</v>
      </c>
      <c r="H296" s="38">
        <v>4</v>
      </c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8">
        <v>5</v>
      </c>
      <c r="Y296" s="38">
        <v>6</v>
      </c>
      <c r="Z296" s="38">
        <v>1</v>
      </c>
      <c r="AA296" s="38">
        <v>5.5</v>
      </c>
      <c r="AB296" s="36"/>
      <c r="AC296" s="38" t="s">
        <v>8</v>
      </c>
      <c r="AD296" s="38" t="s">
        <v>8</v>
      </c>
      <c r="AE296" s="38">
        <v>0</v>
      </c>
      <c r="AF296" s="38">
        <v>8.25</v>
      </c>
      <c r="AG296" s="38">
        <v>9</v>
      </c>
      <c r="AH296" s="38">
        <v>4</v>
      </c>
      <c r="AI296" s="38">
        <v>2</v>
      </c>
      <c r="AJ296" s="38">
        <v>9</v>
      </c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8">
        <v>8.1</v>
      </c>
      <c r="AY296" s="36"/>
      <c r="AZ296" s="36"/>
      <c r="BA296" s="36"/>
      <c r="BB296" s="38">
        <v>130.9</v>
      </c>
      <c r="BC296" s="36"/>
      <c r="BD296" s="36"/>
      <c r="BE296" s="36"/>
      <c r="BF296" s="36"/>
      <c r="BG296" s="59">
        <v>7.66</v>
      </c>
      <c r="BH296" s="59">
        <v>1.17</v>
      </c>
      <c r="BI296" s="59">
        <v>0.12297626948985249</v>
      </c>
      <c r="BJ296" s="59"/>
      <c r="BK296" s="38">
        <v>1.4850000000000001</v>
      </c>
      <c r="BL296" s="59">
        <v>0.77</v>
      </c>
      <c r="BM296" s="36"/>
      <c r="BN296" s="38">
        <v>59.2</v>
      </c>
      <c r="BO296" s="36"/>
      <c r="BP296" s="39">
        <f t="shared" si="165"/>
        <v>0.48593750000000002</v>
      </c>
      <c r="BQ296" s="37"/>
      <c r="BR296" s="39">
        <f t="shared" si="166"/>
        <v>0.18659804179791703</v>
      </c>
      <c r="BS296" s="37"/>
      <c r="BT296" s="37"/>
      <c r="BU296" s="37"/>
      <c r="BV296" s="39">
        <f t="shared" si="177"/>
        <v>0.15844888685509964</v>
      </c>
      <c r="BW296" s="39">
        <f t="shared" si="161"/>
        <v>1.0743753011687711</v>
      </c>
      <c r="BX296" s="39">
        <f t="shared" si="178"/>
        <v>8.7635695784169507E-2</v>
      </c>
      <c r="BY296" s="39">
        <f t="shared" si="160"/>
        <v>1.5623266154752877</v>
      </c>
      <c r="BZ296" s="37"/>
      <c r="CA296" s="39">
        <f t="shared" si="162"/>
        <v>1.5909018882691419</v>
      </c>
      <c r="CB296" s="39">
        <f t="shared" si="163"/>
        <v>0.8249120902136291</v>
      </c>
      <c r="CC296" s="37"/>
      <c r="CD296" s="37"/>
      <c r="CE296" s="37"/>
      <c r="CF296" s="37"/>
      <c r="CG296" s="37"/>
      <c r="CH296" s="37"/>
      <c r="CI296" s="37"/>
      <c r="CJ296" s="37"/>
      <c r="CK296" s="37"/>
      <c r="CL296" s="39">
        <f>BP296*(12*AG296+AH296)/100</f>
        <v>0.54425000000000001</v>
      </c>
      <c r="CM296" s="37"/>
      <c r="CN296" s="37"/>
      <c r="CO296" s="39">
        <f>0.063495+(0.016949+0.014096)*Wages!P294+1.22592*BR296</f>
        <v>0.42017795515090239</v>
      </c>
      <c r="CP296" s="39"/>
      <c r="CQ296" s="39">
        <f t="shared" si="179"/>
        <v>0.42017795515090239</v>
      </c>
      <c r="CR296" s="39">
        <f t="shared" si="192"/>
        <v>0.15844888685509964</v>
      </c>
      <c r="CS296" s="39">
        <f t="shared" si="192"/>
        <v>1.0743753011687711</v>
      </c>
      <c r="CT296" s="39">
        <f t="shared" si="164"/>
        <v>1.5909018882691419</v>
      </c>
      <c r="CU296" s="39">
        <f t="shared" si="164"/>
        <v>0.8249120902136291</v>
      </c>
      <c r="CV296" s="39">
        <v>0.08</v>
      </c>
      <c r="CW296" s="39">
        <v>0.08</v>
      </c>
      <c r="CX296" s="39"/>
      <c r="CY296" s="39"/>
      <c r="CZ296" s="39">
        <f t="shared" si="167"/>
        <v>8.7635695784169507E-2</v>
      </c>
      <c r="DA296" s="39">
        <v>1.8</v>
      </c>
      <c r="DB296" s="39">
        <v>1.9</v>
      </c>
      <c r="DC296" s="39">
        <f t="shared" si="168"/>
        <v>1.5623266154752877</v>
      </c>
      <c r="DD296" s="39">
        <v>1.5</v>
      </c>
      <c r="DE296" s="39">
        <v>0.01</v>
      </c>
      <c r="DF296" s="37"/>
      <c r="DG296" s="39">
        <f t="shared" si="169"/>
        <v>0.54425000000000001</v>
      </c>
      <c r="DH296" s="39">
        <f t="shared" si="170"/>
        <v>1.1319900384876613</v>
      </c>
      <c r="DI296" s="37"/>
      <c r="DJ296" s="37"/>
      <c r="DK296" s="37"/>
      <c r="DL296" s="37"/>
      <c r="DM296" s="39">
        <f t="shared" si="180"/>
        <v>0.41725707141965213</v>
      </c>
      <c r="DN296" s="39"/>
      <c r="DO296" s="39">
        <f t="shared" si="181"/>
        <v>0.41725707141965213</v>
      </c>
      <c r="DP296" s="37"/>
      <c r="DQ296" s="37">
        <f>DO296/'Conversions, Sources &amp; Comments'!E294</f>
        <v>0.85866406980249954</v>
      </c>
    </row>
    <row r="297" spans="1:121">
      <c r="A297" s="42">
        <f t="shared" si="171"/>
        <v>1545</v>
      </c>
      <c r="B297" s="36"/>
      <c r="C297" s="38">
        <v>15</v>
      </c>
      <c r="D297" s="38">
        <v>6.75</v>
      </c>
      <c r="E297" s="38">
        <v>9</v>
      </c>
      <c r="F297" s="38">
        <v>0</v>
      </c>
      <c r="G297" s="38">
        <v>4</v>
      </c>
      <c r="H297" s="38">
        <v>8</v>
      </c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8">
        <v>6</v>
      </c>
      <c r="Y297" s="38">
        <v>0</v>
      </c>
      <c r="Z297" s="38">
        <v>1</v>
      </c>
      <c r="AA297" s="38">
        <v>10</v>
      </c>
      <c r="AB297" s="36"/>
      <c r="AC297" s="38">
        <v>0</v>
      </c>
      <c r="AD297" s="38">
        <v>8.5</v>
      </c>
      <c r="AE297" s="38">
        <v>0</v>
      </c>
      <c r="AF297" s="38">
        <v>8.25</v>
      </c>
      <c r="AG297" s="36"/>
      <c r="AH297" s="36"/>
      <c r="AI297" s="38">
        <v>2</v>
      </c>
      <c r="AJ297" s="38">
        <v>7.5</v>
      </c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8">
        <v>17.329999999999998</v>
      </c>
      <c r="AW297" s="36"/>
      <c r="AX297" s="38">
        <v>8.1999999999999993</v>
      </c>
      <c r="AY297" s="38">
        <v>6</v>
      </c>
      <c r="AZ297" s="38">
        <v>40</v>
      </c>
      <c r="BA297" s="36"/>
      <c r="BB297" s="38">
        <v>113</v>
      </c>
      <c r="BC297" s="36"/>
      <c r="BD297" s="36"/>
      <c r="BE297" s="36"/>
      <c r="BF297" s="38">
        <v>1.8</v>
      </c>
      <c r="BG297" s="59">
        <v>8.57</v>
      </c>
      <c r="BH297" s="59">
        <v>1.17</v>
      </c>
      <c r="BI297" s="59">
        <v>0.16581070043575674</v>
      </c>
      <c r="BJ297" s="59"/>
      <c r="BK297" s="38">
        <v>1.4850000000000001</v>
      </c>
      <c r="BL297" s="59">
        <v>0.77</v>
      </c>
      <c r="BM297" s="38"/>
      <c r="BN297" s="38">
        <v>88.8</v>
      </c>
      <c r="BO297" s="36"/>
      <c r="BP297" s="39">
        <f t="shared" si="165"/>
        <v>0.32395833333333335</v>
      </c>
      <c r="BQ297" s="37"/>
      <c r="BR297" s="39">
        <f t="shared" si="166"/>
        <v>0.2146092951855951</v>
      </c>
      <c r="BS297" s="39">
        <f t="shared" ref="BS297:BS360" si="196">BP297*(BF297/4)/0.453592</f>
        <v>0.3213929037549163</v>
      </c>
      <c r="BT297" s="39">
        <f t="shared" ref="BT297:BT302" si="197">BP297*12*AZ297/(24*0.9144)</f>
        <v>7.0857028288130657</v>
      </c>
      <c r="BU297" s="39">
        <f>$BP297*12*AY297/(12*(45/36)*0.9144)</f>
        <v>1.700568678915136</v>
      </c>
      <c r="BV297" s="39">
        <f t="shared" si="177"/>
        <v>0.11818163275441287</v>
      </c>
      <c r="BW297" s="39">
        <f t="shared" si="161"/>
        <v>0.71625020077918078</v>
      </c>
      <c r="BX297" s="39">
        <f t="shared" si="178"/>
        <v>7.8773659131838036E-2</v>
      </c>
      <c r="BY297" s="39">
        <f t="shared" ref="BY297:BY328" si="198">$BP297*(12*Z297+AA297)/(12*0.453592)</f>
        <v>1.3093784967792887</v>
      </c>
      <c r="BZ297" s="37"/>
      <c r="CA297" s="39">
        <f t="shared" si="162"/>
        <v>1.0606012588460947</v>
      </c>
      <c r="CB297" s="39">
        <f t="shared" si="163"/>
        <v>0.54994139347575277</v>
      </c>
      <c r="CC297" s="37"/>
      <c r="CD297" s="37"/>
      <c r="CE297" s="39">
        <f>$BP297*12*AV297/120</f>
        <v>0.56141979166666667</v>
      </c>
      <c r="CF297" s="37"/>
      <c r="CG297" s="37"/>
      <c r="CH297" s="37"/>
      <c r="CI297" s="37"/>
      <c r="CJ297" s="37"/>
      <c r="CK297" s="39">
        <f t="shared" ref="CK297:CK302" si="199">BP297*(12*AC297+AD297)/(35.238*8)</f>
        <v>9.7680268223697912E-3</v>
      </c>
      <c r="CL297" s="37"/>
      <c r="CM297" s="39">
        <f t="shared" ref="CM297:CM302" si="200">BP297*(12*$AC297+$AD297)/(35.238*8)/0.283</f>
        <v>3.4515995838762518E-2</v>
      </c>
      <c r="CN297" s="37"/>
      <c r="CO297" s="39">
        <f>0.063495+(0.016949+0.014096)*Wages!P295+1.22592*BR297</f>
        <v>0.41750669673725804</v>
      </c>
      <c r="CP297" s="39"/>
      <c r="CQ297" s="39">
        <f t="shared" ref="CQ297:CQ360" si="201">BS297</f>
        <v>0.3213929037549163</v>
      </c>
      <c r="CR297" s="39">
        <f t="shared" si="192"/>
        <v>0.11818163275441287</v>
      </c>
      <c r="CS297" s="39">
        <f t="shared" si="192"/>
        <v>0.71625020077918078</v>
      </c>
      <c r="CT297" s="39">
        <f t="shared" si="164"/>
        <v>1.0606012588460947</v>
      </c>
      <c r="CU297" s="39">
        <f t="shared" si="164"/>
        <v>0.54994139347575277</v>
      </c>
      <c r="CV297" s="39">
        <v>0.08</v>
      </c>
      <c r="CW297" s="39">
        <v>0.08</v>
      </c>
      <c r="CX297" s="39"/>
      <c r="CY297" s="39"/>
      <c r="CZ297" s="39">
        <f t="shared" si="167"/>
        <v>7.8773659131838036E-2</v>
      </c>
      <c r="DA297" s="39">
        <v>1.8</v>
      </c>
      <c r="DB297" s="39">
        <f>BU297</f>
        <v>1.700568678915136</v>
      </c>
      <c r="DC297" s="39">
        <f t="shared" si="168"/>
        <v>1.3093784967792887</v>
      </c>
      <c r="DD297" s="39">
        <v>1.5</v>
      </c>
      <c r="DE297" s="39">
        <f t="shared" ref="DE297:DE302" si="202">CK297</f>
        <v>9.7680268223697912E-3</v>
      </c>
      <c r="DF297" s="37"/>
      <c r="DG297" s="39">
        <f t="shared" si="169"/>
        <v>0</v>
      </c>
      <c r="DH297" s="39">
        <f t="shared" si="170"/>
        <v>1.1057309058602889</v>
      </c>
      <c r="DI297" s="37"/>
      <c r="DJ297" s="37"/>
      <c r="DK297" s="37"/>
      <c r="DL297" s="37"/>
      <c r="DM297" s="39">
        <f t="shared" si="180"/>
        <v>0.3281499035221232</v>
      </c>
      <c r="DN297" s="39"/>
      <c r="DO297" s="39">
        <f t="shared" si="181"/>
        <v>0.3281499035221232</v>
      </c>
      <c r="DP297" s="37"/>
      <c r="DQ297" s="37">
        <f>DO297/'Conversions, Sources &amp; Comments'!E295</f>
        <v>1.0129386089428882</v>
      </c>
    </row>
    <row r="298" spans="1:121">
      <c r="A298" s="42">
        <f t="shared" si="171"/>
        <v>1546</v>
      </c>
      <c r="B298" s="36"/>
      <c r="C298" s="38">
        <v>8</v>
      </c>
      <c r="D298" s="38">
        <v>3.5</v>
      </c>
      <c r="E298" s="38">
        <v>4</v>
      </c>
      <c r="F298" s="38">
        <v>0</v>
      </c>
      <c r="G298" s="38">
        <v>4</v>
      </c>
      <c r="H298" s="38">
        <v>2</v>
      </c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8">
        <v>7</v>
      </c>
      <c r="Y298" s="38">
        <v>0</v>
      </c>
      <c r="Z298" s="38">
        <v>1</v>
      </c>
      <c r="AA298" s="38">
        <v>9</v>
      </c>
      <c r="AB298" s="36"/>
      <c r="AC298" s="38">
        <v>0</v>
      </c>
      <c r="AD298" s="38">
        <v>10</v>
      </c>
      <c r="AE298" s="38">
        <v>0</v>
      </c>
      <c r="AF298" s="38">
        <v>8.25</v>
      </c>
      <c r="AG298" s="36"/>
      <c r="AH298" s="36"/>
      <c r="AI298" s="36"/>
      <c r="AJ298" s="36"/>
      <c r="AK298" s="36"/>
      <c r="AL298" s="36"/>
      <c r="AM298" s="38">
        <v>25</v>
      </c>
      <c r="AN298" s="38">
        <v>0</v>
      </c>
      <c r="AO298" s="36"/>
      <c r="AP298" s="36"/>
      <c r="AQ298" s="36"/>
      <c r="AR298" s="36"/>
      <c r="AS298" s="36"/>
      <c r="AT298" s="36"/>
      <c r="AU298" s="36"/>
      <c r="AV298" s="38">
        <v>16</v>
      </c>
      <c r="AW298" s="36"/>
      <c r="AX298" s="38">
        <v>8.11</v>
      </c>
      <c r="AY298" s="36"/>
      <c r="AZ298" s="38">
        <v>42</v>
      </c>
      <c r="BA298" s="36"/>
      <c r="BB298" s="38">
        <v>144</v>
      </c>
      <c r="BC298" s="36"/>
      <c r="BD298" s="36"/>
      <c r="BE298" s="36"/>
      <c r="BF298" s="38">
        <v>1</v>
      </c>
      <c r="BG298" s="59">
        <v>7.15</v>
      </c>
      <c r="BH298" s="59">
        <v>1.17</v>
      </c>
      <c r="BI298" s="59">
        <v>0.17686474713147385</v>
      </c>
      <c r="BJ298" s="59"/>
      <c r="BK298" s="38">
        <v>1.7955000000000001</v>
      </c>
      <c r="BL298" s="59">
        <v>1.03</v>
      </c>
      <c r="BM298" s="36"/>
      <c r="BN298" s="38">
        <v>133.19999999999999</v>
      </c>
      <c r="BO298" s="36"/>
      <c r="BP298" s="39">
        <f t="shared" si="165"/>
        <v>0.21597222222222226</v>
      </c>
      <c r="BQ298" s="37"/>
      <c r="BR298" s="39">
        <f t="shared" si="166"/>
        <v>7.6228915202023087E-2</v>
      </c>
      <c r="BS298" s="39">
        <f t="shared" si="196"/>
        <v>0.11903440879811718</v>
      </c>
      <c r="BT298" s="39">
        <f t="shared" si="197"/>
        <v>4.9599919801691472</v>
      </c>
      <c r="BU298" s="37"/>
      <c r="BV298" s="39">
        <f t="shared" si="177"/>
        <v>6.5733074616417905E-2</v>
      </c>
      <c r="BW298" s="39">
        <f t="shared" si="161"/>
        <v>0.47750013385278722</v>
      </c>
      <c r="BX298" s="39">
        <f t="shared" si="178"/>
        <v>5.6016824271529285E-2</v>
      </c>
      <c r="BY298" s="39">
        <f t="shared" si="198"/>
        <v>0.8332408615868202</v>
      </c>
      <c r="BZ298" s="37"/>
      <c r="CA298" s="39">
        <f t="shared" si="162"/>
        <v>0.8549088934941248</v>
      </c>
      <c r="CB298" s="39">
        <f t="shared" si="163"/>
        <v>0.49042392664937262</v>
      </c>
      <c r="CC298" s="37"/>
      <c r="CD298" s="39">
        <f>BP298*(12*AM298+AN298)/1000</f>
        <v>6.4791666666666678E-2</v>
      </c>
      <c r="CE298" s="39">
        <f>$BP298*12*AV298/120</f>
        <v>0.34555555555555562</v>
      </c>
      <c r="CF298" s="37"/>
      <c r="CG298" s="37"/>
      <c r="CH298" s="37"/>
      <c r="CI298" s="37"/>
      <c r="CJ298" s="37"/>
      <c r="CK298" s="39">
        <f t="shared" si="199"/>
        <v>7.661197507741014E-3</v>
      </c>
      <c r="CL298" s="37"/>
      <c r="CM298" s="39">
        <f t="shared" si="200"/>
        <v>2.7071369285303938E-2</v>
      </c>
      <c r="CN298" s="37"/>
      <c r="CO298" s="39">
        <f>0.063495+(0.016949+0.014096)*Wages!P296+1.22592*BR298</f>
        <v>0.21755746478001969</v>
      </c>
      <c r="CP298" s="39"/>
      <c r="CQ298" s="39">
        <f t="shared" si="201"/>
        <v>0.11903440879811718</v>
      </c>
      <c r="CR298" s="39">
        <f t="shared" si="192"/>
        <v>6.5733074616417905E-2</v>
      </c>
      <c r="CS298" s="39">
        <f t="shared" si="192"/>
        <v>0.47750013385278722</v>
      </c>
      <c r="CT298" s="39">
        <f t="shared" si="164"/>
        <v>0.8549088934941248</v>
      </c>
      <c r="CU298" s="39">
        <f t="shared" si="164"/>
        <v>0.49042392664937262</v>
      </c>
      <c r="CV298" s="39">
        <v>0.08</v>
      </c>
      <c r="CW298" s="39">
        <f>CD298</f>
        <v>6.4791666666666678E-2</v>
      </c>
      <c r="CX298" s="39"/>
      <c r="CY298" s="39"/>
      <c r="CZ298" s="39">
        <f t="shared" si="167"/>
        <v>5.6016824271529285E-2</v>
      </c>
      <c r="DA298" s="39">
        <v>1.8</v>
      </c>
      <c r="DB298" s="39">
        <v>1.3</v>
      </c>
      <c r="DC298" s="39">
        <f t="shared" si="168"/>
        <v>0.8332408615868202</v>
      </c>
      <c r="DD298" s="39">
        <v>1.5</v>
      </c>
      <c r="DE298" s="39">
        <f t="shared" si="202"/>
        <v>7.661197507741014E-3</v>
      </c>
      <c r="DF298" s="37"/>
      <c r="DG298" s="39">
        <f t="shared" si="169"/>
        <v>0</v>
      </c>
      <c r="DH298" s="39">
        <f t="shared" si="170"/>
        <v>0.86723992616493262</v>
      </c>
      <c r="DI298" s="37"/>
      <c r="DJ298" s="37"/>
      <c r="DK298" s="37"/>
      <c r="DL298" s="37"/>
      <c r="DM298" s="39">
        <f t="shared" si="180"/>
        <v>0.1938564866908439</v>
      </c>
      <c r="DN298" s="39"/>
      <c r="DO298" s="39">
        <f t="shared" si="181"/>
        <v>0.1938564866908439</v>
      </c>
      <c r="DP298" s="37"/>
      <c r="DQ298" s="37">
        <f>DO298/'Conversions, Sources &amp; Comments'!E296</f>
        <v>0.89759916667143147</v>
      </c>
    </row>
    <row r="299" spans="1:121">
      <c r="A299" s="42">
        <f t="shared" si="171"/>
        <v>1547</v>
      </c>
      <c r="B299" s="36"/>
      <c r="C299" s="38">
        <v>4</v>
      </c>
      <c r="D299" s="38">
        <v>11</v>
      </c>
      <c r="E299" s="38">
        <v>3</v>
      </c>
      <c r="F299" s="38">
        <v>4</v>
      </c>
      <c r="G299" s="38">
        <v>3</v>
      </c>
      <c r="H299" s="38">
        <v>1</v>
      </c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8">
        <v>5</v>
      </c>
      <c r="Y299" s="38">
        <v>0</v>
      </c>
      <c r="Z299" s="38">
        <v>2</v>
      </c>
      <c r="AA299" s="38">
        <v>0.5</v>
      </c>
      <c r="AB299" s="36"/>
      <c r="AC299" s="38">
        <v>0</v>
      </c>
      <c r="AD299" s="38">
        <v>8</v>
      </c>
      <c r="AE299" s="38">
        <v>0</v>
      </c>
      <c r="AF299" s="38">
        <v>8.25</v>
      </c>
      <c r="AG299" s="38">
        <v>9</v>
      </c>
      <c r="AH299" s="38">
        <v>10</v>
      </c>
      <c r="AI299" s="38">
        <v>2</v>
      </c>
      <c r="AJ299" s="38">
        <v>6</v>
      </c>
      <c r="AK299" s="36"/>
      <c r="AL299" s="36"/>
      <c r="AM299" s="38">
        <v>16</v>
      </c>
      <c r="AN299" s="38">
        <v>5</v>
      </c>
      <c r="AO299" s="36"/>
      <c r="AP299" s="36"/>
      <c r="AQ299" s="36"/>
      <c r="AR299" s="36"/>
      <c r="AS299" s="36"/>
      <c r="AT299" s="36"/>
      <c r="AU299" s="36"/>
      <c r="AV299" s="38">
        <v>22</v>
      </c>
      <c r="AW299" s="36"/>
      <c r="AX299" s="38">
        <v>7.6</v>
      </c>
      <c r="AY299" s="36"/>
      <c r="AZ299" s="38">
        <v>47</v>
      </c>
      <c r="BA299" s="36"/>
      <c r="BB299" s="38">
        <v>118</v>
      </c>
      <c r="BC299" s="36"/>
      <c r="BD299" s="36"/>
      <c r="BE299" s="36"/>
      <c r="BF299" s="38">
        <v>1</v>
      </c>
      <c r="BG299" s="59">
        <v>6.46</v>
      </c>
      <c r="BH299" s="59">
        <v>1.17</v>
      </c>
      <c r="BI299" s="59">
        <v>8.8432373565736924E-2</v>
      </c>
      <c r="BJ299" s="59"/>
      <c r="BK299" s="38">
        <v>1.5930000000000002</v>
      </c>
      <c r="BL299" s="59">
        <v>1.06</v>
      </c>
      <c r="BM299" s="36"/>
      <c r="BN299" s="38">
        <v>133.19999999999999</v>
      </c>
      <c r="BO299" s="36"/>
      <c r="BP299" s="39">
        <f t="shared" si="165"/>
        <v>0.21597222222222226</v>
      </c>
      <c r="BQ299" s="37"/>
      <c r="BR299" s="39">
        <f t="shared" si="166"/>
        <v>4.5201065295671979E-2</v>
      </c>
      <c r="BS299" s="39">
        <f t="shared" si="196"/>
        <v>0.11903440879811718</v>
      </c>
      <c r="BT299" s="39">
        <f t="shared" si="197"/>
        <v>5.5504672159035691</v>
      </c>
      <c r="BU299" s="37"/>
      <c r="BV299" s="39">
        <f t="shared" si="177"/>
        <v>5.9389603080008332E-2</v>
      </c>
      <c r="BW299" s="39">
        <f t="shared" si="161"/>
        <v>0.47750013385278722</v>
      </c>
      <c r="BX299" s="39">
        <f t="shared" si="178"/>
        <v>2.8008412135764642E-2</v>
      </c>
      <c r="BY299" s="39">
        <f t="shared" si="198"/>
        <v>0.97211433851795692</v>
      </c>
      <c r="BZ299" s="37"/>
      <c r="CA299" s="39">
        <f t="shared" si="162"/>
        <v>0.75849059723538903</v>
      </c>
      <c r="CB299" s="39">
        <f t="shared" si="163"/>
        <v>0.50470811868770382</v>
      </c>
      <c r="CC299" s="37"/>
      <c r="CD299" s="39">
        <f>BP299*(12*AM299+AN299)/1000</f>
        <v>4.254652777777778E-2</v>
      </c>
      <c r="CE299" s="39">
        <f>$BP299*12*AV299/120</f>
        <v>0.475138888888889</v>
      </c>
      <c r="CF299" s="37"/>
      <c r="CG299" s="37"/>
      <c r="CH299" s="37"/>
      <c r="CI299" s="37"/>
      <c r="CJ299" s="37"/>
      <c r="CK299" s="39">
        <f t="shared" si="199"/>
        <v>6.1289580061928105E-3</v>
      </c>
      <c r="CL299" s="39">
        <f t="shared" ref="CL299:CL309" si="203">BP299*(12*AG299+AH299)/100</f>
        <v>0.25484722222222228</v>
      </c>
      <c r="CM299" s="39">
        <f t="shared" si="200"/>
        <v>2.1657095428243147E-2</v>
      </c>
      <c r="CN299" s="37"/>
      <c r="CO299" s="39">
        <f>0.063495+(0.016949+0.014096)*Wages!P297+1.22592*BR299</f>
        <v>0.17951980302282572</v>
      </c>
      <c r="CP299" s="39"/>
      <c r="CQ299" s="39">
        <f t="shared" si="201"/>
        <v>0.11903440879811718</v>
      </c>
      <c r="CR299" s="39">
        <f t="shared" si="192"/>
        <v>5.9389603080008332E-2</v>
      </c>
      <c r="CS299" s="39">
        <f t="shared" si="192"/>
        <v>0.47750013385278722</v>
      </c>
      <c r="CT299" s="39">
        <f t="shared" si="164"/>
        <v>0.75849059723538903</v>
      </c>
      <c r="CU299" s="39">
        <f t="shared" si="164"/>
        <v>0.50470811868770382</v>
      </c>
      <c r="CV299" s="39">
        <v>0.08</v>
      </c>
      <c r="CW299" s="39">
        <f>CD299</f>
        <v>4.254652777777778E-2</v>
      </c>
      <c r="CX299" s="39"/>
      <c r="CY299" s="39"/>
      <c r="CZ299" s="39">
        <f t="shared" si="167"/>
        <v>2.8008412135764642E-2</v>
      </c>
      <c r="DA299" s="39">
        <v>1.8</v>
      </c>
      <c r="DB299" s="39">
        <v>1.3</v>
      </c>
      <c r="DC299" s="39">
        <f t="shared" si="168"/>
        <v>0.97211433851795692</v>
      </c>
      <c r="DD299" s="39">
        <v>1.5</v>
      </c>
      <c r="DE299" s="39">
        <f t="shared" si="202"/>
        <v>6.1289580061928105E-3</v>
      </c>
      <c r="DF299" s="37"/>
      <c r="DG299" s="39">
        <f t="shared" si="169"/>
        <v>0.25484722222222228</v>
      </c>
      <c r="DH299" s="39">
        <f t="shared" si="170"/>
        <v>0.69379194093194596</v>
      </c>
      <c r="DI299" s="37"/>
      <c r="DJ299" s="37"/>
      <c r="DK299" s="37"/>
      <c r="DL299" s="37"/>
      <c r="DM299" s="39">
        <f t="shared" si="180"/>
        <v>0.17852585837917997</v>
      </c>
      <c r="DN299" s="39"/>
      <c r="DO299" s="39">
        <f t="shared" si="181"/>
        <v>0.17852585837917997</v>
      </c>
      <c r="DP299" s="37"/>
      <c r="DQ299" s="37">
        <f>DO299/'Conversions, Sources &amp; Comments'!E297</f>
        <v>0.82661490696469175</v>
      </c>
    </row>
    <row r="300" spans="1:121">
      <c r="A300" s="42">
        <f t="shared" si="171"/>
        <v>1548</v>
      </c>
      <c r="B300" s="36"/>
      <c r="C300" s="38">
        <v>8</v>
      </c>
      <c r="D300" s="38">
        <v>1.75</v>
      </c>
      <c r="E300" s="38">
        <v>3</v>
      </c>
      <c r="F300" s="38">
        <v>11.5</v>
      </c>
      <c r="G300" s="38">
        <v>3</v>
      </c>
      <c r="H300" s="38">
        <v>6.75</v>
      </c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8">
        <v>7</v>
      </c>
      <c r="Y300" s="38">
        <v>4</v>
      </c>
      <c r="Z300" s="38">
        <v>2</v>
      </c>
      <c r="AA300" s="38">
        <v>0</v>
      </c>
      <c r="AB300" s="36"/>
      <c r="AC300" s="38">
        <v>0</v>
      </c>
      <c r="AD300" s="38">
        <v>8.5</v>
      </c>
      <c r="AE300" s="38">
        <v>0</v>
      </c>
      <c r="AF300" s="38">
        <v>8.25</v>
      </c>
      <c r="AG300" s="38">
        <v>10</v>
      </c>
      <c r="AH300" s="38">
        <v>6.75</v>
      </c>
      <c r="AI300" s="38">
        <v>3</v>
      </c>
      <c r="AJ300" s="38">
        <v>7</v>
      </c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8">
        <v>24</v>
      </c>
      <c r="AW300" s="36"/>
      <c r="AX300" s="38">
        <v>8.6</v>
      </c>
      <c r="AY300" s="36"/>
      <c r="AZ300" s="38">
        <v>57</v>
      </c>
      <c r="BA300" s="36"/>
      <c r="BB300" s="38">
        <v>112</v>
      </c>
      <c r="BC300" s="36"/>
      <c r="BD300" s="36"/>
      <c r="BE300" s="36"/>
      <c r="BF300" s="38">
        <v>1.3</v>
      </c>
      <c r="BG300" s="59">
        <v>8.61</v>
      </c>
      <c r="BH300" s="59">
        <v>1.17</v>
      </c>
      <c r="BI300" s="59">
        <v>0.11330397863109959</v>
      </c>
      <c r="BJ300" s="59"/>
      <c r="BK300" s="38">
        <v>2.0385000000000004</v>
      </c>
      <c r="BL300" s="59">
        <v>1.0900000000000001</v>
      </c>
      <c r="BM300" s="36"/>
      <c r="BN300" s="38">
        <v>133.19999999999999</v>
      </c>
      <c r="BO300" s="36"/>
      <c r="BP300" s="39">
        <f t="shared" si="165"/>
        <v>0.21597222222222226</v>
      </c>
      <c r="BQ300" s="37"/>
      <c r="BR300" s="39">
        <f t="shared" si="166"/>
        <v>7.4888205638168406E-2</v>
      </c>
      <c r="BS300" s="39">
        <f t="shared" si="196"/>
        <v>0.15474473143755232</v>
      </c>
      <c r="BT300" s="39">
        <f t="shared" si="197"/>
        <v>6.7314176873724128</v>
      </c>
      <c r="BU300" s="37"/>
      <c r="BV300" s="39">
        <f t="shared" si="177"/>
        <v>7.9155492649980147E-2</v>
      </c>
      <c r="BW300" s="39">
        <f t="shared" si="161"/>
        <v>0.47750013385278722</v>
      </c>
      <c r="BX300" s="39">
        <f t="shared" si="178"/>
        <v>3.5885778048948179E-2</v>
      </c>
      <c r="BY300" s="39">
        <f t="shared" si="198"/>
        <v>0.95227527038493742</v>
      </c>
      <c r="BZ300" s="37"/>
      <c r="CA300" s="39">
        <f t="shared" si="162"/>
        <v>0.97061084900460803</v>
      </c>
      <c r="CB300" s="39">
        <f t="shared" si="163"/>
        <v>0.51899231072603513</v>
      </c>
      <c r="CC300" s="37"/>
      <c r="CD300" s="37"/>
      <c r="CE300" s="39">
        <f>$BP300*12*AV300/120</f>
        <v>0.51833333333333342</v>
      </c>
      <c r="CF300" s="37"/>
      <c r="CG300" s="37"/>
      <c r="CH300" s="37"/>
      <c r="CI300" s="37"/>
      <c r="CJ300" s="37"/>
      <c r="CK300" s="39">
        <f t="shared" si="199"/>
        <v>6.5120178815798613E-3</v>
      </c>
      <c r="CL300" s="39">
        <f t="shared" si="203"/>
        <v>0.27374479166666671</v>
      </c>
      <c r="CM300" s="39">
        <f t="shared" si="200"/>
        <v>2.3010663892508346E-2</v>
      </c>
      <c r="CN300" s="37"/>
      <c r="CO300" s="39">
        <f>0.063495+(0.016949+0.014096)*Wages!P298+1.22592*BR300</f>
        <v>0.21591386211149893</v>
      </c>
      <c r="CP300" s="39"/>
      <c r="CQ300" s="39">
        <f t="shared" si="201"/>
        <v>0.15474473143755232</v>
      </c>
      <c r="CR300" s="39">
        <f t="shared" si="192"/>
        <v>7.9155492649980147E-2</v>
      </c>
      <c r="CS300" s="39">
        <f t="shared" si="192"/>
        <v>0.47750013385278722</v>
      </c>
      <c r="CT300" s="39">
        <f t="shared" si="164"/>
        <v>0.97061084900460803</v>
      </c>
      <c r="CU300" s="39">
        <f t="shared" si="164"/>
        <v>0.51899231072603513</v>
      </c>
      <c r="CV300" s="39">
        <v>0.08</v>
      </c>
      <c r="CW300" s="39">
        <v>4.4999999999999998E-2</v>
      </c>
      <c r="CX300" s="39"/>
      <c r="CY300" s="39"/>
      <c r="CZ300" s="39">
        <f t="shared" si="167"/>
        <v>3.5885778048948179E-2</v>
      </c>
      <c r="DA300" s="39">
        <v>1.8</v>
      </c>
      <c r="DB300" s="39">
        <v>1.3</v>
      </c>
      <c r="DC300" s="39">
        <f t="shared" si="168"/>
        <v>0.95227527038493742</v>
      </c>
      <c r="DD300" s="39">
        <v>1.5</v>
      </c>
      <c r="DE300" s="39">
        <f t="shared" si="202"/>
        <v>6.5120178815798613E-3</v>
      </c>
      <c r="DF300" s="37"/>
      <c r="DG300" s="39">
        <f t="shared" si="169"/>
        <v>0.27374479166666671</v>
      </c>
      <c r="DH300" s="39">
        <f t="shared" si="170"/>
        <v>0.73715393724019262</v>
      </c>
      <c r="DI300" s="37"/>
      <c r="DJ300" s="37"/>
      <c r="DK300" s="37"/>
      <c r="DL300" s="37"/>
      <c r="DM300" s="39">
        <f t="shared" si="180"/>
        <v>0.20335919019345125</v>
      </c>
      <c r="DN300" s="39"/>
      <c r="DO300" s="39">
        <f t="shared" si="181"/>
        <v>0.20335919019345125</v>
      </c>
      <c r="DP300" s="37"/>
      <c r="DQ300" s="37">
        <f>DO300/'Conversions, Sources &amp; Comments'!E298</f>
        <v>0.94159882276067441</v>
      </c>
    </row>
    <row r="301" spans="1:121">
      <c r="A301" s="42">
        <f t="shared" si="171"/>
        <v>1549</v>
      </c>
      <c r="B301" s="36"/>
      <c r="C301" s="38">
        <v>16</v>
      </c>
      <c r="D301" s="38">
        <v>4</v>
      </c>
      <c r="E301" s="38">
        <v>11</v>
      </c>
      <c r="F301" s="38">
        <v>4</v>
      </c>
      <c r="G301" s="38">
        <v>6</v>
      </c>
      <c r="H301" s="38">
        <v>0</v>
      </c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8">
        <v>6</v>
      </c>
      <c r="Y301" s="38">
        <v>9</v>
      </c>
      <c r="Z301" s="38">
        <v>2</v>
      </c>
      <c r="AA301" s="38">
        <v>2.75</v>
      </c>
      <c r="AB301" s="36"/>
      <c r="AC301" s="38">
        <v>0</v>
      </c>
      <c r="AD301" s="38">
        <v>8.5</v>
      </c>
      <c r="AE301" s="38">
        <v>0</v>
      </c>
      <c r="AF301" s="38">
        <v>8.25</v>
      </c>
      <c r="AG301" s="38">
        <v>11</v>
      </c>
      <c r="AH301" s="38">
        <v>9.5</v>
      </c>
      <c r="AI301" s="38">
        <v>4</v>
      </c>
      <c r="AJ301" s="38">
        <v>3</v>
      </c>
      <c r="AK301" s="36"/>
      <c r="AL301" s="36"/>
      <c r="AM301" s="38">
        <v>20</v>
      </c>
      <c r="AN301" s="38">
        <v>0</v>
      </c>
      <c r="AO301" s="38">
        <v>2</v>
      </c>
      <c r="AP301" s="38">
        <v>8</v>
      </c>
      <c r="AQ301" s="36"/>
      <c r="AR301" s="36"/>
      <c r="AS301" s="36"/>
      <c r="AT301" s="36"/>
      <c r="AU301" s="36"/>
      <c r="AV301" s="38">
        <v>36</v>
      </c>
      <c r="AW301" s="36"/>
      <c r="AX301" s="38">
        <v>11.1</v>
      </c>
      <c r="AY301" s="36"/>
      <c r="AZ301" s="38">
        <v>56.5</v>
      </c>
      <c r="BA301" s="38">
        <v>168</v>
      </c>
      <c r="BB301" s="38">
        <v>153</v>
      </c>
      <c r="BC301" s="36"/>
      <c r="BD301" s="36"/>
      <c r="BE301" s="36"/>
      <c r="BF301" s="38">
        <v>2.2000000000000002</v>
      </c>
      <c r="BG301" s="59">
        <v>11.02</v>
      </c>
      <c r="BH301" s="59">
        <v>1.17</v>
      </c>
      <c r="BI301" s="59">
        <v>0.15475665374003963</v>
      </c>
      <c r="BJ301" s="59"/>
      <c r="BK301" s="38">
        <v>2.0385000000000004</v>
      </c>
      <c r="BL301" s="59">
        <v>1.23</v>
      </c>
      <c r="BM301" s="36"/>
      <c r="BN301" s="38">
        <v>133.19999999999999</v>
      </c>
      <c r="BO301" s="36"/>
      <c r="BP301" s="39">
        <f t="shared" si="165"/>
        <v>0.21597222222222226</v>
      </c>
      <c r="BQ301" s="37"/>
      <c r="BR301" s="39">
        <f t="shared" si="166"/>
        <v>0.15015947115172387</v>
      </c>
      <c r="BS301" s="39">
        <f t="shared" si="196"/>
        <v>0.26187569935585781</v>
      </c>
      <c r="BT301" s="39">
        <f t="shared" si="197"/>
        <v>6.6723701637989716</v>
      </c>
      <c r="BU301" s="37"/>
      <c r="BV301" s="39">
        <f t="shared" si="177"/>
        <v>0.10131167584236715</v>
      </c>
      <c r="BW301" s="39">
        <f t="shared" si="161"/>
        <v>0.47750013385278722</v>
      </c>
      <c r="BX301" s="39">
        <f t="shared" si="178"/>
        <v>4.901472123758812E-2</v>
      </c>
      <c r="BY301" s="39">
        <f t="shared" si="198"/>
        <v>1.0613901451165448</v>
      </c>
      <c r="BZ301" s="37"/>
      <c r="CA301" s="39">
        <f t="shared" si="162"/>
        <v>0.97061084900460803</v>
      </c>
      <c r="CB301" s="39">
        <f t="shared" si="163"/>
        <v>0.58565187357158088</v>
      </c>
      <c r="CC301" s="37"/>
      <c r="CD301" s="39">
        <f>BP301*(12*AM301+AN301)/1000</f>
        <v>5.1833333333333342E-2</v>
      </c>
      <c r="CE301" s="39">
        <f>$BP301*12*AV301/120</f>
        <v>0.77750000000000019</v>
      </c>
      <c r="CF301" s="37"/>
      <c r="CG301" s="39">
        <f>BP301*(12*AO301+AP301)/4.55</f>
        <v>1.5189255189255193</v>
      </c>
      <c r="CH301" s="37"/>
      <c r="CI301" s="37"/>
      <c r="CJ301" s="37"/>
      <c r="CK301" s="39">
        <f t="shared" si="199"/>
        <v>6.5120178815798613E-3</v>
      </c>
      <c r="CL301" s="39">
        <f t="shared" si="203"/>
        <v>0.30560069444444449</v>
      </c>
      <c r="CM301" s="39">
        <f t="shared" si="200"/>
        <v>2.3010663892508346E-2</v>
      </c>
      <c r="CN301" s="37"/>
      <c r="CO301" s="39">
        <f>0.063495+(0.016949+0.014096)*Wages!P299+1.22592*BR301</f>
        <v>0.31140874359654358</v>
      </c>
      <c r="CP301" s="39"/>
      <c r="CQ301" s="39">
        <f t="shared" si="201"/>
        <v>0.26187569935585781</v>
      </c>
      <c r="CR301" s="39">
        <f t="shared" si="192"/>
        <v>0.10131167584236715</v>
      </c>
      <c r="CS301" s="39">
        <f t="shared" si="192"/>
        <v>0.47750013385278722</v>
      </c>
      <c r="CT301" s="39">
        <f t="shared" si="164"/>
        <v>0.97061084900460803</v>
      </c>
      <c r="CU301" s="39">
        <f t="shared" si="164"/>
        <v>0.58565187357158088</v>
      </c>
      <c r="CV301" s="39">
        <v>0.08</v>
      </c>
      <c r="CW301" s="39">
        <f>CD301</f>
        <v>5.1833333333333342E-2</v>
      </c>
      <c r="CX301" s="39"/>
      <c r="CY301" s="39"/>
      <c r="CZ301" s="39">
        <f t="shared" si="167"/>
        <v>4.901472123758812E-2</v>
      </c>
      <c r="DA301" s="39">
        <v>1.8</v>
      </c>
      <c r="DB301" s="39">
        <v>1.3</v>
      </c>
      <c r="DC301" s="39">
        <f t="shared" si="168"/>
        <v>1.0613901451165448</v>
      </c>
      <c r="DD301" s="39">
        <f>CG301</f>
        <v>1.5189255189255193</v>
      </c>
      <c r="DE301" s="39">
        <f t="shared" si="202"/>
        <v>6.5120178815798613E-3</v>
      </c>
      <c r="DF301" s="37"/>
      <c r="DG301" s="39">
        <f t="shared" si="169"/>
        <v>0.30560069444444449</v>
      </c>
      <c r="DH301" s="39">
        <f t="shared" si="170"/>
        <v>0.73715393724019262</v>
      </c>
      <c r="DI301" s="37"/>
      <c r="DJ301" s="37"/>
      <c r="DK301" s="37"/>
      <c r="DL301" s="37"/>
      <c r="DM301" s="39">
        <f t="shared" si="180"/>
        <v>0.26052726543151189</v>
      </c>
      <c r="DN301" s="39"/>
      <c r="DO301" s="39">
        <f t="shared" si="181"/>
        <v>0.26052726543151189</v>
      </c>
      <c r="DP301" s="37"/>
      <c r="DQ301" s="37">
        <f>DO301/'Conversions, Sources &amp; Comments'!E299</f>
        <v>1.2062998785253281</v>
      </c>
    </row>
    <row r="302" spans="1:121">
      <c r="A302" s="42">
        <f t="shared" si="171"/>
        <v>1550</v>
      </c>
      <c r="B302" s="36"/>
      <c r="C302" s="38">
        <v>18</v>
      </c>
      <c r="D302" s="38">
        <v>0</v>
      </c>
      <c r="E302" s="36"/>
      <c r="F302" s="36"/>
      <c r="G302" s="38">
        <v>6</v>
      </c>
      <c r="H302" s="38">
        <v>8</v>
      </c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8">
        <v>8</v>
      </c>
      <c r="Y302" s="38">
        <v>0</v>
      </c>
      <c r="Z302" s="38">
        <v>1</v>
      </c>
      <c r="AA302" s="38">
        <v>11</v>
      </c>
      <c r="AB302" s="36"/>
      <c r="AC302" s="38">
        <v>0</v>
      </c>
      <c r="AD302" s="38">
        <v>9.5</v>
      </c>
      <c r="AE302" s="38">
        <v>0</v>
      </c>
      <c r="AF302" s="38">
        <v>8.25</v>
      </c>
      <c r="AG302" s="38">
        <v>12</v>
      </c>
      <c r="AH302" s="38">
        <v>4</v>
      </c>
      <c r="AI302" s="38">
        <v>5</v>
      </c>
      <c r="AJ302" s="38">
        <v>10</v>
      </c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8">
        <v>12.6</v>
      </c>
      <c r="AY302" s="38">
        <v>5.65</v>
      </c>
      <c r="AZ302" s="38">
        <v>56.92</v>
      </c>
      <c r="BA302" s="36"/>
      <c r="BB302" s="36"/>
      <c r="BC302" s="36"/>
      <c r="BD302" s="36"/>
      <c r="BE302" s="36"/>
      <c r="BF302" s="38">
        <v>2.2999999999999998</v>
      </c>
      <c r="BG302" s="59">
        <v>20.190000000000001</v>
      </c>
      <c r="BH302" s="59">
        <v>1.17</v>
      </c>
      <c r="BI302" s="59">
        <v>0.17686474713147385</v>
      </c>
      <c r="BJ302" s="59"/>
      <c r="BK302" s="38">
        <v>2.3624999999999998</v>
      </c>
      <c r="BL302" s="59">
        <v>1.23</v>
      </c>
      <c r="BM302" s="38"/>
      <c r="BN302" s="38">
        <v>133.19999999999999</v>
      </c>
      <c r="BO302" s="36"/>
      <c r="BP302" s="39">
        <f t="shared" si="165"/>
        <v>0.21597222222222226</v>
      </c>
      <c r="BQ302" s="37"/>
      <c r="BR302" s="39">
        <f t="shared" si="166"/>
        <v>0.16548186616720589</v>
      </c>
      <c r="BS302" s="39">
        <f t="shared" si="196"/>
        <v>0.27377914023566946</v>
      </c>
      <c r="BT302" s="39">
        <f t="shared" si="197"/>
        <v>6.7219700836006631</v>
      </c>
      <c r="BU302" s="39">
        <f t="shared" ref="BU302:BU311" si="204">$BP302*12*AY302/(12*(45/36)*0.9144)</f>
        <v>1.0675792262078354</v>
      </c>
      <c r="BV302" s="39">
        <f t="shared" si="177"/>
        <v>0.18561549321754928</v>
      </c>
      <c r="BW302" s="39">
        <f t="shared" si="161"/>
        <v>0.47750013385278722</v>
      </c>
      <c r="BX302" s="39">
        <f t="shared" si="178"/>
        <v>5.6016824271529285E-2</v>
      </c>
      <c r="BY302" s="39">
        <f t="shared" si="198"/>
        <v>0.91259713411889831</v>
      </c>
      <c r="BZ302" s="37"/>
      <c r="CA302" s="39">
        <f t="shared" si="162"/>
        <v>1.1248801230185852</v>
      </c>
      <c r="CB302" s="39">
        <f t="shared" si="163"/>
        <v>0.58565187357158088</v>
      </c>
      <c r="CC302" s="37"/>
      <c r="CD302" s="37"/>
      <c r="CE302" s="37"/>
      <c r="CF302" s="37"/>
      <c r="CG302" s="37"/>
      <c r="CH302" s="37"/>
      <c r="CI302" s="37"/>
      <c r="CJ302" s="37"/>
      <c r="CK302" s="39">
        <f t="shared" si="199"/>
        <v>7.2781376323539622E-3</v>
      </c>
      <c r="CL302" s="39">
        <f t="shared" si="203"/>
        <v>0.31963888888888897</v>
      </c>
      <c r="CM302" s="39">
        <f t="shared" si="200"/>
        <v>2.5717800821038739E-2</v>
      </c>
      <c r="CN302" s="37"/>
      <c r="CO302" s="39">
        <f>0.063495+(0.016949+0.014096)*Wages!P300+1.22592*BR302</f>
        <v>0.33341110576058991</v>
      </c>
      <c r="CP302" s="39"/>
      <c r="CQ302" s="39">
        <f t="shared" si="201"/>
        <v>0.27377914023566946</v>
      </c>
      <c r="CR302" s="39">
        <f t="shared" si="192"/>
        <v>0.18561549321754928</v>
      </c>
      <c r="CS302" s="39">
        <f t="shared" si="192"/>
        <v>0.47750013385278722</v>
      </c>
      <c r="CT302" s="39">
        <f t="shared" si="164"/>
        <v>1.1248801230185852</v>
      </c>
      <c r="CU302" s="39">
        <f t="shared" si="164"/>
        <v>0.58565187357158088</v>
      </c>
      <c r="CV302" s="39">
        <v>0.08</v>
      </c>
      <c r="CW302" s="39">
        <v>0.08</v>
      </c>
      <c r="CX302" s="39"/>
      <c r="CY302" s="39"/>
      <c r="CZ302" s="39">
        <f t="shared" si="167"/>
        <v>5.6016824271529285E-2</v>
      </c>
      <c r="DA302" s="39">
        <v>1.8</v>
      </c>
      <c r="DB302" s="39">
        <f t="shared" ref="DB302:DB311" si="205">BU302</f>
        <v>1.0675792262078354</v>
      </c>
      <c r="DC302" s="39">
        <f t="shared" si="168"/>
        <v>0.91259713411889831</v>
      </c>
      <c r="DD302" s="39">
        <v>1.5</v>
      </c>
      <c r="DE302" s="39">
        <f t="shared" si="202"/>
        <v>7.2781376323539622E-3</v>
      </c>
      <c r="DF302" s="37"/>
      <c r="DG302" s="39">
        <f t="shared" si="169"/>
        <v>0.31963888888888897</v>
      </c>
      <c r="DH302" s="39">
        <f t="shared" si="170"/>
        <v>0.82387792985668584</v>
      </c>
      <c r="DI302" s="37"/>
      <c r="DJ302" s="37"/>
      <c r="DK302" s="37"/>
      <c r="DL302" s="37"/>
      <c r="DM302" s="39">
        <f t="shared" si="180"/>
        <v>0.27851299456733852</v>
      </c>
      <c r="DN302" s="39"/>
      <c r="DO302" s="39">
        <f t="shared" si="181"/>
        <v>0.27851299456733852</v>
      </c>
      <c r="DP302" s="37"/>
      <c r="DQ302" s="37">
        <f>DO302/'Conversions, Sources &amp; Comments'!E300</f>
        <v>1.2895778526590591</v>
      </c>
    </row>
    <row r="303" spans="1:121">
      <c r="A303" s="42">
        <f t="shared" si="171"/>
        <v>1551</v>
      </c>
      <c r="B303" s="36"/>
      <c r="C303" s="38">
        <v>20</v>
      </c>
      <c r="D303" s="38">
        <v>4</v>
      </c>
      <c r="E303" s="36"/>
      <c r="F303" s="36"/>
      <c r="G303" s="38">
        <v>4</v>
      </c>
      <c r="H303" s="38">
        <v>0</v>
      </c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8">
        <v>28.66</v>
      </c>
      <c r="V303" s="36"/>
      <c r="W303" s="36"/>
      <c r="X303" s="38">
        <v>8</v>
      </c>
      <c r="Y303" s="38">
        <v>0</v>
      </c>
      <c r="Z303" s="38">
        <v>1</v>
      </c>
      <c r="AA303" s="38">
        <v>11.75</v>
      </c>
      <c r="AB303" s="36"/>
      <c r="AC303" s="38" t="s">
        <v>8</v>
      </c>
      <c r="AD303" s="36"/>
      <c r="AE303" s="38">
        <v>1</v>
      </c>
      <c r="AF303" s="38">
        <v>1.25</v>
      </c>
      <c r="AG303" s="38">
        <v>13</v>
      </c>
      <c r="AH303" s="38">
        <v>11</v>
      </c>
      <c r="AI303" s="38">
        <v>6</v>
      </c>
      <c r="AJ303" s="38">
        <v>0</v>
      </c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8">
        <v>36</v>
      </c>
      <c r="AW303" s="36"/>
      <c r="AX303" s="38">
        <v>11.11</v>
      </c>
      <c r="AY303" s="38">
        <v>7</v>
      </c>
      <c r="AZ303" s="36"/>
      <c r="BA303" s="36"/>
      <c r="BB303" s="38">
        <v>156.4</v>
      </c>
      <c r="BC303" s="36"/>
      <c r="BD303" s="36"/>
      <c r="BE303" s="36"/>
      <c r="BF303" s="38">
        <v>2.4</v>
      </c>
      <c r="BG303" s="59">
        <v>15.07</v>
      </c>
      <c r="BH303" s="59">
        <v>1.17</v>
      </c>
      <c r="BI303" s="59">
        <v>8.8432373565736924E-2</v>
      </c>
      <c r="BJ303" s="59"/>
      <c r="BK303" s="38">
        <v>2.3624999999999998</v>
      </c>
      <c r="BL303" s="59">
        <v>1.23</v>
      </c>
      <c r="BM303" s="38"/>
      <c r="BN303" s="38">
        <v>266.39999999999998</v>
      </c>
      <c r="BO303" s="36"/>
      <c r="BP303" s="39">
        <f t="shared" si="165"/>
        <v>0.10798611111111113</v>
      </c>
      <c r="BQ303" s="37"/>
      <c r="BR303" s="39">
        <f t="shared" si="166"/>
        <v>9.3466609594440364E-2</v>
      </c>
      <c r="BS303" s="39">
        <f t="shared" si="196"/>
        <v>0.14284129055774061</v>
      </c>
      <c r="BT303" s="37"/>
      <c r="BU303" s="39">
        <f t="shared" si="204"/>
        <v>0.66133226402255285</v>
      </c>
      <c r="BV303" s="39">
        <f t="shared" si="177"/>
        <v>6.9272547864994247E-2</v>
      </c>
      <c r="BW303" s="39">
        <f t="shared" si="161"/>
        <v>0.23875006692639361</v>
      </c>
      <c r="BX303" s="39">
        <f t="shared" si="178"/>
        <v>1.4004206067882321E-2</v>
      </c>
      <c r="BY303" s="39">
        <f t="shared" si="198"/>
        <v>0.47117786815921381</v>
      </c>
      <c r="BZ303" s="37"/>
      <c r="CA303" s="39">
        <f t="shared" si="162"/>
        <v>0.5624400615092926</v>
      </c>
      <c r="CB303" s="39">
        <f t="shared" si="163"/>
        <v>0.29282593678579044</v>
      </c>
      <c r="CC303" s="39">
        <f t="shared" ref="CC303:CC334" si="206">2*BP303*U303/120</f>
        <v>5.1581365740740751E-2</v>
      </c>
      <c r="CD303" s="37"/>
      <c r="CE303" s="39">
        <f>$BP303*12*AV303/120</f>
        <v>0.3887500000000001</v>
      </c>
      <c r="CF303" s="37"/>
      <c r="CG303" s="37"/>
      <c r="CH303" s="37"/>
      <c r="CI303" s="37"/>
      <c r="CJ303" s="37"/>
      <c r="CK303" s="37"/>
      <c r="CL303" s="39">
        <f t="shared" si="203"/>
        <v>0.18033680555555559</v>
      </c>
      <c r="CM303" s="37"/>
      <c r="CN303" s="37"/>
      <c r="CO303" s="39">
        <f>0.063495+(0.016949+0.014096)*Wages!P301+1.22592*BR303</f>
        <v>0.21830673186734967</v>
      </c>
      <c r="CP303" s="39"/>
      <c r="CQ303" s="39">
        <f t="shared" si="201"/>
        <v>0.14284129055774061</v>
      </c>
      <c r="CR303" s="39">
        <f t="shared" si="192"/>
        <v>6.9272547864994247E-2</v>
      </c>
      <c r="CS303" s="39">
        <f t="shared" si="192"/>
        <v>0.23875006692639361</v>
      </c>
      <c r="CT303" s="39">
        <f t="shared" si="164"/>
        <v>0.5624400615092926</v>
      </c>
      <c r="CU303" s="39">
        <f t="shared" si="164"/>
        <v>0.29282593678579044</v>
      </c>
      <c r="CV303" s="39">
        <f t="shared" si="164"/>
        <v>5.1581365740740751E-2</v>
      </c>
      <c r="CW303" s="39">
        <v>0.08</v>
      </c>
      <c r="CX303" s="39"/>
      <c r="CY303" s="39"/>
      <c r="CZ303" s="39">
        <f t="shared" si="167"/>
        <v>1.4004206067882321E-2</v>
      </c>
      <c r="DA303" s="39">
        <v>0.37</v>
      </c>
      <c r="DB303" s="39">
        <f t="shared" si="205"/>
        <v>0.66133226402255285</v>
      </c>
      <c r="DC303" s="39">
        <f t="shared" si="168"/>
        <v>0.47117786815921381</v>
      </c>
      <c r="DD303" s="39">
        <v>0.03</v>
      </c>
      <c r="DE303" s="39">
        <v>2E-3</v>
      </c>
      <c r="DF303" s="37"/>
      <c r="DG303" s="39">
        <f t="shared" si="169"/>
        <v>0.18033680555555559</v>
      </c>
      <c r="DH303" s="39">
        <f t="shared" si="170"/>
        <v>0.22639800769753227</v>
      </c>
      <c r="DI303" s="37"/>
      <c r="DJ303" s="37"/>
      <c r="DK303" s="37"/>
      <c r="DL303" s="37"/>
      <c r="DM303" s="39">
        <f t="shared" si="180"/>
        <v>0.12578704787553363</v>
      </c>
      <c r="DN303" s="39"/>
      <c r="DO303" s="39">
        <f t="shared" si="181"/>
        <v>0.12578704787553363</v>
      </c>
      <c r="DP303" s="37"/>
      <c r="DQ303" s="37">
        <f>DO303/'Conversions, Sources &amp; Comments'!E301</f>
        <v>1.1648446877219834</v>
      </c>
    </row>
    <row r="304" spans="1:121">
      <c r="A304" s="42">
        <f t="shared" si="171"/>
        <v>1552</v>
      </c>
      <c r="B304" s="36"/>
      <c r="C304" s="38">
        <v>10</v>
      </c>
      <c r="D304" s="38">
        <v>6.75</v>
      </c>
      <c r="E304" s="38">
        <v>8</v>
      </c>
      <c r="F304" s="38">
        <v>0</v>
      </c>
      <c r="G304" s="38">
        <v>6</v>
      </c>
      <c r="H304" s="38">
        <v>8</v>
      </c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8">
        <v>28.66</v>
      </c>
      <c r="V304" s="36"/>
      <c r="W304" s="36"/>
      <c r="X304" s="38">
        <v>10</v>
      </c>
      <c r="Y304" s="38">
        <v>0</v>
      </c>
      <c r="Z304" s="38">
        <v>2</v>
      </c>
      <c r="AA304" s="38">
        <v>8.25</v>
      </c>
      <c r="AB304" s="36"/>
      <c r="AC304" s="38">
        <v>1</v>
      </c>
      <c r="AD304" s="38">
        <v>0.25</v>
      </c>
      <c r="AE304" s="38">
        <v>1</v>
      </c>
      <c r="AF304" s="38">
        <v>1.25</v>
      </c>
      <c r="AG304" s="38">
        <v>14</v>
      </c>
      <c r="AH304" s="38">
        <v>10</v>
      </c>
      <c r="AI304" s="38">
        <v>6</v>
      </c>
      <c r="AJ304" s="38">
        <v>0</v>
      </c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8">
        <v>81.5</v>
      </c>
      <c r="AW304" s="36"/>
      <c r="AX304" s="38">
        <v>13</v>
      </c>
      <c r="AY304" s="38">
        <v>7</v>
      </c>
      <c r="AZ304" s="38">
        <v>48</v>
      </c>
      <c r="BA304" s="36"/>
      <c r="BB304" s="38">
        <v>133</v>
      </c>
      <c r="BC304" s="36"/>
      <c r="BD304" s="36"/>
      <c r="BE304" s="36"/>
      <c r="BF304" s="38">
        <v>1.8</v>
      </c>
      <c r="BG304" s="59">
        <v>14.29</v>
      </c>
      <c r="BH304" s="59">
        <v>1.17</v>
      </c>
      <c r="BI304" s="59">
        <v>0.13264856034860539</v>
      </c>
      <c r="BJ304" s="59"/>
      <c r="BK304" s="38">
        <v>2.3624999999999998</v>
      </c>
      <c r="BL304" s="59">
        <v>1.37</v>
      </c>
      <c r="BM304" s="38"/>
      <c r="BN304" s="38">
        <v>60.1</v>
      </c>
      <c r="BO304" s="36"/>
      <c r="BP304" s="39">
        <f t="shared" si="165"/>
        <v>0.47866056572379367</v>
      </c>
      <c r="BQ304" s="37"/>
      <c r="BR304" s="39">
        <f t="shared" si="166"/>
        <v>0.21521591288343142</v>
      </c>
      <c r="BS304" s="39">
        <f t="shared" si="196"/>
        <v>0.47487004747814593</v>
      </c>
      <c r="BT304" s="39">
        <f>BP304*12*AZ304/(24*0.9144)</f>
        <v>12.563269441569389</v>
      </c>
      <c r="BU304" s="39">
        <f t="shared" si="204"/>
        <v>2.9314295363661902</v>
      </c>
      <c r="BV304" s="39">
        <f t="shared" si="177"/>
        <v>0.29116548119330032</v>
      </c>
      <c r="BW304" s="39">
        <f t="shared" si="161"/>
        <v>1.0582864863426165</v>
      </c>
      <c r="BX304" s="39">
        <f t="shared" si="178"/>
        <v>9.311282437147711E-2</v>
      </c>
      <c r="BY304" s="39">
        <f t="shared" si="198"/>
        <v>2.8360294502167047</v>
      </c>
      <c r="BZ304" s="37"/>
      <c r="CA304" s="39">
        <f t="shared" si="162"/>
        <v>2.4930787418648173</v>
      </c>
      <c r="CB304" s="39">
        <f t="shared" si="163"/>
        <v>1.4457218524253121</v>
      </c>
      <c r="CC304" s="39">
        <f t="shared" si="206"/>
        <v>0.22864019689406545</v>
      </c>
      <c r="CD304" s="37"/>
      <c r="CE304" s="39">
        <f>$BP304*12*AV304/120</f>
        <v>3.9010836106489184</v>
      </c>
      <c r="CF304" s="37"/>
      <c r="CG304" s="37"/>
      <c r="CH304" s="37"/>
      <c r="CI304" s="37"/>
      <c r="CJ304" s="37"/>
      <c r="CK304" s="39">
        <f t="shared" ref="CK304:CK327" si="207">BP304*(12*AC304+AD304)/(35.238*8)</f>
        <v>2.0799960022264575E-2</v>
      </c>
      <c r="CL304" s="39">
        <f t="shared" si="203"/>
        <v>0.85201580698835278</v>
      </c>
      <c r="CM304" s="39">
        <f t="shared" ref="CM304:CM327" si="208">BP304*(12*$AC304+$AD304)/(35.238*8)/0.283</f>
        <v>7.3498091951464936E-2</v>
      </c>
      <c r="CN304" s="37"/>
      <c r="CO304" s="39">
        <f>0.063495+(0.016949+0.014096)*Wages!P302+1.22592*BR304</f>
        <v>0.50565269907679833</v>
      </c>
      <c r="CP304" s="39"/>
      <c r="CQ304" s="39">
        <f t="shared" si="201"/>
        <v>0.47487004747814593</v>
      </c>
      <c r="CR304" s="39">
        <f t="shared" si="192"/>
        <v>0.29116548119330032</v>
      </c>
      <c r="CS304" s="39">
        <f t="shared" si="192"/>
        <v>1.0582864863426165</v>
      </c>
      <c r="CT304" s="39">
        <f t="shared" si="164"/>
        <v>2.4930787418648173</v>
      </c>
      <c r="CU304" s="39">
        <f t="shared" si="164"/>
        <v>1.4457218524253121</v>
      </c>
      <c r="CV304" s="39">
        <f t="shared" si="164"/>
        <v>0.22864019689406545</v>
      </c>
      <c r="CW304" s="39">
        <v>0.08</v>
      </c>
      <c r="CX304" s="39"/>
      <c r="CY304" s="39"/>
      <c r="CZ304" s="39">
        <f t="shared" si="167"/>
        <v>9.311282437147711E-2</v>
      </c>
      <c r="DA304" s="39">
        <v>3.7</v>
      </c>
      <c r="DB304" s="39">
        <f t="shared" si="205"/>
        <v>2.9314295363661902</v>
      </c>
      <c r="DC304" s="39">
        <f t="shared" si="168"/>
        <v>2.8360294502167047</v>
      </c>
      <c r="DD304" s="39">
        <v>2.2000000000000002</v>
      </c>
      <c r="DE304" s="39">
        <f t="shared" ref="DE304:DE327" si="209">CK304</f>
        <v>2.0799960022264575E-2</v>
      </c>
      <c r="DF304" s="37"/>
      <c r="DG304" s="39">
        <f t="shared" si="169"/>
        <v>0.85201580698835278</v>
      </c>
      <c r="DH304" s="39">
        <f t="shared" si="170"/>
        <v>2.3545347546145092</v>
      </c>
      <c r="DI304" s="37"/>
      <c r="DJ304" s="37"/>
      <c r="DK304" s="37"/>
      <c r="DL304" s="37"/>
      <c r="DM304" s="39">
        <f t="shared" si="180"/>
        <v>0.54843143084771795</v>
      </c>
      <c r="DN304" s="39"/>
      <c r="DO304" s="39">
        <f t="shared" si="181"/>
        <v>0.54843143084771795</v>
      </c>
      <c r="DP304" s="37"/>
      <c r="DQ304" s="37">
        <f>DO304/'Conversions, Sources &amp; Comments'!E302</f>
        <v>1.1457627181349734</v>
      </c>
    </row>
    <row r="305" spans="1:121">
      <c r="A305" s="42">
        <f t="shared" si="171"/>
        <v>1553</v>
      </c>
      <c r="B305" s="36"/>
      <c r="C305" s="38">
        <v>10</v>
      </c>
      <c r="D305" s="38">
        <v>0</v>
      </c>
      <c r="E305" s="38">
        <v>10</v>
      </c>
      <c r="F305" s="38">
        <v>0</v>
      </c>
      <c r="G305" s="38">
        <v>5</v>
      </c>
      <c r="H305" s="38">
        <v>4</v>
      </c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8">
        <v>28.66</v>
      </c>
      <c r="V305" s="36"/>
      <c r="W305" s="36"/>
      <c r="X305" s="38">
        <v>7</v>
      </c>
      <c r="Y305" s="38">
        <v>11</v>
      </c>
      <c r="Z305" s="38">
        <v>2</v>
      </c>
      <c r="AA305" s="38">
        <v>6</v>
      </c>
      <c r="AB305" s="36"/>
      <c r="AC305" s="38">
        <v>1</v>
      </c>
      <c r="AD305" s="38">
        <v>0</v>
      </c>
      <c r="AE305" s="38">
        <v>1</v>
      </c>
      <c r="AF305" s="38">
        <v>1.25</v>
      </c>
      <c r="AG305" s="38">
        <v>11</v>
      </c>
      <c r="AH305" s="38">
        <v>8</v>
      </c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8">
        <v>40</v>
      </c>
      <c r="AW305" s="36"/>
      <c r="AX305" s="38">
        <v>14.9</v>
      </c>
      <c r="AY305" s="38">
        <v>7</v>
      </c>
      <c r="AZ305" s="38">
        <v>48</v>
      </c>
      <c r="BA305" s="38">
        <v>160</v>
      </c>
      <c r="BB305" s="38">
        <v>136</v>
      </c>
      <c r="BC305" s="36"/>
      <c r="BD305" s="36"/>
      <c r="BE305" s="36"/>
      <c r="BF305" s="38">
        <v>2</v>
      </c>
      <c r="BG305" s="59">
        <v>6.33</v>
      </c>
      <c r="BH305" s="59">
        <v>1.17</v>
      </c>
      <c r="BI305" s="59">
        <v>0.15475665374003963</v>
      </c>
      <c r="BJ305" s="59"/>
      <c r="BK305" s="38">
        <v>2.3624999999999998</v>
      </c>
      <c r="BL305" s="59">
        <v>1.37</v>
      </c>
      <c r="BM305" s="38"/>
      <c r="BN305" s="38">
        <v>60.5</v>
      </c>
      <c r="BO305" s="36"/>
      <c r="BP305" s="39">
        <f t="shared" si="165"/>
        <v>0.47549586776859509</v>
      </c>
      <c r="BQ305" s="37"/>
      <c r="BR305" s="39">
        <f t="shared" si="166"/>
        <v>0.2024075718408799</v>
      </c>
      <c r="BS305" s="39">
        <f t="shared" si="196"/>
        <v>0.52414490088956056</v>
      </c>
      <c r="BT305" s="39">
        <f>BP305*12*AZ305/(24*0.9144)</f>
        <v>12.480206503112731</v>
      </c>
      <c r="BU305" s="39">
        <f t="shared" si="204"/>
        <v>2.9120481840596373</v>
      </c>
      <c r="BV305" s="39">
        <f t="shared" si="177"/>
        <v>0.12812399297527699</v>
      </c>
      <c r="BW305" s="39">
        <f t="shared" si="161"/>
        <v>1.0512895508957232</v>
      </c>
      <c r="BX305" s="39">
        <f t="shared" si="178"/>
        <v>0.10791340279085516</v>
      </c>
      <c r="BY305" s="39">
        <f t="shared" si="198"/>
        <v>2.6207245044478027</v>
      </c>
      <c r="BZ305" s="37"/>
      <c r="CA305" s="39">
        <f t="shared" si="162"/>
        <v>2.4765955766293479</v>
      </c>
      <c r="CB305" s="39">
        <f t="shared" si="163"/>
        <v>1.4361633608390292</v>
      </c>
      <c r="CC305" s="39">
        <f t="shared" si="206"/>
        <v>0.22712852617079893</v>
      </c>
      <c r="CD305" s="37"/>
      <c r="CE305" s="39">
        <f>$BP305*12*AV305/120</f>
        <v>1.9019834710743804</v>
      </c>
      <c r="CF305" s="37"/>
      <c r="CG305" s="37"/>
      <c r="CH305" s="37"/>
      <c r="CI305" s="37"/>
      <c r="CJ305" s="37"/>
      <c r="CK305" s="39">
        <f t="shared" si="207"/>
        <v>2.0240757184087989E-2</v>
      </c>
      <c r="CL305" s="39">
        <f t="shared" si="203"/>
        <v>0.66569421487603309</v>
      </c>
      <c r="CM305" s="39">
        <f t="shared" si="208"/>
        <v>7.1522110191123645E-2</v>
      </c>
      <c r="CN305" s="37"/>
      <c r="CO305" s="39">
        <f>0.063495+(0.016949+0.014096)*Wages!P303+1.22592*BR305</f>
        <v>0.48877172104968386</v>
      </c>
      <c r="CP305" s="39"/>
      <c r="CQ305" s="39">
        <f t="shared" si="201"/>
        <v>0.52414490088956056</v>
      </c>
      <c r="CR305" s="39">
        <f t="shared" si="192"/>
        <v>0.12812399297527699</v>
      </c>
      <c r="CS305" s="39">
        <f t="shared" si="192"/>
        <v>1.0512895508957232</v>
      </c>
      <c r="CT305" s="39">
        <f t="shared" si="164"/>
        <v>2.4765955766293479</v>
      </c>
      <c r="CU305" s="39">
        <f t="shared" si="164"/>
        <v>1.4361633608390292</v>
      </c>
      <c r="CV305" s="39">
        <f t="shared" si="164"/>
        <v>0.22712852617079893</v>
      </c>
      <c r="CW305" s="39">
        <v>0.08</v>
      </c>
      <c r="CX305" s="39"/>
      <c r="CY305" s="39"/>
      <c r="CZ305" s="39">
        <f t="shared" si="167"/>
        <v>0.10791340279085516</v>
      </c>
      <c r="DA305" s="39">
        <v>3.7</v>
      </c>
      <c r="DB305" s="39">
        <f t="shared" si="205"/>
        <v>2.9120481840596373</v>
      </c>
      <c r="DC305" s="39">
        <f t="shared" si="168"/>
        <v>2.6207245044478027</v>
      </c>
      <c r="DD305" s="39">
        <v>2.2000000000000002</v>
      </c>
      <c r="DE305" s="39">
        <f t="shared" si="209"/>
        <v>2.0240757184087989E-2</v>
      </c>
      <c r="DF305" s="37"/>
      <c r="DG305" s="39">
        <f t="shared" si="169"/>
        <v>0.66569421487603309</v>
      </c>
      <c r="DH305" s="39">
        <f t="shared" si="170"/>
        <v>2.2912335503835171</v>
      </c>
      <c r="DI305" s="37"/>
      <c r="DJ305" s="37"/>
      <c r="DK305" s="37"/>
      <c r="DL305" s="37"/>
      <c r="DM305" s="39">
        <f t="shared" si="180"/>
        <v>0.55280459892339029</v>
      </c>
      <c r="DN305" s="39"/>
      <c r="DO305" s="39">
        <f t="shared" si="181"/>
        <v>0.55280459892339029</v>
      </c>
      <c r="DP305" s="37"/>
      <c r="DQ305" s="37">
        <f>DO305/'Conversions, Sources &amp; Comments'!E303</f>
        <v>1.1625854952590635</v>
      </c>
    </row>
    <row r="306" spans="1:121">
      <c r="A306" s="42">
        <f t="shared" si="171"/>
        <v>1554</v>
      </c>
      <c r="B306" s="36"/>
      <c r="C306" s="38">
        <v>18</v>
      </c>
      <c r="D306" s="38">
        <v>8.25</v>
      </c>
      <c r="E306" s="36"/>
      <c r="F306" s="36"/>
      <c r="G306" s="38">
        <v>6</v>
      </c>
      <c r="H306" s="38">
        <v>0</v>
      </c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8">
        <v>28.66</v>
      </c>
      <c r="V306" s="36"/>
      <c r="W306" s="36"/>
      <c r="X306" s="38">
        <v>10</v>
      </c>
      <c r="Y306" s="38">
        <v>8</v>
      </c>
      <c r="Z306" s="38">
        <v>2</v>
      </c>
      <c r="AA306" s="38">
        <v>4.75</v>
      </c>
      <c r="AB306" s="36"/>
      <c r="AC306" s="38">
        <v>1</v>
      </c>
      <c r="AD306" s="38">
        <v>0.5</v>
      </c>
      <c r="AE306" s="38">
        <v>1</v>
      </c>
      <c r="AF306" s="38">
        <v>1.25</v>
      </c>
      <c r="AG306" s="38">
        <v>12</v>
      </c>
      <c r="AH306" s="38">
        <v>6.75</v>
      </c>
      <c r="AI306" s="36"/>
      <c r="AJ306" s="36"/>
      <c r="AK306" s="36"/>
      <c r="AL306" s="36"/>
      <c r="AM306" s="38">
        <v>24</v>
      </c>
      <c r="AN306" s="38">
        <v>0</v>
      </c>
      <c r="AO306" s="38">
        <v>2</v>
      </c>
      <c r="AP306" s="38">
        <v>4</v>
      </c>
      <c r="AQ306" s="36"/>
      <c r="AR306" s="36"/>
      <c r="AS306" s="36"/>
      <c r="AT306" s="36"/>
      <c r="AU306" s="36"/>
      <c r="AV306" s="38">
        <v>40</v>
      </c>
      <c r="AW306" s="36"/>
      <c r="AX306" s="38">
        <v>11.6</v>
      </c>
      <c r="AY306" s="38">
        <v>7.5</v>
      </c>
      <c r="AZ306" s="38">
        <v>48.79</v>
      </c>
      <c r="BA306" s="36"/>
      <c r="BB306" s="38">
        <v>141</v>
      </c>
      <c r="BC306" s="36"/>
      <c r="BD306" s="36"/>
      <c r="BE306" s="36"/>
      <c r="BF306" s="38">
        <v>2.2999999999999998</v>
      </c>
      <c r="BG306" s="59">
        <v>7.36</v>
      </c>
      <c r="BH306" s="59">
        <v>1.17</v>
      </c>
      <c r="BI306" s="59">
        <v>0.23489849228398788</v>
      </c>
      <c r="BJ306" s="59"/>
      <c r="BK306" s="38">
        <v>2.3624999999999998</v>
      </c>
      <c r="BL306" s="59">
        <v>1.37</v>
      </c>
      <c r="BM306" s="38"/>
      <c r="BN306" s="38">
        <v>60.5</v>
      </c>
      <c r="BO306" s="36"/>
      <c r="BP306" s="39">
        <f t="shared" si="165"/>
        <v>0.47549586776859509</v>
      </c>
      <c r="BQ306" s="37"/>
      <c r="BR306" s="39">
        <f t="shared" si="166"/>
        <v>0.3782491498776443</v>
      </c>
      <c r="BS306" s="39">
        <f t="shared" si="196"/>
        <v>0.60276663602299452</v>
      </c>
      <c r="BT306" s="39">
        <f>BP306*12*AZ306/(24*0.9144)</f>
        <v>12.685609901809794</v>
      </c>
      <c r="BU306" s="39">
        <f t="shared" si="204"/>
        <v>3.1200516257781832</v>
      </c>
      <c r="BV306" s="39">
        <f t="shared" si="177"/>
        <v>0.14897197287488761</v>
      </c>
      <c r="BW306" s="39">
        <f t="shared" si="161"/>
        <v>1.0512895508957232</v>
      </c>
      <c r="BX306" s="39">
        <f t="shared" si="178"/>
        <v>0.16379712923611886</v>
      </c>
      <c r="BY306" s="39">
        <f t="shared" si="198"/>
        <v>2.511527650095811</v>
      </c>
      <c r="BZ306" s="37"/>
      <c r="CA306" s="39">
        <f t="shared" si="162"/>
        <v>2.4765955766293479</v>
      </c>
      <c r="CB306" s="39">
        <f t="shared" si="163"/>
        <v>1.4361633608390292</v>
      </c>
      <c r="CC306" s="39">
        <f t="shared" si="206"/>
        <v>0.22712852617079893</v>
      </c>
      <c r="CD306" s="39">
        <f t="shared" ref="CD306:CD313" si="210">BP306*(12*AM306+AN306)/1000</f>
        <v>0.13694280991735538</v>
      </c>
      <c r="CE306" s="39">
        <f>$BP306*12*AV306/120</f>
        <v>1.9019834710743804</v>
      </c>
      <c r="CF306" s="37"/>
      <c r="CG306" s="39">
        <f>BP306*(12*AO306+AP306)/4.55</f>
        <v>2.9261284170375084</v>
      </c>
      <c r="CH306" s="37"/>
      <c r="CI306" s="37"/>
      <c r="CJ306" s="37"/>
      <c r="CK306" s="39">
        <f t="shared" si="207"/>
        <v>2.1084122066758325E-2</v>
      </c>
      <c r="CL306" s="39">
        <f t="shared" si="203"/>
        <v>0.71681002066115707</v>
      </c>
      <c r="CM306" s="39">
        <f t="shared" si="208"/>
        <v>7.4502198115753801E-2</v>
      </c>
      <c r="CN306" s="37"/>
      <c r="CO306" s="39">
        <f>0.063495+(0.016949+0.014096)*Wages!P304+1.22592*BR306</f>
        <v>0.70433942839651409</v>
      </c>
      <c r="CP306" s="39"/>
      <c r="CQ306" s="39">
        <f t="shared" si="201"/>
        <v>0.60276663602299452</v>
      </c>
      <c r="CR306" s="39">
        <f t="shared" si="192"/>
        <v>0.14897197287488761</v>
      </c>
      <c r="CS306" s="39">
        <f t="shared" si="192"/>
        <v>1.0512895508957232</v>
      </c>
      <c r="CT306" s="39">
        <f t="shared" si="164"/>
        <v>2.4765955766293479</v>
      </c>
      <c r="CU306" s="39">
        <f t="shared" si="164"/>
        <v>1.4361633608390292</v>
      </c>
      <c r="CV306" s="39">
        <f t="shared" si="164"/>
        <v>0.22712852617079893</v>
      </c>
      <c r="CW306" s="39">
        <f t="shared" si="164"/>
        <v>0.13694280991735538</v>
      </c>
      <c r="CX306" s="39"/>
      <c r="CY306" s="39"/>
      <c r="CZ306" s="39">
        <f t="shared" si="167"/>
        <v>0.16379712923611886</v>
      </c>
      <c r="DA306" s="39">
        <v>3.7</v>
      </c>
      <c r="DB306" s="39">
        <f t="shared" si="205"/>
        <v>3.1200516257781832</v>
      </c>
      <c r="DC306" s="39">
        <f t="shared" si="168"/>
        <v>2.511527650095811</v>
      </c>
      <c r="DD306" s="39">
        <f>CG306</f>
        <v>2.9261284170375084</v>
      </c>
      <c r="DE306" s="39">
        <f t="shared" si="209"/>
        <v>2.1084122066758325E-2</v>
      </c>
      <c r="DF306" s="37"/>
      <c r="DG306" s="39">
        <f t="shared" si="169"/>
        <v>0.71681002066115707</v>
      </c>
      <c r="DH306" s="39">
        <f t="shared" si="170"/>
        <v>2.3867016149828308</v>
      </c>
      <c r="DI306" s="37"/>
      <c r="DJ306" s="37"/>
      <c r="DK306" s="37"/>
      <c r="DL306" s="37"/>
      <c r="DM306" s="39">
        <f t="shared" si="180"/>
        <v>0.62194308635821316</v>
      </c>
      <c r="DN306" s="39"/>
      <c r="DO306" s="39">
        <f t="shared" si="181"/>
        <v>0.62194308635821316</v>
      </c>
      <c r="DP306" s="37"/>
      <c r="DQ306" s="37">
        <f>DO306/'Conversions, Sources &amp; Comments'!E304</f>
        <v>1.3079884148664949</v>
      </c>
    </row>
    <row r="307" spans="1:121">
      <c r="A307" s="42">
        <f t="shared" si="171"/>
        <v>1555</v>
      </c>
      <c r="B307" s="36"/>
      <c r="C307" s="38">
        <v>22</v>
      </c>
      <c r="D307" s="38">
        <v>0.5</v>
      </c>
      <c r="E307" s="38">
        <v>21</v>
      </c>
      <c r="F307" s="38">
        <v>4</v>
      </c>
      <c r="G307" s="38">
        <v>6</v>
      </c>
      <c r="H307" s="38">
        <v>0</v>
      </c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8">
        <v>28.66</v>
      </c>
      <c r="V307" s="36"/>
      <c r="W307" s="36"/>
      <c r="X307" s="38">
        <v>10</v>
      </c>
      <c r="Y307" s="38">
        <v>1</v>
      </c>
      <c r="Z307" s="38">
        <v>2</v>
      </c>
      <c r="AA307" s="38">
        <v>4.25</v>
      </c>
      <c r="AB307" s="36"/>
      <c r="AC307" s="38">
        <v>1</v>
      </c>
      <c r="AD307" s="38">
        <v>1.5</v>
      </c>
      <c r="AE307" s="38">
        <v>1</v>
      </c>
      <c r="AF307" s="38">
        <v>1.25</v>
      </c>
      <c r="AG307" s="38">
        <v>13</v>
      </c>
      <c r="AH307" s="38">
        <v>5</v>
      </c>
      <c r="AI307" s="38">
        <v>3</v>
      </c>
      <c r="AJ307" s="38">
        <v>4</v>
      </c>
      <c r="AK307" s="36"/>
      <c r="AL307" s="36"/>
      <c r="AM307" s="38">
        <v>24</v>
      </c>
      <c r="AN307" s="38">
        <v>1</v>
      </c>
      <c r="AO307" s="36"/>
      <c r="AP307" s="36"/>
      <c r="AQ307" s="36"/>
      <c r="AR307" s="36"/>
      <c r="AS307" s="36"/>
      <c r="AT307" s="36"/>
      <c r="AU307" s="36"/>
      <c r="AV307" s="38">
        <v>34.33</v>
      </c>
      <c r="AW307" s="36"/>
      <c r="AX307" s="38">
        <v>11.7</v>
      </c>
      <c r="AY307" s="38">
        <v>8.1300000000000008</v>
      </c>
      <c r="AZ307" s="38">
        <v>51.17</v>
      </c>
      <c r="BA307" s="36"/>
      <c r="BB307" s="38">
        <v>137.6</v>
      </c>
      <c r="BC307" s="36"/>
      <c r="BD307" s="36"/>
      <c r="BE307" s="36"/>
      <c r="BF307" s="38">
        <v>3.2</v>
      </c>
      <c r="BG307" s="59">
        <v>19.850000000000001</v>
      </c>
      <c r="BH307" s="59">
        <v>1.17</v>
      </c>
      <c r="BI307" s="59">
        <v>0.31504033082793614</v>
      </c>
      <c r="BJ307" s="59"/>
      <c r="BK307" s="38">
        <v>2.8620000000000005</v>
      </c>
      <c r="BL307" s="59">
        <v>1.52</v>
      </c>
      <c r="BM307" s="38"/>
      <c r="BN307" s="38">
        <v>60.5</v>
      </c>
      <c r="BO307" s="36"/>
      <c r="BP307" s="39">
        <f t="shared" si="165"/>
        <v>0.47549586776859509</v>
      </c>
      <c r="BQ307" s="37"/>
      <c r="BR307" s="39">
        <f t="shared" si="166"/>
        <v>0.44614002293260613</v>
      </c>
      <c r="BS307" s="39">
        <f t="shared" si="196"/>
        <v>0.83863184142329694</v>
      </c>
      <c r="BT307" s="39">
        <f>BP307*12*AZ307/(24*0.9144)</f>
        <v>13.304420140922469</v>
      </c>
      <c r="BU307" s="39">
        <f t="shared" si="204"/>
        <v>3.3821359623435505</v>
      </c>
      <c r="BV307" s="39">
        <f t="shared" si="177"/>
        <v>0.40177903010414662</v>
      </c>
      <c r="BW307" s="39">
        <f t="shared" si="161"/>
        <v>1.0512895508957232</v>
      </c>
      <c r="BX307" s="39">
        <f t="shared" si="178"/>
        <v>0.21968085568138254</v>
      </c>
      <c r="BY307" s="39">
        <f t="shared" si="198"/>
        <v>2.4678489083550139</v>
      </c>
      <c r="BZ307" s="37"/>
      <c r="CA307" s="39">
        <f t="shared" si="162"/>
        <v>3.000218641402411</v>
      </c>
      <c r="CB307" s="39">
        <f t="shared" si="163"/>
        <v>1.5934075244345431</v>
      </c>
      <c r="CC307" s="39">
        <f t="shared" si="206"/>
        <v>0.22712852617079893</v>
      </c>
      <c r="CD307" s="39">
        <f t="shared" si="210"/>
        <v>0.13741830578512398</v>
      </c>
      <c r="CE307" s="39">
        <f>$BP307*12*AV307/120</f>
        <v>1.6323773140495867</v>
      </c>
      <c r="CF307" s="37"/>
      <c r="CG307" s="37"/>
      <c r="CH307" s="37"/>
      <c r="CI307" s="37"/>
      <c r="CJ307" s="37"/>
      <c r="CK307" s="39">
        <f t="shared" si="207"/>
        <v>2.2770851832098989E-2</v>
      </c>
      <c r="CL307" s="39">
        <f t="shared" si="203"/>
        <v>0.76554834710743802</v>
      </c>
      <c r="CM307" s="39">
        <f t="shared" si="208"/>
        <v>8.04623739650141E-2</v>
      </c>
      <c r="CN307" s="37"/>
      <c r="CO307" s="39">
        <f>0.063495+(0.016949+0.014096)*Wages!P305+1.22592*BR307</f>
        <v>0.78756820749205281</v>
      </c>
      <c r="CP307" s="39"/>
      <c r="CQ307" s="39">
        <f t="shared" si="201"/>
        <v>0.83863184142329694</v>
      </c>
      <c r="CR307" s="39">
        <f t="shared" si="192"/>
        <v>0.40177903010414662</v>
      </c>
      <c r="CS307" s="39">
        <f t="shared" si="192"/>
        <v>1.0512895508957232</v>
      </c>
      <c r="CT307" s="39">
        <f t="shared" si="164"/>
        <v>3.000218641402411</v>
      </c>
      <c r="CU307" s="39">
        <f t="shared" si="164"/>
        <v>1.5934075244345431</v>
      </c>
      <c r="CV307" s="39">
        <f t="shared" si="164"/>
        <v>0.22712852617079893</v>
      </c>
      <c r="CW307" s="39">
        <f t="shared" si="164"/>
        <v>0.13741830578512398</v>
      </c>
      <c r="CX307" s="39"/>
      <c r="CY307" s="39"/>
      <c r="CZ307" s="39">
        <f t="shared" si="167"/>
        <v>0.21968085568138254</v>
      </c>
      <c r="DA307" s="39">
        <v>3.7</v>
      </c>
      <c r="DB307" s="39">
        <f t="shared" si="205"/>
        <v>3.3821359623435505</v>
      </c>
      <c r="DC307" s="39">
        <f t="shared" si="168"/>
        <v>2.4678489083550139</v>
      </c>
      <c r="DD307" s="39">
        <v>2.9261284170375084</v>
      </c>
      <c r="DE307" s="39">
        <f t="shared" si="209"/>
        <v>2.2770851832098989E-2</v>
      </c>
      <c r="DF307" s="37"/>
      <c r="DG307" s="39">
        <f t="shared" si="169"/>
        <v>0.76554834710743802</v>
      </c>
      <c r="DH307" s="39">
        <f t="shared" si="170"/>
        <v>2.5776377441814566</v>
      </c>
      <c r="DI307" s="37"/>
      <c r="DJ307" s="37"/>
      <c r="DK307" s="37"/>
      <c r="DL307" s="37"/>
      <c r="DM307" s="39">
        <f t="shared" si="180"/>
        <v>0.79532593802688556</v>
      </c>
      <c r="DN307" s="39"/>
      <c r="DO307" s="39">
        <f t="shared" si="181"/>
        <v>0.79532593802688556</v>
      </c>
      <c r="DP307" s="37"/>
      <c r="DQ307" s="37">
        <f>DO307/'Conversions, Sources &amp; Comments'!E305</f>
        <v>1.6726242895846553</v>
      </c>
    </row>
    <row r="308" spans="1:121">
      <c r="A308" s="42">
        <f t="shared" si="171"/>
        <v>1556</v>
      </c>
      <c r="B308" s="36"/>
      <c r="C308" s="38">
        <v>28</v>
      </c>
      <c r="D308" s="38">
        <v>5.5</v>
      </c>
      <c r="E308" s="38">
        <v>15</v>
      </c>
      <c r="F308" s="38">
        <v>5</v>
      </c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8">
        <v>28.66</v>
      </c>
      <c r="V308" s="36"/>
      <c r="W308" s="36"/>
      <c r="X308" s="38">
        <v>11</v>
      </c>
      <c r="Y308" s="38">
        <v>4</v>
      </c>
      <c r="Z308" s="38">
        <v>2</v>
      </c>
      <c r="AA308" s="38">
        <v>9</v>
      </c>
      <c r="AB308" s="36"/>
      <c r="AC308" s="38">
        <v>1</v>
      </c>
      <c r="AD308" s="38">
        <v>1</v>
      </c>
      <c r="AE308" s="38">
        <v>1</v>
      </c>
      <c r="AF308" s="38">
        <v>1.25</v>
      </c>
      <c r="AG308" s="38">
        <v>10</v>
      </c>
      <c r="AH308" s="38">
        <v>10</v>
      </c>
      <c r="AI308" s="38">
        <v>4</v>
      </c>
      <c r="AJ308" s="38">
        <v>4.5</v>
      </c>
      <c r="AK308" s="36"/>
      <c r="AL308" s="36"/>
      <c r="AM308" s="38">
        <v>24</v>
      </c>
      <c r="AN308" s="38">
        <v>2</v>
      </c>
      <c r="AO308" s="38">
        <v>2</v>
      </c>
      <c r="AP308" s="38">
        <v>4</v>
      </c>
      <c r="AQ308" s="36"/>
      <c r="AR308" s="36"/>
      <c r="AS308" s="36"/>
      <c r="AT308" s="36"/>
      <c r="AU308" s="36"/>
      <c r="AV308" s="36"/>
      <c r="AW308" s="36"/>
      <c r="AX308" s="38">
        <v>11</v>
      </c>
      <c r="AY308" s="38">
        <v>7</v>
      </c>
      <c r="AZ308" s="38">
        <v>53</v>
      </c>
      <c r="BA308" s="36"/>
      <c r="BB308" s="36"/>
      <c r="BC308" s="36"/>
      <c r="BD308" s="36"/>
      <c r="BE308" s="36"/>
      <c r="BF308" s="38">
        <v>2.7</v>
      </c>
      <c r="BG308" s="59">
        <v>20.190000000000001</v>
      </c>
      <c r="BH308" s="59">
        <v>1.17</v>
      </c>
      <c r="BI308" s="59">
        <v>0.39794568104581451</v>
      </c>
      <c r="BJ308" s="59"/>
      <c r="BK308" s="38">
        <v>2.8620000000000005</v>
      </c>
      <c r="BL308" s="59">
        <v>1.52</v>
      </c>
      <c r="BM308" s="38"/>
      <c r="BN308" s="38">
        <v>60.5</v>
      </c>
      <c r="BO308" s="36"/>
      <c r="BP308" s="39">
        <f t="shared" si="165"/>
        <v>0.47549586776859509</v>
      </c>
      <c r="BQ308" s="37"/>
      <c r="BR308" s="39">
        <f t="shared" si="166"/>
        <v>0.57601821486383742</v>
      </c>
      <c r="BS308" s="39">
        <f t="shared" si="196"/>
        <v>0.70759561620090672</v>
      </c>
      <c r="BT308" s="39">
        <f>BP308*12*AZ308/(24*0.9144)</f>
        <v>13.780228013853643</v>
      </c>
      <c r="BU308" s="39">
        <f t="shared" si="204"/>
        <v>2.9120481840596373</v>
      </c>
      <c r="BV308" s="39">
        <f t="shared" si="177"/>
        <v>0.40866088754673657</v>
      </c>
      <c r="BW308" s="39">
        <f t="shared" si="161"/>
        <v>1.0512895508957232</v>
      </c>
      <c r="BX308" s="39">
        <f t="shared" si="178"/>
        <v>0.27749160717648352</v>
      </c>
      <c r="BY308" s="39">
        <f t="shared" si="198"/>
        <v>2.8827969548925831</v>
      </c>
      <c r="BZ308" s="37"/>
      <c r="CA308" s="39">
        <f t="shared" si="162"/>
        <v>3.000218641402411</v>
      </c>
      <c r="CB308" s="39">
        <f t="shared" si="163"/>
        <v>1.5934075244345431</v>
      </c>
      <c r="CC308" s="39">
        <f t="shared" si="206"/>
        <v>0.22712852617079893</v>
      </c>
      <c r="CD308" s="39">
        <f t="shared" si="210"/>
        <v>0.13789380165289256</v>
      </c>
      <c r="CE308" s="37"/>
      <c r="CF308" s="37"/>
      <c r="CG308" s="39">
        <f>BP308*(12*AO308+AP308)/4.55</f>
        <v>2.9261284170375084</v>
      </c>
      <c r="CH308" s="37"/>
      <c r="CI308" s="37"/>
      <c r="CJ308" s="37"/>
      <c r="CK308" s="39">
        <f t="shared" si="207"/>
        <v>2.1927486949428657E-2</v>
      </c>
      <c r="CL308" s="39">
        <f t="shared" si="203"/>
        <v>0.61814462809917359</v>
      </c>
      <c r="CM308" s="39">
        <f t="shared" si="208"/>
        <v>7.7482286040383958E-2</v>
      </c>
      <c r="CN308" s="37"/>
      <c r="CO308" s="39">
        <f>0.063495+(0.016949+0.014096)*Wages!P306+1.22592*BR308</f>
        <v>0.94678848054438791</v>
      </c>
      <c r="CP308" s="39"/>
      <c r="CQ308" s="39">
        <f t="shared" si="201"/>
        <v>0.70759561620090672</v>
      </c>
      <c r="CR308" s="39">
        <f t="shared" si="192"/>
        <v>0.40866088754673657</v>
      </c>
      <c r="CS308" s="39">
        <f t="shared" si="192"/>
        <v>1.0512895508957232</v>
      </c>
      <c r="CT308" s="39">
        <f t="shared" si="164"/>
        <v>3.000218641402411</v>
      </c>
      <c r="CU308" s="39">
        <f t="shared" si="164"/>
        <v>1.5934075244345431</v>
      </c>
      <c r="CV308" s="39">
        <f t="shared" si="164"/>
        <v>0.22712852617079893</v>
      </c>
      <c r="CW308" s="39">
        <f t="shared" si="164"/>
        <v>0.13789380165289256</v>
      </c>
      <c r="CX308" s="39"/>
      <c r="CY308" s="39"/>
      <c r="CZ308" s="39">
        <f t="shared" si="167"/>
        <v>0.27749160717648352</v>
      </c>
      <c r="DA308" s="39">
        <v>3.7</v>
      </c>
      <c r="DB308" s="39">
        <f t="shared" si="205"/>
        <v>2.9120481840596373</v>
      </c>
      <c r="DC308" s="39">
        <f t="shared" si="168"/>
        <v>2.8827969548925831</v>
      </c>
      <c r="DD308" s="39">
        <f>CG308</f>
        <v>2.9261284170375084</v>
      </c>
      <c r="DE308" s="39">
        <f t="shared" si="209"/>
        <v>2.1927486949428657E-2</v>
      </c>
      <c r="DF308" s="37"/>
      <c r="DG308" s="39">
        <f t="shared" si="169"/>
        <v>0.61814462809917359</v>
      </c>
      <c r="DH308" s="39">
        <f t="shared" si="170"/>
        <v>2.4821696795821437</v>
      </c>
      <c r="DI308" s="37"/>
      <c r="DJ308" s="37"/>
      <c r="DK308" s="37"/>
      <c r="DL308" s="37"/>
      <c r="DM308" s="39">
        <f t="shared" si="180"/>
        <v>0.75985199239926504</v>
      </c>
      <c r="DN308" s="39"/>
      <c r="DO308" s="39">
        <f t="shared" si="181"/>
        <v>0.75985199239926504</v>
      </c>
      <c r="DP308" s="37"/>
      <c r="DQ308" s="37">
        <f>DO308/'Conversions, Sources &amp; Comments'!E306</f>
        <v>1.5980201804173295</v>
      </c>
    </row>
    <row r="309" spans="1:121">
      <c r="A309" s="42">
        <f t="shared" si="171"/>
        <v>1557</v>
      </c>
      <c r="B309" s="36"/>
      <c r="C309" s="38">
        <v>8</v>
      </c>
      <c r="D309" s="38">
        <v>4.75</v>
      </c>
      <c r="E309" s="38">
        <v>6</v>
      </c>
      <c r="F309" s="38">
        <v>6</v>
      </c>
      <c r="G309" s="38">
        <v>5</v>
      </c>
      <c r="H309" s="38">
        <v>8</v>
      </c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8">
        <v>28.66</v>
      </c>
      <c r="V309" s="36"/>
      <c r="W309" s="36"/>
      <c r="X309" s="38">
        <v>11</v>
      </c>
      <c r="Y309" s="38">
        <v>4</v>
      </c>
      <c r="Z309" s="38">
        <v>2</v>
      </c>
      <c r="AA309" s="38">
        <v>10.75</v>
      </c>
      <c r="AB309" s="36"/>
      <c r="AC309" s="38">
        <v>1</v>
      </c>
      <c r="AD309" s="38">
        <v>2</v>
      </c>
      <c r="AE309" s="38">
        <v>1</v>
      </c>
      <c r="AF309" s="38">
        <v>1.25</v>
      </c>
      <c r="AG309" s="38">
        <v>4</v>
      </c>
      <c r="AH309" s="38">
        <v>0</v>
      </c>
      <c r="AI309" s="36"/>
      <c r="AJ309" s="36"/>
      <c r="AK309" s="36"/>
      <c r="AL309" s="36"/>
      <c r="AM309" s="38">
        <v>22</v>
      </c>
      <c r="AN309" s="38">
        <v>6</v>
      </c>
      <c r="AO309" s="38">
        <v>2</v>
      </c>
      <c r="AP309" s="38">
        <v>2</v>
      </c>
      <c r="AQ309" s="36"/>
      <c r="AR309" s="36"/>
      <c r="AS309" s="36"/>
      <c r="AT309" s="36"/>
      <c r="AU309" s="36"/>
      <c r="AV309" s="38">
        <v>28</v>
      </c>
      <c r="AW309" s="36"/>
      <c r="AX309" s="38">
        <v>13.3</v>
      </c>
      <c r="AY309" s="38">
        <v>7.33</v>
      </c>
      <c r="AZ309" s="36"/>
      <c r="BA309" s="36"/>
      <c r="BB309" s="36"/>
      <c r="BC309" s="36"/>
      <c r="BD309" s="36"/>
      <c r="BE309" s="36"/>
      <c r="BF309" s="38">
        <v>1.3</v>
      </c>
      <c r="BG309" s="59">
        <v>12.91</v>
      </c>
      <c r="BH309" s="59">
        <v>1.17</v>
      </c>
      <c r="BI309" s="59">
        <v>0.2943139932734678</v>
      </c>
      <c r="BJ309" s="59"/>
      <c r="BK309" s="38">
        <v>2.8620000000000005</v>
      </c>
      <c r="BL309" s="59">
        <v>1.7</v>
      </c>
      <c r="BM309" s="38"/>
      <c r="BN309" s="38">
        <v>60.5</v>
      </c>
      <c r="BO309" s="36"/>
      <c r="BP309" s="39">
        <f t="shared" si="165"/>
        <v>0.47549586776859509</v>
      </c>
      <c r="BQ309" s="37"/>
      <c r="BR309" s="39">
        <f t="shared" si="166"/>
        <v>0.16993802385807208</v>
      </c>
      <c r="BS309" s="39">
        <f t="shared" si="196"/>
        <v>0.34069418557821435</v>
      </c>
      <c r="BT309" s="37"/>
      <c r="BU309" s="39">
        <f t="shared" si="204"/>
        <v>3.0493304555938776</v>
      </c>
      <c r="BV309" s="39">
        <f t="shared" si="177"/>
        <v>0.26130817524657596</v>
      </c>
      <c r="BW309" s="39">
        <f t="shared" si="161"/>
        <v>1.0512895508957232</v>
      </c>
      <c r="BX309" s="39">
        <f t="shared" si="178"/>
        <v>0.20522816780760819</v>
      </c>
      <c r="BY309" s="39">
        <f t="shared" si="198"/>
        <v>3.0356725509853715</v>
      </c>
      <c r="BZ309" s="37"/>
      <c r="CA309" s="39">
        <f t="shared" si="162"/>
        <v>3.000218641402411</v>
      </c>
      <c r="CB309" s="39">
        <f t="shared" si="163"/>
        <v>1.7821005207491603</v>
      </c>
      <c r="CC309" s="39">
        <f t="shared" si="206"/>
        <v>0.22712852617079893</v>
      </c>
      <c r="CD309" s="39">
        <f t="shared" si="210"/>
        <v>0.12838388429752068</v>
      </c>
      <c r="CE309" s="39">
        <f t="shared" ref="CE309:CE316" si="211">$BP309*12*AV309/120</f>
        <v>1.3313884297520662</v>
      </c>
      <c r="CF309" s="37"/>
      <c r="CG309" s="39">
        <f>BP309*(12*AO309+AP309)/4.55</f>
        <v>2.7171192443919718</v>
      </c>
      <c r="CH309" s="37"/>
      <c r="CI309" s="37"/>
      <c r="CJ309" s="37"/>
      <c r="CK309" s="39">
        <f t="shared" si="207"/>
        <v>2.3614216714769324E-2</v>
      </c>
      <c r="CL309" s="39">
        <f t="shared" si="203"/>
        <v>0.22823801652892561</v>
      </c>
      <c r="CM309" s="39">
        <f t="shared" si="208"/>
        <v>8.3442461889644257E-2</v>
      </c>
      <c r="CN309" s="37"/>
      <c r="CO309" s="39">
        <f>0.063495+(0.016949+0.014096)*Wages!P307+1.22592*BR309</f>
        <v>0.44896665278660008</v>
      </c>
      <c r="CP309" s="39"/>
      <c r="CQ309" s="39">
        <f t="shared" si="201"/>
        <v>0.34069418557821435</v>
      </c>
      <c r="CR309" s="39">
        <f t="shared" si="192"/>
        <v>0.26130817524657596</v>
      </c>
      <c r="CS309" s="39">
        <f t="shared" si="192"/>
        <v>1.0512895508957232</v>
      </c>
      <c r="CT309" s="39">
        <f t="shared" si="164"/>
        <v>3.000218641402411</v>
      </c>
      <c r="CU309" s="39">
        <f t="shared" si="164"/>
        <v>1.7821005207491603</v>
      </c>
      <c r="CV309" s="39">
        <f t="shared" si="164"/>
        <v>0.22712852617079893</v>
      </c>
      <c r="CW309" s="39">
        <f t="shared" si="164"/>
        <v>0.12838388429752068</v>
      </c>
      <c r="CX309" s="39"/>
      <c r="CY309" s="39"/>
      <c r="CZ309" s="39">
        <f t="shared" si="167"/>
        <v>0.20522816780760819</v>
      </c>
      <c r="DA309" s="39">
        <v>3.7</v>
      </c>
      <c r="DB309" s="39">
        <f t="shared" si="205"/>
        <v>3.0493304555938776</v>
      </c>
      <c r="DC309" s="39">
        <f t="shared" si="168"/>
        <v>3.0356725509853715</v>
      </c>
      <c r="DD309" s="39">
        <f>CG309</f>
        <v>2.7171192443919718</v>
      </c>
      <c r="DE309" s="39">
        <f t="shared" si="209"/>
        <v>2.3614216714769324E-2</v>
      </c>
      <c r="DF309" s="37"/>
      <c r="DG309" s="39">
        <f t="shared" si="169"/>
        <v>0.22823801652892561</v>
      </c>
      <c r="DH309" s="39">
        <f t="shared" si="170"/>
        <v>2.6731058087807704</v>
      </c>
      <c r="DI309" s="37"/>
      <c r="DJ309" s="37"/>
      <c r="DK309" s="37"/>
      <c r="DL309" s="37"/>
      <c r="DM309" s="39">
        <f t="shared" si="180"/>
        <v>0.55470794376134347</v>
      </c>
      <c r="DN309" s="39"/>
      <c r="DO309" s="39">
        <f t="shared" si="181"/>
        <v>0.55470794376134347</v>
      </c>
      <c r="DP309" s="37"/>
      <c r="DQ309" s="37">
        <f>DO309/'Conversions, Sources &amp; Comments'!E307</f>
        <v>1.1665883583057712</v>
      </c>
    </row>
    <row r="310" spans="1:121">
      <c r="A310" s="42">
        <f t="shared" si="171"/>
        <v>1558</v>
      </c>
      <c r="B310" s="36"/>
      <c r="C310" s="38">
        <v>9</v>
      </c>
      <c r="D310" s="38">
        <v>3.5</v>
      </c>
      <c r="E310" s="38">
        <v>11</v>
      </c>
      <c r="F310" s="38">
        <v>4</v>
      </c>
      <c r="G310" s="38">
        <v>5</v>
      </c>
      <c r="H310" s="38">
        <v>5.5</v>
      </c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8">
        <v>28.66</v>
      </c>
      <c r="V310" s="36"/>
      <c r="W310" s="36"/>
      <c r="X310" s="38">
        <v>11</v>
      </c>
      <c r="Y310" s="38">
        <v>0</v>
      </c>
      <c r="Z310" s="38">
        <v>3</v>
      </c>
      <c r="AA310" s="38">
        <v>2</v>
      </c>
      <c r="AB310" s="36"/>
      <c r="AC310" s="38">
        <v>1</v>
      </c>
      <c r="AD310" s="38">
        <v>1</v>
      </c>
      <c r="AE310" s="38">
        <v>1</v>
      </c>
      <c r="AF310" s="38">
        <v>1.25</v>
      </c>
      <c r="AG310" s="36"/>
      <c r="AH310" s="36"/>
      <c r="AI310" s="38">
        <v>5</v>
      </c>
      <c r="AJ310" s="38">
        <v>4</v>
      </c>
      <c r="AK310" s="36"/>
      <c r="AL310" s="36"/>
      <c r="AM310" s="38">
        <v>25</v>
      </c>
      <c r="AN310" s="38">
        <v>0</v>
      </c>
      <c r="AO310" s="36"/>
      <c r="AP310" s="36"/>
      <c r="AQ310" s="36"/>
      <c r="AR310" s="36"/>
      <c r="AS310" s="36"/>
      <c r="AT310" s="36"/>
      <c r="AU310" s="36"/>
      <c r="AV310" s="38">
        <v>30</v>
      </c>
      <c r="AW310" s="36"/>
      <c r="AX310" s="38">
        <v>12.5</v>
      </c>
      <c r="AY310" s="38">
        <v>9</v>
      </c>
      <c r="AZ310" s="36"/>
      <c r="BA310" s="36"/>
      <c r="BB310" s="38">
        <v>137.6</v>
      </c>
      <c r="BC310" s="36"/>
      <c r="BD310" s="36"/>
      <c r="BE310" s="36"/>
      <c r="BF310" s="38">
        <v>1.6</v>
      </c>
      <c r="BG310" s="59">
        <v>11.02</v>
      </c>
      <c r="BH310" s="59">
        <v>1.17</v>
      </c>
      <c r="BI310" s="59">
        <v>0.18791879382719098</v>
      </c>
      <c r="BJ310" s="59"/>
      <c r="BK310" s="38">
        <v>2.8485</v>
      </c>
      <c r="BL310" s="59">
        <v>1.73</v>
      </c>
      <c r="BM310" s="38"/>
      <c r="BN310" s="38">
        <v>60.5</v>
      </c>
      <c r="BO310" s="36"/>
      <c r="BP310" s="39">
        <f t="shared" si="165"/>
        <v>0.47549586776859509</v>
      </c>
      <c r="BQ310" s="37"/>
      <c r="BR310" s="39">
        <f t="shared" si="166"/>
        <v>0.18807036883548425</v>
      </c>
      <c r="BS310" s="39">
        <f t="shared" si="196"/>
        <v>0.41931592071164847</v>
      </c>
      <c r="BT310" s="37"/>
      <c r="BU310" s="39">
        <f t="shared" si="204"/>
        <v>3.7440619509338195</v>
      </c>
      <c r="BV310" s="39">
        <f t="shared" si="177"/>
        <v>0.22305314416864963</v>
      </c>
      <c r="BW310" s="39">
        <f t="shared" si="161"/>
        <v>1.0512895508957232</v>
      </c>
      <c r="BX310" s="39">
        <f t="shared" si="178"/>
        <v>0.13103770338889556</v>
      </c>
      <c r="BY310" s="39">
        <f t="shared" si="198"/>
        <v>3.3195843723005503</v>
      </c>
      <c r="BZ310" s="37"/>
      <c r="CA310" s="39">
        <f t="shared" si="162"/>
        <v>2.986066666678814</v>
      </c>
      <c r="CB310" s="39">
        <f t="shared" si="163"/>
        <v>1.8135493534682632</v>
      </c>
      <c r="CC310" s="39">
        <f t="shared" si="206"/>
        <v>0.22712852617079893</v>
      </c>
      <c r="CD310" s="39">
        <f t="shared" si="210"/>
        <v>0.14264876033057855</v>
      </c>
      <c r="CE310" s="39">
        <f t="shared" si="211"/>
        <v>1.4264876033057852</v>
      </c>
      <c r="CF310" s="37"/>
      <c r="CG310" s="37"/>
      <c r="CH310" s="37"/>
      <c r="CI310" s="37"/>
      <c r="CJ310" s="37"/>
      <c r="CK310" s="39">
        <f t="shared" si="207"/>
        <v>2.1927486949428657E-2</v>
      </c>
      <c r="CL310" s="37"/>
      <c r="CM310" s="39">
        <f t="shared" si="208"/>
        <v>7.7482286040383958E-2</v>
      </c>
      <c r="CN310" s="37"/>
      <c r="CO310" s="39">
        <f>0.063495+(0.016949+0.014096)*Wages!P308+1.22592*BR310</f>
        <v>0.47119545714130923</v>
      </c>
      <c r="CP310" s="39"/>
      <c r="CQ310" s="39">
        <f t="shared" si="201"/>
        <v>0.41931592071164847</v>
      </c>
      <c r="CR310" s="39">
        <f t="shared" si="192"/>
        <v>0.22305314416864963</v>
      </c>
      <c r="CS310" s="39">
        <f t="shared" si="192"/>
        <v>1.0512895508957232</v>
      </c>
      <c r="CT310" s="39">
        <f t="shared" si="164"/>
        <v>2.986066666678814</v>
      </c>
      <c r="CU310" s="39">
        <f t="shared" si="164"/>
        <v>1.8135493534682632</v>
      </c>
      <c r="CV310" s="39">
        <f t="shared" si="164"/>
        <v>0.22712852617079893</v>
      </c>
      <c r="CW310" s="39">
        <f t="shared" si="164"/>
        <v>0.14264876033057855</v>
      </c>
      <c r="CX310" s="39"/>
      <c r="CY310" s="39"/>
      <c r="CZ310" s="39">
        <f t="shared" si="167"/>
        <v>0.13103770338889556</v>
      </c>
      <c r="DA310" s="39">
        <v>3.7</v>
      </c>
      <c r="DB310" s="39">
        <f t="shared" si="205"/>
        <v>3.7440619509338195</v>
      </c>
      <c r="DC310" s="39">
        <f t="shared" si="168"/>
        <v>3.3195843723005503</v>
      </c>
      <c r="DD310" s="39">
        <v>2.1</v>
      </c>
      <c r="DE310" s="39">
        <f t="shared" si="209"/>
        <v>2.1927486949428657E-2</v>
      </c>
      <c r="DF310" s="37"/>
      <c r="DG310" s="39">
        <f t="shared" si="169"/>
        <v>0</v>
      </c>
      <c r="DH310" s="39">
        <f t="shared" si="170"/>
        <v>2.4821696795821437</v>
      </c>
      <c r="DI310" s="37"/>
      <c r="DJ310" s="37"/>
      <c r="DK310" s="37"/>
      <c r="DL310" s="37"/>
      <c r="DM310" s="39">
        <f t="shared" si="180"/>
        <v>0.55605721491189342</v>
      </c>
      <c r="DN310" s="39"/>
      <c r="DO310" s="39">
        <f t="shared" si="181"/>
        <v>0.55605721491189342</v>
      </c>
      <c r="DP310" s="37"/>
      <c r="DQ310" s="37">
        <f>DO310/'Conversions, Sources &amp; Comments'!E308</f>
        <v>1.1694259668782323</v>
      </c>
    </row>
    <row r="311" spans="1:121">
      <c r="A311" s="42">
        <f t="shared" si="171"/>
        <v>1559</v>
      </c>
      <c r="B311" s="36"/>
      <c r="C311" s="38">
        <v>11</v>
      </c>
      <c r="D311" s="38">
        <v>0.75</v>
      </c>
      <c r="E311" s="38">
        <v>6</v>
      </c>
      <c r="F311" s="38">
        <v>8</v>
      </c>
      <c r="G311" s="38">
        <v>5</v>
      </c>
      <c r="H311" s="38">
        <v>7.75</v>
      </c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8">
        <v>28.66</v>
      </c>
      <c r="V311" s="36"/>
      <c r="W311" s="36"/>
      <c r="X311" s="38">
        <v>10</v>
      </c>
      <c r="Y311" s="38">
        <v>7</v>
      </c>
      <c r="Z311" s="38">
        <v>3</v>
      </c>
      <c r="AA311" s="38">
        <v>6.5</v>
      </c>
      <c r="AB311" s="36"/>
      <c r="AC311" s="38">
        <v>1</v>
      </c>
      <c r="AD311" s="38">
        <v>2.5</v>
      </c>
      <c r="AE311" s="38">
        <v>1</v>
      </c>
      <c r="AF311" s="38">
        <v>1.25</v>
      </c>
      <c r="AG311" s="36"/>
      <c r="AH311" s="36"/>
      <c r="AI311" s="38">
        <v>5</v>
      </c>
      <c r="AJ311" s="38">
        <v>0</v>
      </c>
      <c r="AK311" s="36"/>
      <c r="AL311" s="36"/>
      <c r="AM311" s="38">
        <v>26</v>
      </c>
      <c r="AN311" s="38">
        <v>0</v>
      </c>
      <c r="AO311" s="36"/>
      <c r="AP311" s="36"/>
      <c r="AQ311" s="36"/>
      <c r="AR311" s="36"/>
      <c r="AS311" s="36"/>
      <c r="AT311" s="36"/>
      <c r="AU311" s="36"/>
      <c r="AV311" s="38">
        <v>24.17</v>
      </c>
      <c r="AW311" s="36"/>
      <c r="AX311" s="38">
        <v>14.8</v>
      </c>
      <c r="AY311" s="38">
        <v>8</v>
      </c>
      <c r="AZ311" s="38">
        <v>58</v>
      </c>
      <c r="BA311" s="36"/>
      <c r="BB311" s="36"/>
      <c r="BC311" s="36"/>
      <c r="BD311" s="36"/>
      <c r="BE311" s="36"/>
      <c r="BF311" s="38">
        <v>2.4</v>
      </c>
      <c r="BG311" s="59">
        <v>9.94</v>
      </c>
      <c r="BH311" s="59">
        <v>1.17</v>
      </c>
      <c r="BI311" s="59">
        <v>0.17271947962057951</v>
      </c>
      <c r="BJ311" s="59"/>
      <c r="BK311" s="38">
        <v>2.8080000000000003</v>
      </c>
      <c r="BL311" s="59">
        <v>1.32</v>
      </c>
      <c r="BM311" s="38"/>
      <c r="BN311" s="38">
        <v>60.5</v>
      </c>
      <c r="BO311" s="36"/>
      <c r="BP311" s="39">
        <f t="shared" si="165"/>
        <v>0.47549586776859509</v>
      </c>
      <c r="BQ311" s="37"/>
      <c r="BR311" s="39">
        <f t="shared" si="166"/>
        <v>0.2239133763489734</v>
      </c>
      <c r="BS311" s="39">
        <f t="shared" si="196"/>
        <v>0.62897388106747265</v>
      </c>
      <c r="BT311" s="39">
        <f t="shared" ref="BT311:BT342" si="212">BP311*12*AZ311/(24*0.9144)</f>
        <v>15.080249524594551</v>
      </c>
      <c r="BU311" s="39">
        <f t="shared" si="204"/>
        <v>3.3280550674967286</v>
      </c>
      <c r="BV311" s="39">
        <f t="shared" si="177"/>
        <v>0.20119312640983461</v>
      </c>
      <c r="BW311" s="39">
        <f t="shared" si="161"/>
        <v>1.0512895508957232</v>
      </c>
      <c r="BX311" s="39">
        <f t="shared" si="178"/>
        <v>0.12043906561479341</v>
      </c>
      <c r="BY311" s="39">
        <f t="shared" si="198"/>
        <v>3.7126930479677207</v>
      </c>
      <c r="BZ311" s="37"/>
      <c r="CA311" s="39">
        <f t="shared" si="162"/>
        <v>2.9436107425080253</v>
      </c>
      <c r="CB311" s="39">
        <f t="shared" si="163"/>
        <v>1.3837486396405245</v>
      </c>
      <c r="CC311" s="39">
        <f t="shared" si="206"/>
        <v>0.22712852617079893</v>
      </c>
      <c r="CD311" s="39">
        <f t="shared" si="210"/>
        <v>0.14835471074380166</v>
      </c>
      <c r="CE311" s="39">
        <f t="shared" si="211"/>
        <v>1.1492735123966942</v>
      </c>
      <c r="CF311" s="37"/>
      <c r="CG311" s="37"/>
      <c r="CH311" s="37"/>
      <c r="CI311" s="37"/>
      <c r="CJ311" s="37"/>
      <c r="CK311" s="39">
        <f t="shared" si="207"/>
        <v>2.4457581597439656E-2</v>
      </c>
      <c r="CL311" s="37"/>
      <c r="CM311" s="39">
        <f t="shared" si="208"/>
        <v>8.6422549814274413E-2</v>
      </c>
      <c r="CN311" s="37"/>
      <c r="CO311" s="39">
        <f>0.063495+(0.016949+0.014096)*Wages!P309+1.22592*BR311</f>
        <v>0.52222176613538629</v>
      </c>
      <c r="CP311" s="39"/>
      <c r="CQ311" s="39">
        <f t="shared" si="201"/>
        <v>0.62897388106747265</v>
      </c>
      <c r="CR311" s="39">
        <f t="shared" si="192"/>
        <v>0.20119312640983461</v>
      </c>
      <c r="CS311" s="39">
        <f t="shared" si="192"/>
        <v>1.0512895508957232</v>
      </c>
      <c r="CT311" s="39">
        <f t="shared" si="164"/>
        <v>2.9436107425080253</v>
      </c>
      <c r="CU311" s="39">
        <f t="shared" si="164"/>
        <v>1.3837486396405245</v>
      </c>
      <c r="CV311" s="39">
        <f t="shared" si="164"/>
        <v>0.22712852617079893</v>
      </c>
      <c r="CW311" s="39">
        <f t="shared" si="164"/>
        <v>0.14835471074380166</v>
      </c>
      <c r="CX311" s="39"/>
      <c r="CY311" s="39"/>
      <c r="CZ311" s="39">
        <f t="shared" si="167"/>
        <v>0.12043906561479341</v>
      </c>
      <c r="DA311" s="39">
        <v>3.7</v>
      </c>
      <c r="DB311" s="39">
        <f t="shared" si="205"/>
        <v>3.3280550674967286</v>
      </c>
      <c r="DC311" s="39">
        <f t="shared" si="168"/>
        <v>3.7126930479677207</v>
      </c>
      <c r="DD311" s="39">
        <v>2.1</v>
      </c>
      <c r="DE311" s="39">
        <f t="shared" si="209"/>
        <v>2.4457581597439656E-2</v>
      </c>
      <c r="DF311" s="37"/>
      <c r="DG311" s="39">
        <f t="shared" si="169"/>
        <v>0</v>
      </c>
      <c r="DH311" s="39">
        <f t="shared" si="170"/>
        <v>2.7685738733800833</v>
      </c>
      <c r="DI311" s="37"/>
      <c r="DJ311" s="37"/>
      <c r="DK311" s="37"/>
      <c r="DL311" s="37"/>
      <c r="DM311" s="39">
        <f t="shared" si="180"/>
        <v>0.6356197933855342</v>
      </c>
      <c r="DN311" s="39"/>
      <c r="DO311" s="39">
        <f t="shared" si="181"/>
        <v>0.6356197933855342</v>
      </c>
      <c r="DP311" s="37"/>
      <c r="DQ311" s="37">
        <f>DO311/'Conversions, Sources &amp; Comments'!E309</f>
        <v>1.3367514556296103</v>
      </c>
    </row>
    <row r="312" spans="1:121">
      <c r="A312" s="42">
        <f t="shared" si="171"/>
        <v>1560</v>
      </c>
      <c r="B312" s="36"/>
      <c r="C312" s="38">
        <v>14</v>
      </c>
      <c r="D312" s="38">
        <v>2.75</v>
      </c>
      <c r="E312" s="38">
        <v>9</v>
      </c>
      <c r="F312" s="38">
        <v>0</v>
      </c>
      <c r="G312" s="38">
        <v>6</v>
      </c>
      <c r="H312" s="38">
        <v>6</v>
      </c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8">
        <v>28.66</v>
      </c>
      <c r="V312" s="36"/>
      <c r="W312" s="36"/>
      <c r="X312" s="38">
        <v>12</v>
      </c>
      <c r="Y312" s="38">
        <v>0</v>
      </c>
      <c r="Z312" s="38">
        <v>3</v>
      </c>
      <c r="AA312" s="38">
        <v>6.25</v>
      </c>
      <c r="AB312" s="36"/>
      <c r="AC312" s="38">
        <v>1</v>
      </c>
      <c r="AD312" s="38">
        <v>3</v>
      </c>
      <c r="AE312" s="38">
        <v>1</v>
      </c>
      <c r="AF312" s="38">
        <v>1.25</v>
      </c>
      <c r="AG312" s="36"/>
      <c r="AH312" s="36"/>
      <c r="AI312" s="36"/>
      <c r="AJ312" s="36"/>
      <c r="AK312" s="36"/>
      <c r="AL312" s="36"/>
      <c r="AM312" s="38">
        <v>26</v>
      </c>
      <c r="AN312" s="38">
        <v>0</v>
      </c>
      <c r="AO312" s="36"/>
      <c r="AP312" s="36"/>
      <c r="AQ312" s="36"/>
      <c r="AR312" s="36"/>
      <c r="AS312" s="36"/>
      <c r="AT312" s="36"/>
      <c r="AU312" s="36"/>
      <c r="AV312" s="38">
        <v>28</v>
      </c>
      <c r="AW312" s="36"/>
      <c r="AX312" s="38">
        <v>18</v>
      </c>
      <c r="AY312" s="36"/>
      <c r="AZ312" s="38">
        <v>60</v>
      </c>
      <c r="BA312" s="36"/>
      <c r="BB312" s="38">
        <v>142</v>
      </c>
      <c r="BC312" s="36"/>
      <c r="BD312" s="36"/>
      <c r="BE312" s="36"/>
      <c r="BF312" s="38">
        <v>2.7</v>
      </c>
      <c r="BG312" s="59">
        <v>9.64</v>
      </c>
      <c r="BH312" s="59">
        <v>1.5</v>
      </c>
      <c r="BI312" s="59">
        <v>0.15752016541396807</v>
      </c>
      <c r="BJ312" s="59"/>
      <c r="BK312" s="38">
        <v>3.7260000000000004</v>
      </c>
      <c r="BL312" s="59">
        <v>2.09</v>
      </c>
      <c r="BM312" s="36"/>
      <c r="BN312" s="38">
        <v>60</v>
      </c>
      <c r="BO312" s="36"/>
      <c r="BP312" s="39">
        <f t="shared" si="165"/>
        <v>0.47945833333333338</v>
      </c>
      <c r="BQ312" s="37"/>
      <c r="BR312" s="39">
        <f t="shared" si="166"/>
        <v>0.29040918332718468</v>
      </c>
      <c r="BS312" s="39">
        <f t="shared" si="196"/>
        <v>0.71349224633591424</v>
      </c>
      <c r="BT312" s="39">
        <f t="shared" si="212"/>
        <v>15.730260279965007</v>
      </c>
      <c r="BU312" s="37"/>
      <c r="BV312" s="39">
        <f t="shared" si="177"/>
        <v>0.19674690674839665</v>
      </c>
      <c r="BW312" s="39">
        <f t="shared" si="161"/>
        <v>1.3590388425040865</v>
      </c>
      <c r="BX312" s="39">
        <f t="shared" si="178"/>
        <v>0.11075576473936372</v>
      </c>
      <c r="BY312" s="39">
        <f t="shared" si="198"/>
        <v>3.7216107910731333</v>
      </c>
      <c r="BZ312" s="37"/>
      <c r="CA312" s="39">
        <f t="shared" si="162"/>
        <v>3.9384945655768435</v>
      </c>
      <c r="CB312" s="39">
        <f t="shared" si="163"/>
        <v>2.2091931406483094</v>
      </c>
      <c r="CC312" s="39">
        <f t="shared" si="206"/>
        <v>0.22902126388888891</v>
      </c>
      <c r="CD312" s="39">
        <f t="shared" si="210"/>
        <v>0.149591</v>
      </c>
      <c r="CE312" s="39">
        <f t="shared" si="211"/>
        <v>1.3424833333333335</v>
      </c>
      <c r="CF312" s="37"/>
      <c r="CG312" s="37"/>
      <c r="CH312" s="37"/>
      <c r="CI312" s="37"/>
      <c r="CJ312" s="37"/>
      <c r="CK312" s="39">
        <f t="shared" si="207"/>
        <v>2.5511787700777572E-2</v>
      </c>
      <c r="CL312" s="37"/>
      <c r="CM312" s="39">
        <f t="shared" si="208"/>
        <v>9.0147659720062098E-2</v>
      </c>
      <c r="CN312" s="37"/>
      <c r="CO312" s="39">
        <f>0.063495+(0.016949+0.014096)*Wages!P310+1.22592*BR312</f>
        <v>0.61361100884112885</v>
      </c>
      <c r="CP312" s="39"/>
      <c r="CQ312" s="39">
        <f t="shared" si="201"/>
        <v>0.71349224633591424</v>
      </c>
      <c r="CR312" s="39">
        <f t="shared" si="192"/>
        <v>0.19674690674839665</v>
      </c>
      <c r="CS312" s="39">
        <f t="shared" si="192"/>
        <v>1.3590388425040865</v>
      </c>
      <c r="CT312" s="39">
        <f t="shared" si="164"/>
        <v>3.9384945655768435</v>
      </c>
      <c r="CU312" s="39">
        <f t="shared" si="164"/>
        <v>2.2091931406483094</v>
      </c>
      <c r="CV312" s="39">
        <f t="shared" si="164"/>
        <v>0.22902126388888891</v>
      </c>
      <c r="CW312" s="39">
        <f t="shared" si="164"/>
        <v>0.149591</v>
      </c>
      <c r="CX312" s="39"/>
      <c r="CY312" s="39"/>
      <c r="CZ312" s="39">
        <f t="shared" si="167"/>
        <v>0.11075576473936372</v>
      </c>
      <c r="DA312" s="39">
        <v>3.7</v>
      </c>
      <c r="DB312" s="39">
        <v>3.7</v>
      </c>
      <c r="DC312" s="39">
        <f t="shared" si="168"/>
        <v>3.7216107910731333</v>
      </c>
      <c r="DD312" s="39">
        <v>2.1</v>
      </c>
      <c r="DE312" s="39">
        <f t="shared" si="209"/>
        <v>2.5511787700777572E-2</v>
      </c>
      <c r="DF312" s="37"/>
      <c r="DG312" s="39">
        <f t="shared" si="169"/>
        <v>0</v>
      </c>
      <c r="DH312" s="39">
        <f t="shared" si="170"/>
        <v>2.8879089541292249</v>
      </c>
      <c r="DI312" s="37"/>
      <c r="DJ312" s="37"/>
      <c r="DK312" s="37"/>
      <c r="DL312" s="37"/>
      <c r="DM312" s="39">
        <f t="shared" si="180"/>
        <v>0.71620326044345939</v>
      </c>
      <c r="DN312" s="39"/>
      <c r="DO312" s="39">
        <f t="shared" si="181"/>
        <v>0.71620326044345939</v>
      </c>
      <c r="DP312" s="37"/>
      <c r="DQ312" s="37">
        <f>DO312/'Conversions, Sources &amp; Comments'!E310</f>
        <v>1.4937758104321739</v>
      </c>
    </row>
    <row r="313" spans="1:121">
      <c r="A313" s="42">
        <f t="shared" si="171"/>
        <v>1561</v>
      </c>
      <c r="B313" s="36"/>
      <c r="C313" s="38">
        <v>15</v>
      </c>
      <c r="D313" s="38">
        <v>8</v>
      </c>
      <c r="E313" s="38">
        <v>6</v>
      </c>
      <c r="F313" s="38">
        <v>10.5</v>
      </c>
      <c r="G313" s="38">
        <v>6</v>
      </c>
      <c r="H313" s="38">
        <v>2.5</v>
      </c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8">
        <v>33.6</v>
      </c>
      <c r="V313" s="36"/>
      <c r="W313" s="36"/>
      <c r="X313" s="38">
        <v>7</v>
      </c>
      <c r="Y313" s="38">
        <v>10</v>
      </c>
      <c r="Z313" s="38">
        <v>3</v>
      </c>
      <c r="AA313" s="38">
        <v>0</v>
      </c>
      <c r="AB313" s="36"/>
      <c r="AC313" s="38">
        <v>1</v>
      </c>
      <c r="AD313" s="38">
        <v>2</v>
      </c>
      <c r="AE313" s="38">
        <v>1</v>
      </c>
      <c r="AF313" s="38">
        <v>1.5</v>
      </c>
      <c r="AG313" s="38">
        <v>10</v>
      </c>
      <c r="AH313" s="38">
        <v>0</v>
      </c>
      <c r="AI313" s="36"/>
      <c r="AJ313" s="36"/>
      <c r="AK313" s="36"/>
      <c r="AL313" s="36"/>
      <c r="AM313" s="38">
        <v>18</v>
      </c>
      <c r="AN313" s="38">
        <v>0</v>
      </c>
      <c r="AO313" s="38">
        <v>1</v>
      </c>
      <c r="AP313" s="38">
        <v>3</v>
      </c>
      <c r="AQ313" s="36"/>
      <c r="AR313" s="36"/>
      <c r="AS313" s="36"/>
      <c r="AT313" s="36"/>
      <c r="AU313" s="36"/>
      <c r="AV313" s="38">
        <v>35.5</v>
      </c>
      <c r="AW313" s="36"/>
      <c r="AX313" s="38">
        <v>12</v>
      </c>
      <c r="AY313" s="38">
        <v>10</v>
      </c>
      <c r="AZ313" s="38">
        <v>63.87</v>
      </c>
      <c r="BA313" s="36"/>
      <c r="BB313" s="38">
        <v>143</v>
      </c>
      <c r="BC313" s="36"/>
      <c r="BD313" s="36"/>
      <c r="BE313" s="36"/>
      <c r="BF313" s="38">
        <v>2.2000000000000002</v>
      </c>
      <c r="BG313" s="59">
        <v>14.55</v>
      </c>
      <c r="BH313" s="59">
        <v>1.5</v>
      </c>
      <c r="BI313" s="59">
        <v>0.13264856034860539</v>
      </c>
      <c r="BJ313" s="59"/>
      <c r="BK313" s="38">
        <v>3.7260000000000004</v>
      </c>
      <c r="BL313" s="59">
        <v>2.09</v>
      </c>
      <c r="BM313" s="38"/>
      <c r="BN313" s="38">
        <v>60</v>
      </c>
      <c r="BO313" s="36"/>
      <c r="BP313" s="39">
        <f t="shared" si="165"/>
        <v>0.47945833333333338</v>
      </c>
      <c r="BQ313" s="37"/>
      <c r="BR313" s="39">
        <f t="shared" si="166"/>
        <v>0.31974773918307892</v>
      </c>
      <c r="BS313" s="39">
        <f t="shared" si="196"/>
        <v>0.58136405257000434</v>
      </c>
      <c r="BT313" s="39">
        <f t="shared" si="212"/>
        <v>16.744862068022751</v>
      </c>
      <c r="BU313" s="39">
        <f>$BP313*12*AY313/(12*(45/36)*0.9144)</f>
        <v>4.1947360746573352</v>
      </c>
      <c r="BV313" s="39">
        <f t="shared" si="177"/>
        <v>0.29695720883705096</v>
      </c>
      <c r="BW313" s="39">
        <f t="shared" si="161"/>
        <v>1.3590388425040865</v>
      </c>
      <c r="BX313" s="39">
        <f t="shared" si="178"/>
        <v>9.3268012412096243E-2</v>
      </c>
      <c r="BY313" s="39">
        <f t="shared" si="198"/>
        <v>3.1710766503818411</v>
      </c>
      <c r="BZ313" s="37"/>
      <c r="CA313" s="39">
        <f t="shared" si="162"/>
        <v>3.9384945655768435</v>
      </c>
      <c r="CB313" s="39">
        <f t="shared" si="163"/>
        <v>2.2091931406483094</v>
      </c>
      <c r="CC313" s="39">
        <f t="shared" si="206"/>
        <v>0.26849666666666672</v>
      </c>
      <c r="CD313" s="39">
        <f t="shared" si="210"/>
        <v>0.103563</v>
      </c>
      <c r="CE313" s="39">
        <f t="shared" si="211"/>
        <v>1.7020770833333334</v>
      </c>
      <c r="CF313" s="37"/>
      <c r="CG313" s="39">
        <f>BP313*(12*AO313+AP313)/4.55</f>
        <v>1.5806318681318683</v>
      </c>
      <c r="CH313" s="37"/>
      <c r="CI313" s="37"/>
      <c r="CJ313" s="37"/>
      <c r="CK313" s="39">
        <f t="shared" si="207"/>
        <v>2.3811001854059065E-2</v>
      </c>
      <c r="CL313" s="39">
        <f>BP313*(12*AG313+AH313)/100</f>
        <v>0.57535000000000003</v>
      </c>
      <c r="CM313" s="39">
        <f t="shared" si="208"/>
        <v>8.4137815738724614E-2</v>
      </c>
      <c r="CN313" s="37"/>
      <c r="CO313" s="39">
        <f>0.063495+(0.016949+0.014096)*Wages!P311+1.22592*BR313</f>
        <v>0.65672242753598675</v>
      </c>
      <c r="CP313" s="39"/>
      <c r="CQ313" s="39">
        <f t="shared" si="201"/>
        <v>0.58136405257000434</v>
      </c>
      <c r="CR313" s="39">
        <f t="shared" si="192"/>
        <v>0.29695720883705096</v>
      </c>
      <c r="CS313" s="39">
        <f t="shared" si="192"/>
        <v>1.3590388425040865</v>
      </c>
      <c r="CT313" s="39">
        <f t="shared" si="164"/>
        <v>3.9384945655768435</v>
      </c>
      <c r="CU313" s="39">
        <f t="shared" si="164"/>
        <v>2.2091931406483094</v>
      </c>
      <c r="CV313" s="39">
        <f t="shared" si="164"/>
        <v>0.26849666666666672</v>
      </c>
      <c r="CW313" s="39">
        <f t="shared" si="164"/>
        <v>0.103563</v>
      </c>
      <c r="CX313" s="39"/>
      <c r="CY313" s="39"/>
      <c r="CZ313" s="39">
        <f t="shared" si="167"/>
        <v>9.3268012412096243E-2</v>
      </c>
      <c r="DA313" s="39">
        <v>3.7</v>
      </c>
      <c r="DB313" s="39">
        <f>BU313</f>
        <v>4.1947360746573352</v>
      </c>
      <c r="DC313" s="39">
        <f t="shared" si="168"/>
        <v>3.1710766503818411</v>
      </c>
      <c r="DD313" s="39">
        <f>CG313</f>
        <v>1.5806318681318683</v>
      </c>
      <c r="DE313" s="39">
        <f t="shared" si="209"/>
        <v>2.3811001854059065E-2</v>
      </c>
      <c r="DF313" s="37"/>
      <c r="DG313" s="39">
        <f t="shared" si="169"/>
        <v>0.57535000000000003</v>
      </c>
      <c r="DH313" s="39">
        <f t="shared" si="170"/>
        <v>2.6953816905206098</v>
      </c>
      <c r="DI313" s="37"/>
      <c r="DJ313" s="37"/>
      <c r="DK313" s="37"/>
      <c r="DL313" s="37"/>
      <c r="DM313" s="39">
        <f t="shared" si="180"/>
        <v>0.66501691691113507</v>
      </c>
      <c r="DN313" s="39"/>
      <c r="DO313" s="39">
        <f t="shared" si="181"/>
        <v>0.66501691691113507</v>
      </c>
      <c r="DP313" s="37"/>
      <c r="DQ313" s="37">
        <f>DO313/'Conversions, Sources &amp; Comments'!E311</f>
        <v>1.3870171205237891</v>
      </c>
    </row>
    <row r="314" spans="1:121">
      <c r="A314" s="42">
        <f t="shared" si="171"/>
        <v>1562</v>
      </c>
      <c r="B314" s="36"/>
      <c r="C314" s="38">
        <v>10</v>
      </c>
      <c r="D314" s="38">
        <v>11.25</v>
      </c>
      <c r="E314" s="38">
        <v>8</v>
      </c>
      <c r="F314" s="38">
        <v>5.25</v>
      </c>
      <c r="G314" s="38">
        <v>6</v>
      </c>
      <c r="H314" s="38">
        <v>4.75</v>
      </c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8">
        <v>33.6</v>
      </c>
      <c r="V314" s="36"/>
      <c r="W314" s="36"/>
      <c r="X314" s="38">
        <v>8</v>
      </c>
      <c r="Y314" s="38">
        <v>0</v>
      </c>
      <c r="Z314" s="38">
        <v>3</v>
      </c>
      <c r="AA314" s="38">
        <v>0</v>
      </c>
      <c r="AB314" s="36"/>
      <c r="AC314" s="38">
        <v>1</v>
      </c>
      <c r="AD314" s="38">
        <v>5.5</v>
      </c>
      <c r="AE314" s="38">
        <v>1</v>
      </c>
      <c r="AF314" s="38">
        <v>1.5</v>
      </c>
      <c r="AG314" s="36"/>
      <c r="AH314" s="36"/>
      <c r="AI314" s="38">
        <v>5</v>
      </c>
      <c r="AJ314" s="38">
        <v>4</v>
      </c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8">
        <v>22.5</v>
      </c>
      <c r="AW314" s="36"/>
      <c r="AX314" s="38">
        <v>13.7</v>
      </c>
      <c r="AY314" s="36"/>
      <c r="AZ314" s="38">
        <v>76</v>
      </c>
      <c r="BA314" s="36"/>
      <c r="BB314" s="38">
        <v>146.6</v>
      </c>
      <c r="BC314" s="36"/>
      <c r="BD314" s="36"/>
      <c r="BE314" s="36"/>
      <c r="BF314" s="38">
        <v>3.8</v>
      </c>
      <c r="BG314" s="59">
        <v>16.96</v>
      </c>
      <c r="BH314" s="59">
        <v>1.5</v>
      </c>
      <c r="BI314" s="59">
        <v>0.21555391056648207</v>
      </c>
      <c r="BJ314" s="59"/>
      <c r="BK314" s="38">
        <v>3.0780000000000003</v>
      </c>
      <c r="BL314" s="59">
        <v>1.56</v>
      </c>
      <c r="BM314" s="36"/>
      <c r="BN314" s="38">
        <v>60</v>
      </c>
      <c r="BO314" s="36"/>
      <c r="BP314" s="39">
        <f t="shared" si="165"/>
        <v>0.47945833333333338</v>
      </c>
      <c r="BQ314" s="37"/>
      <c r="BR314" s="39">
        <f t="shared" si="166"/>
        <v>0.22322814238180375</v>
      </c>
      <c r="BS314" s="39">
        <f t="shared" si="196"/>
        <v>1.0041742726209164</v>
      </c>
      <c r="BT314" s="39">
        <f t="shared" si="212"/>
        <v>19.924996354622344</v>
      </c>
      <c r="BU314" s="37"/>
      <c r="BV314" s="39">
        <f t="shared" si="177"/>
        <v>0.34614393552415013</v>
      </c>
      <c r="BW314" s="39">
        <f t="shared" si="161"/>
        <v>1.3590388425040865</v>
      </c>
      <c r="BX314" s="39">
        <f t="shared" si="178"/>
        <v>0.15156052016965521</v>
      </c>
      <c r="BY314" s="39">
        <f t="shared" si="198"/>
        <v>3.1710766503818411</v>
      </c>
      <c r="BZ314" s="37"/>
      <c r="CA314" s="39">
        <f t="shared" si="162"/>
        <v>3.2535389889547832</v>
      </c>
      <c r="CB314" s="39">
        <f t="shared" si="163"/>
        <v>1.6489671289049586</v>
      </c>
      <c r="CC314" s="39">
        <f t="shared" si="206"/>
        <v>0.26849666666666672</v>
      </c>
      <c r="CD314" s="37"/>
      <c r="CE314" s="39">
        <f t="shared" si="211"/>
        <v>1.07878125</v>
      </c>
      <c r="CF314" s="37"/>
      <c r="CG314" s="37"/>
      <c r="CH314" s="37"/>
      <c r="CI314" s="37"/>
      <c r="CJ314" s="37"/>
      <c r="CK314" s="39">
        <f t="shared" si="207"/>
        <v>2.9763752317573833E-2</v>
      </c>
      <c r="CL314" s="37"/>
      <c r="CM314" s="39">
        <f t="shared" si="208"/>
        <v>0.10517226967340577</v>
      </c>
      <c r="CN314" s="37"/>
      <c r="CO314" s="39">
        <f>0.063495+(0.016949+0.014096)*Wages!P312+1.22592*BR314</f>
        <v>0.54554181972536742</v>
      </c>
      <c r="CP314" s="39"/>
      <c r="CQ314" s="39">
        <f t="shared" si="201"/>
        <v>1.0041742726209164</v>
      </c>
      <c r="CR314" s="39">
        <f t="shared" si="192"/>
        <v>0.34614393552415013</v>
      </c>
      <c r="CS314" s="39">
        <f t="shared" si="192"/>
        <v>1.3590388425040865</v>
      </c>
      <c r="CT314" s="39">
        <f t="shared" si="164"/>
        <v>3.2535389889547832</v>
      </c>
      <c r="CU314" s="39">
        <f t="shared" si="164"/>
        <v>1.6489671289049586</v>
      </c>
      <c r="CV314" s="39">
        <f t="shared" si="164"/>
        <v>0.26849666666666672</v>
      </c>
      <c r="CW314" s="39">
        <v>0.14000000000000001</v>
      </c>
      <c r="CX314" s="39"/>
      <c r="CY314" s="39"/>
      <c r="CZ314" s="39">
        <f t="shared" si="167"/>
        <v>0.15156052016965521</v>
      </c>
      <c r="DA314" s="39">
        <v>3.7</v>
      </c>
      <c r="DB314" s="39">
        <v>4.4000000000000004</v>
      </c>
      <c r="DC314" s="39">
        <f t="shared" si="168"/>
        <v>3.1710766503818411</v>
      </c>
      <c r="DD314" s="39">
        <v>1.6</v>
      </c>
      <c r="DE314" s="39">
        <f t="shared" si="209"/>
        <v>2.9763752317573833E-2</v>
      </c>
      <c r="DF314" s="37"/>
      <c r="DG314" s="39">
        <f t="shared" si="169"/>
        <v>0</v>
      </c>
      <c r="DH314" s="39">
        <f t="shared" si="170"/>
        <v>3.3692271131507621</v>
      </c>
      <c r="DI314" s="37"/>
      <c r="DJ314" s="37"/>
      <c r="DK314" s="37"/>
      <c r="DL314" s="37"/>
      <c r="DM314" s="39">
        <f t="shared" si="180"/>
        <v>0.87733227454443707</v>
      </c>
      <c r="DN314" s="39"/>
      <c r="DO314" s="39">
        <f t="shared" si="181"/>
        <v>0.87733227454443707</v>
      </c>
      <c r="DP314" s="37"/>
      <c r="DQ314" s="37">
        <f>DO314/'Conversions, Sources &amp; Comments'!E312</f>
        <v>1.8298404961385668</v>
      </c>
    </row>
    <row r="315" spans="1:121">
      <c r="A315" s="42">
        <f t="shared" si="171"/>
        <v>1563</v>
      </c>
      <c r="B315" s="36"/>
      <c r="C315" s="38">
        <v>19</v>
      </c>
      <c r="D315" s="38">
        <v>9.75</v>
      </c>
      <c r="E315" s="38">
        <v>11</v>
      </c>
      <c r="F315" s="38">
        <v>6.5</v>
      </c>
      <c r="G315" s="38">
        <v>7</v>
      </c>
      <c r="H315" s="38">
        <v>0</v>
      </c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8">
        <v>33.6</v>
      </c>
      <c r="V315" s="36"/>
      <c r="W315" s="36"/>
      <c r="X315" s="38">
        <v>7</v>
      </c>
      <c r="Y315" s="38">
        <v>6</v>
      </c>
      <c r="Z315" s="38">
        <v>3</v>
      </c>
      <c r="AA315" s="38">
        <v>0.25</v>
      </c>
      <c r="AB315" s="36"/>
      <c r="AC315" s="38">
        <v>1</v>
      </c>
      <c r="AD315" s="38">
        <v>1.5</v>
      </c>
      <c r="AE315" s="38">
        <v>1</v>
      </c>
      <c r="AF315" s="38">
        <v>1.5</v>
      </c>
      <c r="AG315" s="38">
        <v>16</v>
      </c>
      <c r="AH315" s="38">
        <v>6</v>
      </c>
      <c r="AI315" s="38">
        <v>5</v>
      </c>
      <c r="AJ315" s="38">
        <v>4</v>
      </c>
      <c r="AK315" s="36"/>
      <c r="AL315" s="36"/>
      <c r="AM315" s="38">
        <v>30</v>
      </c>
      <c r="AN315" s="38">
        <v>0</v>
      </c>
      <c r="AO315" s="36"/>
      <c r="AP315" s="36"/>
      <c r="AQ315" s="36"/>
      <c r="AR315" s="36"/>
      <c r="AS315" s="36"/>
      <c r="AT315" s="36"/>
      <c r="AU315" s="36"/>
      <c r="AV315" s="38">
        <v>24</v>
      </c>
      <c r="AW315" s="36"/>
      <c r="AX315" s="38">
        <v>14.5</v>
      </c>
      <c r="AY315" s="38">
        <v>11</v>
      </c>
      <c r="AZ315" s="38">
        <v>70</v>
      </c>
      <c r="BA315" s="36"/>
      <c r="BB315" s="38">
        <v>151</v>
      </c>
      <c r="BC315" s="36"/>
      <c r="BD315" s="36"/>
      <c r="BE315" s="36"/>
      <c r="BF315" s="38">
        <v>2</v>
      </c>
      <c r="BG315" s="59">
        <v>17.649999999999999</v>
      </c>
      <c r="BH315" s="59">
        <v>1.5</v>
      </c>
      <c r="BI315" s="59">
        <v>0.17686474713147385</v>
      </c>
      <c r="BJ315" s="59"/>
      <c r="BK315" s="38">
        <v>3.3615000000000004</v>
      </c>
      <c r="BL315" s="59">
        <v>1.84</v>
      </c>
      <c r="BM315" s="38"/>
      <c r="BN315" s="38">
        <v>60</v>
      </c>
      <c r="BO315" s="36"/>
      <c r="BP315" s="39">
        <f t="shared" si="165"/>
        <v>0.47945833333333338</v>
      </c>
      <c r="BQ315" s="37"/>
      <c r="BR315" s="39">
        <f t="shared" si="166"/>
        <v>0.40436183505732454</v>
      </c>
      <c r="BS315" s="39">
        <f t="shared" si="196"/>
        <v>0.52851277506364025</v>
      </c>
      <c r="BT315" s="39">
        <f t="shared" si="212"/>
        <v>18.351970326625842</v>
      </c>
      <c r="BU315" s="39">
        <f>$BP315*12*AY315/(12*(45/36)*0.9144)</f>
        <v>4.6142096821230689</v>
      </c>
      <c r="BV315" s="39">
        <f t="shared" si="177"/>
        <v>0.3602264423349793</v>
      </c>
      <c r="BW315" s="39">
        <f t="shared" si="161"/>
        <v>1.3590388425040865</v>
      </c>
      <c r="BX315" s="39">
        <f t="shared" si="178"/>
        <v>0.12435734988279498</v>
      </c>
      <c r="BY315" s="39">
        <f t="shared" si="198"/>
        <v>3.1930980160094933</v>
      </c>
      <c r="BZ315" s="37"/>
      <c r="CA315" s="39">
        <f t="shared" si="162"/>
        <v>3.5532070537269349</v>
      </c>
      <c r="CB315" s="39">
        <f t="shared" si="163"/>
        <v>1.9449355879391816</v>
      </c>
      <c r="CC315" s="39">
        <f t="shared" si="206"/>
        <v>0.26849666666666672</v>
      </c>
      <c r="CD315" s="39">
        <f t="shared" ref="CD315:CD320" si="213">BP315*(12*AM315+AN315)/1000</f>
        <v>0.17260500000000001</v>
      </c>
      <c r="CE315" s="39">
        <f t="shared" si="211"/>
        <v>1.1507000000000001</v>
      </c>
      <c r="CF315" s="37"/>
      <c r="CG315" s="37"/>
      <c r="CH315" s="37"/>
      <c r="CI315" s="37"/>
      <c r="CJ315" s="37"/>
      <c r="CK315" s="39">
        <f t="shared" si="207"/>
        <v>2.2960608930699813E-2</v>
      </c>
      <c r="CL315" s="39">
        <f>BP315*(12*AG315+AH315)/100</f>
        <v>0.9493275000000001</v>
      </c>
      <c r="CM315" s="39">
        <f t="shared" si="208"/>
        <v>8.1132893748055879E-2</v>
      </c>
      <c r="CN315" s="37"/>
      <c r="CO315" s="39">
        <f>0.063495+(0.016949+0.014096)*Wages!P313+1.22592*BR315</f>
        <v>0.76759723625014198</v>
      </c>
      <c r="CP315" s="39"/>
      <c r="CQ315" s="39">
        <f t="shared" si="201"/>
        <v>0.52851277506364025</v>
      </c>
      <c r="CR315" s="39">
        <f t="shared" si="192"/>
        <v>0.3602264423349793</v>
      </c>
      <c r="CS315" s="39">
        <f t="shared" si="192"/>
        <v>1.3590388425040865</v>
      </c>
      <c r="CT315" s="39">
        <f t="shared" si="164"/>
        <v>3.5532070537269349</v>
      </c>
      <c r="CU315" s="39">
        <f t="shared" si="164"/>
        <v>1.9449355879391816</v>
      </c>
      <c r="CV315" s="39">
        <f t="shared" si="164"/>
        <v>0.26849666666666672</v>
      </c>
      <c r="CW315" s="39">
        <f t="shared" si="164"/>
        <v>0.17260500000000001</v>
      </c>
      <c r="CX315" s="39"/>
      <c r="CY315" s="39"/>
      <c r="CZ315" s="39">
        <f t="shared" si="167"/>
        <v>0.12435734988279498</v>
      </c>
      <c r="DA315" s="39">
        <v>3.7</v>
      </c>
      <c r="DB315" s="39">
        <f>BU315</f>
        <v>4.6142096821230689</v>
      </c>
      <c r="DC315" s="39">
        <f t="shared" si="168"/>
        <v>3.1930980160094933</v>
      </c>
      <c r="DD315" s="39">
        <v>1.6</v>
      </c>
      <c r="DE315" s="39">
        <f t="shared" si="209"/>
        <v>2.2960608930699813E-2</v>
      </c>
      <c r="DF315" s="37"/>
      <c r="DG315" s="39">
        <f t="shared" si="169"/>
        <v>0.9493275000000001</v>
      </c>
      <c r="DH315" s="39">
        <f t="shared" si="170"/>
        <v>2.5991180587163023</v>
      </c>
      <c r="DI315" s="37"/>
      <c r="DJ315" s="37"/>
      <c r="DK315" s="37"/>
      <c r="DL315" s="37"/>
      <c r="DM315" s="39">
        <f t="shared" si="180"/>
        <v>0.65941399574384885</v>
      </c>
      <c r="DN315" s="39"/>
      <c r="DO315" s="39">
        <f t="shared" si="181"/>
        <v>0.65941399574384885</v>
      </c>
      <c r="DP315" s="37"/>
      <c r="DQ315" s="37">
        <f>DO315/'Conversions, Sources &amp; Comments'!E313</f>
        <v>1.3753311808336117</v>
      </c>
    </row>
    <row r="316" spans="1:121">
      <c r="A316" s="42">
        <f t="shared" si="171"/>
        <v>1564</v>
      </c>
      <c r="B316" s="36"/>
      <c r="C316" s="38">
        <v>10</v>
      </c>
      <c r="D316" s="38">
        <v>10.5</v>
      </c>
      <c r="E316" s="38">
        <v>7</v>
      </c>
      <c r="F316" s="38">
        <v>0</v>
      </c>
      <c r="G316" s="38">
        <v>5</v>
      </c>
      <c r="H316" s="38">
        <v>11.5</v>
      </c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8">
        <v>33.6</v>
      </c>
      <c r="V316" s="36"/>
      <c r="W316" s="36"/>
      <c r="X316" s="38">
        <v>6</v>
      </c>
      <c r="Y316" s="38">
        <v>5</v>
      </c>
      <c r="Z316" s="38">
        <v>3</v>
      </c>
      <c r="AA316" s="38">
        <v>1</v>
      </c>
      <c r="AB316" s="36"/>
      <c r="AC316" s="38">
        <v>1</v>
      </c>
      <c r="AD316" s="38">
        <v>0</v>
      </c>
      <c r="AE316" s="38">
        <v>1</v>
      </c>
      <c r="AF316" s="38">
        <v>1.5</v>
      </c>
      <c r="AG316" s="36"/>
      <c r="AH316" s="36"/>
      <c r="AI316" s="38">
        <v>5</v>
      </c>
      <c r="AJ316" s="38">
        <v>0</v>
      </c>
      <c r="AK316" s="36"/>
      <c r="AL316" s="36"/>
      <c r="AM316" s="38">
        <v>27</v>
      </c>
      <c r="AN316" s="38">
        <v>0</v>
      </c>
      <c r="AO316" s="36"/>
      <c r="AP316" s="36"/>
      <c r="AQ316" s="36"/>
      <c r="AR316" s="36"/>
      <c r="AS316" s="36"/>
      <c r="AT316" s="36"/>
      <c r="AU316" s="36"/>
      <c r="AV316" s="38">
        <v>41.8</v>
      </c>
      <c r="AW316" s="36"/>
      <c r="AX316" s="38">
        <v>16</v>
      </c>
      <c r="AY316" s="38">
        <v>11</v>
      </c>
      <c r="AZ316" s="38">
        <v>70</v>
      </c>
      <c r="BA316" s="36"/>
      <c r="BB316" s="38">
        <v>156</v>
      </c>
      <c r="BC316" s="36"/>
      <c r="BD316" s="36"/>
      <c r="BE316" s="36"/>
      <c r="BF316" s="38">
        <v>2.1</v>
      </c>
      <c r="BG316" s="59">
        <v>9.08</v>
      </c>
      <c r="BH316" s="59">
        <v>1.41</v>
      </c>
      <c r="BI316" s="59">
        <v>0.22108093391434064</v>
      </c>
      <c r="BJ316" s="59"/>
      <c r="BK316" s="38">
        <v>4.0905000000000005</v>
      </c>
      <c r="BL316" s="59">
        <v>1.36</v>
      </c>
      <c r="BM316" s="38"/>
      <c r="BN316" s="38">
        <v>60</v>
      </c>
      <c r="BO316" s="36"/>
      <c r="BP316" s="39">
        <f t="shared" si="165"/>
        <v>0.47945833333333338</v>
      </c>
      <c r="BQ316" s="37"/>
      <c r="BR316" s="39">
        <f t="shared" si="166"/>
        <v>0.22195255299676486</v>
      </c>
      <c r="BS316" s="39">
        <f t="shared" si="196"/>
        <v>0.5549384138168223</v>
      </c>
      <c r="BT316" s="39">
        <f t="shared" si="212"/>
        <v>18.351970326625842</v>
      </c>
      <c r="BU316" s="39">
        <f>$BP316*12*AY316/(12*(45/36)*0.9144)</f>
        <v>4.6142096821230689</v>
      </c>
      <c r="BV316" s="39">
        <f t="shared" si="177"/>
        <v>0.1853176258584483</v>
      </c>
      <c r="BW316" s="39">
        <f t="shared" si="161"/>
        <v>1.2774965119538415</v>
      </c>
      <c r="BX316" s="39">
        <f t="shared" si="178"/>
        <v>0.15544668735349257</v>
      </c>
      <c r="BY316" s="39">
        <f t="shared" si="198"/>
        <v>3.2591621128924477</v>
      </c>
      <c r="BZ316" s="37"/>
      <c r="CA316" s="39">
        <f t="shared" si="162"/>
        <v>4.3237820774267517</v>
      </c>
      <c r="CB316" s="39">
        <f t="shared" si="163"/>
        <v>1.437561086737656</v>
      </c>
      <c r="CC316" s="39">
        <f t="shared" si="206"/>
        <v>0.26849666666666672</v>
      </c>
      <c r="CD316" s="39">
        <f t="shared" si="213"/>
        <v>0.15534450000000002</v>
      </c>
      <c r="CE316" s="39">
        <f t="shared" si="211"/>
        <v>2.0041358333333337</v>
      </c>
      <c r="CF316" s="37"/>
      <c r="CG316" s="37"/>
      <c r="CH316" s="37"/>
      <c r="CI316" s="37"/>
      <c r="CJ316" s="37"/>
      <c r="CK316" s="39">
        <f t="shared" si="207"/>
        <v>2.040943016062206E-2</v>
      </c>
      <c r="CL316" s="37"/>
      <c r="CM316" s="39">
        <f t="shared" si="208"/>
        <v>7.2118127776049687E-2</v>
      </c>
      <c r="CN316" s="37"/>
      <c r="CO316" s="39">
        <f>0.063495+(0.016949+0.014096)*Wages!P314+1.22592*BR316</f>
        <v>0.54397804918646053</v>
      </c>
      <c r="CP316" s="39"/>
      <c r="CQ316" s="39">
        <f t="shared" si="201"/>
        <v>0.5549384138168223</v>
      </c>
      <c r="CR316" s="39">
        <f t="shared" si="192"/>
        <v>0.1853176258584483</v>
      </c>
      <c r="CS316" s="39">
        <f t="shared" si="192"/>
        <v>1.2774965119538415</v>
      </c>
      <c r="CT316" s="39">
        <f t="shared" si="164"/>
        <v>4.3237820774267517</v>
      </c>
      <c r="CU316" s="39">
        <f t="shared" si="164"/>
        <v>1.437561086737656</v>
      </c>
      <c r="CV316" s="39">
        <f t="shared" si="164"/>
        <v>0.26849666666666672</v>
      </c>
      <c r="CW316" s="39">
        <f t="shared" si="164"/>
        <v>0.15534450000000002</v>
      </c>
      <c r="CX316" s="39"/>
      <c r="CY316" s="39"/>
      <c r="CZ316" s="39">
        <f t="shared" si="167"/>
        <v>0.15544668735349257</v>
      </c>
      <c r="DA316" s="39">
        <v>3.7</v>
      </c>
      <c r="DB316" s="39">
        <f>BU316</f>
        <v>4.6142096821230689</v>
      </c>
      <c r="DC316" s="39">
        <f t="shared" si="168"/>
        <v>3.2591621128924477</v>
      </c>
      <c r="DD316" s="39">
        <v>1.6</v>
      </c>
      <c r="DE316" s="39">
        <f t="shared" si="209"/>
        <v>2.040943016062206E-2</v>
      </c>
      <c r="DF316" s="37"/>
      <c r="DG316" s="39">
        <f t="shared" si="169"/>
        <v>0</v>
      </c>
      <c r="DH316" s="39">
        <f t="shared" si="170"/>
        <v>2.3103271633033802</v>
      </c>
      <c r="DI316" s="37"/>
      <c r="DJ316" s="37"/>
      <c r="DK316" s="37"/>
      <c r="DL316" s="37"/>
      <c r="DM316" s="39">
        <f t="shared" si="180"/>
        <v>0.65784450785073734</v>
      </c>
      <c r="DN316" s="39"/>
      <c r="DO316" s="39">
        <f t="shared" si="181"/>
        <v>0.65784450785073734</v>
      </c>
      <c r="DP316" s="37"/>
      <c r="DQ316" s="37">
        <f>DO316/'Conversions, Sources &amp; Comments'!E314</f>
        <v>1.3720577203804376</v>
      </c>
    </row>
    <row r="317" spans="1:121">
      <c r="A317" s="42">
        <f t="shared" si="171"/>
        <v>1565</v>
      </c>
      <c r="B317" s="36"/>
      <c r="C317" s="38">
        <v>10</v>
      </c>
      <c r="D317" s="38">
        <v>7</v>
      </c>
      <c r="E317" s="38">
        <v>8</v>
      </c>
      <c r="F317" s="38">
        <v>1</v>
      </c>
      <c r="G317" s="38">
        <v>6</v>
      </c>
      <c r="H317" s="38">
        <v>9.5</v>
      </c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8">
        <v>33.6</v>
      </c>
      <c r="V317" s="36"/>
      <c r="W317" s="36"/>
      <c r="X317" s="38">
        <v>19</v>
      </c>
      <c r="Y317" s="38">
        <v>3</v>
      </c>
      <c r="Z317" s="38">
        <v>3</v>
      </c>
      <c r="AA317" s="38">
        <v>3</v>
      </c>
      <c r="AB317" s="36"/>
      <c r="AC317" s="38">
        <v>1</v>
      </c>
      <c r="AD317" s="38">
        <v>1</v>
      </c>
      <c r="AE317" s="38">
        <v>1</v>
      </c>
      <c r="AF317" s="38">
        <v>1.5</v>
      </c>
      <c r="AG317" s="38">
        <v>15</v>
      </c>
      <c r="AH317" s="38">
        <v>2.25</v>
      </c>
      <c r="AI317" s="38">
        <v>6</v>
      </c>
      <c r="AJ317" s="38">
        <v>2.25</v>
      </c>
      <c r="AK317" s="36"/>
      <c r="AL317" s="36"/>
      <c r="AM317" s="38">
        <v>23</v>
      </c>
      <c r="AN317" s="38">
        <v>6</v>
      </c>
      <c r="AO317" s="36"/>
      <c r="AP317" s="36"/>
      <c r="AQ317" s="36"/>
      <c r="AR317" s="36"/>
      <c r="AS317" s="36"/>
      <c r="AT317" s="36"/>
      <c r="AU317" s="36"/>
      <c r="AV317" s="36"/>
      <c r="AW317" s="36"/>
      <c r="AX317" s="38">
        <v>15</v>
      </c>
      <c r="AY317" s="38">
        <v>11</v>
      </c>
      <c r="AZ317" s="38">
        <v>60</v>
      </c>
      <c r="BA317" s="36"/>
      <c r="BB317" s="38">
        <v>152</v>
      </c>
      <c r="BC317" s="36"/>
      <c r="BD317" s="36"/>
      <c r="BE317" s="36"/>
      <c r="BF317" s="38">
        <v>2.6</v>
      </c>
      <c r="BG317" s="59">
        <v>12.36</v>
      </c>
      <c r="BH317" s="59">
        <v>1.5</v>
      </c>
      <c r="BI317" s="59">
        <v>0.20726337554469509</v>
      </c>
      <c r="BJ317" s="59"/>
      <c r="BK317" s="38">
        <v>3.7260000000000004</v>
      </c>
      <c r="BL317" s="59">
        <v>1.53</v>
      </c>
      <c r="BM317" s="38"/>
      <c r="BN317" s="38">
        <v>60</v>
      </c>
      <c r="BO317" s="36"/>
      <c r="BP317" s="39">
        <f t="shared" si="165"/>
        <v>0.47945833333333338</v>
      </c>
      <c r="BQ317" s="37"/>
      <c r="BR317" s="39">
        <f t="shared" si="166"/>
        <v>0.2159998025332501</v>
      </c>
      <c r="BS317" s="39">
        <f t="shared" si="196"/>
        <v>0.6870666075827323</v>
      </c>
      <c r="BT317" s="39">
        <f t="shared" si="212"/>
        <v>15.730260279965007</v>
      </c>
      <c r="BU317" s="39">
        <f>$BP317*12*AY317/(12*(45/36)*0.9144)</f>
        <v>4.6142096821230689</v>
      </c>
      <c r="BV317" s="39">
        <f t="shared" si="177"/>
        <v>0.25226055678528864</v>
      </c>
      <c r="BW317" s="39">
        <f t="shared" si="161"/>
        <v>1.3590388425040865</v>
      </c>
      <c r="BX317" s="39">
        <f t="shared" si="178"/>
        <v>0.1457312693938998</v>
      </c>
      <c r="BY317" s="39">
        <f t="shared" si="198"/>
        <v>3.4353330379136611</v>
      </c>
      <c r="BZ317" s="37"/>
      <c r="CA317" s="39">
        <f t="shared" si="162"/>
        <v>3.9384945655768435</v>
      </c>
      <c r="CB317" s="39">
        <f t="shared" si="163"/>
        <v>1.617256222579863</v>
      </c>
      <c r="CC317" s="39">
        <f t="shared" si="206"/>
        <v>0.26849666666666672</v>
      </c>
      <c r="CD317" s="39">
        <f t="shared" si="213"/>
        <v>0.13520725000000003</v>
      </c>
      <c r="CE317" s="37"/>
      <c r="CF317" s="37"/>
      <c r="CG317" s="37"/>
      <c r="CH317" s="37"/>
      <c r="CI317" s="37"/>
      <c r="CJ317" s="37"/>
      <c r="CK317" s="39">
        <f t="shared" si="207"/>
        <v>2.2110216007340564E-2</v>
      </c>
      <c r="CL317" s="39">
        <f>BP317*(12*AG317+AH317)/100</f>
        <v>0.87381281249999998</v>
      </c>
      <c r="CM317" s="39">
        <f t="shared" si="208"/>
        <v>7.8127971757387157E-2</v>
      </c>
      <c r="CN317" s="37"/>
      <c r="CO317" s="39">
        <f>0.063495+(0.016949+0.014096)*Wages!P315+1.22592*BR317</f>
        <v>0.53668045333822856</v>
      </c>
      <c r="CP317" s="39"/>
      <c r="CQ317" s="39">
        <f t="shared" si="201"/>
        <v>0.6870666075827323</v>
      </c>
      <c r="CR317" s="39">
        <f t="shared" si="192"/>
        <v>0.25226055678528864</v>
      </c>
      <c r="CS317" s="39">
        <f t="shared" si="192"/>
        <v>1.3590388425040865</v>
      </c>
      <c r="CT317" s="39">
        <f t="shared" si="164"/>
        <v>3.9384945655768435</v>
      </c>
      <c r="CU317" s="39">
        <f t="shared" si="164"/>
        <v>1.617256222579863</v>
      </c>
      <c r="CV317" s="39">
        <f t="shared" si="164"/>
        <v>0.26849666666666672</v>
      </c>
      <c r="CW317" s="39">
        <f t="shared" si="164"/>
        <v>0.13520725000000003</v>
      </c>
      <c r="CX317" s="39"/>
      <c r="CY317" s="39"/>
      <c r="CZ317" s="39">
        <f t="shared" si="167"/>
        <v>0.1457312693938998</v>
      </c>
      <c r="DA317" s="39">
        <v>3.7</v>
      </c>
      <c r="DB317" s="39">
        <f>BU317</f>
        <v>4.6142096821230689</v>
      </c>
      <c r="DC317" s="39">
        <f t="shared" si="168"/>
        <v>3.4353330379136611</v>
      </c>
      <c r="DD317" s="39">
        <v>1.6</v>
      </c>
      <c r="DE317" s="39">
        <f t="shared" si="209"/>
        <v>2.2110216007340564E-2</v>
      </c>
      <c r="DF317" s="37"/>
      <c r="DG317" s="39">
        <f t="shared" si="169"/>
        <v>0.87381281249999998</v>
      </c>
      <c r="DH317" s="39">
        <f t="shared" si="170"/>
        <v>2.5028544269119952</v>
      </c>
      <c r="DI317" s="37"/>
      <c r="DJ317" s="37"/>
      <c r="DK317" s="37"/>
      <c r="DL317" s="37"/>
      <c r="DM317" s="39">
        <f t="shared" si="180"/>
        <v>0.72588969229481959</v>
      </c>
      <c r="DN317" s="39"/>
      <c r="DO317" s="39">
        <f t="shared" si="181"/>
        <v>0.72588969229481959</v>
      </c>
      <c r="DP317" s="37"/>
      <c r="DQ317" s="37">
        <f>DO317/'Conversions, Sources &amp; Comments'!E315</f>
        <v>1.5139786751608297</v>
      </c>
    </row>
    <row r="318" spans="1:121">
      <c r="A318" s="42">
        <f t="shared" si="171"/>
        <v>1566</v>
      </c>
      <c r="B318" s="36"/>
      <c r="C318" s="38">
        <v>16</v>
      </c>
      <c r="D318" s="38">
        <v>5.25</v>
      </c>
      <c r="E318" s="38">
        <v>7</v>
      </c>
      <c r="F318" s="38">
        <v>10</v>
      </c>
      <c r="G318" s="38">
        <v>6</v>
      </c>
      <c r="H318" s="38">
        <v>4.5</v>
      </c>
      <c r="I318" s="38">
        <v>13</v>
      </c>
      <c r="J318" s="38">
        <v>4</v>
      </c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8">
        <v>33.6</v>
      </c>
      <c r="V318" s="36"/>
      <c r="W318" s="36"/>
      <c r="X318" s="38">
        <v>7</v>
      </c>
      <c r="Y318" s="38">
        <v>11</v>
      </c>
      <c r="Z318" s="38">
        <v>3</v>
      </c>
      <c r="AA318" s="38">
        <v>2</v>
      </c>
      <c r="AB318" s="36"/>
      <c r="AC318" s="38">
        <v>1</v>
      </c>
      <c r="AD318" s="38">
        <v>0</v>
      </c>
      <c r="AE318" s="38">
        <v>1</v>
      </c>
      <c r="AF318" s="38">
        <v>1.5</v>
      </c>
      <c r="AG318" s="36"/>
      <c r="AH318" s="36"/>
      <c r="AI318" s="38">
        <v>6</v>
      </c>
      <c r="AJ318" s="38">
        <v>3</v>
      </c>
      <c r="AK318" s="36"/>
      <c r="AL318" s="36"/>
      <c r="AM318" s="38">
        <v>23</v>
      </c>
      <c r="AN318" s="38">
        <v>1</v>
      </c>
      <c r="AO318" s="36"/>
      <c r="AP318" s="36"/>
      <c r="AQ318" s="36"/>
      <c r="AR318" s="36"/>
      <c r="AS318" s="36"/>
      <c r="AT318" s="36"/>
      <c r="AU318" s="36"/>
      <c r="AV318" s="38">
        <v>29</v>
      </c>
      <c r="AW318" s="36"/>
      <c r="AX318" s="38">
        <v>13.6</v>
      </c>
      <c r="AY318" s="36"/>
      <c r="AZ318" s="38">
        <v>66.67</v>
      </c>
      <c r="BA318" s="36"/>
      <c r="BB318" s="38">
        <v>150</v>
      </c>
      <c r="BC318" s="36"/>
      <c r="BD318" s="36"/>
      <c r="BE318" s="36"/>
      <c r="BF318" s="38">
        <v>2</v>
      </c>
      <c r="BG318" s="59">
        <v>10.42</v>
      </c>
      <c r="BH318" s="59">
        <v>1.5</v>
      </c>
      <c r="BI318" s="59">
        <v>0.19344581717504952</v>
      </c>
      <c r="BJ318" s="59"/>
      <c r="BK318" s="38">
        <v>3.915</v>
      </c>
      <c r="BL318" s="59">
        <v>1.43</v>
      </c>
      <c r="BM318" s="36"/>
      <c r="BN318" s="38">
        <v>60</v>
      </c>
      <c r="BO318" s="36"/>
      <c r="BP318" s="39">
        <f t="shared" si="165"/>
        <v>0.47945833333333338</v>
      </c>
      <c r="BQ318" s="37"/>
      <c r="BR318" s="39">
        <f t="shared" si="166"/>
        <v>0.33548000826522506</v>
      </c>
      <c r="BS318" s="39">
        <f t="shared" si="196"/>
        <v>0.52851277506364025</v>
      </c>
      <c r="BT318" s="39">
        <f t="shared" si="212"/>
        <v>17.478940881087784</v>
      </c>
      <c r="BU318" s="37"/>
      <c r="BV318" s="39">
        <f t="shared" si="177"/>
        <v>0.21266626227368185</v>
      </c>
      <c r="BW318" s="39">
        <f t="shared" si="161"/>
        <v>1.3590388425040865</v>
      </c>
      <c r="BX318" s="39">
        <f t="shared" si="178"/>
        <v>0.136015851434307</v>
      </c>
      <c r="BY318" s="39">
        <f t="shared" si="198"/>
        <v>3.3472475754030544</v>
      </c>
      <c r="BZ318" s="37"/>
      <c r="CA318" s="39">
        <f t="shared" si="162"/>
        <v>4.1382732754249432</v>
      </c>
      <c r="CB318" s="39">
        <f t="shared" si="163"/>
        <v>1.5115532014962119</v>
      </c>
      <c r="CC318" s="39">
        <f t="shared" si="206"/>
        <v>0.26849666666666672</v>
      </c>
      <c r="CD318" s="39">
        <f t="shared" si="213"/>
        <v>0.13280995833333337</v>
      </c>
      <c r="CE318" s="39">
        <f t="shared" ref="CE318:CE324" si="214">$BP318*12*AV318/120</f>
        <v>1.3904291666666668</v>
      </c>
      <c r="CF318" s="37"/>
      <c r="CG318" s="37"/>
      <c r="CH318" s="37"/>
      <c r="CI318" s="37"/>
      <c r="CJ318" s="37"/>
      <c r="CK318" s="39">
        <f t="shared" si="207"/>
        <v>2.040943016062206E-2</v>
      </c>
      <c r="CL318" s="37"/>
      <c r="CM318" s="39">
        <f t="shared" si="208"/>
        <v>7.2118127776049687E-2</v>
      </c>
      <c r="CN318" s="37"/>
      <c r="CO318" s="39">
        <f>0.063495+(0.016949+0.014096)*Wages!P316+1.22592*BR318</f>
        <v>0.68315362714917138</v>
      </c>
      <c r="CP318" s="39"/>
      <c r="CQ318" s="39">
        <f t="shared" si="201"/>
        <v>0.52851277506364025</v>
      </c>
      <c r="CR318" s="39">
        <f t="shared" si="192"/>
        <v>0.21266626227368185</v>
      </c>
      <c r="CS318" s="39">
        <f t="shared" si="192"/>
        <v>1.3590388425040865</v>
      </c>
      <c r="CT318" s="39">
        <f t="shared" si="164"/>
        <v>4.1382732754249432</v>
      </c>
      <c r="CU318" s="39">
        <f t="shared" si="164"/>
        <v>1.5115532014962119</v>
      </c>
      <c r="CV318" s="39">
        <f t="shared" si="164"/>
        <v>0.26849666666666672</v>
      </c>
      <c r="CW318" s="39">
        <f t="shared" si="164"/>
        <v>0.13280995833333337</v>
      </c>
      <c r="CX318" s="39"/>
      <c r="CY318" s="39"/>
      <c r="CZ318" s="39">
        <f t="shared" si="167"/>
        <v>0.136015851434307</v>
      </c>
      <c r="DA318" s="39">
        <v>3.7</v>
      </c>
      <c r="DB318" s="39">
        <v>5.0999999999999996</v>
      </c>
      <c r="DC318" s="39">
        <f t="shared" si="168"/>
        <v>3.3472475754030544</v>
      </c>
      <c r="DD318" s="39">
        <v>1.6</v>
      </c>
      <c r="DE318" s="39">
        <f t="shared" si="209"/>
        <v>2.040943016062206E-2</v>
      </c>
      <c r="DF318" s="37"/>
      <c r="DG318" s="39">
        <f t="shared" si="169"/>
        <v>0</v>
      </c>
      <c r="DH318" s="39">
        <f t="shared" si="170"/>
        <v>2.3103271633033802</v>
      </c>
      <c r="DI318" s="37"/>
      <c r="DJ318" s="37"/>
      <c r="DK318" s="37"/>
      <c r="DL318" s="37"/>
      <c r="DM318" s="39">
        <f t="shared" si="180"/>
        <v>0.65127528581117666</v>
      </c>
      <c r="DN318" s="39"/>
      <c r="DO318" s="39">
        <f t="shared" si="181"/>
        <v>0.65127528581117666</v>
      </c>
      <c r="DP318" s="37"/>
      <c r="DQ318" s="37">
        <f>DO318/'Conversions, Sources &amp; Comments'!E316</f>
        <v>1.3583563795488172</v>
      </c>
    </row>
    <row r="319" spans="1:121">
      <c r="A319" s="42">
        <f t="shared" si="171"/>
        <v>1567</v>
      </c>
      <c r="B319" s="36"/>
      <c r="C319" s="38">
        <v>11</v>
      </c>
      <c r="D319" s="38">
        <v>1</v>
      </c>
      <c r="E319" s="38">
        <v>10</v>
      </c>
      <c r="F319" s="38">
        <v>9.5</v>
      </c>
      <c r="G319" s="38">
        <v>5</v>
      </c>
      <c r="H319" s="38">
        <v>10.75</v>
      </c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8">
        <v>33.6</v>
      </c>
      <c r="V319" s="36"/>
      <c r="W319" s="36"/>
      <c r="X319" s="38">
        <v>10</v>
      </c>
      <c r="Y319" s="38">
        <v>0</v>
      </c>
      <c r="Z319" s="38">
        <v>2</v>
      </c>
      <c r="AA319" s="38">
        <v>11</v>
      </c>
      <c r="AB319" s="36"/>
      <c r="AC319" s="38">
        <v>1</v>
      </c>
      <c r="AD319" s="38">
        <v>1.5</v>
      </c>
      <c r="AE319" s="38">
        <v>1</v>
      </c>
      <c r="AF319" s="38">
        <v>1.5</v>
      </c>
      <c r="AG319" s="36"/>
      <c r="AH319" s="36"/>
      <c r="AI319" s="38">
        <v>6</v>
      </c>
      <c r="AJ319" s="38">
        <v>10</v>
      </c>
      <c r="AK319" s="36"/>
      <c r="AL319" s="36"/>
      <c r="AM319" s="38">
        <v>18</v>
      </c>
      <c r="AN319" s="38">
        <v>9</v>
      </c>
      <c r="AO319" s="36"/>
      <c r="AP319" s="36"/>
      <c r="AQ319" s="36"/>
      <c r="AR319" s="36"/>
      <c r="AS319" s="36"/>
      <c r="AT319" s="36"/>
      <c r="AU319" s="36"/>
      <c r="AV319" s="38">
        <v>30</v>
      </c>
      <c r="AW319" s="36"/>
      <c r="AX319" s="38">
        <v>12</v>
      </c>
      <c r="AY319" s="36"/>
      <c r="AZ319" s="38">
        <v>88</v>
      </c>
      <c r="BA319" s="36"/>
      <c r="BB319" s="38">
        <v>160</v>
      </c>
      <c r="BC319" s="36"/>
      <c r="BD319" s="36"/>
      <c r="BE319" s="36"/>
      <c r="BF319" s="38">
        <v>1.9</v>
      </c>
      <c r="BG319" s="59">
        <v>16.010000000000002</v>
      </c>
      <c r="BH319" s="59">
        <v>1.5</v>
      </c>
      <c r="BI319" s="59">
        <v>0.16581070043575674</v>
      </c>
      <c r="BJ319" s="59"/>
      <c r="BK319" s="38">
        <v>3.915</v>
      </c>
      <c r="BL319" s="59">
        <v>1.49</v>
      </c>
      <c r="BM319" s="36"/>
      <c r="BN319" s="38">
        <v>60</v>
      </c>
      <c r="BO319" s="36"/>
      <c r="BP319" s="39">
        <f t="shared" si="165"/>
        <v>0.47945833333333338</v>
      </c>
      <c r="BQ319" s="37"/>
      <c r="BR319" s="39">
        <f t="shared" si="166"/>
        <v>0.22620451761356114</v>
      </c>
      <c r="BS319" s="39">
        <f t="shared" si="196"/>
        <v>0.5020871363104582</v>
      </c>
      <c r="BT319" s="39">
        <f t="shared" si="212"/>
        <v>23.071048410615344</v>
      </c>
      <c r="BU319" s="37"/>
      <c r="BV319" s="39">
        <f t="shared" si="177"/>
        <v>0.32675497687155919</v>
      </c>
      <c r="BW319" s="39">
        <f t="shared" si="161"/>
        <v>1.3590388425040865</v>
      </c>
      <c r="BX319" s="39">
        <f t="shared" si="178"/>
        <v>0.11658501551512031</v>
      </c>
      <c r="BY319" s="39">
        <f t="shared" si="198"/>
        <v>3.0829911878712344</v>
      </c>
      <c r="BZ319" s="37"/>
      <c r="CA319" s="39">
        <f t="shared" si="162"/>
        <v>4.1382732754249432</v>
      </c>
      <c r="CB319" s="39">
        <f t="shared" si="163"/>
        <v>1.5749750141464025</v>
      </c>
      <c r="CC319" s="39">
        <f t="shared" si="206"/>
        <v>0.26849666666666672</v>
      </c>
      <c r="CD319" s="39">
        <f t="shared" si="213"/>
        <v>0.10787812500000001</v>
      </c>
      <c r="CE319" s="39">
        <f t="shared" si="214"/>
        <v>1.4383750000000002</v>
      </c>
      <c r="CF319" s="37"/>
      <c r="CG319" s="37"/>
      <c r="CH319" s="37"/>
      <c r="CI319" s="37"/>
      <c r="CJ319" s="37"/>
      <c r="CK319" s="39">
        <f t="shared" si="207"/>
        <v>2.2960608930699813E-2</v>
      </c>
      <c r="CL319" s="37"/>
      <c r="CM319" s="39">
        <f t="shared" si="208"/>
        <v>8.1132893748055879E-2</v>
      </c>
      <c r="CN319" s="37"/>
      <c r="CO319" s="39">
        <f>0.063495+(0.016949+0.014096)*Wages!P317+1.22592*BR319</f>
        <v>0.54919061764948351</v>
      </c>
      <c r="CP319" s="39"/>
      <c r="CQ319" s="39">
        <f t="shared" si="201"/>
        <v>0.5020871363104582</v>
      </c>
      <c r="CR319" s="39">
        <f t="shared" si="192"/>
        <v>0.32675497687155919</v>
      </c>
      <c r="CS319" s="39">
        <f t="shared" si="192"/>
        <v>1.3590388425040865</v>
      </c>
      <c r="CT319" s="39">
        <f t="shared" si="164"/>
        <v>4.1382732754249432</v>
      </c>
      <c r="CU319" s="39">
        <f t="shared" si="164"/>
        <v>1.5749750141464025</v>
      </c>
      <c r="CV319" s="39">
        <f t="shared" si="164"/>
        <v>0.26849666666666672</v>
      </c>
      <c r="CW319" s="39">
        <f t="shared" si="164"/>
        <v>0.10787812500000001</v>
      </c>
      <c r="CX319" s="39"/>
      <c r="CY319" s="39"/>
      <c r="CZ319" s="39">
        <f t="shared" si="167"/>
        <v>0.11658501551512031</v>
      </c>
      <c r="DA319" s="39">
        <v>3.7</v>
      </c>
      <c r="DB319" s="39">
        <v>5.0999999999999996</v>
      </c>
      <c r="DC319" s="39">
        <f t="shared" si="168"/>
        <v>3.0829911878712344</v>
      </c>
      <c r="DD319" s="39">
        <v>1.6</v>
      </c>
      <c r="DE319" s="39">
        <f t="shared" si="209"/>
        <v>2.2960608930699813E-2</v>
      </c>
      <c r="DF319" s="37"/>
      <c r="DG319" s="39">
        <f t="shared" si="169"/>
        <v>0</v>
      </c>
      <c r="DH319" s="39">
        <f t="shared" si="170"/>
        <v>2.5991180587163023</v>
      </c>
      <c r="DI319" s="37"/>
      <c r="DJ319" s="37"/>
      <c r="DK319" s="37"/>
      <c r="DL319" s="37"/>
      <c r="DM319" s="39">
        <f t="shared" si="180"/>
        <v>0.64807791754750499</v>
      </c>
      <c r="DN319" s="39"/>
      <c r="DO319" s="39">
        <f t="shared" si="181"/>
        <v>0.64807791754750499</v>
      </c>
      <c r="DP319" s="37"/>
      <c r="DQ319" s="37">
        <f>DO319/'Conversions, Sources &amp; Comments'!E317</f>
        <v>1.3516876702129241</v>
      </c>
    </row>
    <row r="320" spans="1:121">
      <c r="A320" s="42">
        <f t="shared" si="171"/>
        <v>1568</v>
      </c>
      <c r="B320" s="36"/>
      <c r="C320" s="38">
        <v>11</v>
      </c>
      <c r="D320" s="38">
        <v>3.5</v>
      </c>
      <c r="E320" s="38">
        <v>11</v>
      </c>
      <c r="F320" s="38">
        <v>0</v>
      </c>
      <c r="G320" s="38">
        <v>6</v>
      </c>
      <c r="H320" s="38">
        <v>6.25</v>
      </c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8">
        <v>33.6</v>
      </c>
      <c r="V320" s="36"/>
      <c r="W320" s="36"/>
      <c r="X320" s="38">
        <v>8</v>
      </c>
      <c r="Y320" s="38">
        <v>0</v>
      </c>
      <c r="Z320" s="38">
        <v>2</v>
      </c>
      <c r="AA320" s="38">
        <v>11.25</v>
      </c>
      <c r="AB320" s="36"/>
      <c r="AC320" s="38">
        <v>1</v>
      </c>
      <c r="AD320" s="38">
        <v>2</v>
      </c>
      <c r="AE320" s="38">
        <v>1</v>
      </c>
      <c r="AF320" s="38">
        <v>1.5</v>
      </c>
      <c r="AG320" s="36"/>
      <c r="AH320" s="36"/>
      <c r="AI320" s="38">
        <v>6</v>
      </c>
      <c r="AJ320" s="38">
        <v>11</v>
      </c>
      <c r="AK320" s="36"/>
      <c r="AL320" s="36"/>
      <c r="AM320" s="38">
        <v>24</v>
      </c>
      <c r="AN320" s="38">
        <v>0</v>
      </c>
      <c r="AO320" s="36"/>
      <c r="AP320" s="36"/>
      <c r="AQ320" s="36"/>
      <c r="AR320" s="36"/>
      <c r="AS320" s="36"/>
      <c r="AT320" s="36"/>
      <c r="AU320" s="36"/>
      <c r="AV320" s="38">
        <v>24</v>
      </c>
      <c r="AW320" s="36"/>
      <c r="AX320" s="38">
        <v>11.11</v>
      </c>
      <c r="AY320" s="36"/>
      <c r="AZ320" s="38">
        <v>85.5</v>
      </c>
      <c r="BA320" s="36"/>
      <c r="BB320" s="38">
        <v>160</v>
      </c>
      <c r="BC320" s="36"/>
      <c r="BD320" s="36"/>
      <c r="BE320" s="36"/>
      <c r="BF320" s="38">
        <v>2.2000000000000002</v>
      </c>
      <c r="BG320" s="59">
        <v>11.41</v>
      </c>
      <c r="BH320" s="59">
        <v>2</v>
      </c>
      <c r="BI320" s="59">
        <v>0.16304718876182661</v>
      </c>
      <c r="BJ320" s="59"/>
      <c r="BK320" s="38">
        <v>3.915</v>
      </c>
      <c r="BL320" s="59">
        <v>1.58</v>
      </c>
      <c r="BM320" s="36"/>
      <c r="BN320" s="38">
        <v>60</v>
      </c>
      <c r="BO320" s="36"/>
      <c r="BP320" s="39">
        <f t="shared" si="165"/>
        <v>0.47945833333333338</v>
      </c>
      <c r="BQ320" s="37"/>
      <c r="BR320" s="39">
        <f t="shared" si="166"/>
        <v>0.23045648223035739</v>
      </c>
      <c r="BS320" s="39">
        <f t="shared" si="196"/>
        <v>0.58136405257000434</v>
      </c>
      <c r="BT320" s="39">
        <f t="shared" si="212"/>
        <v>22.415620898950138</v>
      </c>
      <c r="BU320" s="37"/>
      <c r="BV320" s="39">
        <f t="shared" si="177"/>
        <v>0.23287159813269773</v>
      </c>
      <c r="BW320" s="39">
        <f t="shared" si="161"/>
        <v>1.8120517900054489</v>
      </c>
      <c r="BX320" s="39">
        <f t="shared" si="178"/>
        <v>0.11464193192320103</v>
      </c>
      <c r="BY320" s="39">
        <f t="shared" si="198"/>
        <v>3.1050125534988862</v>
      </c>
      <c r="BZ320" s="37"/>
      <c r="CA320" s="39">
        <f t="shared" si="162"/>
        <v>4.1382732754249432</v>
      </c>
      <c r="CB320" s="39">
        <f t="shared" si="163"/>
        <v>1.6701077331216887</v>
      </c>
      <c r="CC320" s="39">
        <f t="shared" si="206"/>
        <v>0.26849666666666672</v>
      </c>
      <c r="CD320" s="39">
        <f t="shared" si="213"/>
        <v>0.13808400000000001</v>
      </c>
      <c r="CE320" s="39">
        <f t="shared" si="214"/>
        <v>1.1507000000000001</v>
      </c>
      <c r="CF320" s="37"/>
      <c r="CG320" s="37"/>
      <c r="CH320" s="37"/>
      <c r="CI320" s="37"/>
      <c r="CJ320" s="37"/>
      <c r="CK320" s="39">
        <f t="shared" si="207"/>
        <v>2.3811001854059065E-2</v>
      </c>
      <c r="CL320" s="37"/>
      <c r="CM320" s="39">
        <f t="shared" si="208"/>
        <v>8.4137815738724614E-2</v>
      </c>
      <c r="CN320" s="37"/>
      <c r="CO320" s="39">
        <f>0.063495+(0.016949+0.014096)*Wages!P318+1.22592*BR320</f>
        <v>0.55440318611250627</v>
      </c>
      <c r="CP320" s="39"/>
      <c r="CQ320" s="39">
        <f t="shared" si="201"/>
        <v>0.58136405257000434</v>
      </c>
      <c r="CR320" s="39">
        <f t="shared" si="192"/>
        <v>0.23287159813269773</v>
      </c>
      <c r="CS320" s="39">
        <f t="shared" si="192"/>
        <v>1.8120517900054489</v>
      </c>
      <c r="CT320" s="39">
        <f t="shared" si="164"/>
        <v>4.1382732754249432</v>
      </c>
      <c r="CU320" s="39">
        <f t="shared" si="164"/>
        <v>1.6701077331216887</v>
      </c>
      <c r="CV320" s="39">
        <f t="shared" si="164"/>
        <v>0.26849666666666672</v>
      </c>
      <c r="CW320" s="39">
        <f t="shared" si="164"/>
        <v>0.13808400000000001</v>
      </c>
      <c r="CX320" s="39"/>
      <c r="CY320" s="39"/>
      <c r="CZ320" s="39">
        <f t="shared" si="167"/>
        <v>0.11464193192320103</v>
      </c>
      <c r="DA320" s="39">
        <v>3.7</v>
      </c>
      <c r="DB320" s="39">
        <v>5.0999999999999996</v>
      </c>
      <c r="DC320" s="39">
        <f t="shared" si="168"/>
        <v>3.1050125534988862</v>
      </c>
      <c r="DD320" s="39">
        <v>1.6</v>
      </c>
      <c r="DE320" s="39">
        <f t="shared" si="209"/>
        <v>2.3811001854059065E-2</v>
      </c>
      <c r="DF320" s="37"/>
      <c r="DG320" s="39">
        <f t="shared" si="169"/>
        <v>0</v>
      </c>
      <c r="DH320" s="39">
        <f t="shared" si="170"/>
        <v>2.6953816905206098</v>
      </c>
      <c r="DI320" s="37"/>
      <c r="DJ320" s="37"/>
      <c r="DK320" s="37"/>
      <c r="DL320" s="37"/>
      <c r="DM320" s="39">
        <f t="shared" si="180"/>
        <v>0.70111356777838685</v>
      </c>
      <c r="DN320" s="39"/>
      <c r="DO320" s="39">
        <f t="shared" si="181"/>
        <v>0.70111356777838685</v>
      </c>
      <c r="DP320" s="37"/>
      <c r="DQ320" s="37">
        <f>DO320/'Conversions, Sources &amp; Comments'!E318</f>
        <v>1.4623034350118436</v>
      </c>
    </row>
    <row r="321" spans="1:121">
      <c r="A321" s="42">
        <f t="shared" si="171"/>
        <v>1569</v>
      </c>
      <c r="B321" s="36"/>
      <c r="C321" s="38">
        <v>11</v>
      </c>
      <c r="D321" s="38">
        <v>9.25</v>
      </c>
      <c r="E321" s="36"/>
      <c r="F321" s="36"/>
      <c r="G321" s="38">
        <v>6</v>
      </c>
      <c r="H321" s="38">
        <v>2.5</v>
      </c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8">
        <v>33.6</v>
      </c>
      <c r="V321" s="36"/>
      <c r="W321" s="36"/>
      <c r="X321" s="38">
        <v>8</v>
      </c>
      <c r="Y321" s="38">
        <v>0</v>
      </c>
      <c r="Z321" s="38">
        <v>3</v>
      </c>
      <c r="AA321" s="38">
        <v>0.75</v>
      </c>
      <c r="AB321" s="36"/>
      <c r="AC321" s="38">
        <v>1</v>
      </c>
      <c r="AD321" s="38">
        <v>0</v>
      </c>
      <c r="AE321" s="38">
        <v>1</v>
      </c>
      <c r="AF321" s="38">
        <v>1.5</v>
      </c>
      <c r="AG321" s="36"/>
      <c r="AH321" s="36"/>
      <c r="AI321" s="38">
        <v>8</v>
      </c>
      <c r="AJ321" s="38">
        <v>1</v>
      </c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8">
        <v>30</v>
      </c>
      <c r="AW321" s="36"/>
      <c r="AX321" s="38">
        <v>12.4</v>
      </c>
      <c r="AY321" s="38">
        <v>13.5</v>
      </c>
      <c r="AZ321" s="38">
        <v>81.5</v>
      </c>
      <c r="BA321" s="36"/>
      <c r="BB321" s="38">
        <v>220</v>
      </c>
      <c r="BC321" s="36"/>
      <c r="BD321" s="36"/>
      <c r="BE321" s="36"/>
      <c r="BF321" s="38">
        <v>1.9</v>
      </c>
      <c r="BG321" s="59">
        <v>12.01</v>
      </c>
      <c r="BH321" s="59">
        <v>1.5</v>
      </c>
      <c r="BI321" s="59">
        <v>0.16028367708789817</v>
      </c>
      <c r="BJ321" s="59"/>
      <c r="BK321" s="38">
        <v>4.2255000000000003</v>
      </c>
      <c r="BL321" s="59">
        <v>1.34</v>
      </c>
      <c r="BM321" s="38"/>
      <c r="BN321" s="38">
        <v>60</v>
      </c>
      <c r="BO321" s="36"/>
      <c r="BP321" s="39">
        <f t="shared" si="165"/>
        <v>0.47945833333333338</v>
      </c>
      <c r="BQ321" s="37"/>
      <c r="BR321" s="39">
        <f t="shared" si="166"/>
        <v>0.24023600084898877</v>
      </c>
      <c r="BS321" s="39">
        <f t="shared" si="196"/>
        <v>0.5020871363104582</v>
      </c>
      <c r="BT321" s="39">
        <f t="shared" si="212"/>
        <v>21.366936880285802</v>
      </c>
      <c r="BU321" s="39">
        <f>$BP321*12*AY321/(12*(45/36)*0.9144)</f>
        <v>5.6628937007874018</v>
      </c>
      <c r="BV321" s="39">
        <f t="shared" si="177"/>
        <v>0.24511725622907091</v>
      </c>
      <c r="BW321" s="39">
        <f t="shared" si="161"/>
        <v>1.3590388425040865</v>
      </c>
      <c r="BX321" s="39">
        <f t="shared" si="178"/>
        <v>0.11269884833128296</v>
      </c>
      <c r="BY321" s="39">
        <f t="shared" si="198"/>
        <v>3.2371407472647964</v>
      </c>
      <c r="BZ321" s="37"/>
      <c r="CA321" s="39">
        <f t="shared" si="162"/>
        <v>4.4664811558896815</v>
      </c>
      <c r="CB321" s="39">
        <f t="shared" si="163"/>
        <v>1.4164204825209259</v>
      </c>
      <c r="CC321" s="39">
        <f t="shared" si="206"/>
        <v>0.26849666666666672</v>
      </c>
      <c r="CD321" s="37"/>
      <c r="CE321" s="39">
        <f t="shared" si="214"/>
        <v>1.4383750000000002</v>
      </c>
      <c r="CF321" s="37"/>
      <c r="CG321" s="37"/>
      <c r="CH321" s="37"/>
      <c r="CI321" s="37"/>
      <c r="CJ321" s="37"/>
      <c r="CK321" s="39">
        <f t="shared" si="207"/>
        <v>2.040943016062206E-2</v>
      </c>
      <c r="CL321" s="37"/>
      <c r="CM321" s="39">
        <f t="shared" si="208"/>
        <v>7.2118127776049687E-2</v>
      </c>
      <c r="CN321" s="37"/>
      <c r="CO321" s="39">
        <f>0.063495+(0.016949+0.014096)*Wages!P319+1.22592*BR321</f>
        <v>0.5663920935774589</v>
      </c>
      <c r="CP321" s="39"/>
      <c r="CQ321" s="39">
        <f t="shared" si="201"/>
        <v>0.5020871363104582</v>
      </c>
      <c r="CR321" s="39">
        <f t="shared" si="192"/>
        <v>0.24511725622907091</v>
      </c>
      <c r="CS321" s="39">
        <f t="shared" si="192"/>
        <v>1.3590388425040865</v>
      </c>
      <c r="CT321" s="39">
        <f t="shared" si="164"/>
        <v>4.4664811558896815</v>
      </c>
      <c r="CU321" s="39">
        <f t="shared" si="164"/>
        <v>1.4164204825209259</v>
      </c>
      <c r="CV321" s="39">
        <f t="shared" si="164"/>
        <v>0.26849666666666672</v>
      </c>
      <c r="CW321" s="39">
        <v>0.15</v>
      </c>
      <c r="CX321" s="39"/>
      <c r="CY321" s="39"/>
      <c r="CZ321" s="39">
        <f t="shared" si="167"/>
        <v>0.11269884833128296</v>
      </c>
      <c r="DA321" s="39">
        <v>3.7</v>
      </c>
      <c r="DB321" s="39">
        <f>BU321</f>
        <v>5.6628937007874018</v>
      </c>
      <c r="DC321" s="39">
        <f t="shared" si="168"/>
        <v>3.2371407472647964</v>
      </c>
      <c r="DD321" s="39">
        <v>1.6</v>
      </c>
      <c r="DE321" s="39">
        <f t="shared" si="209"/>
        <v>2.040943016062206E-2</v>
      </c>
      <c r="DF321" s="37"/>
      <c r="DG321" s="39">
        <f t="shared" si="169"/>
        <v>0</v>
      </c>
      <c r="DH321" s="39">
        <f t="shared" si="170"/>
        <v>2.3103271633033802</v>
      </c>
      <c r="DI321" s="37"/>
      <c r="DJ321" s="37"/>
      <c r="DK321" s="37"/>
      <c r="DL321" s="37"/>
      <c r="DM321" s="39">
        <f t="shared" si="180"/>
        <v>0.64253694186932619</v>
      </c>
      <c r="DN321" s="39"/>
      <c r="DO321" s="39">
        <f t="shared" si="181"/>
        <v>0.64253694186932619</v>
      </c>
      <c r="DP321" s="37"/>
      <c r="DQ321" s="37">
        <f>DO321/'Conversions, Sources &amp; Comments'!E319</f>
        <v>1.3401309294224235</v>
      </c>
    </row>
    <row r="322" spans="1:121">
      <c r="A322" s="42">
        <f t="shared" si="171"/>
        <v>1570</v>
      </c>
      <c r="B322" s="36"/>
      <c r="C322" s="38">
        <v>9</v>
      </c>
      <c r="D322" s="38">
        <v>10</v>
      </c>
      <c r="E322" s="36"/>
      <c r="F322" s="36"/>
      <c r="G322" s="38">
        <v>5</v>
      </c>
      <c r="H322" s="38">
        <v>5</v>
      </c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8">
        <v>33.6</v>
      </c>
      <c r="V322" s="36"/>
      <c r="W322" s="36"/>
      <c r="X322" s="38">
        <v>8</v>
      </c>
      <c r="Y322" s="38">
        <v>9.5</v>
      </c>
      <c r="Z322" s="38">
        <v>3</v>
      </c>
      <c r="AA322" s="38">
        <v>0.25</v>
      </c>
      <c r="AB322" s="36"/>
      <c r="AC322" s="38">
        <v>1</v>
      </c>
      <c r="AD322" s="38">
        <v>3.5</v>
      </c>
      <c r="AE322" s="38">
        <v>1</v>
      </c>
      <c r="AF322" s="38">
        <v>1.5</v>
      </c>
      <c r="AG322" s="38">
        <v>13</v>
      </c>
      <c r="AH322" s="38">
        <v>11</v>
      </c>
      <c r="AI322" s="36"/>
      <c r="AJ322" s="36"/>
      <c r="AK322" s="36"/>
      <c r="AL322" s="36"/>
      <c r="AM322" s="38">
        <v>28</v>
      </c>
      <c r="AN322" s="38">
        <v>6</v>
      </c>
      <c r="AO322" s="38">
        <v>4</v>
      </c>
      <c r="AP322" s="38">
        <v>0</v>
      </c>
      <c r="AQ322" s="36"/>
      <c r="AR322" s="36"/>
      <c r="AS322" s="36"/>
      <c r="AT322" s="36"/>
      <c r="AU322" s="36"/>
      <c r="AV322" s="38">
        <v>24</v>
      </c>
      <c r="AW322" s="36"/>
      <c r="AX322" s="38">
        <v>13</v>
      </c>
      <c r="AY322" s="38">
        <v>11</v>
      </c>
      <c r="AZ322" s="38">
        <v>73.33</v>
      </c>
      <c r="BA322" s="36"/>
      <c r="BB322" s="38">
        <v>174</v>
      </c>
      <c r="BC322" s="36"/>
      <c r="BD322" s="36"/>
      <c r="BE322" s="36"/>
      <c r="BF322" s="38">
        <v>2</v>
      </c>
      <c r="BG322" s="59">
        <v>9.4700000000000006</v>
      </c>
      <c r="BH322" s="59">
        <v>1.41</v>
      </c>
      <c r="BI322" s="59">
        <v>0.12021275781592237</v>
      </c>
      <c r="BJ322" s="59"/>
      <c r="BK322" s="38">
        <v>4.05</v>
      </c>
      <c r="BL322" s="59">
        <v>1.49</v>
      </c>
      <c r="BM322" s="38"/>
      <c r="BN322" s="38">
        <v>60</v>
      </c>
      <c r="BO322" s="36"/>
      <c r="BP322" s="39">
        <f t="shared" si="165"/>
        <v>0.47945833333333338</v>
      </c>
      <c r="BQ322" s="37"/>
      <c r="BR322" s="39">
        <f t="shared" si="166"/>
        <v>0.20069272991278356</v>
      </c>
      <c r="BS322" s="39">
        <f t="shared" si="196"/>
        <v>0.52851277506364025</v>
      </c>
      <c r="BT322" s="39">
        <f t="shared" si="212"/>
        <v>19.224999772163901</v>
      </c>
      <c r="BU322" s="39">
        <f>$BP322*12*AY322/(12*(45/36)*0.9144)</f>
        <v>4.6142096821230689</v>
      </c>
      <c r="BV322" s="39">
        <f t="shared" si="177"/>
        <v>0.19327730362109091</v>
      </c>
      <c r="BW322" s="39">
        <f t="shared" si="161"/>
        <v>1.2774965119538415</v>
      </c>
      <c r="BX322" s="39">
        <f t="shared" si="178"/>
        <v>8.4524136248461335E-2</v>
      </c>
      <c r="BY322" s="39">
        <f t="shared" si="198"/>
        <v>3.1930980160094933</v>
      </c>
      <c r="BZ322" s="37"/>
      <c r="CA322" s="39">
        <f t="shared" si="162"/>
        <v>4.280972353887873</v>
      </c>
      <c r="CB322" s="39">
        <f t="shared" si="163"/>
        <v>1.5749750141464025</v>
      </c>
      <c r="CC322" s="39">
        <f t="shared" si="206"/>
        <v>0.26849666666666672</v>
      </c>
      <c r="CD322" s="39">
        <f t="shared" ref="CD322:CD329" si="215">BP322*(12*AM322+AN322)/1000</f>
        <v>0.16397475</v>
      </c>
      <c r="CE322" s="39">
        <f t="shared" si="214"/>
        <v>1.1507000000000001</v>
      </c>
      <c r="CF322" s="37"/>
      <c r="CG322" s="39">
        <f>BP322*(12*AO322+AP322)/4.55</f>
        <v>5.0580219780219791</v>
      </c>
      <c r="CH322" s="37"/>
      <c r="CI322" s="37"/>
      <c r="CJ322" s="37"/>
      <c r="CK322" s="39">
        <f t="shared" si="207"/>
        <v>2.6362180624136825E-2</v>
      </c>
      <c r="CL322" s="39">
        <f>BP322*(12*AG322+AH322)/100</f>
        <v>0.80069541666666677</v>
      </c>
      <c r="CM322" s="39">
        <f t="shared" si="208"/>
        <v>9.3152581710730833E-2</v>
      </c>
      <c r="CN322" s="37"/>
      <c r="CO322" s="39">
        <f>0.063495+(0.016949+0.014096)*Wages!P320+1.22592*BR322</f>
        <v>0.51791520687134618</v>
      </c>
      <c r="CP322" s="39"/>
      <c r="CQ322" s="39">
        <f t="shared" si="201"/>
        <v>0.52851277506364025</v>
      </c>
      <c r="CR322" s="39">
        <f t="shared" si="192"/>
        <v>0.19327730362109091</v>
      </c>
      <c r="CS322" s="39">
        <f t="shared" si="192"/>
        <v>1.2774965119538415</v>
      </c>
      <c r="CT322" s="39">
        <f t="shared" si="164"/>
        <v>4.280972353887873</v>
      </c>
      <c r="CU322" s="39">
        <f t="shared" si="164"/>
        <v>1.5749750141464025</v>
      </c>
      <c r="CV322" s="39">
        <f t="shared" si="164"/>
        <v>0.26849666666666672</v>
      </c>
      <c r="CW322" s="39">
        <f t="shared" si="164"/>
        <v>0.16397475</v>
      </c>
      <c r="CX322" s="39"/>
      <c r="CY322" s="39"/>
      <c r="CZ322" s="39">
        <f t="shared" si="167"/>
        <v>8.4524136248461335E-2</v>
      </c>
      <c r="DA322" s="39">
        <v>3.7</v>
      </c>
      <c r="DB322" s="39">
        <f>BU322</f>
        <v>4.6142096821230689</v>
      </c>
      <c r="DC322" s="39">
        <f t="shared" si="168"/>
        <v>3.1930980160094933</v>
      </c>
      <c r="DD322" s="39">
        <f>CG322</f>
        <v>5.0580219780219791</v>
      </c>
      <c r="DE322" s="39">
        <f t="shared" si="209"/>
        <v>2.6362180624136825E-2</v>
      </c>
      <c r="DF322" s="37"/>
      <c r="DG322" s="39">
        <f t="shared" si="169"/>
        <v>0.80069541666666677</v>
      </c>
      <c r="DH322" s="39">
        <f t="shared" si="170"/>
        <v>2.9841725859335329</v>
      </c>
      <c r="DI322" s="37"/>
      <c r="DJ322" s="37"/>
      <c r="DK322" s="37"/>
      <c r="DL322" s="37"/>
      <c r="DM322" s="39">
        <f t="shared" si="180"/>
        <v>0.64670152801902925</v>
      </c>
      <c r="DN322" s="39"/>
      <c r="DO322" s="39">
        <f t="shared" si="181"/>
        <v>0.64670152801902925</v>
      </c>
      <c r="DP322" s="37"/>
      <c r="DQ322" s="37">
        <f>DO322/'Conversions, Sources &amp; Comments'!E320</f>
        <v>1.3488169525034066</v>
      </c>
    </row>
    <row r="323" spans="1:121">
      <c r="A323" s="42">
        <f t="shared" si="171"/>
        <v>1571</v>
      </c>
      <c r="B323" s="36"/>
      <c r="C323" s="38">
        <v>12</v>
      </c>
      <c r="D323" s="38">
        <v>5.5</v>
      </c>
      <c r="E323" s="38">
        <v>8</v>
      </c>
      <c r="F323" s="38">
        <v>0</v>
      </c>
      <c r="G323" s="38">
        <v>5</v>
      </c>
      <c r="H323" s="38">
        <v>7</v>
      </c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8">
        <v>28.5</v>
      </c>
      <c r="V323" s="36"/>
      <c r="W323" s="36"/>
      <c r="X323" s="38">
        <v>11</v>
      </c>
      <c r="Y323" s="38">
        <v>3</v>
      </c>
      <c r="Z323" s="38">
        <v>2</v>
      </c>
      <c r="AA323" s="38">
        <v>11.25</v>
      </c>
      <c r="AB323" s="36"/>
      <c r="AC323" s="38">
        <v>1</v>
      </c>
      <c r="AD323" s="38">
        <v>3.5</v>
      </c>
      <c r="AE323" s="38">
        <v>1</v>
      </c>
      <c r="AF323" s="38">
        <v>3.75</v>
      </c>
      <c r="AG323" s="38">
        <v>15</v>
      </c>
      <c r="AH323" s="38">
        <v>6</v>
      </c>
      <c r="AI323" s="38">
        <v>5</v>
      </c>
      <c r="AJ323" s="38">
        <v>10.5</v>
      </c>
      <c r="AK323" s="36"/>
      <c r="AL323" s="36"/>
      <c r="AM323" s="38">
        <v>19</v>
      </c>
      <c r="AN323" s="38">
        <v>3</v>
      </c>
      <c r="AO323" s="38">
        <v>4</v>
      </c>
      <c r="AP323" s="38">
        <v>0</v>
      </c>
      <c r="AQ323" s="36"/>
      <c r="AR323" s="36"/>
      <c r="AS323" s="36"/>
      <c r="AT323" s="36"/>
      <c r="AU323" s="36"/>
      <c r="AV323" s="38">
        <v>80</v>
      </c>
      <c r="AW323" s="36"/>
      <c r="AX323" s="38">
        <v>14.3</v>
      </c>
      <c r="AY323" s="38">
        <v>11</v>
      </c>
      <c r="AZ323" s="38">
        <v>80</v>
      </c>
      <c r="BA323" s="36"/>
      <c r="BB323" s="36"/>
      <c r="BC323" s="36"/>
      <c r="BD323" s="36"/>
      <c r="BE323" s="36"/>
      <c r="BF323" s="38">
        <v>2.4</v>
      </c>
      <c r="BG323" s="59">
        <v>9.51</v>
      </c>
      <c r="BH323" s="59">
        <v>1.41</v>
      </c>
      <c r="BI323" s="59">
        <v>0.13264856034860539</v>
      </c>
      <c r="BJ323" s="59"/>
      <c r="BK323" s="38">
        <v>3.7260000000000004</v>
      </c>
      <c r="BL323" s="59">
        <v>1.43</v>
      </c>
      <c r="BM323" s="38"/>
      <c r="BN323" s="38">
        <v>60</v>
      </c>
      <c r="BO323" s="36"/>
      <c r="BP323" s="39">
        <f t="shared" si="165"/>
        <v>0.47945833333333338</v>
      </c>
      <c r="BQ323" s="37"/>
      <c r="BR323" s="39">
        <f t="shared" si="166"/>
        <v>0.25426748408441646</v>
      </c>
      <c r="BS323" s="39">
        <f t="shared" si="196"/>
        <v>0.63421533007636821</v>
      </c>
      <c r="BT323" s="39">
        <f t="shared" si="212"/>
        <v>20.973680373286676</v>
      </c>
      <c r="BU323" s="39">
        <f>$BP323*12*AY323/(12*(45/36)*0.9144)</f>
        <v>4.6142096821230689</v>
      </c>
      <c r="BV323" s="39">
        <f t="shared" si="177"/>
        <v>0.19409368082751577</v>
      </c>
      <c r="BW323" s="39">
        <f t="shared" si="161"/>
        <v>1.2774965119538415</v>
      </c>
      <c r="BX323" s="39">
        <f t="shared" si="178"/>
        <v>9.3268012412096243E-2</v>
      </c>
      <c r="BY323" s="39">
        <f t="shared" si="198"/>
        <v>3.1050125534988862</v>
      </c>
      <c r="BZ323" s="37"/>
      <c r="CA323" s="39">
        <f t="shared" si="162"/>
        <v>3.9384945655768435</v>
      </c>
      <c r="CB323" s="39">
        <f t="shared" si="163"/>
        <v>1.5115532014962119</v>
      </c>
      <c r="CC323" s="39">
        <f t="shared" si="206"/>
        <v>0.22774270833333335</v>
      </c>
      <c r="CD323" s="39">
        <f t="shared" si="215"/>
        <v>0.11075487500000002</v>
      </c>
      <c r="CE323" s="39">
        <f t="shared" si="214"/>
        <v>3.8356666666666674</v>
      </c>
      <c r="CF323" s="37"/>
      <c r="CG323" s="39">
        <f>BP323*(12*AO323+AP323)/4.55</f>
        <v>5.0580219780219791</v>
      </c>
      <c r="CH323" s="37"/>
      <c r="CI323" s="37"/>
      <c r="CJ323" s="37"/>
      <c r="CK323" s="39">
        <f t="shared" si="207"/>
        <v>2.6362180624136825E-2</v>
      </c>
      <c r="CL323" s="39">
        <f>BP323*(12*AG323+AH323)/100</f>
        <v>0.8917925000000001</v>
      </c>
      <c r="CM323" s="39">
        <f t="shared" si="208"/>
        <v>9.3152581710730833E-2</v>
      </c>
      <c r="CN323" s="37"/>
      <c r="CO323" s="39">
        <f>0.063495+(0.016949+0.014096)*Wages!P321+1.22592*BR323</f>
        <v>0.5835935695054344</v>
      </c>
      <c r="CP323" s="39"/>
      <c r="CQ323" s="39">
        <f t="shared" si="201"/>
        <v>0.63421533007636821</v>
      </c>
      <c r="CR323" s="39">
        <f t="shared" si="192"/>
        <v>0.19409368082751577</v>
      </c>
      <c r="CS323" s="39">
        <f t="shared" si="192"/>
        <v>1.2774965119538415</v>
      </c>
      <c r="CT323" s="39">
        <f t="shared" si="164"/>
        <v>3.9384945655768435</v>
      </c>
      <c r="CU323" s="39">
        <f t="shared" si="164"/>
        <v>1.5115532014962119</v>
      </c>
      <c r="CV323" s="39">
        <f t="shared" si="164"/>
        <v>0.22774270833333335</v>
      </c>
      <c r="CW323" s="39">
        <f t="shared" si="164"/>
        <v>0.11075487500000002</v>
      </c>
      <c r="CX323" s="39"/>
      <c r="CY323" s="39"/>
      <c r="CZ323" s="39">
        <f t="shared" si="167"/>
        <v>9.3268012412096243E-2</v>
      </c>
      <c r="DA323" s="39">
        <v>3.7</v>
      </c>
      <c r="DB323" s="39">
        <f>BU323</f>
        <v>4.6142096821230689</v>
      </c>
      <c r="DC323" s="39">
        <f t="shared" si="168"/>
        <v>3.1050125534988862</v>
      </c>
      <c r="DD323" s="39">
        <f>CG323</f>
        <v>5.0580219780219791</v>
      </c>
      <c r="DE323" s="39">
        <f t="shared" si="209"/>
        <v>2.6362180624136825E-2</v>
      </c>
      <c r="DF323" s="37"/>
      <c r="DG323" s="39">
        <f t="shared" si="169"/>
        <v>0.8917925000000001</v>
      </c>
      <c r="DH323" s="39">
        <f t="shared" si="170"/>
        <v>2.9841725859335329</v>
      </c>
      <c r="DI323" s="37"/>
      <c r="DJ323" s="37"/>
      <c r="DK323" s="37"/>
      <c r="DL323" s="37"/>
      <c r="DM323" s="39">
        <f t="shared" si="180"/>
        <v>0.68626009045360159</v>
      </c>
      <c r="DN323" s="39"/>
      <c r="DO323" s="39">
        <f t="shared" si="181"/>
        <v>0.68626009045360159</v>
      </c>
      <c r="DP323" s="37"/>
      <c r="DQ323" s="37">
        <f>DO323/'Conversions, Sources &amp; Comments'!E321</f>
        <v>1.4313237308496078</v>
      </c>
    </row>
    <row r="324" spans="1:121">
      <c r="A324" s="42">
        <f t="shared" si="171"/>
        <v>1572</v>
      </c>
      <c r="B324" s="36"/>
      <c r="C324" s="38">
        <v>13</v>
      </c>
      <c r="D324" s="38">
        <v>6.75</v>
      </c>
      <c r="E324" s="38">
        <v>9</v>
      </c>
      <c r="F324" s="38">
        <v>4</v>
      </c>
      <c r="G324" s="38">
        <v>5</v>
      </c>
      <c r="H324" s="38">
        <v>5.25</v>
      </c>
      <c r="I324" s="38">
        <v>12</v>
      </c>
      <c r="J324" s="38">
        <v>0</v>
      </c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8">
        <v>28.5</v>
      </c>
      <c r="V324" s="36"/>
      <c r="W324" s="36"/>
      <c r="X324" s="38">
        <v>8</v>
      </c>
      <c r="Y324" s="38">
        <v>7</v>
      </c>
      <c r="Z324" s="38">
        <v>2</v>
      </c>
      <c r="AA324" s="38">
        <v>8.25</v>
      </c>
      <c r="AB324" s="36"/>
      <c r="AC324" s="38">
        <v>1</v>
      </c>
      <c r="AD324" s="38">
        <v>4</v>
      </c>
      <c r="AE324" s="38">
        <v>1</v>
      </c>
      <c r="AF324" s="38">
        <v>3.75</v>
      </c>
      <c r="AG324" s="36"/>
      <c r="AH324" s="36"/>
      <c r="AI324" s="38">
        <v>5</v>
      </c>
      <c r="AJ324" s="38">
        <v>10.5</v>
      </c>
      <c r="AK324" s="36"/>
      <c r="AL324" s="36"/>
      <c r="AM324" s="38">
        <v>18</v>
      </c>
      <c r="AN324" s="38">
        <v>0</v>
      </c>
      <c r="AO324" s="36"/>
      <c r="AP324" s="36"/>
      <c r="AQ324" s="36"/>
      <c r="AR324" s="36"/>
      <c r="AS324" s="36"/>
      <c r="AT324" s="36"/>
      <c r="AU324" s="36"/>
      <c r="AV324" s="38">
        <v>30</v>
      </c>
      <c r="AW324" s="36"/>
      <c r="AX324" s="38">
        <v>19.100000000000001</v>
      </c>
      <c r="AY324" s="36"/>
      <c r="AZ324" s="38">
        <v>80</v>
      </c>
      <c r="BA324" s="36"/>
      <c r="BB324" s="36"/>
      <c r="BC324" s="36"/>
      <c r="BD324" s="36"/>
      <c r="BE324" s="36"/>
      <c r="BF324" s="38">
        <v>2.8</v>
      </c>
      <c r="BG324" s="59">
        <v>10.68</v>
      </c>
      <c r="BH324" s="59">
        <v>1.41</v>
      </c>
      <c r="BI324" s="59">
        <v>0.13817558369646396</v>
      </c>
      <c r="BJ324" s="59"/>
      <c r="BK324" s="38">
        <v>3.8475000000000001</v>
      </c>
      <c r="BL324" s="59">
        <v>1.31</v>
      </c>
      <c r="BM324" s="36"/>
      <c r="BN324" s="38">
        <v>60</v>
      </c>
      <c r="BO324" s="36"/>
      <c r="BP324" s="39">
        <f t="shared" si="165"/>
        <v>0.47945833333333338</v>
      </c>
      <c r="BQ324" s="37"/>
      <c r="BR324" s="39">
        <f t="shared" si="166"/>
        <v>0.27680289655343665</v>
      </c>
      <c r="BS324" s="39">
        <f t="shared" si="196"/>
        <v>0.73991788508909628</v>
      </c>
      <c r="BT324" s="39">
        <f t="shared" si="212"/>
        <v>20.973680373286676</v>
      </c>
      <c r="BU324" s="37"/>
      <c r="BV324" s="39">
        <f t="shared" si="177"/>
        <v>0.21797271411544356</v>
      </c>
      <c r="BW324" s="39">
        <f t="shared" si="161"/>
        <v>1.2774965119538415</v>
      </c>
      <c r="BX324" s="39">
        <f t="shared" si="178"/>
        <v>9.7154179595933601E-2</v>
      </c>
      <c r="BY324" s="39">
        <f t="shared" si="198"/>
        <v>2.8407561659670661</v>
      </c>
      <c r="BZ324" s="37"/>
      <c r="CA324" s="39">
        <f t="shared" si="162"/>
        <v>4.0669237361934796</v>
      </c>
      <c r="CB324" s="39">
        <f t="shared" si="163"/>
        <v>1.3847095761958306</v>
      </c>
      <c r="CC324" s="39">
        <f t="shared" si="206"/>
        <v>0.22774270833333335</v>
      </c>
      <c r="CD324" s="39">
        <f t="shared" si="215"/>
        <v>0.103563</v>
      </c>
      <c r="CE324" s="39">
        <f t="shared" si="214"/>
        <v>1.4383750000000002</v>
      </c>
      <c r="CF324" s="37"/>
      <c r="CG324" s="37"/>
      <c r="CH324" s="37"/>
      <c r="CI324" s="37"/>
      <c r="CJ324" s="37"/>
      <c r="CK324" s="39">
        <f t="shared" si="207"/>
        <v>2.7212573547496077E-2</v>
      </c>
      <c r="CL324" s="37"/>
      <c r="CM324" s="39">
        <f t="shared" si="208"/>
        <v>9.6157503701399569E-2</v>
      </c>
      <c r="CN324" s="37"/>
      <c r="CO324" s="39">
        <f>0.063495+(0.016949+0.014096)*Wages!P322+1.22592*BR324</f>
        <v>0.61122018235945563</v>
      </c>
      <c r="CP324" s="39"/>
      <c r="CQ324" s="39">
        <f t="shared" si="201"/>
        <v>0.73991788508909628</v>
      </c>
      <c r="CR324" s="39">
        <f t="shared" si="192"/>
        <v>0.21797271411544356</v>
      </c>
      <c r="CS324" s="39">
        <f t="shared" si="192"/>
        <v>1.2774965119538415</v>
      </c>
      <c r="CT324" s="39">
        <f t="shared" si="164"/>
        <v>4.0669237361934796</v>
      </c>
      <c r="CU324" s="39">
        <f t="shared" si="164"/>
        <v>1.3847095761958306</v>
      </c>
      <c r="CV324" s="39">
        <f t="shared" si="164"/>
        <v>0.22774270833333335</v>
      </c>
      <c r="CW324" s="39">
        <f t="shared" si="164"/>
        <v>0.103563</v>
      </c>
      <c r="CX324" s="39"/>
      <c r="CY324" s="39"/>
      <c r="CZ324" s="39">
        <f t="shared" si="167"/>
        <v>9.7154179595933601E-2</v>
      </c>
      <c r="DA324" s="39">
        <v>3.7</v>
      </c>
      <c r="DB324" s="39">
        <v>4.614209682123068</v>
      </c>
      <c r="DC324" s="39">
        <f t="shared" si="168"/>
        <v>2.8407561659670661</v>
      </c>
      <c r="DD324" s="39">
        <v>4</v>
      </c>
      <c r="DE324" s="39">
        <f t="shared" si="209"/>
        <v>2.7212573547496077E-2</v>
      </c>
      <c r="DF324" s="37"/>
      <c r="DG324" s="39">
        <f t="shared" si="169"/>
        <v>0</v>
      </c>
      <c r="DH324" s="39">
        <f t="shared" si="170"/>
        <v>3.0804362177378399</v>
      </c>
      <c r="DI324" s="37"/>
      <c r="DJ324" s="37"/>
      <c r="DK324" s="37"/>
      <c r="DL324" s="37"/>
      <c r="DM324" s="39">
        <f t="shared" si="180"/>
        <v>0.73021900479817137</v>
      </c>
      <c r="DN324" s="39"/>
      <c r="DO324" s="39">
        <f t="shared" si="181"/>
        <v>0.73021900479817137</v>
      </c>
      <c r="DP324" s="37"/>
      <c r="DQ324" s="37">
        <f>DO324/'Conversions, Sources &amp; Comments'!E322</f>
        <v>1.5230082658517521</v>
      </c>
    </row>
    <row r="325" spans="1:121">
      <c r="A325" s="42">
        <f t="shared" si="171"/>
        <v>1573</v>
      </c>
      <c r="B325" s="36"/>
      <c r="C325" s="38">
        <v>26</v>
      </c>
      <c r="D325" s="38">
        <v>3.75</v>
      </c>
      <c r="E325" s="38">
        <v>11</v>
      </c>
      <c r="F325" s="38">
        <v>8</v>
      </c>
      <c r="G325" s="38">
        <v>7</v>
      </c>
      <c r="H325" s="38">
        <v>0</v>
      </c>
      <c r="I325" s="38">
        <v>18</v>
      </c>
      <c r="J325" s="38">
        <v>0</v>
      </c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8">
        <v>28.5</v>
      </c>
      <c r="V325" s="36"/>
      <c r="W325" s="36"/>
      <c r="X325" s="38">
        <v>10</v>
      </c>
      <c r="Y325" s="38">
        <v>9</v>
      </c>
      <c r="Z325" s="38">
        <v>2</v>
      </c>
      <c r="AA325" s="38">
        <v>11.25</v>
      </c>
      <c r="AB325" s="36"/>
      <c r="AC325" s="38">
        <v>1</v>
      </c>
      <c r="AD325" s="38">
        <v>3</v>
      </c>
      <c r="AE325" s="38">
        <v>1</v>
      </c>
      <c r="AF325" s="38">
        <v>3.75</v>
      </c>
      <c r="AG325" s="36"/>
      <c r="AH325" s="36"/>
      <c r="AI325" s="36"/>
      <c r="AJ325" s="36"/>
      <c r="AK325" s="36"/>
      <c r="AL325" s="36"/>
      <c r="AM325" s="38">
        <v>29</v>
      </c>
      <c r="AN325" s="38">
        <v>0</v>
      </c>
      <c r="AO325" s="36"/>
      <c r="AP325" s="36"/>
      <c r="AQ325" s="36"/>
      <c r="AR325" s="36"/>
      <c r="AS325" s="36"/>
      <c r="AT325" s="36"/>
      <c r="AU325" s="36"/>
      <c r="AV325" s="36"/>
      <c r="AW325" s="36"/>
      <c r="AX325" s="38">
        <v>14.3</v>
      </c>
      <c r="AY325" s="38">
        <v>11</v>
      </c>
      <c r="AZ325" s="38">
        <v>80</v>
      </c>
      <c r="BA325" s="36"/>
      <c r="BB325" s="36"/>
      <c r="BC325" s="36"/>
      <c r="BD325" s="36"/>
      <c r="BE325" s="36"/>
      <c r="BF325" s="38">
        <v>3.8</v>
      </c>
      <c r="BG325" s="59">
        <v>21.31</v>
      </c>
      <c r="BH325" s="59">
        <v>1.67</v>
      </c>
      <c r="BI325" s="59">
        <v>0.29845926078436047</v>
      </c>
      <c r="BJ325" s="59"/>
      <c r="BK325" s="38">
        <v>3.9555000000000002</v>
      </c>
      <c r="BL325" s="59">
        <v>1.93</v>
      </c>
      <c r="BM325" s="38"/>
      <c r="BN325" s="38">
        <v>60</v>
      </c>
      <c r="BO325" s="36"/>
      <c r="BP325" s="39">
        <f t="shared" si="165"/>
        <v>0.47945833333333338</v>
      </c>
      <c r="BQ325" s="37"/>
      <c r="BR325" s="39">
        <f t="shared" si="166"/>
        <v>0.5370231311013679</v>
      </c>
      <c r="BS325" s="39">
        <f t="shared" si="196"/>
        <v>1.0041742726209164</v>
      </c>
      <c r="BT325" s="39">
        <f t="shared" si="212"/>
        <v>20.973680373286676</v>
      </c>
      <c r="BU325" s="39">
        <f>$BP325*12*AY325/(12*(45/36)*0.9144)</f>
        <v>4.6142096821230689</v>
      </c>
      <c r="BV325" s="39">
        <f t="shared" si="177"/>
        <v>0.43492495672285608</v>
      </c>
      <c r="BW325" s="39">
        <f t="shared" si="161"/>
        <v>1.5130632446545496</v>
      </c>
      <c r="BX325" s="39">
        <f t="shared" si="178"/>
        <v>0.20985302792721536</v>
      </c>
      <c r="BY325" s="39">
        <f t="shared" si="198"/>
        <v>3.1050125534988862</v>
      </c>
      <c r="BZ325" s="37"/>
      <c r="CA325" s="39">
        <f t="shared" si="162"/>
        <v>4.1810829989638227</v>
      </c>
      <c r="CB325" s="39">
        <f t="shared" si="163"/>
        <v>2.0400683069144674</v>
      </c>
      <c r="CC325" s="39">
        <f t="shared" si="206"/>
        <v>0.22774270833333335</v>
      </c>
      <c r="CD325" s="39">
        <f t="shared" si="215"/>
        <v>0.16685150000000001</v>
      </c>
      <c r="CE325" s="37"/>
      <c r="CF325" s="37"/>
      <c r="CG325" s="37"/>
      <c r="CH325" s="37"/>
      <c r="CI325" s="37"/>
      <c r="CJ325" s="37"/>
      <c r="CK325" s="39">
        <f t="shared" si="207"/>
        <v>2.5511787700777572E-2</v>
      </c>
      <c r="CL325" s="37"/>
      <c r="CM325" s="39">
        <f t="shared" si="208"/>
        <v>9.0147659720062098E-2</v>
      </c>
      <c r="CN325" s="37"/>
      <c r="CO325" s="39">
        <f>0.063495+(0.016949+0.014096)*Wages!P323+1.22592*BR325</f>
        <v>0.93737406859645556</v>
      </c>
      <c r="CP325" s="39"/>
      <c r="CQ325" s="39">
        <f t="shared" si="201"/>
        <v>1.0041742726209164</v>
      </c>
      <c r="CR325" s="39">
        <f t="shared" si="192"/>
        <v>0.43492495672285608</v>
      </c>
      <c r="CS325" s="39">
        <f t="shared" si="192"/>
        <v>1.5130632446545496</v>
      </c>
      <c r="CT325" s="39">
        <f t="shared" si="164"/>
        <v>4.1810829989638227</v>
      </c>
      <c r="CU325" s="39">
        <f t="shared" si="164"/>
        <v>2.0400683069144674</v>
      </c>
      <c r="CV325" s="39">
        <f t="shared" si="164"/>
        <v>0.22774270833333335</v>
      </c>
      <c r="CW325" s="39">
        <f t="shared" si="164"/>
        <v>0.16685150000000001</v>
      </c>
      <c r="CX325" s="39"/>
      <c r="CY325" s="39"/>
      <c r="CZ325" s="39">
        <f t="shared" si="167"/>
        <v>0.20985302792721536</v>
      </c>
      <c r="DA325" s="39">
        <v>3.7</v>
      </c>
      <c r="DB325" s="39">
        <v>4.614209682123068</v>
      </c>
      <c r="DC325" s="39">
        <f t="shared" si="168"/>
        <v>3.1050125534988862</v>
      </c>
      <c r="DD325" s="39">
        <v>4</v>
      </c>
      <c r="DE325" s="39">
        <f t="shared" si="209"/>
        <v>2.5511787700777572E-2</v>
      </c>
      <c r="DF325" s="37"/>
      <c r="DG325" s="39">
        <f t="shared" si="169"/>
        <v>0</v>
      </c>
      <c r="DH325" s="39">
        <f t="shared" si="170"/>
        <v>2.8879089541292249</v>
      </c>
      <c r="DI325" s="37"/>
      <c r="DJ325" s="37"/>
      <c r="DK325" s="37"/>
      <c r="DL325" s="37"/>
      <c r="DM325" s="39">
        <f t="shared" si="180"/>
        <v>0.94650801329246348</v>
      </c>
      <c r="DN325" s="39"/>
      <c r="DO325" s="39">
        <f t="shared" si="181"/>
        <v>0.94650801329246348</v>
      </c>
      <c r="DP325" s="37"/>
      <c r="DQ325" s="37">
        <f>DO325/'Conversions, Sources &amp; Comments'!E323</f>
        <v>1.9741194333031304</v>
      </c>
    </row>
    <row r="326" spans="1:121">
      <c r="A326" s="42">
        <f t="shared" si="171"/>
        <v>1574</v>
      </c>
      <c r="B326" s="36"/>
      <c r="C326" s="38">
        <v>14</v>
      </c>
      <c r="D326" s="38">
        <v>2.75</v>
      </c>
      <c r="E326" s="38">
        <v>8</v>
      </c>
      <c r="F326" s="38">
        <v>9.75</v>
      </c>
      <c r="G326" s="38">
        <v>5</v>
      </c>
      <c r="H326" s="38">
        <v>8.5</v>
      </c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8">
        <v>28.5</v>
      </c>
      <c r="V326" s="36"/>
      <c r="W326" s="36"/>
      <c r="X326" s="38">
        <v>9</v>
      </c>
      <c r="Y326" s="38">
        <v>0</v>
      </c>
      <c r="Z326" s="38">
        <v>3</v>
      </c>
      <c r="AA326" s="38">
        <v>1.5</v>
      </c>
      <c r="AB326" s="36"/>
      <c r="AC326" s="38">
        <v>1</v>
      </c>
      <c r="AD326" s="38">
        <v>3.5</v>
      </c>
      <c r="AE326" s="38">
        <v>1</v>
      </c>
      <c r="AF326" s="38">
        <v>3.75</v>
      </c>
      <c r="AG326" s="36"/>
      <c r="AH326" s="36"/>
      <c r="AI326" s="38">
        <v>6</v>
      </c>
      <c r="AJ326" s="38">
        <v>0</v>
      </c>
      <c r="AK326" s="36"/>
      <c r="AL326" s="36"/>
      <c r="AM326" s="38">
        <v>20</v>
      </c>
      <c r="AN326" s="38">
        <v>0</v>
      </c>
      <c r="AO326" s="36"/>
      <c r="AP326" s="36"/>
      <c r="AQ326" s="38">
        <v>3</v>
      </c>
      <c r="AR326" s="38">
        <v>4</v>
      </c>
      <c r="AS326" s="36"/>
      <c r="AT326" s="36"/>
      <c r="AU326" s="36"/>
      <c r="AV326" s="36"/>
      <c r="AW326" s="36"/>
      <c r="AX326" s="38">
        <v>13</v>
      </c>
      <c r="AY326" s="36"/>
      <c r="AZ326" s="38">
        <v>78</v>
      </c>
      <c r="BA326" s="36"/>
      <c r="BB326" s="36"/>
      <c r="BC326" s="36"/>
      <c r="BD326" s="36"/>
      <c r="BE326" s="36"/>
      <c r="BF326" s="38">
        <v>2.6</v>
      </c>
      <c r="BG326" s="59">
        <v>17.05</v>
      </c>
      <c r="BH326" s="59">
        <v>1.58</v>
      </c>
      <c r="BI326" s="59">
        <v>0.16581070043575674</v>
      </c>
      <c r="BJ326" s="59"/>
      <c r="BK326" s="38">
        <v>3.645</v>
      </c>
      <c r="BL326" s="59">
        <v>1.4</v>
      </c>
      <c r="BM326" s="36"/>
      <c r="BN326" s="38">
        <v>60</v>
      </c>
      <c r="BO326" s="36"/>
      <c r="BP326" s="39">
        <f t="shared" si="165"/>
        <v>0.47945833333333338</v>
      </c>
      <c r="BQ326" s="37"/>
      <c r="BR326" s="39">
        <f t="shared" si="166"/>
        <v>0.29040918332718468</v>
      </c>
      <c r="BS326" s="39">
        <f t="shared" si="196"/>
        <v>0.6870666075827323</v>
      </c>
      <c r="BT326" s="39">
        <f t="shared" si="212"/>
        <v>20.44933836395451</v>
      </c>
      <c r="BU326" s="37"/>
      <c r="BV326" s="39">
        <f t="shared" si="177"/>
        <v>0.34798078423860612</v>
      </c>
      <c r="BW326" s="39">
        <f t="shared" si="161"/>
        <v>1.4315209141043046</v>
      </c>
      <c r="BX326" s="39">
        <f t="shared" si="178"/>
        <v>0.11658501551512031</v>
      </c>
      <c r="BY326" s="39">
        <f t="shared" si="198"/>
        <v>3.3032048441477513</v>
      </c>
      <c r="BZ326" s="37"/>
      <c r="CA326" s="39">
        <f t="shared" si="162"/>
        <v>3.8528751184990857</v>
      </c>
      <c r="CB326" s="39">
        <f t="shared" si="163"/>
        <v>1.4798422951711163</v>
      </c>
      <c r="CC326" s="39">
        <f t="shared" si="206"/>
        <v>0.22774270833333335</v>
      </c>
      <c r="CD326" s="39">
        <f t="shared" si="215"/>
        <v>0.11507000000000001</v>
      </c>
      <c r="CE326" s="37"/>
      <c r="CF326" s="37"/>
      <c r="CG326" s="37"/>
      <c r="CH326" s="37"/>
      <c r="CI326" s="37"/>
      <c r="CJ326" s="37"/>
      <c r="CK326" s="39">
        <f t="shared" si="207"/>
        <v>2.6362180624136825E-2</v>
      </c>
      <c r="CL326" s="37"/>
      <c r="CM326" s="39">
        <f t="shared" si="208"/>
        <v>9.3152581710730833E-2</v>
      </c>
      <c r="CN326" s="37"/>
      <c r="CO326" s="39">
        <f>0.063495+(0.016949+0.014096)*Wages!P324+1.22592*BR326</f>
        <v>0.64338057675779559</v>
      </c>
      <c r="CP326" s="39"/>
      <c r="CQ326" s="39">
        <f t="shared" si="201"/>
        <v>0.6870666075827323</v>
      </c>
      <c r="CR326" s="39">
        <f t="shared" si="192"/>
        <v>0.34798078423860612</v>
      </c>
      <c r="CS326" s="39">
        <f t="shared" si="192"/>
        <v>1.4315209141043046</v>
      </c>
      <c r="CT326" s="39">
        <f t="shared" si="164"/>
        <v>3.8528751184990857</v>
      </c>
      <c r="CU326" s="39">
        <f t="shared" si="164"/>
        <v>1.4798422951711163</v>
      </c>
      <c r="CV326" s="39">
        <f t="shared" si="164"/>
        <v>0.22774270833333335</v>
      </c>
      <c r="CW326" s="39">
        <f t="shared" si="164"/>
        <v>0.11507000000000001</v>
      </c>
      <c r="CX326" s="39"/>
      <c r="CY326" s="39"/>
      <c r="CZ326" s="39">
        <f t="shared" si="167"/>
        <v>0.11658501551512031</v>
      </c>
      <c r="DA326" s="39">
        <v>3.7</v>
      </c>
      <c r="DB326" s="39">
        <v>4.614209682123068</v>
      </c>
      <c r="DC326" s="39">
        <f t="shared" si="168"/>
        <v>3.3032048441477513</v>
      </c>
      <c r="DD326" s="39">
        <v>4</v>
      </c>
      <c r="DE326" s="39">
        <f t="shared" si="209"/>
        <v>2.6362180624136825E-2</v>
      </c>
      <c r="DF326" s="37"/>
      <c r="DG326" s="39">
        <f t="shared" si="169"/>
        <v>0</v>
      </c>
      <c r="DH326" s="39">
        <f t="shared" si="170"/>
        <v>2.9841725859335329</v>
      </c>
      <c r="DI326" s="37"/>
      <c r="DJ326" s="37"/>
      <c r="DK326" s="37"/>
      <c r="DL326" s="37"/>
      <c r="DM326" s="39">
        <f t="shared" si="180"/>
        <v>0.74175246938689898</v>
      </c>
      <c r="DN326" s="39"/>
      <c r="DO326" s="39">
        <f t="shared" si="181"/>
        <v>0.74175246938689898</v>
      </c>
      <c r="DP326" s="37"/>
      <c r="DQ326" s="37">
        <f>DO326/'Conversions, Sources &amp; Comments'!E324</f>
        <v>1.5470634626997111</v>
      </c>
    </row>
    <row r="327" spans="1:121">
      <c r="A327" s="42">
        <f t="shared" si="171"/>
        <v>1575</v>
      </c>
      <c r="B327" s="36"/>
      <c r="C327" s="38">
        <v>15</v>
      </c>
      <c r="D327" s="38">
        <v>11</v>
      </c>
      <c r="E327" s="36"/>
      <c r="F327" s="36"/>
      <c r="G327" s="38">
        <v>6</v>
      </c>
      <c r="H327" s="38">
        <v>5</v>
      </c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8">
        <v>28.5</v>
      </c>
      <c r="V327" s="36"/>
      <c r="W327" s="36"/>
      <c r="X327" s="38">
        <v>9</v>
      </c>
      <c r="Y327" s="38">
        <v>7</v>
      </c>
      <c r="Z327" s="38">
        <v>3</v>
      </c>
      <c r="AA327" s="38">
        <v>0.75</v>
      </c>
      <c r="AB327" s="36"/>
      <c r="AC327" s="38">
        <v>1</v>
      </c>
      <c r="AD327" s="38">
        <v>5.25</v>
      </c>
      <c r="AE327" s="38">
        <v>1</v>
      </c>
      <c r="AF327" s="38">
        <v>3.75</v>
      </c>
      <c r="AG327" s="36"/>
      <c r="AH327" s="36"/>
      <c r="AI327" s="38">
        <v>5</v>
      </c>
      <c r="AJ327" s="38">
        <v>4.5</v>
      </c>
      <c r="AK327" s="36"/>
      <c r="AL327" s="36"/>
      <c r="AM327" s="38">
        <v>24</v>
      </c>
      <c r="AN327" s="38">
        <v>0</v>
      </c>
      <c r="AO327" s="36"/>
      <c r="AP327" s="36"/>
      <c r="AQ327" s="36"/>
      <c r="AR327" s="36"/>
      <c r="AS327" s="36"/>
      <c r="AT327" s="36"/>
      <c r="AU327" s="36"/>
      <c r="AV327" s="36"/>
      <c r="AW327" s="36"/>
      <c r="AX327" s="38">
        <v>11</v>
      </c>
      <c r="AY327" s="38">
        <v>11</v>
      </c>
      <c r="AZ327" s="38">
        <v>75</v>
      </c>
      <c r="BA327" s="36"/>
      <c r="BB327" s="38">
        <v>168</v>
      </c>
      <c r="BC327" s="38">
        <v>5</v>
      </c>
      <c r="BD327" s="36"/>
      <c r="BE327" s="36"/>
      <c r="BF327" s="38">
        <v>2.4</v>
      </c>
      <c r="BG327" s="59">
        <v>9.2100000000000009</v>
      </c>
      <c r="BH327" s="59">
        <v>1.67</v>
      </c>
      <c r="BI327" s="59">
        <v>0.18101001464236652</v>
      </c>
      <c r="BJ327" s="59"/>
      <c r="BK327" s="38">
        <v>3.4155000000000002</v>
      </c>
      <c r="BL327" s="59">
        <v>1.76</v>
      </c>
      <c r="BM327" s="38"/>
      <c r="BN327" s="38">
        <v>60</v>
      </c>
      <c r="BO327" s="36"/>
      <c r="BP327" s="39">
        <f t="shared" si="165"/>
        <v>0.47945833333333338</v>
      </c>
      <c r="BQ327" s="37"/>
      <c r="BR327" s="39">
        <f t="shared" si="166"/>
        <v>0.32485009672323439</v>
      </c>
      <c r="BS327" s="39">
        <f t="shared" si="196"/>
        <v>0.63421533007636821</v>
      </c>
      <c r="BT327" s="39">
        <f t="shared" si="212"/>
        <v>19.662825349956258</v>
      </c>
      <c r="BU327" s="39">
        <f>$BP327*12*AY327/(12*(45/36)*0.9144)</f>
        <v>4.6142096821230689</v>
      </c>
      <c r="BV327" s="39">
        <f t="shared" si="177"/>
        <v>0.18797085177932918</v>
      </c>
      <c r="BW327" s="39">
        <f t="shared" si="161"/>
        <v>1.5130632446545496</v>
      </c>
      <c r="BX327" s="39">
        <f t="shared" si="178"/>
        <v>0.12727197527067211</v>
      </c>
      <c r="BY327" s="39">
        <f t="shared" si="198"/>
        <v>3.2371407472647964</v>
      </c>
      <c r="BZ327" s="37"/>
      <c r="CA327" s="39">
        <f t="shared" si="162"/>
        <v>3.6102866851121065</v>
      </c>
      <c r="CB327" s="39">
        <f t="shared" si="163"/>
        <v>1.8603731710722606</v>
      </c>
      <c r="CC327" s="39">
        <f t="shared" si="206"/>
        <v>0.22774270833333335</v>
      </c>
      <c r="CD327" s="39">
        <f t="shared" si="215"/>
        <v>0.13808400000000001</v>
      </c>
      <c r="CE327" s="37"/>
      <c r="CF327" s="37"/>
      <c r="CG327" s="37"/>
      <c r="CH327" s="37"/>
      <c r="CI327" s="37"/>
      <c r="CJ327" s="37"/>
      <c r="CK327" s="39">
        <f t="shared" si="207"/>
        <v>2.9338555855894205E-2</v>
      </c>
      <c r="CL327" s="37"/>
      <c r="CM327" s="39">
        <f t="shared" si="208"/>
        <v>0.10366980867807141</v>
      </c>
      <c r="CN327" s="37"/>
      <c r="CO327" s="39">
        <f>0.063495+(0.016949+0.014096)*Wages!P325+1.22592*BR327</f>
        <v>0.69274707760828069</v>
      </c>
      <c r="CP327" s="39"/>
      <c r="CQ327" s="39">
        <f t="shared" si="201"/>
        <v>0.63421533007636821</v>
      </c>
      <c r="CR327" s="39">
        <f t="shared" si="192"/>
        <v>0.18797085177932918</v>
      </c>
      <c r="CS327" s="39">
        <f t="shared" si="192"/>
        <v>1.5130632446545496</v>
      </c>
      <c r="CT327" s="39">
        <f t="shared" si="164"/>
        <v>3.6102866851121065</v>
      </c>
      <c r="CU327" s="39">
        <f t="shared" si="164"/>
        <v>1.8603731710722606</v>
      </c>
      <c r="CV327" s="39">
        <f t="shared" si="164"/>
        <v>0.22774270833333335</v>
      </c>
      <c r="CW327" s="39">
        <f t="shared" si="164"/>
        <v>0.13808400000000001</v>
      </c>
      <c r="CX327" s="39"/>
      <c r="CY327" s="39"/>
      <c r="CZ327" s="39">
        <f t="shared" si="167"/>
        <v>0.12727197527067211</v>
      </c>
      <c r="DA327" s="39">
        <v>3.7</v>
      </c>
      <c r="DB327" s="39">
        <f>BU327</f>
        <v>4.6142096821230689</v>
      </c>
      <c r="DC327" s="39">
        <f t="shared" si="168"/>
        <v>3.2371407472647964</v>
      </c>
      <c r="DD327" s="39">
        <v>4</v>
      </c>
      <c r="DE327" s="39">
        <f t="shared" si="209"/>
        <v>2.9338555855894205E-2</v>
      </c>
      <c r="DF327" s="37"/>
      <c r="DG327" s="39">
        <f t="shared" si="169"/>
        <v>0</v>
      </c>
      <c r="DH327" s="39">
        <f t="shared" si="170"/>
        <v>3.3210952972486085</v>
      </c>
      <c r="DI327" s="37"/>
      <c r="DJ327" s="37"/>
      <c r="DK327" s="37"/>
      <c r="DL327" s="37"/>
      <c r="DM327" s="39">
        <f t="shared" si="180"/>
        <v>0.71368736790918752</v>
      </c>
      <c r="DN327" s="39"/>
      <c r="DO327" s="39">
        <f t="shared" si="181"/>
        <v>0.71368736790918752</v>
      </c>
      <c r="DP327" s="37"/>
      <c r="DQ327" s="37">
        <f>DO327/'Conversions, Sources &amp; Comments'!E325</f>
        <v>1.4885284461476058</v>
      </c>
    </row>
    <row r="328" spans="1:121">
      <c r="A328" s="42">
        <f t="shared" si="171"/>
        <v>1576</v>
      </c>
      <c r="B328" s="36"/>
      <c r="C328" s="38">
        <v>22</v>
      </c>
      <c r="D328" s="38">
        <v>2.5</v>
      </c>
      <c r="E328" s="36"/>
      <c r="F328" s="36"/>
      <c r="G328" s="38">
        <v>5</v>
      </c>
      <c r="H328" s="38">
        <v>6.25</v>
      </c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8">
        <v>28.5</v>
      </c>
      <c r="V328" s="36"/>
      <c r="W328" s="36"/>
      <c r="X328" s="38">
        <v>10</v>
      </c>
      <c r="Y328" s="38">
        <v>8.5</v>
      </c>
      <c r="Z328" s="38">
        <v>3</v>
      </c>
      <c r="AA328" s="38">
        <v>1.5</v>
      </c>
      <c r="AB328" s="36"/>
      <c r="AC328" s="38" t="s">
        <v>8</v>
      </c>
      <c r="AD328" s="36"/>
      <c r="AE328" s="38">
        <v>1</v>
      </c>
      <c r="AF328" s="38">
        <v>3.75</v>
      </c>
      <c r="AG328" s="38">
        <v>17</v>
      </c>
      <c r="AH328" s="38">
        <v>0</v>
      </c>
      <c r="AI328" s="38">
        <v>6</v>
      </c>
      <c r="AJ328" s="38">
        <v>3.5</v>
      </c>
      <c r="AK328" s="36"/>
      <c r="AL328" s="36"/>
      <c r="AM328" s="38">
        <v>26</v>
      </c>
      <c r="AN328" s="38">
        <v>4</v>
      </c>
      <c r="AO328" s="36"/>
      <c r="AP328" s="36"/>
      <c r="AQ328" s="36"/>
      <c r="AR328" s="36"/>
      <c r="AS328" s="36"/>
      <c r="AT328" s="36"/>
      <c r="AU328" s="36"/>
      <c r="AV328" s="36"/>
      <c r="AW328" s="36"/>
      <c r="AX328" s="38">
        <v>21.6</v>
      </c>
      <c r="AY328" s="36"/>
      <c r="AZ328" s="38">
        <v>78</v>
      </c>
      <c r="BA328" s="36"/>
      <c r="BB328" s="38">
        <v>180</v>
      </c>
      <c r="BC328" s="38">
        <v>5.33</v>
      </c>
      <c r="BD328" s="36"/>
      <c r="BE328" s="36"/>
      <c r="BF328" s="38">
        <v>2.9</v>
      </c>
      <c r="BG328" s="59">
        <v>14.03</v>
      </c>
      <c r="BH328" s="59">
        <v>1.67</v>
      </c>
      <c r="BI328" s="59">
        <v>0.24318902730577485</v>
      </c>
      <c r="BJ328" s="59"/>
      <c r="BK328" s="38">
        <v>3.9690000000000003</v>
      </c>
      <c r="BL328" s="59">
        <v>1.75</v>
      </c>
      <c r="BM328" s="36"/>
      <c r="BN328" s="38">
        <v>60</v>
      </c>
      <c r="BO328" s="36"/>
      <c r="BP328" s="39">
        <f t="shared" si="165"/>
        <v>0.47945833333333338</v>
      </c>
      <c r="BQ328" s="37"/>
      <c r="BR328" s="39">
        <f t="shared" si="166"/>
        <v>0.45325942815048154</v>
      </c>
      <c r="BS328" s="39">
        <f t="shared" si="196"/>
        <v>0.76634352384227833</v>
      </c>
      <c r="BT328" s="39">
        <f t="shared" si="212"/>
        <v>20.44933836395451</v>
      </c>
      <c r="BU328" s="37"/>
      <c r="BV328" s="39">
        <f t="shared" si="177"/>
        <v>0.28634430515352749</v>
      </c>
      <c r="BW328" s="39">
        <f t="shared" si="161"/>
        <v>1.5130632446545496</v>
      </c>
      <c r="BX328" s="39">
        <f t="shared" si="178"/>
        <v>0.17099135608884192</v>
      </c>
      <c r="BY328" s="39">
        <f t="shared" si="198"/>
        <v>3.3032048441477513</v>
      </c>
      <c r="BZ328" s="37"/>
      <c r="CA328" s="39">
        <f t="shared" si="162"/>
        <v>4.1953529068101156</v>
      </c>
      <c r="CB328" s="39">
        <f t="shared" si="163"/>
        <v>1.8498028689638955</v>
      </c>
      <c r="CC328" s="39">
        <f t="shared" si="206"/>
        <v>0.22774270833333335</v>
      </c>
      <c r="CD328" s="39">
        <f t="shared" si="215"/>
        <v>0.15150883333333334</v>
      </c>
      <c r="CE328" s="37"/>
      <c r="CF328" s="37"/>
      <c r="CG328" s="37"/>
      <c r="CH328" s="37"/>
      <c r="CI328" s="37"/>
      <c r="CJ328" s="37"/>
      <c r="CK328" s="37"/>
      <c r="CL328" s="39">
        <f>BP328*(12*AG328+AH328)/100</f>
        <v>0.97809500000000016</v>
      </c>
      <c r="CM328" s="37"/>
      <c r="CN328" s="37"/>
      <c r="CO328" s="39">
        <f>0.063495+(0.016949+0.014096)*Wages!P326+1.22592*BR328</f>
        <v>0.85731134149157162</v>
      </c>
      <c r="CP328" s="39"/>
      <c r="CQ328" s="39">
        <f t="shared" si="201"/>
        <v>0.76634352384227833</v>
      </c>
      <c r="CR328" s="39">
        <f t="shared" si="192"/>
        <v>0.28634430515352749</v>
      </c>
      <c r="CS328" s="39">
        <f t="shared" si="192"/>
        <v>1.5130632446545496</v>
      </c>
      <c r="CT328" s="39">
        <f t="shared" si="164"/>
        <v>4.1953529068101156</v>
      </c>
      <c r="CU328" s="39">
        <f t="shared" si="164"/>
        <v>1.8498028689638955</v>
      </c>
      <c r="CV328" s="39">
        <f t="shared" si="164"/>
        <v>0.22774270833333335</v>
      </c>
      <c r="CW328" s="39">
        <f t="shared" si="164"/>
        <v>0.15150883333333334</v>
      </c>
      <c r="CX328" s="39"/>
      <c r="CY328" s="39"/>
      <c r="CZ328" s="39">
        <f t="shared" si="167"/>
        <v>0.17099135608884192</v>
      </c>
      <c r="DA328" s="39">
        <v>3.7</v>
      </c>
      <c r="DB328" s="39">
        <v>4.4000000000000004</v>
      </c>
      <c r="DC328" s="39">
        <f t="shared" si="168"/>
        <v>3.3032048441477513</v>
      </c>
      <c r="DD328" s="39">
        <v>4</v>
      </c>
      <c r="DE328" s="39">
        <v>2.7E-2</v>
      </c>
      <c r="DF328" s="37"/>
      <c r="DG328" s="39">
        <f t="shared" si="169"/>
        <v>0.97809500000000016</v>
      </c>
      <c r="DH328" s="39">
        <f t="shared" si="170"/>
        <v>3.0563731039166857</v>
      </c>
      <c r="DI328" s="37"/>
      <c r="DJ328" s="37"/>
      <c r="DK328" s="37"/>
      <c r="DL328" s="37"/>
      <c r="DM328" s="39">
        <f t="shared" si="180"/>
        <v>0.80499679887690989</v>
      </c>
      <c r="DN328" s="39"/>
      <c r="DO328" s="39">
        <f t="shared" si="181"/>
        <v>0.80499679887690989</v>
      </c>
      <c r="DP328" s="37"/>
      <c r="DQ328" s="37">
        <f>DO328/'Conversions, Sources &amp; Comments'!E326</f>
        <v>1.6789713368424295</v>
      </c>
    </row>
    <row r="329" spans="1:121">
      <c r="A329" s="42">
        <f t="shared" si="171"/>
        <v>1577</v>
      </c>
      <c r="B329" s="36"/>
      <c r="C329" s="38">
        <v>20</v>
      </c>
      <c r="D329" s="38">
        <v>2</v>
      </c>
      <c r="E329" s="36"/>
      <c r="F329" s="36"/>
      <c r="G329" s="38">
        <v>6</v>
      </c>
      <c r="H329" s="38">
        <v>8</v>
      </c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8">
        <v>28.5</v>
      </c>
      <c r="V329" s="36"/>
      <c r="W329" s="36"/>
      <c r="X329" s="38">
        <v>12</v>
      </c>
      <c r="Y329" s="38">
        <v>0</v>
      </c>
      <c r="Z329" s="38">
        <v>3</v>
      </c>
      <c r="AA329" s="38">
        <v>1.75</v>
      </c>
      <c r="AB329" s="36"/>
      <c r="AC329" s="38">
        <v>1</v>
      </c>
      <c r="AD329" s="38">
        <v>4</v>
      </c>
      <c r="AE329" s="38">
        <v>1</v>
      </c>
      <c r="AF329" s="38">
        <v>3.75</v>
      </c>
      <c r="AG329" s="38">
        <v>18</v>
      </c>
      <c r="AH329" s="38">
        <v>6.5</v>
      </c>
      <c r="AI329" s="38">
        <v>7</v>
      </c>
      <c r="AJ329" s="38">
        <v>0</v>
      </c>
      <c r="AK329" s="36"/>
      <c r="AL329" s="36"/>
      <c r="AM329" s="38">
        <v>23</v>
      </c>
      <c r="AN329" s="38">
        <v>2</v>
      </c>
      <c r="AO329" s="36"/>
      <c r="AP329" s="36"/>
      <c r="AQ329" s="36"/>
      <c r="AR329" s="36"/>
      <c r="AS329" s="36"/>
      <c r="AT329" s="36"/>
      <c r="AU329" s="36"/>
      <c r="AV329" s="36"/>
      <c r="AW329" s="36"/>
      <c r="AX329" s="38">
        <v>13.9</v>
      </c>
      <c r="AY329" s="36"/>
      <c r="AZ329" s="38">
        <v>78</v>
      </c>
      <c r="BA329" s="36"/>
      <c r="BB329" s="38">
        <v>196</v>
      </c>
      <c r="BC329" s="38">
        <v>5.26</v>
      </c>
      <c r="BD329" s="36"/>
      <c r="BE329" s="36"/>
      <c r="BF329" s="38">
        <v>2.6</v>
      </c>
      <c r="BG329" s="59">
        <v>13</v>
      </c>
      <c r="BH329" s="59">
        <v>1.67</v>
      </c>
      <c r="BI329" s="59">
        <v>0.24871605065363342</v>
      </c>
      <c r="BJ329" s="59"/>
      <c r="BK329" s="38">
        <v>3.645</v>
      </c>
      <c r="BL329" s="59">
        <v>1.46</v>
      </c>
      <c r="BM329" s="36"/>
      <c r="BN329" s="38">
        <v>60</v>
      </c>
      <c r="BO329" s="36"/>
      <c r="BP329" s="39">
        <f t="shared" si="165"/>
        <v>0.47945833333333338</v>
      </c>
      <c r="BQ329" s="37"/>
      <c r="BR329" s="39">
        <f t="shared" si="166"/>
        <v>0.41159017490587818</v>
      </c>
      <c r="BS329" s="39">
        <f t="shared" si="196"/>
        <v>0.6870666075827323</v>
      </c>
      <c r="BT329" s="39">
        <f t="shared" si="212"/>
        <v>20.44933836395451</v>
      </c>
      <c r="BU329" s="37"/>
      <c r="BV329" s="39">
        <f t="shared" si="177"/>
        <v>0.26532259208808673</v>
      </c>
      <c r="BW329" s="39">
        <f t="shared" si="161"/>
        <v>1.5130632446545496</v>
      </c>
      <c r="BX329" s="39">
        <f t="shared" si="178"/>
        <v>0.17487752327267927</v>
      </c>
      <c r="BY329" s="39">
        <f t="shared" ref="BY329:BY360" si="216">$BP329*(12*Z329+AA329)/(12*0.453592)</f>
        <v>3.3252262097754031</v>
      </c>
      <c r="BZ329" s="37"/>
      <c r="CA329" s="39">
        <f t="shared" si="162"/>
        <v>3.8528751184990857</v>
      </c>
      <c r="CB329" s="39">
        <f t="shared" si="163"/>
        <v>1.5432641078213072</v>
      </c>
      <c r="CC329" s="39">
        <f t="shared" si="206"/>
        <v>0.22774270833333335</v>
      </c>
      <c r="CD329" s="39">
        <f t="shared" si="215"/>
        <v>0.13328941666666669</v>
      </c>
      <c r="CE329" s="37"/>
      <c r="CF329" s="37"/>
      <c r="CG329" s="37"/>
      <c r="CH329" s="37"/>
      <c r="CI329" s="37"/>
      <c r="CJ329" s="37"/>
      <c r="CK329" s="39">
        <f>BP329*(12*AC329+AD329)/(35.238*8)</f>
        <v>2.7212573547496077E-2</v>
      </c>
      <c r="CL329" s="39">
        <f>BP329*(12*AG329+AH329)/100</f>
        <v>1.0667947916666669</v>
      </c>
      <c r="CM329" s="39">
        <f>BP329*(12*$AC329+$AD329)/(35.238*8)/0.283</f>
        <v>9.6157503701399569E-2</v>
      </c>
      <c r="CN329" s="37"/>
      <c r="CO329" s="39">
        <f>0.063495+(0.016949+0.014096)*Wages!P327+1.22592*BR329</f>
        <v>0.80622817055394747</v>
      </c>
      <c r="CP329" s="39"/>
      <c r="CQ329" s="39">
        <f t="shared" si="201"/>
        <v>0.6870666075827323</v>
      </c>
      <c r="CR329" s="39">
        <f t="shared" si="192"/>
        <v>0.26532259208808673</v>
      </c>
      <c r="CS329" s="39">
        <f t="shared" si="192"/>
        <v>1.5130632446545496</v>
      </c>
      <c r="CT329" s="39">
        <f t="shared" si="164"/>
        <v>3.8528751184990857</v>
      </c>
      <c r="CU329" s="39">
        <f t="shared" si="164"/>
        <v>1.5432641078213072</v>
      </c>
      <c r="CV329" s="39">
        <f t="shared" si="164"/>
        <v>0.22774270833333335</v>
      </c>
      <c r="CW329" s="39">
        <f t="shared" si="164"/>
        <v>0.13328941666666669</v>
      </c>
      <c r="CX329" s="39"/>
      <c r="CY329" s="39"/>
      <c r="CZ329" s="39">
        <f t="shared" si="167"/>
        <v>0.17487752327267927</v>
      </c>
      <c r="DA329" s="39">
        <v>3.7</v>
      </c>
      <c r="DB329" s="39">
        <v>4.4000000000000004</v>
      </c>
      <c r="DC329" s="39">
        <f t="shared" si="168"/>
        <v>3.3252262097754031</v>
      </c>
      <c r="DD329" s="39">
        <v>4</v>
      </c>
      <c r="DE329" s="39">
        <f>CK329</f>
        <v>2.7212573547496077E-2</v>
      </c>
      <c r="DF329" s="37"/>
      <c r="DG329" s="39">
        <f t="shared" si="169"/>
        <v>1.0667947916666669</v>
      </c>
      <c r="DH329" s="39">
        <f t="shared" si="170"/>
        <v>3.0804362177378399</v>
      </c>
      <c r="DI329" s="37"/>
      <c r="DJ329" s="37"/>
      <c r="DK329" s="37"/>
      <c r="DL329" s="37"/>
      <c r="DM329" s="39">
        <f t="shared" si="180"/>
        <v>0.76158485193997549</v>
      </c>
      <c r="DN329" s="39"/>
      <c r="DO329" s="39">
        <f t="shared" si="181"/>
        <v>0.76158485193997549</v>
      </c>
      <c r="DP329" s="37"/>
      <c r="DQ329" s="37">
        <f>DO329/'Conversions, Sources &amp; Comments'!E327</f>
        <v>1.5884276046371262</v>
      </c>
    </row>
    <row r="330" spans="1:121">
      <c r="A330" s="42">
        <f t="shared" si="171"/>
        <v>1578</v>
      </c>
      <c r="B330" s="36"/>
      <c r="C330" s="38">
        <v>17</v>
      </c>
      <c r="D330" s="38">
        <v>4.25</v>
      </c>
      <c r="E330" s="38">
        <v>8</v>
      </c>
      <c r="F330" s="38">
        <v>0</v>
      </c>
      <c r="G330" s="38">
        <v>4</v>
      </c>
      <c r="H330" s="38">
        <v>3.25</v>
      </c>
      <c r="I330" s="38">
        <v>17</v>
      </c>
      <c r="J330" s="38">
        <v>8</v>
      </c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8">
        <v>28.5</v>
      </c>
      <c r="V330" s="36"/>
      <c r="W330" s="36"/>
      <c r="X330" s="38">
        <v>10</v>
      </c>
      <c r="Y330" s="38">
        <v>4.5</v>
      </c>
      <c r="Z330" s="38">
        <v>3</v>
      </c>
      <c r="AA330" s="38">
        <v>2.75</v>
      </c>
      <c r="AB330" s="36"/>
      <c r="AC330" s="38">
        <v>1</v>
      </c>
      <c r="AD330" s="38">
        <v>4.5</v>
      </c>
      <c r="AE330" s="38">
        <v>1</v>
      </c>
      <c r="AF330" s="38">
        <v>3.75</v>
      </c>
      <c r="AG330" s="36"/>
      <c r="AH330" s="36"/>
      <c r="AI330" s="38">
        <v>5</v>
      </c>
      <c r="AJ330" s="38">
        <v>3</v>
      </c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8">
        <v>13.6</v>
      </c>
      <c r="AY330" s="38">
        <v>10.18</v>
      </c>
      <c r="AZ330" s="38">
        <v>80</v>
      </c>
      <c r="BA330" s="36"/>
      <c r="BB330" s="36"/>
      <c r="BC330" s="38">
        <v>5.21</v>
      </c>
      <c r="BD330" s="36"/>
      <c r="BE330" s="36"/>
      <c r="BF330" s="38">
        <v>2.2000000000000002</v>
      </c>
      <c r="BG330" s="59">
        <v>9.56</v>
      </c>
      <c r="BH330" s="59">
        <v>1.67</v>
      </c>
      <c r="BI330" s="59">
        <v>0.21555391056648207</v>
      </c>
      <c r="BJ330" s="59"/>
      <c r="BK330" s="38">
        <v>3.9015000000000004</v>
      </c>
      <c r="BL330" s="59">
        <v>1.57</v>
      </c>
      <c r="BM330" s="38"/>
      <c r="BN330" s="38">
        <v>60</v>
      </c>
      <c r="BO330" s="36"/>
      <c r="BP330" s="39">
        <f t="shared" si="165"/>
        <v>0.47945833333333338</v>
      </c>
      <c r="BQ330" s="37"/>
      <c r="BR330" s="39">
        <f t="shared" si="166"/>
        <v>0.35418865257912863</v>
      </c>
      <c r="BS330" s="39">
        <f t="shared" si="196"/>
        <v>0.58136405257000434</v>
      </c>
      <c r="BT330" s="39">
        <f t="shared" si="212"/>
        <v>20.973680373286676</v>
      </c>
      <c r="BU330" s="39">
        <f>$BP330*12*AY330/(12*(45/36)*0.9144)</f>
        <v>4.2702413240011676</v>
      </c>
      <c r="BV330" s="39">
        <f t="shared" si="177"/>
        <v>0.19511415233554688</v>
      </c>
      <c r="BW330" s="39">
        <f t="shared" ref="BW330:BW393" si="217">$BP330*12*$BH330/(14*0.45359)</f>
        <v>1.5130632446545496</v>
      </c>
      <c r="BX330" s="39">
        <f t="shared" si="178"/>
        <v>0.15156052016965521</v>
      </c>
      <c r="BY330" s="39">
        <f t="shared" si="216"/>
        <v>3.4133116722860097</v>
      </c>
      <c r="BZ330" s="37"/>
      <c r="CA330" s="39">
        <f t="shared" ref="CA330:CA393" si="218">$BP330*$BK330/0.45359</f>
        <v>4.1240033675786512</v>
      </c>
      <c r="CB330" s="39">
        <f t="shared" ref="CB330:CB393" si="219">$BP330*12*$BL330/(12*0.45359)</f>
        <v>1.6595374310133235</v>
      </c>
      <c r="CC330" s="39">
        <f t="shared" si="206"/>
        <v>0.22774270833333335</v>
      </c>
      <c r="CD330" s="37"/>
      <c r="CE330" s="37"/>
      <c r="CF330" s="37"/>
      <c r="CG330" s="37"/>
      <c r="CH330" s="37"/>
      <c r="CI330" s="37"/>
      <c r="CJ330" s="37"/>
      <c r="CK330" s="39">
        <f>BP330*(12*AC330+AD330)/(35.238*8)</f>
        <v>2.8062966470855329E-2</v>
      </c>
      <c r="CL330" s="37"/>
      <c r="CM330" s="39">
        <f>BP330*(12*$AC330+$AD330)/(35.238*8)/0.283</f>
        <v>9.9162425692068304E-2</v>
      </c>
      <c r="CN330" s="37"/>
      <c r="CO330" s="39">
        <f>0.063495+(0.016949+0.014096)*Wages!P328+1.22592*BR330</f>
        <v>0.73585849630313871</v>
      </c>
      <c r="CP330" s="39"/>
      <c r="CQ330" s="39">
        <f t="shared" si="201"/>
        <v>0.58136405257000434</v>
      </c>
      <c r="CR330" s="39">
        <f t="shared" si="192"/>
        <v>0.19511415233554688</v>
      </c>
      <c r="CS330" s="39">
        <f t="shared" si="192"/>
        <v>1.5130632446545496</v>
      </c>
      <c r="CT330" s="39">
        <f t="shared" ref="CT330:CW393" si="220">CA330</f>
        <v>4.1240033675786512</v>
      </c>
      <c r="CU330" s="39">
        <f t="shared" si="220"/>
        <v>1.6595374310133235</v>
      </c>
      <c r="CV330" s="39">
        <f t="shared" si="220"/>
        <v>0.22774270833333335</v>
      </c>
      <c r="CW330" s="39">
        <v>0.13500000000000001</v>
      </c>
      <c r="CX330" s="39"/>
      <c r="CY330" s="39"/>
      <c r="CZ330" s="39">
        <f t="shared" si="167"/>
        <v>0.15156052016965521</v>
      </c>
      <c r="DA330" s="39">
        <v>3.7</v>
      </c>
      <c r="DB330" s="39">
        <f>BU330</f>
        <v>4.2702413240011676</v>
      </c>
      <c r="DC330" s="39">
        <f t="shared" si="168"/>
        <v>3.4133116722860097</v>
      </c>
      <c r="DD330" s="39">
        <v>4</v>
      </c>
      <c r="DE330" s="39">
        <f>CK330</f>
        <v>2.8062966470855329E-2</v>
      </c>
      <c r="DF330" s="37"/>
      <c r="DG330" s="39">
        <f t="shared" si="169"/>
        <v>0</v>
      </c>
      <c r="DH330" s="39">
        <f t="shared" si="170"/>
        <v>3.1766998495421475</v>
      </c>
      <c r="DI330" s="37"/>
      <c r="DJ330" s="37"/>
      <c r="DK330" s="37"/>
      <c r="DL330" s="37"/>
      <c r="DM330" s="39">
        <f t="shared" si="180"/>
        <v>0.70119333158372532</v>
      </c>
      <c r="DN330" s="39"/>
      <c r="DO330" s="39">
        <f t="shared" si="181"/>
        <v>0.70119333158372532</v>
      </c>
      <c r="DP330" s="37"/>
      <c r="DQ330" s="37">
        <f>DO330/'Conversions, Sources &amp; Comments'!E328</f>
        <v>1.4624697973415666</v>
      </c>
    </row>
    <row r="331" spans="1:121">
      <c r="A331" s="42">
        <f t="shared" si="171"/>
        <v>1579</v>
      </c>
      <c r="B331" s="36"/>
      <c r="C331" s="38">
        <v>17</v>
      </c>
      <c r="D331" s="38">
        <v>6.25</v>
      </c>
      <c r="E331" s="36"/>
      <c r="F331" s="36"/>
      <c r="G331" s="38">
        <v>6</v>
      </c>
      <c r="H331" s="38">
        <v>7.75</v>
      </c>
      <c r="I331" s="38">
        <v>19</v>
      </c>
      <c r="J331" s="38">
        <v>6.5</v>
      </c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8">
        <v>28.5</v>
      </c>
      <c r="V331" s="36"/>
      <c r="W331" s="36"/>
      <c r="X331" s="38">
        <v>10</v>
      </c>
      <c r="Y331" s="38">
        <v>0</v>
      </c>
      <c r="Z331" s="38">
        <v>3</v>
      </c>
      <c r="AA331" s="38">
        <v>4.5</v>
      </c>
      <c r="AB331" s="36"/>
      <c r="AC331" s="36"/>
      <c r="AD331" s="36"/>
      <c r="AE331" s="38">
        <v>1</v>
      </c>
      <c r="AF331" s="38">
        <v>3.75</v>
      </c>
      <c r="AG331" s="36"/>
      <c r="AH331" s="36"/>
      <c r="AI331" s="38">
        <v>7</v>
      </c>
      <c r="AJ331" s="38">
        <v>0</v>
      </c>
      <c r="AK331" s="36"/>
      <c r="AL331" s="36"/>
      <c r="AM331" s="38">
        <v>24</v>
      </c>
      <c r="AN331" s="38">
        <v>0</v>
      </c>
      <c r="AO331" s="36"/>
      <c r="AP331" s="36"/>
      <c r="AQ331" s="36"/>
      <c r="AR331" s="36"/>
      <c r="AS331" s="36"/>
      <c r="AT331" s="36"/>
      <c r="AU331" s="36"/>
      <c r="AV331" s="36"/>
      <c r="AW331" s="36"/>
      <c r="AX331" s="38">
        <v>16</v>
      </c>
      <c r="AY331" s="36"/>
      <c r="AZ331" s="38">
        <v>80</v>
      </c>
      <c r="BA331" s="36"/>
      <c r="BB331" s="36"/>
      <c r="BC331" s="38">
        <v>5.42</v>
      </c>
      <c r="BD331" s="36"/>
      <c r="BE331" s="36"/>
      <c r="BF331" s="38">
        <v>2.2000000000000002</v>
      </c>
      <c r="BG331" s="59">
        <v>13.82</v>
      </c>
      <c r="BH331" s="59">
        <v>1.67</v>
      </c>
      <c r="BI331" s="59">
        <v>0.20588161970773086</v>
      </c>
      <c r="BJ331" s="59"/>
      <c r="BK331" s="38">
        <v>3.4155000000000002</v>
      </c>
      <c r="BL331" s="59">
        <v>1.6</v>
      </c>
      <c r="BM331" s="36"/>
      <c r="BN331" s="38">
        <v>60</v>
      </c>
      <c r="BO331" s="36"/>
      <c r="BP331" s="39">
        <f t="shared" ref="BP331:BP394" si="221">(31.1*0.925/$BN331)</f>
        <v>0.47945833333333338</v>
      </c>
      <c r="BQ331" s="37"/>
      <c r="BR331" s="39">
        <f t="shared" ref="BR331:BR394" si="222">(31.1*0.925/$BN331)*(12*C331+D331)/35.238/8</f>
        <v>0.35759022427256565</v>
      </c>
      <c r="BS331" s="39">
        <f t="shared" si="196"/>
        <v>0.58136405257000434</v>
      </c>
      <c r="BT331" s="39">
        <f t="shared" si="212"/>
        <v>20.973680373286676</v>
      </c>
      <c r="BU331" s="37"/>
      <c r="BV331" s="39">
        <f t="shared" si="177"/>
        <v>0.28205832481979687</v>
      </c>
      <c r="BW331" s="39">
        <f t="shared" si="217"/>
        <v>1.5130632446545496</v>
      </c>
      <c r="BX331" s="39">
        <f t="shared" si="178"/>
        <v>0.14475972759794076</v>
      </c>
      <c r="BY331" s="39">
        <f t="shared" si="216"/>
        <v>3.5674612316795713</v>
      </c>
      <c r="BZ331" s="37"/>
      <c r="CA331" s="39">
        <f t="shared" si="218"/>
        <v>3.6102866851121065</v>
      </c>
      <c r="CB331" s="39">
        <f t="shared" si="219"/>
        <v>1.6912483373384191</v>
      </c>
      <c r="CC331" s="39">
        <f t="shared" si="206"/>
        <v>0.22774270833333335</v>
      </c>
      <c r="CD331" s="39">
        <f t="shared" ref="CD331:CD362" si="223">BP331*(12*AM331+AN331)/1000</f>
        <v>0.13808400000000001</v>
      </c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9">
        <f>0.063495+(0.016949+0.014096)*Wages!P329+1.22592*BR331</f>
        <v>0.74002855107355692</v>
      </c>
      <c r="CP331" s="39"/>
      <c r="CQ331" s="39">
        <f t="shared" si="201"/>
        <v>0.58136405257000434</v>
      </c>
      <c r="CR331" s="39">
        <f t="shared" si="192"/>
        <v>0.28205832481979687</v>
      </c>
      <c r="CS331" s="39">
        <f t="shared" si="192"/>
        <v>1.5130632446545496</v>
      </c>
      <c r="CT331" s="39">
        <f t="shared" si="220"/>
        <v>3.6102866851121065</v>
      </c>
      <c r="CU331" s="39">
        <f t="shared" si="220"/>
        <v>1.6912483373384191</v>
      </c>
      <c r="CV331" s="39">
        <f t="shared" si="220"/>
        <v>0.22774270833333335</v>
      </c>
      <c r="CW331" s="39">
        <f t="shared" si="220"/>
        <v>0.13808400000000001</v>
      </c>
      <c r="CX331" s="39"/>
      <c r="CY331" s="39"/>
      <c r="CZ331" s="39">
        <f t="shared" ref="CZ331:CZ394" si="224">BX331</f>
        <v>0.14475972759794076</v>
      </c>
      <c r="DA331" s="39">
        <v>3.7</v>
      </c>
      <c r="DB331" s="39">
        <v>4.3</v>
      </c>
      <c r="DC331" s="39">
        <f t="shared" ref="DC331:DC394" si="225">BY331</f>
        <v>3.5674612316795713</v>
      </c>
      <c r="DD331" s="39">
        <v>4</v>
      </c>
      <c r="DE331" s="39">
        <v>2.5999999999999999E-2</v>
      </c>
      <c r="DF331" s="37"/>
      <c r="DG331" s="39">
        <f t="shared" ref="DG331:DG394" si="226">CL331</f>
        <v>0</v>
      </c>
      <c r="DH331" s="39">
        <f t="shared" ref="DH331:DH394" si="227">1000*DE331/8.834</f>
        <v>2.9431741000679197</v>
      </c>
      <c r="DI331" s="37"/>
      <c r="DJ331" s="37"/>
      <c r="DK331" s="37"/>
      <c r="DL331" s="37"/>
      <c r="DM331" s="39">
        <f t="shared" si="180"/>
        <v>0.7015762592049487</v>
      </c>
      <c r="DN331" s="39"/>
      <c r="DO331" s="39">
        <f t="shared" si="181"/>
        <v>0.7015762592049487</v>
      </c>
      <c r="DP331" s="37"/>
      <c r="DQ331" s="37">
        <f>DO331/'Conversions, Sources &amp; Comments'!E329</f>
        <v>1.4632684644928102</v>
      </c>
    </row>
    <row r="332" spans="1:121">
      <c r="A332" s="42">
        <f t="shared" ref="A332:A395" si="228">A331+1</f>
        <v>1580</v>
      </c>
      <c r="B332" s="36"/>
      <c r="C332" s="38">
        <v>20</v>
      </c>
      <c r="D332" s="38">
        <v>0</v>
      </c>
      <c r="E332" s="38">
        <v>14</v>
      </c>
      <c r="F332" s="38">
        <v>2.5</v>
      </c>
      <c r="G332" s="38">
        <v>5</v>
      </c>
      <c r="H332" s="38">
        <v>0</v>
      </c>
      <c r="I332" s="38">
        <v>18</v>
      </c>
      <c r="J332" s="38">
        <v>2.75</v>
      </c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8">
        <v>28.5</v>
      </c>
      <c r="V332" s="36"/>
      <c r="W332" s="36"/>
      <c r="X332" s="36"/>
      <c r="Y332" s="36"/>
      <c r="Z332" s="38">
        <v>3</v>
      </c>
      <c r="AA332" s="38">
        <v>1.5</v>
      </c>
      <c r="AB332" s="36"/>
      <c r="AC332" s="38">
        <v>1</v>
      </c>
      <c r="AD332" s="38">
        <v>3</v>
      </c>
      <c r="AE332" s="38">
        <v>1</v>
      </c>
      <c r="AF332" s="38">
        <v>3.75</v>
      </c>
      <c r="AG332" s="36"/>
      <c r="AH332" s="36"/>
      <c r="AI332" s="38">
        <v>7</v>
      </c>
      <c r="AJ332" s="38">
        <v>1.5</v>
      </c>
      <c r="AK332" s="36"/>
      <c r="AL332" s="36"/>
      <c r="AM332" s="38">
        <v>16</v>
      </c>
      <c r="AN332" s="38">
        <v>8</v>
      </c>
      <c r="AO332" s="38">
        <v>2</v>
      </c>
      <c r="AP332" s="38">
        <v>8</v>
      </c>
      <c r="AQ332" s="38" t="s">
        <v>8</v>
      </c>
      <c r="AR332" s="36"/>
      <c r="AS332" s="36"/>
      <c r="AT332" s="36"/>
      <c r="AU332" s="36"/>
      <c r="AV332" s="36"/>
      <c r="AW332" s="36"/>
      <c r="AX332" s="38">
        <v>16</v>
      </c>
      <c r="AY332" s="36"/>
      <c r="AZ332" s="38">
        <v>82</v>
      </c>
      <c r="BA332" s="36"/>
      <c r="BB332" s="36"/>
      <c r="BC332" s="36"/>
      <c r="BD332" s="36"/>
      <c r="BE332" s="36"/>
      <c r="BF332" s="38">
        <v>2.4</v>
      </c>
      <c r="BG332" s="59">
        <v>13.35</v>
      </c>
      <c r="BH332" s="59">
        <v>1.67</v>
      </c>
      <c r="BI332" s="59">
        <v>0.23904375979488221</v>
      </c>
      <c r="BJ332" s="59"/>
      <c r="BK332" s="38">
        <v>3.7260000000000004</v>
      </c>
      <c r="BL332" s="59">
        <v>1.58</v>
      </c>
      <c r="BM332" s="36"/>
      <c r="BN332" s="38">
        <v>60</v>
      </c>
      <c r="BO332" s="36"/>
      <c r="BP332" s="39">
        <f t="shared" si="221"/>
        <v>0.47945833333333338</v>
      </c>
      <c r="BQ332" s="37"/>
      <c r="BR332" s="39">
        <f t="shared" si="222"/>
        <v>0.40818860321244116</v>
      </c>
      <c r="BS332" s="39">
        <f t="shared" si="196"/>
        <v>0.63421533007636821</v>
      </c>
      <c r="BT332" s="39">
        <f t="shared" si="212"/>
        <v>21.498022382618842</v>
      </c>
      <c r="BU332" s="37"/>
      <c r="BV332" s="39">
        <f t="shared" si="177"/>
        <v>0.27246589264430449</v>
      </c>
      <c r="BW332" s="39">
        <f t="shared" si="217"/>
        <v>1.5130632446545496</v>
      </c>
      <c r="BX332" s="39">
        <f t="shared" si="178"/>
        <v>0.16807673070096479</v>
      </c>
      <c r="BY332" s="39">
        <f t="shared" si="216"/>
        <v>3.3032048441477513</v>
      </c>
      <c r="BZ332" s="37"/>
      <c r="CA332" s="39">
        <f t="shared" si="218"/>
        <v>3.9384945655768435</v>
      </c>
      <c r="CB332" s="39">
        <f t="shared" si="219"/>
        <v>1.6701077331216887</v>
      </c>
      <c r="CC332" s="39">
        <f t="shared" si="206"/>
        <v>0.22774270833333335</v>
      </c>
      <c r="CD332" s="39">
        <f t="shared" si="223"/>
        <v>9.5891666666666681E-2</v>
      </c>
      <c r="CE332" s="37"/>
      <c r="CF332" s="37"/>
      <c r="CG332" s="39">
        <f>BP332*(12*AO332+AP332)/4.55</f>
        <v>3.3720146520146526</v>
      </c>
      <c r="CH332" s="37"/>
      <c r="CI332" s="37"/>
      <c r="CJ332" s="37"/>
      <c r="CK332" s="39">
        <f>BP332*(12*AC332+AD332)/(35.238*8)</f>
        <v>2.5511787700777572E-2</v>
      </c>
      <c r="CL332" s="37"/>
      <c r="CM332" s="39">
        <f>BP332*(12*$AC332+$AD332)/(35.238*8)/0.283</f>
        <v>9.0147659720062098E-2</v>
      </c>
      <c r="CN332" s="37"/>
      <c r="CO332" s="39">
        <f>0.063495+(0.016949+0.014096)*Wages!P330+1.22592*BR332</f>
        <v>0.80205811578352915</v>
      </c>
      <c r="CP332" s="39"/>
      <c r="CQ332" s="39">
        <f t="shared" si="201"/>
        <v>0.63421533007636821</v>
      </c>
      <c r="CR332" s="39">
        <f t="shared" si="192"/>
        <v>0.27246589264430449</v>
      </c>
      <c r="CS332" s="39">
        <f t="shared" si="192"/>
        <v>1.5130632446545496</v>
      </c>
      <c r="CT332" s="39">
        <f t="shared" si="220"/>
        <v>3.9384945655768435</v>
      </c>
      <c r="CU332" s="39">
        <f t="shared" si="220"/>
        <v>1.6701077331216887</v>
      </c>
      <c r="CV332" s="39">
        <f t="shared" si="220"/>
        <v>0.22774270833333335</v>
      </c>
      <c r="CW332" s="39">
        <f t="shared" si="220"/>
        <v>9.5891666666666681E-2</v>
      </c>
      <c r="CX332" s="39"/>
      <c r="CY332" s="39"/>
      <c r="CZ332" s="39">
        <f t="shared" si="224"/>
        <v>0.16807673070096479</v>
      </c>
      <c r="DA332" s="39">
        <v>3.7</v>
      </c>
      <c r="DB332" s="39">
        <v>4.3</v>
      </c>
      <c r="DC332" s="39">
        <f t="shared" si="225"/>
        <v>3.3032048441477513</v>
      </c>
      <c r="DD332" s="39">
        <f>CG332</f>
        <v>3.3720146520146526</v>
      </c>
      <c r="DE332" s="39">
        <f>CK332</f>
        <v>2.5511787700777572E-2</v>
      </c>
      <c r="DF332" s="37"/>
      <c r="DG332" s="39">
        <f t="shared" si="226"/>
        <v>0</v>
      </c>
      <c r="DH332" s="39">
        <f t="shared" si="227"/>
        <v>2.8879089541292249</v>
      </c>
      <c r="DI332" s="37"/>
      <c r="DJ332" s="37"/>
      <c r="DK332" s="37"/>
      <c r="DL332" s="37"/>
      <c r="DM332" s="39">
        <f t="shared" si="180"/>
        <v>0.73137730749031238</v>
      </c>
      <c r="DN332" s="39"/>
      <c r="DO332" s="39">
        <f t="shared" si="181"/>
        <v>0.73137730749031238</v>
      </c>
      <c r="DP332" s="37"/>
      <c r="DQ332" s="37">
        <f>DO332/'Conversions, Sources &amp; Comments'!E330</f>
        <v>1.5254241226877114</v>
      </c>
    </row>
    <row r="333" spans="1:121">
      <c r="A333" s="42">
        <f t="shared" si="228"/>
        <v>1581</v>
      </c>
      <c r="B333" s="36"/>
      <c r="C333" s="38">
        <v>21</v>
      </c>
      <c r="D333" s="38">
        <v>5.25</v>
      </c>
      <c r="E333" s="36"/>
      <c r="F333" s="36"/>
      <c r="G333" s="38">
        <v>6</v>
      </c>
      <c r="H333" s="38">
        <v>4.25</v>
      </c>
      <c r="I333" s="38">
        <v>20</v>
      </c>
      <c r="J333" s="38">
        <v>0</v>
      </c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8">
        <v>28.5</v>
      </c>
      <c r="V333" s="36"/>
      <c r="W333" s="36"/>
      <c r="X333" s="38">
        <v>10</v>
      </c>
      <c r="Y333" s="38">
        <v>5.25</v>
      </c>
      <c r="Z333" s="38">
        <v>2</v>
      </c>
      <c r="AA333" s="38">
        <v>11.5</v>
      </c>
      <c r="AB333" s="36"/>
      <c r="AC333" s="38" t="s">
        <v>8</v>
      </c>
      <c r="AD333" s="36"/>
      <c r="AE333" s="38">
        <v>1</v>
      </c>
      <c r="AF333" s="38">
        <v>3.75</v>
      </c>
      <c r="AG333" s="38">
        <v>20</v>
      </c>
      <c r="AH333" s="38">
        <v>0</v>
      </c>
      <c r="AI333" s="38">
        <v>5</v>
      </c>
      <c r="AJ333" s="38">
        <v>3.5</v>
      </c>
      <c r="AK333" s="36"/>
      <c r="AL333" s="36"/>
      <c r="AM333" s="38">
        <v>20</v>
      </c>
      <c r="AN333" s="38">
        <v>0</v>
      </c>
      <c r="AO333" s="36"/>
      <c r="AP333" s="36"/>
      <c r="AQ333" s="36"/>
      <c r="AR333" s="36"/>
      <c r="AS333" s="36"/>
      <c r="AT333" s="36"/>
      <c r="AU333" s="36"/>
      <c r="AV333" s="36"/>
      <c r="AW333" s="36"/>
      <c r="AX333" s="38">
        <v>14.6</v>
      </c>
      <c r="AY333" s="36"/>
      <c r="AZ333" s="38">
        <v>83</v>
      </c>
      <c r="BA333" s="36"/>
      <c r="BB333" s="36"/>
      <c r="BC333" s="38">
        <v>5.33</v>
      </c>
      <c r="BD333" s="36"/>
      <c r="BE333" s="36"/>
      <c r="BF333" s="38">
        <v>2.4</v>
      </c>
      <c r="BG333" s="59">
        <v>13.99</v>
      </c>
      <c r="BH333" s="59">
        <v>1.58</v>
      </c>
      <c r="BI333" s="59">
        <v>0.21969917807737641</v>
      </c>
      <c r="BJ333" s="59"/>
      <c r="BK333" s="38">
        <v>3.78</v>
      </c>
      <c r="BL333" s="59">
        <v>1.62</v>
      </c>
      <c r="BM333" s="36"/>
      <c r="BN333" s="38">
        <v>60</v>
      </c>
      <c r="BO333" s="36"/>
      <c r="BP333" s="39">
        <f t="shared" si="221"/>
        <v>0.47945833333333338</v>
      </c>
      <c r="BQ333" s="37"/>
      <c r="BR333" s="39">
        <f t="shared" si="222"/>
        <v>0.43752715906833534</v>
      </c>
      <c r="BS333" s="39">
        <f t="shared" si="196"/>
        <v>0.63421533007636821</v>
      </c>
      <c r="BT333" s="39">
        <f t="shared" si="212"/>
        <v>21.760193387284925</v>
      </c>
      <c r="BU333" s="37"/>
      <c r="BV333" s="39">
        <f t="shared" si="177"/>
        <v>0.28552792794710258</v>
      </c>
      <c r="BW333" s="39">
        <f t="shared" si="217"/>
        <v>1.4315209141043046</v>
      </c>
      <c r="BX333" s="39">
        <f t="shared" si="178"/>
        <v>0.1544751455575335</v>
      </c>
      <c r="BY333" s="39">
        <f t="shared" si="216"/>
        <v>3.1270339191265375</v>
      </c>
      <c r="BZ333" s="37"/>
      <c r="CA333" s="39">
        <f t="shared" si="218"/>
        <v>3.9955741969620142</v>
      </c>
      <c r="CB333" s="39">
        <f t="shared" si="219"/>
        <v>1.7123889415551492</v>
      </c>
      <c r="CC333" s="39">
        <f t="shared" si="206"/>
        <v>0.22774270833333335</v>
      </c>
      <c r="CD333" s="39">
        <f t="shared" si="223"/>
        <v>0.11507000000000001</v>
      </c>
      <c r="CE333" s="37"/>
      <c r="CF333" s="37"/>
      <c r="CG333" s="37"/>
      <c r="CH333" s="37"/>
      <c r="CI333" s="37"/>
      <c r="CJ333" s="37"/>
      <c r="CK333" s="37"/>
      <c r="CL333" s="39">
        <f>BP333*(12*AG333+AH333)/100</f>
        <v>1.1507000000000001</v>
      </c>
      <c r="CM333" s="37"/>
      <c r="CN333" s="37"/>
      <c r="CO333" s="39">
        <f>0.063495+(0.016949+0.014096)*Wages!P331+1.22592*BR333</f>
        <v>0.83802483817838691</v>
      </c>
      <c r="CP333" s="39"/>
      <c r="CQ333" s="39">
        <f t="shared" si="201"/>
        <v>0.63421533007636821</v>
      </c>
      <c r="CR333" s="39">
        <f t="shared" si="192"/>
        <v>0.28552792794710258</v>
      </c>
      <c r="CS333" s="39">
        <f t="shared" si="192"/>
        <v>1.4315209141043046</v>
      </c>
      <c r="CT333" s="39">
        <f t="shared" si="220"/>
        <v>3.9955741969620142</v>
      </c>
      <c r="CU333" s="39">
        <f t="shared" si="220"/>
        <v>1.7123889415551492</v>
      </c>
      <c r="CV333" s="39">
        <f t="shared" si="220"/>
        <v>0.22774270833333335</v>
      </c>
      <c r="CW333" s="39">
        <f t="shared" si="220"/>
        <v>0.11507000000000001</v>
      </c>
      <c r="CX333" s="39"/>
      <c r="CY333" s="39"/>
      <c r="CZ333" s="39">
        <f t="shared" si="224"/>
        <v>0.1544751455575335</v>
      </c>
      <c r="DA333" s="39">
        <v>3.7</v>
      </c>
      <c r="DB333" s="39">
        <v>4.3</v>
      </c>
      <c r="DC333" s="39">
        <f t="shared" si="225"/>
        <v>3.1270339191265375</v>
      </c>
      <c r="DD333" s="39">
        <v>3.4</v>
      </c>
      <c r="DE333" s="39">
        <v>2.5999999999999999E-2</v>
      </c>
      <c r="DF333" s="37"/>
      <c r="DG333" s="39">
        <f t="shared" si="226"/>
        <v>1.1507000000000001</v>
      </c>
      <c r="DH333" s="39">
        <f t="shared" si="227"/>
        <v>2.9431741000679197</v>
      </c>
      <c r="DI333" s="37"/>
      <c r="DJ333" s="37"/>
      <c r="DK333" s="37"/>
      <c r="DL333" s="37"/>
      <c r="DM333" s="39">
        <f t="shared" si="180"/>
        <v>0.72292068022633604</v>
      </c>
      <c r="DN333" s="39"/>
      <c r="DO333" s="39">
        <f t="shared" si="181"/>
        <v>0.72292068022633604</v>
      </c>
      <c r="DP333" s="37"/>
      <c r="DQ333" s="37">
        <f>DO333/'Conversions, Sources &amp; Comments'!E331</f>
        <v>1.5077862453664781</v>
      </c>
    </row>
    <row r="334" spans="1:121">
      <c r="A334" s="42">
        <f t="shared" si="228"/>
        <v>1582</v>
      </c>
      <c r="B334" s="36"/>
      <c r="C334" s="38">
        <v>19</v>
      </c>
      <c r="D334" s="38">
        <v>1.5</v>
      </c>
      <c r="E334" s="38">
        <v>13</v>
      </c>
      <c r="F334" s="38">
        <v>0</v>
      </c>
      <c r="G334" s="36"/>
      <c r="H334" s="36"/>
      <c r="I334" s="38">
        <v>22</v>
      </c>
      <c r="J334" s="38">
        <v>0</v>
      </c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8">
        <v>28.5</v>
      </c>
      <c r="V334" s="36"/>
      <c r="W334" s="36"/>
      <c r="X334" s="38">
        <v>10</v>
      </c>
      <c r="Y334" s="38">
        <v>0</v>
      </c>
      <c r="Z334" s="38">
        <v>2</v>
      </c>
      <c r="AA334" s="38">
        <v>11</v>
      </c>
      <c r="AB334" s="36"/>
      <c r="AC334" s="38">
        <v>1</v>
      </c>
      <c r="AD334" s="38">
        <v>4</v>
      </c>
      <c r="AE334" s="38">
        <v>1</v>
      </c>
      <c r="AF334" s="38">
        <v>3.75</v>
      </c>
      <c r="AG334" s="36"/>
      <c r="AH334" s="36"/>
      <c r="AI334" s="38">
        <v>6</v>
      </c>
      <c r="AJ334" s="38">
        <v>9.25</v>
      </c>
      <c r="AK334" s="36"/>
      <c r="AL334" s="36"/>
      <c r="AM334" s="38">
        <v>20</v>
      </c>
      <c r="AN334" s="38">
        <v>0</v>
      </c>
      <c r="AO334" s="36"/>
      <c r="AP334" s="36"/>
      <c r="AQ334" s="36"/>
      <c r="AR334" s="36"/>
      <c r="AS334" s="36"/>
      <c r="AT334" s="36"/>
      <c r="AU334" s="36"/>
      <c r="AV334" s="36"/>
      <c r="AW334" s="36"/>
      <c r="AX334" s="38">
        <v>14</v>
      </c>
      <c r="AY334" s="38">
        <v>10.63</v>
      </c>
      <c r="AZ334" s="38">
        <v>83</v>
      </c>
      <c r="BA334" s="36"/>
      <c r="BB334" s="38">
        <v>186</v>
      </c>
      <c r="BC334" s="36"/>
      <c r="BD334" s="36"/>
      <c r="BE334" s="36"/>
      <c r="BF334" s="38">
        <v>2.4</v>
      </c>
      <c r="BG334" s="59">
        <v>13.6</v>
      </c>
      <c r="BH334" s="59">
        <v>1.58</v>
      </c>
      <c r="BI334" s="59">
        <v>0.20449986387076496</v>
      </c>
      <c r="BJ334" s="59"/>
      <c r="BK334" s="38">
        <v>3.9555000000000002</v>
      </c>
      <c r="BL334" s="59">
        <v>1.63</v>
      </c>
      <c r="BM334" s="38"/>
      <c r="BN334" s="38">
        <v>60</v>
      </c>
      <c r="BO334" s="36"/>
      <c r="BP334" s="39">
        <f t="shared" si="221"/>
        <v>0.47945833333333338</v>
      </c>
      <c r="BQ334" s="37"/>
      <c r="BR334" s="39">
        <f t="shared" si="222"/>
        <v>0.39033035182189685</v>
      </c>
      <c r="BS334" s="39">
        <f t="shared" si="196"/>
        <v>0.63421533007636821</v>
      </c>
      <c r="BT334" s="39">
        <f t="shared" si="212"/>
        <v>21.760193387284925</v>
      </c>
      <c r="BU334" s="39">
        <f>$BP334*12*AY334/(12*(45/36)*0.9144)</f>
        <v>4.4590044473607477</v>
      </c>
      <c r="BV334" s="39">
        <f t="shared" si="177"/>
        <v>0.27756825018445996</v>
      </c>
      <c r="BW334" s="39">
        <f t="shared" si="217"/>
        <v>1.4315209141043046</v>
      </c>
      <c r="BX334" s="39">
        <f t="shared" si="178"/>
        <v>0.14378818580198052</v>
      </c>
      <c r="BY334" s="39">
        <f t="shared" si="216"/>
        <v>3.0829911878712344</v>
      </c>
      <c r="BZ334" s="37"/>
      <c r="CA334" s="39">
        <f t="shared" si="218"/>
        <v>4.1810829989638227</v>
      </c>
      <c r="CB334" s="39">
        <f t="shared" si="219"/>
        <v>1.7229592436635142</v>
      </c>
      <c r="CC334" s="39">
        <f t="shared" si="206"/>
        <v>0.22774270833333335</v>
      </c>
      <c r="CD334" s="39">
        <f t="shared" si="223"/>
        <v>0.11507000000000001</v>
      </c>
      <c r="CE334" s="37"/>
      <c r="CF334" s="37"/>
      <c r="CG334" s="37"/>
      <c r="CH334" s="37"/>
      <c r="CI334" s="37"/>
      <c r="CJ334" s="37"/>
      <c r="CK334" s="39">
        <f t="shared" ref="CK334:CK366" si="229">BP334*(12*AC334+AD334)/(35.238*8)</f>
        <v>2.7212573547496077E-2</v>
      </c>
      <c r="CL334" s="37"/>
      <c r="CM334" s="39">
        <f t="shared" ref="CM334:CM366" si="230">BP334*(12*$AC334+$AD334)/(35.238*8)/0.283</f>
        <v>9.6157503701399569E-2</v>
      </c>
      <c r="CN334" s="37"/>
      <c r="CO334" s="39">
        <f>0.063495+(0.016949+0.014096)*Wages!P332+1.22592*BR334</f>
        <v>0.780165328238833</v>
      </c>
      <c r="CP334" s="39"/>
      <c r="CQ334" s="39">
        <f t="shared" si="201"/>
        <v>0.63421533007636821</v>
      </c>
      <c r="CR334" s="39">
        <f t="shared" si="192"/>
        <v>0.27756825018445996</v>
      </c>
      <c r="CS334" s="39">
        <f t="shared" si="192"/>
        <v>1.4315209141043046</v>
      </c>
      <c r="CT334" s="39">
        <f t="shared" si="220"/>
        <v>4.1810829989638227</v>
      </c>
      <c r="CU334" s="39">
        <f t="shared" si="220"/>
        <v>1.7229592436635142</v>
      </c>
      <c r="CV334" s="39">
        <f t="shared" si="220"/>
        <v>0.22774270833333335</v>
      </c>
      <c r="CW334" s="39">
        <f t="shared" si="220"/>
        <v>0.11507000000000001</v>
      </c>
      <c r="CX334" s="39"/>
      <c r="CY334" s="39"/>
      <c r="CZ334" s="39">
        <f t="shared" si="224"/>
        <v>0.14378818580198052</v>
      </c>
      <c r="DA334" s="39">
        <v>3.7</v>
      </c>
      <c r="DB334" s="39">
        <f>BU334</f>
        <v>4.4590044473607477</v>
      </c>
      <c r="DC334" s="39">
        <f t="shared" si="225"/>
        <v>3.0829911878712344</v>
      </c>
      <c r="DD334" s="39">
        <v>3.4</v>
      </c>
      <c r="DE334" s="39">
        <f t="shared" ref="DE334:DE366" si="231">CK334</f>
        <v>2.7212573547496077E-2</v>
      </c>
      <c r="DF334" s="37"/>
      <c r="DG334" s="39">
        <f t="shared" si="226"/>
        <v>0</v>
      </c>
      <c r="DH334" s="39">
        <f t="shared" si="227"/>
        <v>3.0804362177378399</v>
      </c>
      <c r="DI334" s="37"/>
      <c r="DJ334" s="37"/>
      <c r="DK334" s="37"/>
      <c r="DL334" s="37"/>
      <c r="DM334" s="39">
        <f t="shared" si="180"/>
        <v>0.72298696904838911</v>
      </c>
      <c r="DN334" s="39"/>
      <c r="DO334" s="39">
        <f t="shared" si="181"/>
        <v>0.72298696904838911</v>
      </c>
      <c r="DP334" s="37"/>
      <c r="DQ334" s="37">
        <f>DO334/'Conversions, Sources &amp; Comments'!E332</f>
        <v>1.5079245030990993</v>
      </c>
    </row>
    <row r="335" spans="1:121">
      <c r="A335" s="42">
        <f t="shared" si="228"/>
        <v>1583</v>
      </c>
      <c r="B335" s="36"/>
      <c r="C335" s="38">
        <v>20</v>
      </c>
      <c r="D335" s="38">
        <v>0</v>
      </c>
      <c r="E335" s="38">
        <v>10</v>
      </c>
      <c r="F335" s="38">
        <v>4.5</v>
      </c>
      <c r="G335" s="38">
        <v>7</v>
      </c>
      <c r="H335" s="38">
        <v>4.5</v>
      </c>
      <c r="I335" s="38">
        <v>11</v>
      </c>
      <c r="J335" s="38">
        <v>10.5</v>
      </c>
      <c r="K335" s="38">
        <v>1</v>
      </c>
      <c r="L335" s="38">
        <v>9</v>
      </c>
      <c r="M335" s="36"/>
      <c r="N335" s="36"/>
      <c r="O335" s="36"/>
      <c r="P335" s="36"/>
      <c r="Q335" s="36"/>
      <c r="R335" s="36"/>
      <c r="S335" s="38">
        <v>2</v>
      </c>
      <c r="T335" s="38">
        <v>4</v>
      </c>
      <c r="U335" s="36"/>
      <c r="V335" s="36"/>
      <c r="W335" s="36"/>
      <c r="X335" s="36"/>
      <c r="Y335" s="36"/>
      <c r="Z335" s="38">
        <v>3</v>
      </c>
      <c r="AA335" s="38">
        <v>1.75</v>
      </c>
      <c r="AB335" s="36"/>
      <c r="AC335" s="38">
        <v>1</v>
      </c>
      <c r="AD335" s="38">
        <v>4</v>
      </c>
      <c r="AE335" s="38">
        <v>1</v>
      </c>
      <c r="AF335" s="38">
        <v>5</v>
      </c>
      <c r="AG335" s="38">
        <v>16</v>
      </c>
      <c r="AH335" s="38">
        <v>0</v>
      </c>
      <c r="AI335" s="38">
        <v>7</v>
      </c>
      <c r="AJ335" s="38">
        <v>2</v>
      </c>
      <c r="AK335" s="36"/>
      <c r="AL335" s="36"/>
      <c r="AM335" s="38">
        <v>21</v>
      </c>
      <c r="AN335" s="38">
        <v>1</v>
      </c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8">
        <v>83</v>
      </c>
      <c r="BA335" s="36"/>
      <c r="BB335" s="36"/>
      <c r="BC335" s="38">
        <v>5.33</v>
      </c>
      <c r="BD335" s="36"/>
      <c r="BE335" s="36"/>
      <c r="BF335" s="38">
        <v>2.2999999999999998</v>
      </c>
      <c r="BG335" s="59">
        <v>15.07</v>
      </c>
      <c r="BH335" s="59">
        <v>1.75</v>
      </c>
      <c r="BI335" s="59">
        <v>0.20449986387076496</v>
      </c>
      <c r="BJ335" s="59"/>
      <c r="BK335" s="38">
        <v>3.24</v>
      </c>
      <c r="BL335" s="59">
        <v>1.46</v>
      </c>
      <c r="BM335" s="36"/>
      <c r="BN335" s="38">
        <v>60</v>
      </c>
      <c r="BO335" s="36"/>
      <c r="BP335" s="39">
        <f t="shared" si="221"/>
        <v>0.47945833333333338</v>
      </c>
      <c r="BQ335" s="37"/>
      <c r="BR335" s="39">
        <f t="shared" si="222"/>
        <v>0.40818860321244116</v>
      </c>
      <c r="BS335" s="39">
        <f t="shared" si="196"/>
        <v>0.60778969132318617</v>
      </c>
      <c r="BT335" s="39">
        <f t="shared" si="212"/>
        <v>21.760193387284925</v>
      </c>
      <c r="BU335" s="37"/>
      <c r="BV335" s="39">
        <f t="shared" si="177"/>
        <v>0.30757011252057448</v>
      </c>
      <c r="BW335" s="39">
        <f t="shared" si="217"/>
        <v>1.5855453162547677</v>
      </c>
      <c r="BX335" s="39">
        <f t="shared" si="178"/>
        <v>0.14378818580198052</v>
      </c>
      <c r="BY335" s="39">
        <f t="shared" si="216"/>
        <v>3.3252262097754031</v>
      </c>
      <c r="BZ335" s="37"/>
      <c r="CA335" s="39">
        <f t="shared" si="218"/>
        <v>3.4247778831102984</v>
      </c>
      <c r="CB335" s="39">
        <f t="shared" si="219"/>
        <v>1.5432641078213072</v>
      </c>
      <c r="CC335" s="39">
        <f>2*BP335*(12*S335+T335)/120</f>
        <v>0.22374722222222224</v>
      </c>
      <c r="CD335" s="39">
        <f t="shared" si="223"/>
        <v>0.12130295833333335</v>
      </c>
      <c r="CE335" s="37"/>
      <c r="CF335" s="37"/>
      <c r="CG335" s="37"/>
      <c r="CH335" s="37"/>
      <c r="CI335" s="37"/>
      <c r="CJ335" s="37"/>
      <c r="CK335" s="39">
        <f t="shared" si="229"/>
        <v>2.7212573547496077E-2</v>
      </c>
      <c r="CL335" s="39">
        <f t="shared" ref="CL335:CL340" si="232">BP335*(12*AG335+AH335)/100</f>
        <v>0.92056000000000016</v>
      </c>
      <c r="CM335" s="39">
        <f t="shared" si="230"/>
        <v>9.6157503701399569E-2</v>
      </c>
      <c r="CN335" s="37"/>
      <c r="CO335" s="39">
        <f>0.063495+(0.016949+0.014096)*Wages!P333+1.22592*BR335</f>
        <v>0.80205811578352915</v>
      </c>
      <c r="CP335" s="39"/>
      <c r="CQ335" s="39">
        <f t="shared" si="201"/>
        <v>0.60778969132318617</v>
      </c>
      <c r="CR335" s="39">
        <f t="shared" si="192"/>
        <v>0.30757011252057448</v>
      </c>
      <c r="CS335" s="39">
        <f t="shared" si="192"/>
        <v>1.5855453162547677</v>
      </c>
      <c r="CT335" s="39">
        <f t="shared" si="220"/>
        <v>3.4247778831102984</v>
      </c>
      <c r="CU335" s="39">
        <f t="shared" si="220"/>
        <v>1.5432641078213072</v>
      </c>
      <c r="CV335" s="39">
        <f t="shared" si="220"/>
        <v>0.22374722222222224</v>
      </c>
      <c r="CW335" s="39">
        <f t="shared" si="220"/>
        <v>0.12130295833333335</v>
      </c>
      <c r="CX335" s="39"/>
      <c r="CY335" s="39"/>
      <c r="CZ335" s="39">
        <f t="shared" si="224"/>
        <v>0.14378818580198052</v>
      </c>
      <c r="DA335" s="39">
        <v>3.7</v>
      </c>
      <c r="DB335" s="39">
        <v>4.5999999999999996</v>
      </c>
      <c r="DC335" s="39">
        <f t="shared" si="225"/>
        <v>3.3252262097754031</v>
      </c>
      <c r="DD335" s="39">
        <v>3.4</v>
      </c>
      <c r="DE335" s="39">
        <f t="shared" si="231"/>
        <v>2.7212573547496077E-2</v>
      </c>
      <c r="DF335" s="37"/>
      <c r="DG335" s="39">
        <f t="shared" si="226"/>
        <v>0.92056000000000016</v>
      </c>
      <c r="DH335" s="39">
        <f t="shared" si="227"/>
        <v>3.0804362177378399</v>
      </c>
      <c r="DI335" s="37"/>
      <c r="DJ335" s="37"/>
      <c r="DK335" s="37"/>
      <c r="DL335" s="37"/>
      <c r="DM335" s="39">
        <f t="shared" si="180"/>
        <v>0.71579265216540633</v>
      </c>
      <c r="DN335" s="39"/>
      <c r="DO335" s="39">
        <f t="shared" si="181"/>
        <v>0.71579265216540633</v>
      </c>
      <c r="DP335" s="37"/>
      <c r="DQ335" s="37">
        <f>DO335/'Conversions, Sources &amp; Comments'!E333</f>
        <v>1.4929194100955723</v>
      </c>
    </row>
    <row r="336" spans="1:121">
      <c r="A336" s="42">
        <f t="shared" si="228"/>
        <v>1584</v>
      </c>
      <c r="B336" s="36"/>
      <c r="C336" s="38">
        <v>18</v>
      </c>
      <c r="D336" s="38">
        <v>9.5</v>
      </c>
      <c r="E336" s="38">
        <v>10</v>
      </c>
      <c r="F336" s="38">
        <v>8.75</v>
      </c>
      <c r="G336" s="38">
        <v>6</v>
      </c>
      <c r="H336" s="38">
        <v>8</v>
      </c>
      <c r="I336" s="38">
        <v>10</v>
      </c>
      <c r="J336" s="38">
        <v>8.5</v>
      </c>
      <c r="K336" s="38">
        <v>1</v>
      </c>
      <c r="L336" s="38">
        <v>7.5</v>
      </c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8">
        <v>3</v>
      </c>
      <c r="AA336" s="38">
        <v>4</v>
      </c>
      <c r="AB336" s="36"/>
      <c r="AC336" s="38">
        <v>1</v>
      </c>
      <c r="AD336" s="38">
        <v>6.5</v>
      </c>
      <c r="AE336" s="38">
        <v>1</v>
      </c>
      <c r="AF336" s="38">
        <v>5</v>
      </c>
      <c r="AG336" s="38">
        <v>16</v>
      </c>
      <c r="AH336" s="38">
        <v>0</v>
      </c>
      <c r="AI336" s="38">
        <v>7</v>
      </c>
      <c r="AJ336" s="38">
        <v>6</v>
      </c>
      <c r="AK336" s="36"/>
      <c r="AL336" s="36"/>
      <c r="AM336" s="38">
        <v>21</v>
      </c>
      <c r="AN336" s="38">
        <v>1</v>
      </c>
      <c r="AO336" s="36"/>
      <c r="AP336" s="36"/>
      <c r="AQ336" s="36"/>
      <c r="AR336" s="36"/>
      <c r="AS336" s="36"/>
      <c r="AT336" s="36"/>
      <c r="AU336" s="36"/>
      <c r="AV336" s="36"/>
      <c r="AW336" s="36"/>
      <c r="AX336" s="38">
        <v>32</v>
      </c>
      <c r="AY336" s="38">
        <v>11.5</v>
      </c>
      <c r="AZ336" s="38">
        <v>83</v>
      </c>
      <c r="BA336" s="36"/>
      <c r="BB336" s="36"/>
      <c r="BC336" s="38">
        <v>5.42</v>
      </c>
      <c r="BD336" s="36"/>
      <c r="BE336" s="36"/>
      <c r="BF336" s="38">
        <v>2.2999999999999998</v>
      </c>
      <c r="BG336" s="59">
        <v>13.22</v>
      </c>
      <c r="BH336" s="59">
        <v>1.67</v>
      </c>
      <c r="BI336" s="59">
        <v>0.19482757301201375</v>
      </c>
      <c r="BJ336" s="59"/>
      <c r="BK336" s="38">
        <v>3.5640000000000005</v>
      </c>
      <c r="BL336" s="59">
        <v>1.65</v>
      </c>
      <c r="BM336" s="38"/>
      <c r="BN336" s="38">
        <v>60</v>
      </c>
      <c r="BO336" s="36"/>
      <c r="BP336" s="39">
        <f t="shared" si="221"/>
        <v>0.47945833333333338</v>
      </c>
      <c r="BQ336" s="37"/>
      <c r="BR336" s="39">
        <f t="shared" si="222"/>
        <v>0.3835272084350228</v>
      </c>
      <c r="BS336" s="39">
        <f t="shared" si="196"/>
        <v>0.60778969132318617</v>
      </c>
      <c r="BT336" s="39">
        <f t="shared" si="212"/>
        <v>21.760193387284925</v>
      </c>
      <c r="BU336" s="39">
        <f>$BP336*12*AY336/(12*(45/36)*0.9144)</f>
        <v>4.8239464858559362</v>
      </c>
      <c r="BV336" s="39">
        <f t="shared" ref="BV336:BV399" si="233">$BP336*12*$BG336/(8*35.238)</f>
        <v>0.26981266672342363</v>
      </c>
      <c r="BW336" s="39">
        <f t="shared" si="217"/>
        <v>1.5130632446545496</v>
      </c>
      <c r="BX336" s="39">
        <f t="shared" ref="BX336:BX399" si="234">$BP336*240*$BI336/(36*4.546)</f>
        <v>0.13698739323026607</v>
      </c>
      <c r="BY336" s="39">
        <f t="shared" si="216"/>
        <v>3.5234185004242682</v>
      </c>
      <c r="BZ336" s="37"/>
      <c r="CA336" s="39">
        <f t="shared" si="218"/>
        <v>3.7672556714213288</v>
      </c>
      <c r="CB336" s="39">
        <f t="shared" si="219"/>
        <v>1.7440998478802443</v>
      </c>
      <c r="CC336" s="37"/>
      <c r="CD336" s="39">
        <f t="shared" si="223"/>
        <v>0.12130295833333335</v>
      </c>
      <c r="CE336" s="37"/>
      <c r="CF336" s="37"/>
      <c r="CG336" s="37"/>
      <c r="CH336" s="37"/>
      <c r="CI336" s="37"/>
      <c r="CJ336" s="37"/>
      <c r="CK336" s="39">
        <f t="shared" si="229"/>
        <v>3.1464538164292337E-2</v>
      </c>
      <c r="CL336" s="39">
        <f t="shared" si="232"/>
        <v>0.92056000000000016</v>
      </c>
      <c r="CM336" s="39">
        <f t="shared" si="230"/>
        <v>0.11118211365474324</v>
      </c>
      <c r="CN336" s="37"/>
      <c r="CO336" s="39">
        <f>0.063495+(0.016949+0.014096)*Wages!P334+1.22592*BR336</f>
        <v>0.77182521869799636</v>
      </c>
      <c r="CP336" s="39"/>
      <c r="CQ336" s="39">
        <f t="shared" si="201"/>
        <v>0.60778969132318617</v>
      </c>
      <c r="CR336" s="39">
        <f t="shared" si="192"/>
        <v>0.26981266672342363</v>
      </c>
      <c r="CS336" s="39">
        <f t="shared" si="192"/>
        <v>1.5130632446545496</v>
      </c>
      <c r="CT336" s="39">
        <f t="shared" si="220"/>
        <v>3.7672556714213288</v>
      </c>
      <c r="CU336" s="39">
        <f t="shared" si="220"/>
        <v>1.7440998478802443</v>
      </c>
      <c r="CV336" s="39">
        <v>0.21</v>
      </c>
      <c r="CW336" s="39">
        <f t="shared" si="220"/>
        <v>0.12130295833333335</v>
      </c>
      <c r="CX336" s="39"/>
      <c r="CY336" s="39"/>
      <c r="CZ336" s="39">
        <f t="shared" si="224"/>
        <v>0.13698739323026607</v>
      </c>
      <c r="DA336" s="39">
        <v>3.7</v>
      </c>
      <c r="DB336" s="39">
        <f>BU336</f>
        <v>4.8239464858559362</v>
      </c>
      <c r="DC336" s="39">
        <f t="shared" si="225"/>
        <v>3.5234185004242682</v>
      </c>
      <c r="DD336" s="39">
        <v>3.5</v>
      </c>
      <c r="DE336" s="39">
        <f t="shared" si="231"/>
        <v>3.1464538164292337E-2</v>
      </c>
      <c r="DF336" s="37"/>
      <c r="DG336" s="39">
        <f t="shared" si="226"/>
        <v>0.92056000000000016</v>
      </c>
      <c r="DH336" s="39">
        <f t="shared" si="227"/>
        <v>3.5617543767593771</v>
      </c>
      <c r="DI336" s="37"/>
      <c r="DJ336" s="37"/>
      <c r="DK336" s="37"/>
      <c r="DL336" s="37"/>
      <c r="DM336" s="39">
        <f t="shared" ref="DM336:DM399" si="235">($CQ$6*$CQ336+$CR$6*$CR336+$CS$6*$CS336+$CT$6*$CT336+$CU$6*$CU336+$CV$6*$CV336+$CZ$6*$CZ336+$DA$6*$DA336+$DB$6*$DB336+$DC$6*$DC336+$DD$6*$DD336+$DH$6*$DH336)/414.8987</f>
        <v>0.71898941484731693</v>
      </c>
      <c r="DN336" s="39"/>
      <c r="DO336" s="39">
        <f t="shared" ref="DO336:DO399" si="236">($CQ$6*$CQ336+$CR$6*$CR336+$CS$6*$CS336+$CT$6*$CT336+$CU$6*$CU336+$CV$6*$CV336+$CZ$6*$CZ336+$DA$6*$DA336+$DB$6*$DB336+$DC$6*$DC336+$DD$6*$DD336+$DH$6*$DH336)/414.8987</f>
        <v>0.71898941484731693</v>
      </c>
      <c r="DP336" s="37"/>
      <c r="DQ336" s="37">
        <f>DO336/'Conversions, Sources &amp; Comments'!E334</f>
        <v>1.499586856377475</v>
      </c>
    </row>
    <row r="337" spans="1:121">
      <c r="A337" s="42">
        <f t="shared" si="228"/>
        <v>1585</v>
      </c>
      <c r="B337" s="36"/>
      <c r="C337" s="38">
        <v>31</v>
      </c>
      <c r="D337" s="38">
        <v>0</v>
      </c>
      <c r="E337" s="38">
        <v>15</v>
      </c>
      <c r="F337" s="38">
        <v>2</v>
      </c>
      <c r="G337" s="38">
        <v>8</v>
      </c>
      <c r="H337" s="38">
        <v>10</v>
      </c>
      <c r="I337" s="38">
        <v>26</v>
      </c>
      <c r="J337" s="38">
        <v>6.75</v>
      </c>
      <c r="K337" s="38">
        <v>1</v>
      </c>
      <c r="L337" s="38">
        <v>8.5</v>
      </c>
      <c r="M337" s="36"/>
      <c r="N337" s="36"/>
      <c r="O337" s="36"/>
      <c r="P337" s="36"/>
      <c r="Q337" s="36"/>
      <c r="R337" s="36"/>
      <c r="S337" s="38">
        <v>2</v>
      </c>
      <c r="T337" s="38">
        <v>0</v>
      </c>
      <c r="U337" s="36"/>
      <c r="V337" s="36"/>
      <c r="W337" s="36"/>
      <c r="X337" s="36"/>
      <c r="Y337" s="36"/>
      <c r="Z337" s="38">
        <v>3</v>
      </c>
      <c r="AA337" s="38">
        <v>5</v>
      </c>
      <c r="AB337" s="36"/>
      <c r="AC337" s="38">
        <v>1</v>
      </c>
      <c r="AD337" s="38">
        <v>5.5</v>
      </c>
      <c r="AE337" s="38">
        <v>1</v>
      </c>
      <c r="AF337" s="38">
        <v>5</v>
      </c>
      <c r="AG337" s="38">
        <v>19</v>
      </c>
      <c r="AH337" s="38">
        <v>0</v>
      </c>
      <c r="AI337" s="38">
        <v>7</v>
      </c>
      <c r="AJ337" s="38">
        <v>10</v>
      </c>
      <c r="AK337" s="36"/>
      <c r="AL337" s="36"/>
      <c r="AM337" s="38">
        <v>21</v>
      </c>
      <c r="AN337" s="38">
        <v>1</v>
      </c>
      <c r="AO337" s="36"/>
      <c r="AP337" s="36"/>
      <c r="AQ337" s="36"/>
      <c r="AR337" s="36"/>
      <c r="AS337" s="38">
        <v>15.75</v>
      </c>
      <c r="AT337" s="36"/>
      <c r="AU337" s="36"/>
      <c r="AV337" s="36"/>
      <c r="AW337" s="36"/>
      <c r="AX337" s="38">
        <v>13.6</v>
      </c>
      <c r="AY337" s="36"/>
      <c r="AZ337" s="38">
        <v>83</v>
      </c>
      <c r="BA337" s="36"/>
      <c r="BB337" s="36"/>
      <c r="BC337" s="38">
        <v>5.33</v>
      </c>
      <c r="BD337" s="36"/>
      <c r="BE337" s="36"/>
      <c r="BF337" s="38">
        <v>3.5</v>
      </c>
      <c r="BG337" s="59">
        <v>20.71</v>
      </c>
      <c r="BH337" s="59">
        <v>1.75</v>
      </c>
      <c r="BI337" s="59">
        <v>0.28464170241471493</v>
      </c>
      <c r="BJ337" s="59"/>
      <c r="BK337" s="38">
        <v>3.8610000000000002</v>
      </c>
      <c r="BL337" s="59">
        <v>1.75</v>
      </c>
      <c r="BM337" s="36"/>
      <c r="BN337" s="38">
        <v>60</v>
      </c>
      <c r="BO337" s="36"/>
      <c r="BP337" s="39">
        <f t="shared" si="221"/>
        <v>0.47945833333333338</v>
      </c>
      <c r="BQ337" s="37"/>
      <c r="BR337" s="39">
        <f t="shared" si="222"/>
        <v>0.63269233497928379</v>
      </c>
      <c r="BS337" s="39">
        <f t="shared" si="196"/>
        <v>0.92489735636137027</v>
      </c>
      <c r="BT337" s="39">
        <f t="shared" si="212"/>
        <v>21.760193387284925</v>
      </c>
      <c r="BU337" s="37"/>
      <c r="BV337" s="39">
        <f t="shared" si="233"/>
        <v>0.42267929862648285</v>
      </c>
      <c r="BW337" s="39">
        <f t="shared" si="217"/>
        <v>1.5855453162547677</v>
      </c>
      <c r="BX337" s="39">
        <f t="shared" si="234"/>
        <v>0.20013760996762264</v>
      </c>
      <c r="BY337" s="39">
        <f t="shared" si="216"/>
        <v>3.6115039629348749</v>
      </c>
      <c r="BZ337" s="37"/>
      <c r="CA337" s="39">
        <f t="shared" si="218"/>
        <v>4.0811936440397725</v>
      </c>
      <c r="CB337" s="39">
        <f t="shared" si="219"/>
        <v>1.8498028689638955</v>
      </c>
      <c r="CC337" s="39">
        <f>2*BP337*(12*S337+T337)/120</f>
        <v>0.19178333333333336</v>
      </c>
      <c r="CD337" s="39">
        <f t="shared" si="223"/>
        <v>0.12130295833333335</v>
      </c>
      <c r="CE337" s="37"/>
      <c r="CF337" s="37"/>
      <c r="CG337" s="37"/>
      <c r="CH337" s="37"/>
      <c r="CI337" s="37"/>
      <c r="CJ337" s="39">
        <f t="shared" ref="CJ337:CJ400" si="237">$BP337*12*AS337/(26.5*112*0.453592)</f>
        <v>6.7310589276973046E-2</v>
      </c>
      <c r="CK337" s="39">
        <f t="shared" si="229"/>
        <v>2.9763752317573833E-2</v>
      </c>
      <c r="CL337" s="39">
        <f t="shared" si="232"/>
        <v>1.0931649999999999</v>
      </c>
      <c r="CM337" s="39">
        <f t="shared" si="230"/>
        <v>0.10517226967340577</v>
      </c>
      <c r="CN337" s="37"/>
      <c r="CO337" s="39">
        <f>0.063495+(0.016949+0.014096)*Wages!P335+1.22592*BR337</f>
        <v>1.0772817306311369</v>
      </c>
      <c r="CP337" s="39"/>
      <c r="CQ337" s="39">
        <f t="shared" si="201"/>
        <v>0.92489735636137027</v>
      </c>
      <c r="CR337" s="39">
        <f t="shared" si="192"/>
        <v>0.42267929862648285</v>
      </c>
      <c r="CS337" s="39">
        <f t="shared" si="192"/>
        <v>1.5855453162547677</v>
      </c>
      <c r="CT337" s="39">
        <f t="shared" si="220"/>
        <v>4.0811936440397725</v>
      </c>
      <c r="CU337" s="39">
        <f t="shared" si="220"/>
        <v>1.8498028689638955</v>
      </c>
      <c r="CV337" s="39">
        <f>CC337</f>
        <v>0.19178333333333336</v>
      </c>
      <c r="CW337" s="39">
        <f t="shared" si="220"/>
        <v>0.12130295833333335</v>
      </c>
      <c r="CX337" s="39"/>
      <c r="CY337" s="39"/>
      <c r="CZ337" s="39">
        <f t="shared" si="224"/>
        <v>0.20013760996762264</v>
      </c>
      <c r="DA337" s="39">
        <v>3.7</v>
      </c>
      <c r="DB337" s="39">
        <v>4.4000000000000004</v>
      </c>
      <c r="DC337" s="39">
        <f t="shared" si="225"/>
        <v>3.6115039629348749</v>
      </c>
      <c r="DD337" s="39">
        <v>3.5</v>
      </c>
      <c r="DE337" s="39">
        <f t="shared" si="231"/>
        <v>2.9763752317573833E-2</v>
      </c>
      <c r="DF337" s="39">
        <v>6.7310589276973046E-2</v>
      </c>
      <c r="DG337" s="39">
        <f t="shared" si="226"/>
        <v>1.0931649999999999</v>
      </c>
      <c r="DH337" s="39">
        <f t="shared" si="227"/>
        <v>3.3692271131507621</v>
      </c>
      <c r="DI337" s="39">
        <f t="shared" ref="DI337:DI400" si="238">1000*DF337/24.229</f>
        <v>2.7781001806501733</v>
      </c>
      <c r="DJ337" s="37"/>
      <c r="DK337" s="37"/>
      <c r="DL337" s="37"/>
      <c r="DM337" s="39">
        <f t="shared" si="235"/>
        <v>0.90559412862323907</v>
      </c>
      <c r="DN337" s="39"/>
      <c r="DO337" s="39">
        <f t="shared" si="236"/>
        <v>0.90559412862323907</v>
      </c>
      <c r="DP337" s="37"/>
      <c r="DQ337" s="37">
        <f>DO337/'Conversions, Sources &amp; Comments'!E335</f>
        <v>1.8887858770276993</v>
      </c>
    </row>
    <row r="338" spans="1:121">
      <c r="A338" s="42">
        <f t="shared" si="228"/>
        <v>1586</v>
      </c>
      <c r="B338" s="36"/>
      <c r="C338" s="38">
        <v>45</v>
      </c>
      <c r="D338" s="38">
        <v>8.75</v>
      </c>
      <c r="E338" s="38">
        <v>14</v>
      </c>
      <c r="F338" s="38">
        <v>0</v>
      </c>
      <c r="G338" s="38">
        <v>9</v>
      </c>
      <c r="H338" s="38">
        <v>0</v>
      </c>
      <c r="I338" s="38">
        <v>31</v>
      </c>
      <c r="J338" s="38">
        <v>0</v>
      </c>
      <c r="K338" s="38">
        <v>1</v>
      </c>
      <c r="L338" s="38">
        <v>11</v>
      </c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8">
        <v>3</v>
      </c>
      <c r="AA338" s="38">
        <v>2.25</v>
      </c>
      <c r="AB338" s="36"/>
      <c r="AC338" s="38">
        <v>1</v>
      </c>
      <c r="AD338" s="38">
        <v>6</v>
      </c>
      <c r="AE338" s="38">
        <v>1</v>
      </c>
      <c r="AF338" s="38">
        <v>5</v>
      </c>
      <c r="AG338" s="38">
        <v>16</v>
      </c>
      <c r="AH338" s="38">
        <v>0</v>
      </c>
      <c r="AI338" s="38">
        <v>7</v>
      </c>
      <c r="AJ338" s="38">
        <v>9</v>
      </c>
      <c r="AK338" s="36"/>
      <c r="AL338" s="36"/>
      <c r="AM338" s="38">
        <v>21</v>
      </c>
      <c r="AN338" s="38">
        <v>1</v>
      </c>
      <c r="AO338" s="36"/>
      <c r="AP338" s="36"/>
      <c r="AQ338" s="36"/>
      <c r="AR338" s="36"/>
      <c r="AS338" s="38">
        <v>15.69</v>
      </c>
      <c r="AT338" s="36"/>
      <c r="AU338" s="36"/>
      <c r="AV338" s="36"/>
      <c r="AW338" s="36"/>
      <c r="AX338" s="38">
        <v>26</v>
      </c>
      <c r="AY338" s="36"/>
      <c r="AZ338" s="38">
        <v>83</v>
      </c>
      <c r="BA338" s="36"/>
      <c r="BB338" s="36"/>
      <c r="BC338" s="38">
        <v>5.33</v>
      </c>
      <c r="BD338" s="36"/>
      <c r="BE338" s="36"/>
      <c r="BF338" s="38">
        <v>4.8</v>
      </c>
      <c r="BG338" s="59">
        <v>25.57</v>
      </c>
      <c r="BH338" s="59">
        <v>1.92</v>
      </c>
      <c r="BI338" s="59">
        <v>0.32747613336061743</v>
      </c>
      <c r="BJ338" s="59"/>
      <c r="BK338" s="38">
        <v>4.4550000000000001</v>
      </c>
      <c r="BL338" s="59">
        <v>2.0099999999999998</v>
      </c>
      <c r="BM338" s="36"/>
      <c r="BN338" s="38">
        <v>60</v>
      </c>
      <c r="BO338" s="36"/>
      <c r="BP338" s="39">
        <f t="shared" si="221"/>
        <v>0.47945833333333338</v>
      </c>
      <c r="BQ338" s="37"/>
      <c r="BR338" s="39">
        <f t="shared" si="222"/>
        <v>0.93330623338677954</v>
      </c>
      <c r="BS338" s="39">
        <f t="shared" si="196"/>
        <v>1.2684306601527364</v>
      </c>
      <c r="BT338" s="39">
        <f t="shared" si="212"/>
        <v>21.760193387284925</v>
      </c>
      <c r="BU338" s="37"/>
      <c r="BV338" s="39">
        <f t="shared" si="233"/>
        <v>0.52186912920710604</v>
      </c>
      <c r="BW338" s="39">
        <f t="shared" si="217"/>
        <v>1.7395697184052308</v>
      </c>
      <c r="BX338" s="39">
        <f t="shared" si="234"/>
        <v>0.23025540564236111</v>
      </c>
      <c r="BY338" s="39">
        <f t="shared" si="216"/>
        <v>3.3692689410307066</v>
      </c>
      <c r="BZ338" s="37"/>
      <c r="CA338" s="39">
        <f t="shared" si="218"/>
        <v>4.7090695892766607</v>
      </c>
      <c r="CB338" s="39">
        <f t="shared" si="219"/>
        <v>2.1246307237813884</v>
      </c>
      <c r="CC338" s="37"/>
      <c r="CD338" s="39">
        <f t="shared" si="223"/>
        <v>0.12130295833333335</v>
      </c>
      <c r="CE338" s="37"/>
      <c r="CF338" s="37"/>
      <c r="CG338" s="37"/>
      <c r="CH338" s="37"/>
      <c r="CI338" s="37"/>
      <c r="CJ338" s="39">
        <f t="shared" si="237"/>
        <v>6.7054167984489335E-2</v>
      </c>
      <c r="CK338" s="39">
        <f t="shared" si="229"/>
        <v>3.0614145240933085E-2</v>
      </c>
      <c r="CL338" s="39">
        <f t="shared" si="232"/>
        <v>0.92056000000000016</v>
      </c>
      <c r="CM338" s="39">
        <f t="shared" si="230"/>
        <v>0.10817719166407451</v>
      </c>
      <c r="CN338" s="37"/>
      <c r="CO338" s="39">
        <f>0.063495+(0.016949+0.014096)*Wages!P336+1.22592*BR338</f>
        <v>1.445810320966854</v>
      </c>
      <c r="CP338" s="39"/>
      <c r="CQ338" s="39">
        <f t="shared" si="201"/>
        <v>1.2684306601527364</v>
      </c>
      <c r="CR338" s="39">
        <f t="shared" si="192"/>
        <v>0.52186912920710604</v>
      </c>
      <c r="CS338" s="39">
        <f t="shared" si="192"/>
        <v>1.7395697184052308</v>
      </c>
      <c r="CT338" s="39">
        <f t="shared" si="220"/>
        <v>4.7090695892766607</v>
      </c>
      <c r="CU338" s="39">
        <f t="shared" si="220"/>
        <v>2.1246307237813884</v>
      </c>
      <c r="CV338" s="39">
        <v>0.2</v>
      </c>
      <c r="CW338" s="39">
        <f t="shared" si="220"/>
        <v>0.12130295833333335</v>
      </c>
      <c r="CX338" s="39"/>
      <c r="CY338" s="39"/>
      <c r="CZ338" s="39">
        <f t="shared" si="224"/>
        <v>0.23025540564236111</v>
      </c>
      <c r="DA338" s="39">
        <v>3.7</v>
      </c>
      <c r="DB338" s="39">
        <v>4.4000000000000004</v>
      </c>
      <c r="DC338" s="39">
        <f t="shared" si="225"/>
        <v>3.3692689410307066</v>
      </c>
      <c r="DD338" s="39">
        <v>3.5</v>
      </c>
      <c r="DE338" s="39">
        <f t="shared" si="231"/>
        <v>3.0614145240933085E-2</v>
      </c>
      <c r="DF338" s="39">
        <v>6.7054167984489335E-2</v>
      </c>
      <c r="DG338" s="39">
        <f t="shared" si="226"/>
        <v>0.92056000000000016</v>
      </c>
      <c r="DH338" s="39">
        <f t="shared" si="227"/>
        <v>3.4654907449550696</v>
      </c>
      <c r="DI338" s="39">
        <f t="shared" si="238"/>
        <v>2.7675169418667442</v>
      </c>
      <c r="DJ338" s="37"/>
      <c r="DK338" s="37"/>
      <c r="DL338" s="37"/>
      <c r="DM338" s="39">
        <f t="shared" si="235"/>
        <v>1.1035697773248514</v>
      </c>
      <c r="DN338" s="39"/>
      <c r="DO338" s="39">
        <f t="shared" si="236"/>
        <v>1.1035697773248514</v>
      </c>
      <c r="DP338" s="37"/>
      <c r="DQ338" s="37">
        <f>DO338/'Conversions, Sources &amp; Comments'!E336</f>
        <v>2.3017011085249353</v>
      </c>
    </row>
    <row r="339" spans="1:121">
      <c r="A339" s="42">
        <f t="shared" si="228"/>
        <v>1587</v>
      </c>
      <c r="B339" s="36"/>
      <c r="C339" s="38">
        <v>16</v>
      </c>
      <c r="D339" s="38">
        <v>0.5</v>
      </c>
      <c r="E339" s="38">
        <v>10</v>
      </c>
      <c r="F339" s="38">
        <v>6.75</v>
      </c>
      <c r="G339" s="38">
        <v>7</v>
      </c>
      <c r="H339" s="38">
        <v>2.75</v>
      </c>
      <c r="I339" s="38">
        <v>9</v>
      </c>
      <c r="J339" s="38">
        <v>10</v>
      </c>
      <c r="K339" s="38">
        <v>1</v>
      </c>
      <c r="L339" s="38">
        <v>9.75</v>
      </c>
      <c r="M339" s="36"/>
      <c r="N339" s="36"/>
      <c r="O339" s="36"/>
      <c r="P339" s="36"/>
      <c r="Q339" s="36"/>
      <c r="R339" s="36"/>
      <c r="S339" s="38">
        <v>3</v>
      </c>
      <c r="T339" s="38">
        <v>10</v>
      </c>
      <c r="U339" s="36"/>
      <c r="V339" s="36"/>
      <c r="W339" s="36"/>
      <c r="X339" s="36"/>
      <c r="Y339" s="36"/>
      <c r="Z339" s="38">
        <v>3</v>
      </c>
      <c r="AA339" s="38">
        <v>5.5</v>
      </c>
      <c r="AB339" s="36"/>
      <c r="AC339" s="38">
        <v>1</v>
      </c>
      <c r="AD339" s="38">
        <v>4</v>
      </c>
      <c r="AE339" s="38">
        <v>1</v>
      </c>
      <c r="AF339" s="38">
        <v>5</v>
      </c>
      <c r="AG339" s="38">
        <v>16</v>
      </c>
      <c r="AH339" s="38">
        <v>0</v>
      </c>
      <c r="AI339" s="38">
        <v>7</v>
      </c>
      <c r="AJ339" s="38">
        <v>3</v>
      </c>
      <c r="AK339" s="36"/>
      <c r="AL339" s="36"/>
      <c r="AM339" s="38">
        <v>21</v>
      </c>
      <c r="AN339" s="38">
        <v>1</v>
      </c>
      <c r="AO339" s="36"/>
      <c r="AP339" s="36"/>
      <c r="AQ339" s="36"/>
      <c r="AR339" s="36"/>
      <c r="AS339" s="38">
        <v>15.46</v>
      </c>
      <c r="AT339" s="36"/>
      <c r="AU339" s="36"/>
      <c r="AV339" s="36"/>
      <c r="AW339" s="36"/>
      <c r="AX339" s="38">
        <v>18</v>
      </c>
      <c r="AY339" s="38">
        <v>9.5</v>
      </c>
      <c r="AZ339" s="38">
        <v>82</v>
      </c>
      <c r="BA339" s="36"/>
      <c r="BB339" s="36"/>
      <c r="BC339" s="38">
        <v>5.33</v>
      </c>
      <c r="BD339" s="36"/>
      <c r="BE339" s="36"/>
      <c r="BF339" s="38">
        <v>2.2000000000000002</v>
      </c>
      <c r="BG339" s="59">
        <v>13.99</v>
      </c>
      <c r="BH339" s="59">
        <v>1.83</v>
      </c>
      <c r="BI339" s="59">
        <v>0.18930054966415519</v>
      </c>
      <c r="BJ339" s="59"/>
      <c r="BK339" s="38">
        <v>4.4009999999999998</v>
      </c>
      <c r="BL339" s="59">
        <v>1.7</v>
      </c>
      <c r="BM339" s="38"/>
      <c r="BN339" s="38">
        <v>60</v>
      </c>
      <c r="BO339" s="36"/>
      <c r="BP339" s="39">
        <f t="shared" si="221"/>
        <v>0.47945833333333338</v>
      </c>
      <c r="BQ339" s="37"/>
      <c r="BR339" s="39">
        <f t="shared" si="222"/>
        <v>0.32740127549331216</v>
      </c>
      <c r="BS339" s="39">
        <f t="shared" si="196"/>
        <v>0.58136405257000434</v>
      </c>
      <c r="BT339" s="39">
        <f t="shared" si="212"/>
        <v>21.498022382618842</v>
      </c>
      <c r="BU339" s="39">
        <f>$BP339*12*AY339/(12*(45/36)*0.9144)</f>
        <v>3.9849992709244688</v>
      </c>
      <c r="BV339" s="39">
        <f t="shared" si="233"/>
        <v>0.28552792794710258</v>
      </c>
      <c r="BW339" s="39">
        <f t="shared" si="217"/>
        <v>1.6580273878549858</v>
      </c>
      <c r="BX339" s="39">
        <f t="shared" si="234"/>
        <v>0.13310122604642871</v>
      </c>
      <c r="BY339" s="39">
        <f t="shared" si="216"/>
        <v>3.655546694190178</v>
      </c>
      <c r="BZ339" s="37"/>
      <c r="CA339" s="39">
        <f t="shared" si="218"/>
        <v>4.6519899578914883</v>
      </c>
      <c r="CB339" s="39">
        <f t="shared" si="219"/>
        <v>1.79695135842207</v>
      </c>
      <c r="CC339" s="39">
        <f t="shared" ref="CC339:CC352" si="239">2*BP339*(12*S339+T339)/120</f>
        <v>0.36758472222222227</v>
      </c>
      <c r="CD339" s="39">
        <f t="shared" si="223"/>
        <v>0.12130295833333335</v>
      </c>
      <c r="CE339" s="37"/>
      <c r="CF339" s="37"/>
      <c r="CG339" s="37"/>
      <c r="CH339" s="37"/>
      <c r="CI339" s="37"/>
      <c r="CJ339" s="39">
        <f t="shared" si="237"/>
        <v>6.6071219696635139E-2</v>
      </c>
      <c r="CK339" s="39">
        <f t="shared" si="229"/>
        <v>2.7212573547496077E-2</v>
      </c>
      <c r="CL339" s="39">
        <f t="shared" si="232"/>
        <v>0.92056000000000016</v>
      </c>
      <c r="CM339" s="39">
        <f t="shared" si="230"/>
        <v>9.6157503701399569E-2</v>
      </c>
      <c r="CN339" s="37"/>
      <c r="CO339" s="39">
        <f>0.063495+(0.016949+0.014096)*Wages!P337+1.22592*BR339</f>
        <v>0.7030193149860946</v>
      </c>
      <c r="CP339" s="39"/>
      <c r="CQ339" s="39">
        <f t="shared" si="201"/>
        <v>0.58136405257000434</v>
      </c>
      <c r="CR339" s="39">
        <f t="shared" si="192"/>
        <v>0.28552792794710258</v>
      </c>
      <c r="CS339" s="39">
        <f t="shared" si="192"/>
        <v>1.6580273878549858</v>
      </c>
      <c r="CT339" s="39">
        <f t="shared" si="220"/>
        <v>4.6519899578914883</v>
      </c>
      <c r="CU339" s="39">
        <f t="shared" si="220"/>
        <v>1.79695135842207</v>
      </c>
      <c r="CV339" s="39">
        <f t="shared" si="220"/>
        <v>0.36758472222222227</v>
      </c>
      <c r="CW339" s="39">
        <f t="shared" si="220"/>
        <v>0.12130295833333335</v>
      </c>
      <c r="CX339" s="39"/>
      <c r="CY339" s="39"/>
      <c r="CZ339" s="39">
        <f t="shared" si="224"/>
        <v>0.13310122604642871</v>
      </c>
      <c r="DA339" s="39">
        <v>3.7</v>
      </c>
      <c r="DB339" s="39">
        <f>BU339</f>
        <v>3.9849992709244688</v>
      </c>
      <c r="DC339" s="39">
        <f t="shared" si="225"/>
        <v>3.655546694190178</v>
      </c>
      <c r="DD339" s="39">
        <v>3.6</v>
      </c>
      <c r="DE339" s="39">
        <f t="shared" si="231"/>
        <v>2.7212573547496077E-2</v>
      </c>
      <c r="DF339" s="39">
        <v>6.6071219696635139E-2</v>
      </c>
      <c r="DG339" s="39">
        <f t="shared" si="226"/>
        <v>0.92056000000000016</v>
      </c>
      <c r="DH339" s="39">
        <f t="shared" si="227"/>
        <v>3.0804362177378399</v>
      </c>
      <c r="DI339" s="39">
        <f t="shared" si="238"/>
        <v>2.726947859863599</v>
      </c>
      <c r="DJ339" s="37"/>
      <c r="DK339" s="37"/>
      <c r="DL339" s="37"/>
      <c r="DM339" s="39">
        <f t="shared" si="235"/>
        <v>0.73379199379092253</v>
      </c>
      <c r="DN339" s="39"/>
      <c r="DO339" s="39">
        <f t="shared" si="236"/>
        <v>0.73379199379092253</v>
      </c>
      <c r="DP339" s="37"/>
      <c r="DQ339" s="37">
        <f>DO339/'Conversions, Sources &amp; Comments'!E337</f>
        <v>1.53046040244913</v>
      </c>
    </row>
    <row r="340" spans="1:121">
      <c r="A340" s="42">
        <f t="shared" si="228"/>
        <v>1588</v>
      </c>
      <c r="B340" s="36"/>
      <c r="C340" s="38">
        <v>15</v>
      </c>
      <c r="D340" s="38">
        <v>0.25</v>
      </c>
      <c r="E340" s="38">
        <v>10</v>
      </c>
      <c r="F340" s="38">
        <v>4.75</v>
      </c>
      <c r="G340" s="38">
        <v>7</v>
      </c>
      <c r="H340" s="38">
        <v>7</v>
      </c>
      <c r="I340" s="38">
        <v>10</v>
      </c>
      <c r="J340" s="38">
        <v>0</v>
      </c>
      <c r="K340" s="38">
        <v>1</v>
      </c>
      <c r="L340" s="38">
        <v>9.5</v>
      </c>
      <c r="M340" s="36"/>
      <c r="N340" s="36"/>
      <c r="O340" s="36"/>
      <c r="P340" s="36"/>
      <c r="Q340" s="36"/>
      <c r="R340" s="36"/>
      <c r="S340" s="38">
        <v>2</v>
      </c>
      <c r="T340" s="38">
        <v>0</v>
      </c>
      <c r="U340" s="36"/>
      <c r="V340" s="36"/>
      <c r="W340" s="36"/>
      <c r="X340" s="36"/>
      <c r="Y340" s="36"/>
      <c r="Z340" s="38">
        <v>3</v>
      </c>
      <c r="AA340" s="38">
        <v>11.5</v>
      </c>
      <c r="AB340" s="36"/>
      <c r="AC340" s="38">
        <v>1</v>
      </c>
      <c r="AD340" s="38">
        <v>5</v>
      </c>
      <c r="AE340" s="38">
        <v>1</v>
      </c>
      <c r="AF340" s="38">
        <v>5</v>
      </c>
      <c r="AG340" s="38">
        <v>16</v>
      </c>
      <c r="AH340" s="38">
        <v>8</v>
      </c>
      <c r="AI340" s="38">
        <v>7</v>
      </c>
      <c r="AJ340" s="38">
        <v>5</v>
      </c>
      <c r="AK340" s="36"/>
      <c r="AL340" s="36"/>
      <c r="AM340" s="38">
        <v>21</v>
      </c>
      <c r="AN340" s="38">
        <v>1</v>
      </c>
      <c r="AO340" s="36"/>
      <c r="AP340" s="36"/>
      <c r="AQ340" s="36"/>
      <c r="AR340" s="36"/>
      <c r="AS340" s="38">
        <v>19.45</v>
      </c>
      <c r="AT340" s="36"/>
      <c r="AU340" s="36"/>
      <c r="AV340" s="36"/>
      <c r="AW340" s="36"/>
      <c r="AX340" s="38">
        <v>20</v>
      </c>
      <c r="AY340" s="38">
        <v>10.9</v>
      </c>
      <c r="AZ340" s="38">
        <v>80.5</v>
      </c>
      <c r="BA340" s="36"/>
      <c r="BB340" s="36"/>
      <c r="BC340" s="38">
        <v>5.33</v>
      </c>
      <c r="BD340" s="36"/>
      <c r="BE340" s="36"/>
      <c r="BF340" s="38">
        <v>2.2000000000000002</v>
      </c>
      <c r="BG340" s="59">
        <v>13.43</v>
      </c>
      <c r="BH340" s="59">
        <v>1.83</v>
      </c>
      <c r="BI340" s="59">
        <v>0.18515528215326085</v>
      </c>
      <c r="BJ340" s="59"/>
      <c r="BK340" s="38">
        <v>4.2255000000000003</v>
      </c>
      <c r="BL340" s="59">
        <v>1.49</v>
      </c>
      <c r="BM340" s="38"/>
      <c r="BN340" s="38">
        <v>60</v>
      </c>
      <c r="BO340" s="36"/>
      <c r="BP340" s="39">
        <f t="shared" si="221"/>
        <v>0.47945833333333338</v>
      </c>
      <c r="BQ340" s="37"/>
      <c r="BR340" s="39">
        <f t="shared" si="222"/>
        <v>0.30656664887101054</v>
      </c>
      <c r="BS340" s="39">
        <f t="shared" si="196"/>
        <v>0.58136405257000434</v>
      </c>
      <c r="BT340" s="39">
        <f t="shared" si="212"/>
        <v>21.104765875619716</v>
      </c>
      <c r="BU340" s="39">
        <f>$BP340*12*AY340/(12*(45/36)*0.9144)</f>
        <v>4.5722623213764955</v>
      </c>
      <c r="BV340" s="39">
        <f t="shared" si="233"/>
        <v>0.27409864705715425</v>
      </c>
      <c r="BW340" s="39">
        <f t="shared" si="217"/>
        <v>1.6580273878549858</v>
      </c>
      <c r="BX340" s="39">
        <f t="shared" si="234"/>
        <v>0.13018660065855042</v>
      </c>
      <c r="BY340" s="39">
        <f t="shared" si="216"/>
        <v>4.1840594692538184</v>
      </c>
      <c r="BZ340" s="37"/>
      <c r="CA340" s="39">
        <f t="shared" si="218"/>
        <v>4.4664811558896815</v>
      </c>
      <c r="CB340" s="39">
        <f t="shared" si="219"/>
        <v>1.5749750141464025</v>
      </c>
      <c r="CC340" s="39">
        <f t="shared" si="239"/>
        <v>0.19178333333333336</v>
      </c>
      <c r="CD340" s="39">
        <f t="shared" si="223"/>
        <v>0.12130295833333335</v>
      </c>
      <c r="CE340" s="37"/>
      <c r="CF340" s="37"/>
      <c r="CG340" s="37"/>
      <c r="CH340" s="37"/>
      <c r="CI340" s="37"/>
      <c r="CJ340" s="39">
        <f t="shared" si="237"/>
        <v>8.312323564680163E-2</v>
      </c>
      <c r="CK340" s="39">
        <f t="shared" si="229"/>
        <v>2.8913359394214581E-2</v>
      </c>
      <c r="CL340" s="39">
        <f t="shared" si="232"/>
        <v>0.95891666666666675</v>
      </c>
      <c r="CM340" s="39">
        <f t="shared" si="230"/>
        <v>0.10216734768273704</v>
      </c>
      <c r="CN340" s="37"/>
      <c r="CO340" s="39">
        <f>0.063495+(0.016949+0.014096)*Wages!P338+1.22592*BR340</f>
        <v>0.67747772951728247</v>
      </c>
      <c r="CP340" s="39"/>
      <c r="CQ340" s="39">
        <f t="shared" si="201"/>
        <v>0.58136405257000434</v>
      </c>
      <c r="CR340" s="39">
        <f t="shared" si="192"/>
        <v>0.27409864705715425</v>
      </c>
      <c r="CS340" s="39">
        <f t="shared" si="192"/>
        <v>1.6580273878549858</v>
      </c>
      <c r="CT340" s="39">
        <f t="shared" si="220"/>
        <v>4.4664811558896815</v>
      </c>
      <c r="CU340" s="39">
        <f t="shared" si="220"/>
        <v>1.5749750141464025</v>
      </c>
      <c r="CV340" s="39">
        <f t="shared" si="220"/>
        <v>0.19178333333333336</v>
      </c>
      <c r="CW340" s="39">
        <f t="shared" si="220"/>
        <v>0.12130295833333335</v>
      </c>
      <c r="CX340" s="39"/>
      <c r="CY340" s="39"/>
      <c r="CZ340" s="39">
        <f t="shared" si="224"/>
        <v>0.13018660065855042</v>
      </c>
      <c r="DA340" s="39">
        <v>3.7</v>
      </c>
      <c r="DB340" s="39">
        <f>BU340</f>
        <v>4.5722623213764955</v>
      </c>
      <c r="DC340" s="39">
        <f t="shared" si="225"/>
        <v>4.1840594692538184</v>
      </c>
      <c r="DD340" s="39">
        <v>3.6</v>
      </c>
      <c r="DE340" s="39">
        <f t="shared" si="231"/>
        <v>2.8913359394214581E-2</v>
      </c>
      <c r="DF340" s="39">
        <v>8.312323564680163E-2</v>
      </c>
      <c r="DG340" s="39">
        <f t="shared" si="226"/>
        <v>0.95891666666666675</v>
      </c>
      <c r="DH340" s="39">
        <f t="shared" si="227"/>
        <v>3.272963481346455</v>
      </c>
      <c r="DI340" s="39">
        <f t="shared" si="238"/>
        <v>3.4307332389616425</v>
      </c>
      <c r="DJ340" s="37"/>
      <c r="DK340" s="37"/>
      <c r="DL340" s="37"/>
      <c r="DM340" s="39">
        <f t="shared" si="235"/>
        <v>0.71664975009561205</v>
      </c>
      <c r="DN340" s="39"/>
      <c r="DO340" s="39">
        <f t="shared" si="236"/>
        <v>0.71664975009561205</v>
      </c>
      <c r="DP340" s="37"/>
      <c r="DQ340" s="37">
        <f>DO340/'Conversions, Sources &amp; Comments'!E338</f>
        <v>1.4947070480833133</v>
      </c>
    </row>
    <row r="341" spans="1:121">
      <c r="A341" s="42">
        <f t="shared" si="228"/>
        <v>1589</v>
      </c>
      <c r="B341" s="36"/>
      <c r="C341" s="38">
        <v>26</v>
      </c>
      <c r="D341" s="38">
        <v>11.5</v>
      </c>
      <c r="E341" s="38">
        <v>13</v>
      </c>
      <c r="F341" s="38">
        <v>10.75</v>
      </c>
      <c r="G341" s="38">
        <v>6</v>
      </c>
      <c r="H341" s="38">
        <v>10</v>
      </c>
      <c r="I341" s="38">
        <v>27</v>
      </c>
      <c r="J341" s="38">
        <v>1</v>
      </c>
      <c r="K341" s="38">
        <v>1</v>
      </c>
      <c r="L341" s="38">
        <v>10.25</v>
      </c>
      <c r="M341" s="36"/>
      <c r="N341" s="36"/>
      <c r="O341" s="36"/>
      <c r="P341" s="36"/>
      <c r="Q341" s="36"/>
      <c r="R341" s="36"/>
      <c r="S341" s="38">
        <v>2</v>
      </c>
      <c r="T341" s="38">
        <v>6</v>
      </c>
      <c r="U341" s="36"/>
      <c r="V341" s="36"/>
      <c r="W341" s="36"/>
      <c r="X341" s="36"/>
      <c r="Y341" s="36"/>
      <c r="Z341" s="38">
        <v>3</v>
      </c>
      <c r="AA341" s="38">
        <v>10.75</v>
      </c>
      <c r="AB341" s="36"/>
      <c r="AC341" s="38">
        <v>1</v>
      </c>
      <c r="AD341" s="38">
        <v>5</v>
      </c>
      <c r="AE341" s="38">
        <v>1</v>
      </c>
      <c r="AF341" s="38">
        <v>5</v>
      </c>
      <c r="AG341" s="38" t="s">
        <v>8</v>
      </c>
      <c r="AH341" s="36"/>
      <c r="AI341" s="38">
        <v>7</v>
      </c>
      <c r="AJ341" s="38">
        <v>2.5</v>
      </c>
      <c r="AK341" s="36"/>
      <c r="AL341" s="36"/>
      <c r="AM341" s="38">
        <v>21</v>
      </c>
      <c r="AN341" s="38">
        <v>1</v>
      </c>
      <c r="AO341" s="36"/>
      <c r="AP341" s="36"/>
      <c r="AQ341" s="36"/>
      <c r="AR341" s="36"/>
      <c r="AS341" s="38">
        <v>17.760000000000002</v>
      </c>
      <c r="AT341" s="36"/>
      <c r="AU341" s="36"/>
      <c r="AV341" s="36"/>
      <c r="AW341" s="36"/>
      <c r="AX341" s="38">
        <v>16</v>
      </c>
      <c r="AY341" s="36"/>
      <c r="AZ341" s="38">
        <v>81</v>
      </c>
      <c r="BA341" s="36"/>
      <c r="BB341" s="36"/>
      <c r="BC341" s="38">
        <v>5.33</v>
      </c>
      <c r="BD341" s="36"/>
      <c r="BE341" s="36"/>
      <c r="BF341" s="38">
        <v>2.9</v>
      </c>
      <c r="BG341" s="59">
        <v>15.11</v>
      </c>
      <c r="BH341" s="59">
        <v>1.83</v>
      </c>
      <c r="BI341" s="59">
        <v>0.23628024812095208</v>
      </c>
      <c r="BJ341" s="59"/>
      <c r="BK341" s="38">
        <v>4.266</v>
      </c>
      <c r="BL341" s="59">
        <v>1.75</v>
      </c>
      <c r="BM341" s="36"/>
      <c r="BN341" s="38">
        <v>60</v>
      </c>
      <c r="BO341" s="36"/>
      <c r="BP341" s="39">
        <f t="shared" si="221"/>
        <v>0.47945833333333338</v>
      </c>
      <c r="BQ341" s="37"/>
      <c r="BR341" s="39">
        <f t="shared" si="222"/>
        <v>0.55020422141343628</v>
      </c>
      <c r="BS341" s="39">
        <f t="shared" si="196"/>
        <v>0.76634352384227833</v>
      </c>
      <c r="BT341" s="39">
        <f t="shared" si="212"/>
        <v>21.235851377952759</v>
      </c>
      <c r="BU341" s="37"/>
      <c r="BV341" s="39">
        <f t="shared" si="233"/>
        <v>0.30838648972699928</v>
      </c>
      <c r="BW341" s="39">
        <f t="shared" si="217"/>
        <v>1.6580273878549858</v>
      </c>
      <c r="BX341" s="39">
        <f t="shared" si="234"/>
        <v>0.16613364710904555</v>
      </c>
      <c r="BY341" s="39">
        <f t="shared" si="216"/>
        <v>4.1179953723708627</v>
      </c>
      <c r="BZ341" s="37"/>
      <c r="CA341" s="39">
        <f t="shared" si="218"/>
        <v>4.5092908794285593</v>
      </c>
      <c r="CB341" s="39">
        <f t="shared" si="219"/>
        <v>1.8498028689638955</v>
      </c>
      <c r="CC341" s="39">
        <f t="shared" si="239"/>
        <v>0.23972916666666669</v>
      </c>
      <c r="CD341" s="39">
        <f t="shared" si="223"/>
        <v>0.12130295833333335</v>
      </c>
      <c r="CE341" s="37"/>
      <c r="CF341" s="37"/>
      <c r="CG341" s="37"/>
      <c r="CH341" s="37"/>
      <c r="CI341" s="37"/>
      <c r="CJ341" s="39">
        <f t="shared" si="237"/>
        <v>7.5900702575177226E-2</v>
      </c>
      <c r="CK341" s="39">
        <f t="shared" si="229"/>
        <v>2.8913359394214581E-2</v>
      </c>
      <c r="CL341" s="37"/>
      <c r="CM341" s="39">
        <f t="shared" si="230"/>
        <v>0.10216734768273704</v>
      </c>
      <c r="CN341" s="37"/>
      <c r="CO341" s="39">
        <f>0.063495+(0.016949+0.014096)*Wages!P339+1.22592*BR341</f>
        <v>0.9761579024484931</v>
      </c>
      <c r="CP341" s="39"/>
      <c r="CQ341" s="39">
        <f t="shared" si="201"/>
        <v>0.76634352384227833</v>
      </c>
      <c r="CR341" s="39">
        <f t="shared" si="192"/>
        <v>0.30838648972699928</v>
      </c>
      <c r="CS341" s="39">
        <f t="shared" si="192"/>
        <v>1.6580273878549858</v>
      </c>
      <c r="CT341" s="39">
        <f t="shared" si="220"/>
        <v>4.5092908794285593</v>
      </c>
      <c r="CU341" s="39">
        <f t="shared" si="220"/>
        <v>1.8498028689638955</v>
      </c>
      <c r="CV341" s="39">
        <f t="shared" si="220"/>
        <v>0.23972916666666669</v>
      </c>
      <c r="CW341" s="39">
        <f t="shared" si="220"/>
        <v>0.12130295833333335</v>
      </c>
      <c r="CX341" s="39"/>
      <c r="CY341" s="39"/>
      <c r="CZ341" s="39">
        <f t="shared" si="224"/>
        <v>0.16613364710904555</v>
      </c>
      <c r="DA341" s="39">
        <v>3.7</v>
      </c>
      <c r="DB341" s="39">
        <v>4.0999999999999996</v>
      </c>
      <c r="DC341" s="39">
        <f t="shared" si="225"/>
        <v>4.1179953723708627</v>
      </c>
      <c r="DD341" s="39">
        <v>3.7</v>
      </c>
      <c r="DE341" s="39">
        <f t="shared" si="231"/>
        <v>2.8913359394214581E-2</v>
      </c>
      <c r="DF341" s="39">
        <v>7.5900702575177226E-2</v>
      </c>
      <c r="DG341" s="39">
        <f t="shared" si="226"/>
        <v>0</v>
      </c>
      <c r="DH341" s="39">
        <f t="shared" si="227"/>
        <v>3.272963481346455</v>
      </c>
      <c r="DI341" s="39">
        <f t="shared" si="238"/>
        <v>3.1326386798950523</v>
      </c>
      <c r="DJ341" s="37"/>
      <c r="DK341" s="37"/>
      <c r="DL341" s="37"/>
      <c r="DM341" s="39">
        <f t="shared" si="235"/>
        <v>0.82237053091845913</v>
      </c>
      <c r="DN341" s="39"/>
      <c r="DO341" s="39">
        <f t="shared" si="236"/>
        <v>0.82237053091845913</v>
      </c>
      <c r="DP341" s="37"/>
      <c r="DQ341" s="37">
        <f>DO341/'Conversions, Sources &amp; Comments'!E339</f>
        <v>1.7152075034364316</v>
      </c>
    </row>
    <row r="342" spans="1:121">
      <c r="A342" s="42">
        <f t="shared" si="228"/>
        <v>1590</v>
      </c>
      <c r="B342" s="36"/>
      <c r="C342" s="38">
        <v>25</v>
      </c>
      <c r="D342" s="38">
        <v>4</v>
      </c>
      <c r="E342" s="38">
        <v>21</v>
      </c>
      <c r="F342" s="38">
        <v>1</v>
      </c>
      <c r="G342" s="38">
        <v>11</v>
      </c>
      <c r="H342" s="38">
        <v>6</v>
      </c>
      <c r="I342" s="36"/>
      <c r="J342" s="36"/>
      <c r="K342" s="38">
        <v>2</v>
      </c>
      <c r="L342" s="38">
        <v>0.25</v>
      </c>
      <c r="M342" s="36"/>
      <c r="N342" s="36"/>
      <c r="O342" s="36"/>
      <c r="P342" s="36"/>
      <c r="Q342" s="36"/>
      <c r="R342" s="36"/>
      <c r="S342" s="38">
        <v>2</v>
      </c>
      <c r="T342" s="38">
        <v>8</v>
      </c>
      <c r="U342" s="36"/>
      <c r="V342" s="36"/>
      <c r="W342" s="36"/>
      <c r="X342" s="36"/>
      <c r="Y342" s="36"/>
      <c r="Z342" s="38">
        <v>3</v>
      </c>
      <c r="AA342" s="38">
        <v>7.5</v>
      </c>
      <c r="AB342" s="36"/>
      <c r="AC342" s="38">
        <v>1</v>
      </c>
      <c r="AD342" s="38">
        <v>4.5</v>
      </c>
      <c r="AE342" s="38">
        <v>1</v>
      </c>
      <c r="AF342" s="38">
        <v>5</v>
      </c>
      <c r="AG342" s="38">
        <v>10</v>
      </c>
      <c r="AH342" s="38">
        <v>2</v>
      </c>
      <c r="AI342" s="38">
        <v>7</v>
      </c>
      <c r="AJ342" s="38">
        <v>1.5</v>
      </c>
      <c r="AK342" s="36"/>
      <c r="AL342" s="36"/>
      <c r="AM342" s="38">
        <v>21</v>
      </c>
      <c r="AN342" s="38">
        <v>1</v>
      </c>
      <c r="AO342" s="36"/>
      <c r="AP342" s="36"/>
      <c r="AQ342" s="36"/>
      <c r="AR342" s="36"/>
      <c r="AS342" s="38">
        <v>14.75</v>
      </c>
      <c r="AT342" s="36"/>
      <c r="AU342" s="36"/>
      <c r="AV342" s="36"/>
      <c r="AW342" s="36"/>
      <c r="AX342" s="38">
        <v>24</v>
      </c>
      <c r="AY342" s="38">
        <v>8.9</v>
      </c>
      <c r="AZ342" s="38">
        <v>83</v>
      </c>
      <c r="BA342" s="36"/>
      <c r="BB342" s="36"/>
      <c r="BC342" s="38">
        <v>5.5</v>
      </c>
      <c r="BD342" s="36"/>
      <c r="BE342" s="36"/>
      <c r="BF342" s="38">
        <v>2.9</v>
      </c>
      <c r="BG342" s="59">
        <v>23.29</v>
      </c>
      <c r="BH342" s="59">
        <v>2</v>
      </c>
      <c r="BI342" s="59">
        <v>0.36063827344776878</v>
      </c>
      <c r="BJ342" s="59"/>
      <c r="BK342" s="38">
        <v>4.3605</v>
      </c>
      <c r="BL342" s="59">
        <v>1.97</v>
      </c>
      <c r="BM342" s="38"/>
      <c r="BN342" s="38">
        <v>60</v>
      </c>
      <c r="BO342" s="36"/>
      <c r="BP342" s="39">
        <f t="shared" si="221"/>
        <v>0.47945833333333338</v>
      </c>
      <c r="BQ342" s="37"/>
      <c r="BR342" s="39">
        <f t="shared" si="222"/>
        <v>0.51703889740242548</v>
      </c>
      <c r="BS342" s="39">
        <f t="shared" si="196"/>
        <v>0.76634352384227833</v>
      </c>
      <c r="BT342" s="39">
        <f t="shared" si="212"/>
        <v>21.760193387284925</v>
      </c>
      <c r="BU342" s="39">
        <f>$BP342*12*AY342/(12*(45/36)*0.9144)</f>
        <v>3.7333151064450285</v>
      </c>
      <c r="BV342" s="39">
        <f t="shared" si="233"/>
        <v>0.47533562844088773</v>
      </c>
      <c r="BW342" s="39">
        <f t="shared" si="217"/>
        <v>1.8120517900054489</v>
      </c>
      <c r="BX342" s="39">
        <f t="shared" si="234"/>
        <v>0.25357240874538517</v>
      </c>
      <c r="BY342" s="39">
        <f t="shared" si="216"/>
        <v>3.8317176192113918</v>
      </c>
      <c r="BZ342" s="37"/>
      <c r="CA342" s="39">
        <f t="shared" si="218"/>
        <v>4.6091802343526096</v>
      </c>
      <c r="CB342" s="39">
        <f t="shared" si="219"/>
        <v>2.0823495153479281</v>
      </c>
      <c r="CC342" s="39">
        <f t="shared" si="239"/>
        <v>0.25571111111111111</v>
      </c>
      <c r="CD342" s="39">
        <f t="shared" si="223"/>
        <v>0.12130295833333335</v>
      </c>
      <c r="CE342" s="37"/>
      <c r="CF342" s="37"/>
      <c r="CG342" s="37"/>
      <c r="CH342" s="37"/>
      <c r="CI342" s="37"/>
      <c r="CJ342" s="39">
        <f t="shared" si="237"/>
        <v>6.3036901068911272E-2</v>
      </c>
      <c r="CK342" s="39">
        <f t="shared" si="229"/>
        <v>2.8062966470855329E-2</v>
      </c>
      <c r="CL342" s="39">
        <f>BP342*(12*AG342+AH342)/100</f>
        <v>0.58493916666666668</v>
      </c>
      <c r="CM342" s="39">
        <f t="shared" si="230"/>
        <v>9.9162425692068304E-2</v>
      </c>
      <c r="CN342" s="37"/>
      <c r="CO342" s="39">
        <f>0.063495+(0.016949+0.014096)*Wages!P340+1.22592*BR342</f>
        <v>0.93549986843691468</v>
      </c>
      <c r="CP342" s="39"/>
      <c r="CQ342" s="39">
        <f t="shared" si="201"/>
        <v>0.76634352384227833</v>
      </c>
      <c r="CR342" s="39">
        <f t="shared" si="192"/>
        <v>0.47533562844088773</v>
      </c>
      <c r="CS342" s="39">
        <f t="shared" si="192"/>
        <v>1.8120517900054489</v>
      </c>
      <c r="CT342" s="39">
        <f t="shared" si="220"/>
        <v>4.6091802343526096</v>
      </c>
      <c r="CU342" s="39">
        <f t="shared" si="220"/>
        <v>2.0823495153479281</v>
      </c>
      <c r="CV342" s="39">
        <f t="shared" si="220"/>
        <v>0.25571111111111111</v>
      </c>
      <c r="CW342" s="39">
        <f t="shared" si="220"/>
        <v>0.12130295833333335</v>
      </c>
      <c r="CX342" s="39"/>
      <c r="CY342" s="39"/>
      <c r="CZ342" s="39">
        <f t="shared" si="224"/>
        <v>0.25357240874538517</v>
      </c>
      <c r="DA342" s="39">
        <v>3.7</v>
      </c>
      <c r="DB342" s="39">
        <f>BU342</f>
        <v>3.7333151064450285</v>
      </c>
      <c r="DC342" s="39">
        <f t="shared" si="225"/>
        <v>3.8317176192113918</v>
      </c>
      <c r="DD342" s="39">
        <v>3.7</v>
      </c>
      <c r="DE342" s="39">
        <f t="shared" si="231"/>
        <v>2.8062966470855329E-2</v>
      </c>
      <c r="DF342" s="39">
        <v>6.3036901068911272E-2</v>
      </c>
      <c r="DG342" s="39">
        <f t="shared" si="226"/>
        <v>0.58493916666666668</v>
      </c>
      <c r="DH342" s="39">
        <f t="shared" si="227"/>
        <v>3.1766998495421475</v>
      </c>
      <c r="DI342" s="39">
        <f t="shared" si="238"/>
        <v>2.6017128675930197</v>
      </c>
      <c r="DJ342" s="37"/>
      <c r="DK342" s="37"/>
      <c r="DL342" s="37"/>
      <c r="DM342" s="39">
        <f t="shared" si="235"/>
        <v>0.89009913026029874</v>
      </c>
      <c r="DN342" s="39"/>
      <c r="DO342" s="39">
        <f t="shared" si="236"/>
        <v>0.89009913026029874</v>
      </c>
      <c r="DP342" s="37"/>
      <c r="DQ342" s="37">
        <f>DO342/'Conversions, Sources &amp; Comments'!E340</f>
        <v>1.8564681607931839</v>
      </c>
    </row>
    <row r="343" spans="1:121">
      <c r="A343" s="42">
        <f t="shared" si="228"/>
        <v>1591</v>
      </c>
      <c r="B343" s="36"/>
      <c r="C343" s="38">
        <v>18</v>
      </c>
      <c r="D343" s="38">
        <v>1.25</v>
      </c>
      <c r="E343" s="38">
        <v>13</v>
      </c>
      <c r="F343" s="38">
        <v>5</v>
      </c>
      <c r="G343" s="38">
        <v>8</v>
      </c>
      <c r="H343" s="38">
        <v>0</v>
      </c>
      <c r="I343" s="36"/>
      <c r="J343" s="36"/>
      <c r="K343" s="38">
        <v>2</v>
      </c>
      <c r="L343" s="38">
        <v>1.25</v>
      </c>
      <c r="M343" s="36"/>
      <c r="N343" s="36"/>
      <c r="O343" s="36"/>
      <c r="P343" s="36"/>
      <c r="Q343" s="36"/>
      <c r="R343" s="36"/>
      <c r="S343" s="38">
        <v>2</v>
      </c>
      <c r="T343" s="38">
        <v>11</v>
      </c>
      <c r="U343" s="36"/>
      <c r="V343" s="36"/>
      <c r="W343" s="36"/>
      <c r="X343" s="36"/>
      <c r="Y343" s="36"/>
      <c r="Z343" s="38">
        <v>3</v>
      </c>
      <c r="AA343" s="38">
        <v>9.5</v>
      </c>
      <c r="AB343" s="36"/>
      <c r="AC343" s="38">
        <v>1</v>
      </c>
      <c r="AD343" s="38">
        <v>5</v>
      </c>
      <c r="AE343" s="38">
        <v>1</v>
      </c>
      <c r="AF343" s="38">
        <v>5</v>
      </c>
      <c r="AG343" s="36"/>
      <c r="AH343" s="36"/>
      <c r="AI343" s="38">
        <v>8</v>
      </c>
      <c r="AJ343" s="38">
        <v>0</v>
      </c>
      <c r="AK343" s="36"/>
      <c r="AL343" s="36"/>
      <c r="AM343" s="38">
        <v>21</v>
      </c>
      <c r="AN343" s="38">
        <v>1</v>
      </c>
      <c r="AO343" s="36"/>
      <c r="AP343" s="36"/>
      <c r="AQ343" s="36"/>
      <c r="AR343" s="36"/>
      <c r="AS343" s="38">
        <v>13.07</v>
      </c>
      <c r="AT343" s="36"/>
      <c r="AU343" s="36"/>
      <c r="AV343" s="36"/>
      <c r="AW343" s="36"/>
      <c r="AX343" s="36"/>
      <c r="AY343" s="38">
        <v>9.5</v>
      </c>
      <c r="AZ343" s="38">
        <v>84</v>
      </c>
      <c r="BA343" s="36"/>
      <c r="BB343" s="36"/>
      <c r="BC343" s="38">
        <v>5.5</v>
      </c>
      <c r="BD343" s="36"/>
      <c r="BE343" s="36"/>
      <c r="BF343" s="38">
        <v>2.2000000000000002</v>
      </c>
      <c r="BG343" s="59">
        <v>16.489999999999998</v>
      </c>
      <c r="BH343" s="59">
        <v>2.08</v>
      </c>
      <c r="BI343" s="59">
        <v>0.2183174222404122</v>
      </c>
      <c r="BJ343" s="59"/>
      <c r="BK343" s="38">
        <v>4.05</v>
      </c>
      <c r="BL343" s="59">
        <v>1.71</v>
      </c>
      <c r="BM343" s="38"/>
      <c r="BN343" s="38">
        <v>60</v>
      </c>
      <c r="BO343" s="36"/>
      <c r="BP343" s="39">
        <f t="shared" si="221"/>
        <v>0.47945833333333338</v>
      </c>
      <c r="BQ343" s="37"/>
      <c r="BR343" s="39">
        <f t="shared" si="222"/>
        <v>0.36949572519959517</v>
      </c>
      <c r="BS343" s="39">
        <f t="shared" si="196"/>
        <v>0.58136405257000434</v>
      </c>
      <c r="BT343" s="39">
        <f t="shared" ref="BT343:BT361" si="240">BP343*12*AZ343/(24*0.9144)</f>
        <v>22.022364391951008</v>
      </c>
      <c r="BU343" s="39">
        <f>$BP343*12*AY343/(12*(45/36)*0.9144)</f>
        <v>3.9849992709244688</v>
      </c>
      <c r="BV343" s="39">
        <f t="shared" si="233"/>
        <v>0.33655150334865769</v>
      </c>
      <c r="BW343" s="39">
        <f t="shared" si="217"/>
        <v>1.884533861605667</v>
      </c>
      <c r="BX343" s="39">
        <f t="shared" si="234"/>
        <v>0.15350360376157449</v>
      </c>
      <c r="BY343" s="39">
        <f t="shared" si="216"/>
        <v>4.0078885442326051</v>
      </c>
      <c r="BZ343" s="37"/>
      <c r="CA343" s="39">
        <f t="shared" si="218"/>
        <v>4.280972353887873</v>
      </c>
      <c r="CB343" s="39">
        <f t="shared" si="219"/>
        <v>1.8075216605304349</v>
      </c>
      <c r="CC343" s="39">
        <f t="shared" si="239"/>
        <v>0.27968402777777779</v>
      </c>
      <c r="CD343" s="39">
        <f t="shared" si="223"/>
        <v>0.12130295833333335</v>
      </c>
      <c r="CE343" s="37"/>
      <c r="CF343" s="37"/>
      <c r="CG343" s="37"/>
      <c r="CH343" s="37"/>
      <c r="CI343" s="37"/>
      <c r="CJ343" s="39">
        <f t="shared" si="237"/>
        <v>5.5857104879367479E-2</v>
      </c>
      <c r="CK343" s="39">
        <f t="shared" si="229"/>
        <v>2.8913359394214581E-2</v>
      </c>
      <c r="CL343" s="37"/>
      <c r="CM343" s="39">
        <f t="shared" si="230"/>
        <v>0.10216734768273704</v>
      </c>
      <c r="CN343" s="37"/>
      <c r="CO343" s="39">
        <f>0.063495+(0.016949+0.014096)*Wages!P341+1.22592*BR343</f>
        <v>0.75462374277002098</v>
      </c>
      <c r="CP343" s="39"/>
      <c r="CQ343" s="39">
        <f t="shared" si="201"/>
        <v>0.58136405257000434</v>
      </c>
      <c r="CR343" s="39">
        <f t="shared" si="192"/>
        <v>0.33655150334865769</v>
      </c>
      <c r="CS343" s="39">
        <f t="shared" si="192"/>
        <v>1.884533861605667</v>
      </c>
      <c r="CT343" s="39">
        <f t="shared" si="220"/>
        <v>4.280972353887873</v>
      </c>
      <c r="CU343" s="39">
        <f t="shared" si="220"/>
        <v>1.8075216605304349</v>
      </c>
      <c r="CV343" s="39">
        <f t="shared" si="220"/>
        <v>0.27968402777777779</v>
      </c>
      <c r="CW343" s="39">
        <f t="shared" si="220"/>
        <v>0.12130295833333335</v>
      </c>
      <c r="CX343" s="39"/>
      <c r="CY343" s="39"/>
      <c r="CZ343" s="39">
        <f t="shared" si="224"/>
        <v>0.15350360376157449</v>
      </c>
      <c r="DA343" s="39">
        <v>3.7</v>
      </c>
      <c r="DB343" s="39">
        <f>BU343</f>
        <v>3.9849992709244688</v>
      </c>
      <c r="DC343" s="39">
        <f t="shared" si="225"/>
        <v>4.0078885442326051</v>
      </c>
      <c r="DD343" s="39">
        <v>3.7</v>
      </c>
      <c r="DE343" s="39">
        <f t="shared" si="231"/>
        <v>2.8913359394214581E-2</v>
      </c>
      <c r="DF343" s="39">
        <v>5.5857104879367472E-2</v>
      </c>
      <c r="DG343" s="39">
        <f t="shared" si="226"/>
        <v>0</v>
      </c>
      <c r="DH343" s="39">
        <f t="shared" si="227"/>
        <v>3.272963481346455</v>
      </c>
      <c r="DI343" s="39">
        <f t="shared" si="238"/>
        <v>2.3053821816570008</v>
      </c>
      <c r="DJ343" s="37"/>
      <c r="DK343" s="37"/>
      <c r="DL343" s="37"/>
      <c r="DM343" s="39">
        <f t="shared" si="235"/>
        <v>0.75295134528983565</v>
      </c>
      <c r="DN343" s="39"/>
      <c r="DO343" s="39">
        <f t="shared" si="236"/>
        <v>0.75295134528983565</v>
      </c>
      <c r="DP343" s="37"/>
      <c r="DQ343" s="37">
        <f>DO343/'Conversions, Sources &amp; Comments'!E341</f>
        <v>1.5704208122843533</v>
      </c>
    </row>
    <row r="344" spans="1:121">
      <c r="A344" s="42">
        <f t="shared" si="228"/>
        <v>1592</v>
      </c>
      <c r="B344" s="36"/>
      <c r="C344" s="38">
        <v>20</v>
      </c>
      <c r="D344" s="38">
        <v>10</v>
      </c>
      <c r="E344" s="38">
        <v>9</v>
      </c>
      <c r="F344" s="38">
        <v>2.5</v>
      </c>
      <c r="G344" s="38">
        <v>7</v>
      </c>
      <c r="H344" s="38">
        <v>9.25</v>
      </c>
      <c r="I344" s="38">
        <v>10</v>
      </c>
      <c r="J344" s="38">
        <v>7</v>
      </c>
      <c r="K344" s="38">
        <v>2</v>
      </c>
      <c r="L344" s="38">
        <v>0.25</v>
      </c>
      <c r="M344" s="36"/>
      <c r="N344" s="36"/>
      <c r="O344" s="36"/>
      <c r="P344" s="36"/>
      <c r="Q344" s="36"/>
      <c r="R344" s="36"/>
      <c r="S344" s="38">
        <v>3</v>
      </c>
      <c r="T344" s="38">
        <v>5.5</v>
      </c>
      <c r="U344" s="36"/>
      <c r="V344" s="36"/>
      <c r="W344" s="36"/>
      <c r="X344" s="36"/>
      <c r="Y344" s="36"/>
      <c r="Z344" s="38">
        <v>3</v>
      </c>
      <c r="AA344" s="38">
        <v>7.25</v>
      </c>
      <c r="AB344" s="36"/>
      <c r="AC344" s="38">
        <v>1</v>
      </c>
      <c r="AD344" s="38">
        <v>5</v>
      </c>
      <c r="AE344" s="38">
        <v>1</v>
      </c>
      <c r="AF344" s="38">
        <v>5</v>
      </c>
      <c r="AG344" s="36"/>
      <c r="AH344" s="36"/>
      <c r="AI344" s="38">
        <v>8</v>
      </c>
      <c r="AJ344" s="38">
        <v>1.5</v>
      </c>
      <c r="AK344" s="36"/>
      <c r="AL344" s="36"/>
      <c r="AM344" s="38">
        <v>21</v>
      </c>
      <c r="AN344" s="38">
        <v>1</v>
      </c>
      <c r="AO344" s="36"/>
      <c r="AP344" s="36"/>
      <c r="AQ344" s="36"/>
      <c r="AR344" s="36"/>
      <c r="AS344" s="38">
        <v>12.75</v>
      </c>
      <c r="AT344" s="36"/>
      <c r="AU344" s="36"/>
      <c r="AV344" s="36"/>
      <c r="AW344" s="36"/>
      <c r="AX344" s="38">
        <v>16</v>
      </c>
      <c r="AY344" s="38">
        <v>9.5</v>
      </c>
      <c r="AZ344" s="38">
        <v>88</v>
      </c>
      <c r="BA344" s="36"/>
      <c r="BB344" s="36"/>
      <c r="BC344" s="38">
        <v>5.5</v>
      </c>
      <c r="BD344" s="36"/>
      <c r="BE344" s="36"/>
      <c r="BF344" s="38">
        <v>2.6</v>
      </c>
      <c r="BG344" s="59">
        <v>13.65</v>
      </c>
      <c r="BH344" s="59">
        <v>2</v>
      </c>
      <c r="BI344" s="59">
        <v>0.19482757301201375</v>
      </c>
      <c r="BJ344" s="59"/>
      <c r="BK344" s="38">
        <v>4.0365000000000002</v>
      </c>
      <c r="BL344" s="59">
        <v>1.37</v>
      </c>
      <c r="BM344" s="38"/>
      <c r="BN344" s="38">
        <v>60</v>
      </c>
      <c r="BO344" s="36"/>
      <c r="BP344" s="39">
        <f t="shared" si="221"/>
        <v>0.47945833333333338</v>
      </c>
      <c r="BQ344" s="37"/>
      <c r="BR344" s="39">
        <f t="shared" si="222"/>
        <v>0.42519646167962621</v>
      </c>
      <c r="BS344" s="39">
        <f t="shared" si="196"/>
        <v>0.6870666075827323</v>
      </c>
      <c r="BT344" s="39">
        <f t="shared" si="240"/>
        <v>23.071048410615344</v>
      </c>
      <c r="BU344" s="39">
        <f>$BP344*12*AY344/(12*(45/36)*0.9144)</f>
        <v>3.9849992709244688</v>
      </c>
      <c r="BV344" s="39">
        <f t="shared" si="233"/>
        <v>0.2785887216924911</v>
      </c>
      <c r="BW344" s="39">
        <f t="shared" si="217"/>
        <v>1.8120517900054489</v>
      </c>
      <c r="BX344" s="39">
        <f t="shared" si="234"/>
        <v>0.13698739323026607</v>
      </c>
      <c r="BY344" s="39">
        <f t="shared" si="216"/>
        <v>3.8096962535837395</v>
      </c>
      <c r="BZ344" s="37"/>
      <c r="CA344" s="39">
        <f t="shared" si="218"/>
        <v>4.2667024460415801</v>
      </c>
      <c r="CB344" s="39">
        <f t="shared" si="219"/>
        <v>1.4481313888460212</v>
      </c>
      <c r="CC344" s="39">
        <f t="shared" si="239"/>
        <v>0.33162534722222226</v>
      </c>
      <c r="CD344" s="39">
        <f t="shared" si="223"/>
        <v>0.12130295833333335</v>
      </c>
      <c r="CE344" s="37"/>
      <c r="CF344" s="37"/>
      <c r="CG344" s="37"/>
      <c r="CH344" s="37"/>
      <c r="CI344" s="37"/>
      <c r="CJ344" s="39">
        <f t="shared" si="237"/>
        <v>5.4489524652787703E-2</v>
      </c>
      <c r="CK344" s="39">
        <f t="shared" si="229"/>
        <v>2.8913359394214581E-2</v>
      </c>
      <c r="CL344" s="37"/>
      <c r="CM344" s="39">
        <f t="shared" si="230"/>
        <v>0.10216734768273704</v>
      </c>
      <c r="CN344" s="37"/>
      <c r="CO344" s="39">
        <f>0.063495+(0.016949+0.014096)*Wages!P342+1.22592*BR344</f>
        <v>0.82290838963562063</v>
      </c>
      <c r="CP344" s="39"/>
      <c r="CQ344" s="39">
        <f t="shared" si="201"/>
        <v>0.6870666075827323</v>
      </c>
      <c r="CR344" s="39">
        <f t="shared" si="192"/>
        <v>0.2785887216924911</v>
      </c>
      <c r="CS344" s="39">
        <f t="shared" si="192"/>
        <v>1.8120517900054489</v>
      </c>
      <c r="CT344" s="39">
        <f t="shared" si="220"/>
        <v>4.2667024460415801</v>
      </c>
      <c r="CU344" s="39">
        <f t="shared" si="220"/>
        <v>1.4481313888460212</v>
      </c>
      <c r="CV344" s="39">
        <f t="shared" si="220"/>
        <v>0.33162534722222226</v>
      </c>
      <c r="CW344" s="39">
        <f t="shared" si="220"/>
        <v>0.12130295833333335</v>
      </c>
      <c r="CX344" s="39"/>
      <c r="CY344" s="39"/>
      <c r="CZ344" s="39">
        <f t="shared" si="224"/>
        <v>0.13698739323026607</v>
      </c>
      <c r="DA344" s="39">
        <v>3.7</v>
      </c>
      <c r="DB344" s="39">
        <f>BU344</f>
        <v>3.9849992709244688</v>
      </c>
      <c r="DC344" s="39">
        <f t="shared" si="225"/>
        <v>3.8096962535837395</v>
      </c>
      <c r="DD344" s="39">
        <v>3.8</v>
      </c>
      <c r="DE344" s="39">
        <f t="shared" si="231"/>
        <v>2.8913359394214581E-2</v>
      </c>
      <c r="DF344" s="39">
        <v>5.4489524652787703E-2</v>
      </c>
      <c r="DG344" s="39">
        <f t="shared" si="226"/>
        <v>0</v>
      </c>
      <c r="DH344" s="39">
        <f t="shared" si="227"/>
        <v>3.272963481346455</v>
      </c>
      <c r="DI344" s="39">
        <f t="shared" si="238"/>
        <v>2.2489382414787116</v>
      </c>
      <c r="DJ344" s="37"/>
      <c r="DK344" s="37"/>
      <c r="DL344" s="37"/>
      <c r="DM344" s="39">
        <f t="shared" si="235"/>
        <v>0.78147862655091549</v>
      </c>
      <c r="DN344" s="39"/>
      <c r="DO344" s="39">
        <f t="shared" si="236"/>
        <v>0.78147862655091549</v>
      </c>
      <c r="DP344" s="37"/>
      <c r="DQ344" s="37">
        <f>DO344/'Conversions, Sources &amp; Comments'!E342</f>
        <v>1.6299197911898817</v>
      </c>
    </row>
    <row r="345" spans="1:121">
      <c r="A345" s="42">
        <f t="shared" si="228"/>
        <v>1593</v>
      </c>
      <c r="B345" s="36"/>
      <c r="C345" s="38">
        <v>24</v>
      </c>
      <c r="D345" s="38">
        <v>8.75</v>
      </c>
      <c r="E345" s="38">
        <v>12</v>
      </c>
      <c r="F345" s="38">
        <v>4</v>
      </c>
      <c r="G345" s="38">
        <v>6</v>
      </c>
      <c r="H345" s="38">
        <v>1.75</v>
      </c>
      <c r="I345" s="38">
        <v>11</v>
      </c>
      <c r="J345" s="38">
        <v>0</v>
      </c>
      <c r="K345" s="38">
        <v>1</v>
      </c>
      <c r="L345" s="38">
        <v>11.75</v>
      </c>
      <c r="M345" s="36"/>
      <c r="N345" s="36"/>
      <c r="O345" s="36"/>
      <c r="P345" s="36"/>
      <c r="Q345" s="38">
        <v>2</v>
      </c>
      <c r="R345" s="38">
        <v>0</v>
      </c>
      <c r="S345" s="38">
        <v>2</v>
      </c>
      <c r="T345" s="38">
        <v>3</v>
      </c>
      <c r="U345" s="36"/>
      <c r="V345" s="36"/>
      <c r="W345" s="36"/>
      <c r="X345" s="36"/>
      <c r="Y345" s="36"/>
      <c r="Z345" s="38">
        <v>3</v>
      </c>
      <c r="AA345" s="38">
        <v>8.25</v>
      </c>
      <c r="AB345" s="36"/>
      <c r="AC345" s="38">
        <v>1</v>
      </c>
      <c r="AD345" s="38">
        <v>5</v>
      </c>
      <c r="AE345" s="38">
        <v>1</v>
      </c>
      <c r="AF345" s="38">
        <v>7</v>
      </c>
      <c r="AG345" s="38">
        <v>12</v>
      </c>
      <c r="AH345" s="38">
        <v>6</v>
      </c>
      <c r="AI345" s="38">
        <v>8</v>
      </c>
      <c r="AJ345" s="38">
        <v>3</v>
      </c>
      <c r="AK345" s="36"/>
      <c r="AL345" s="36"/>
      <c r="AM345" s="38">
        <v>27</v>
      </c>
      <c r="AN345" s="38">
        <v>5</v>
      </c>
      <c r="AO345" s="36"/>
      <c r="AP345" s="36"/>
      <c r="AQ345" s="36"/>
      <c r="AR345" s="36"/>
      <c r="AS345" s="38">
        <v>15.25</v>
      </c>
      <c r="AT345" s="36"/>
      <c r="AU345" s="36"/>
      <c r="AV345" s="36"/>
      <c r="AW345" s="36"/>
      <c r="AX345" s="38">
        <v>18</v>
      </c>
      <c r="AY345" s="36"/>
      <c r="AZ345" s="38">
        <v>88</v>
      </c>
      <c r="BA345" s="36"/>
      <c r="BB345" s="36"/>
      <c r="BC345" s="38">
        <v>5.83</v>
      </c>
      <c r="BD345" s="36"/>
      <c r="BE345" s="36"/>
      <c r="BF345" s="38">
        <v>2.9</v>
      </c>
      <c r="BG345" s="59">
        <v>15.97</v>
      </c>
      <c r="BH345" s="59">
        <v>2</v>
      </c>
      <c r="BI345" s="59">
        <v>0.21279039889255363</v>
      </c>
      <c r="BJ345" s="59"/>
      <c r="BK345" s="38">
        <v>4.1040000000000001</v>
      </c>
      <c r="BL345" s="59">
        <v>1.2</v>
      </c>
      <c r="BM345" s="36"/>
      <c r="BN345" s="38">
        <v>60</v>
      </c>
      <c r="BO345" s="36"/>
      <c r="BP345" s="39">
        <f t="shared" si="221"/>
        <v>0.47945833333333338</v>
      </c>
      <c r="BQ345" s="37"/>
      <c r="BR345" s="39">
        <f t="shared" si="222"/>
        <v>0.5047082000137163</v>
      </c>
      <c r="BS345" s="39">
        <f t="shared" si="196"/>
        <v>0.76634352384227833</v>
      </c>
      <c r="BT345" s="39">
        <f t="shared" si="240"/>
        <v>23.071048410615344</v>
      </c>
      <c r="BU345" s="37"/>
      <c r="BV345" s="39">
        <f t="shared" si="233"/>
        <v>0.32593859966513433</v>
      </c>
      <c r="BW345" s="39">
        <f t="shared" si="217"/>
        <v>1.8120517900054489</v>
      </c>
      <c r="BX345" s="39">
        <f t="shared" si="234"/>
        <v>0.14961743657773713</v>
      </c>
      <c r="BY345" s="39">
        <f t="shared" si="216"/>
        <v>3.8977817160943462</v>
      </c>
      <c r="BZ345" s="37"/>
      <c r="CA345" s="39">
        <f t="shared" si="218"/>
        <v>4.3380519852730446</v>
      </c>
      <c r="CB345" s="39">
        <f t="shared" si="219"/>
        <v>1.268436253003814</v>
      </c>
      <c r="CC345" s="39">
        <f t="shared" si="239"/>
        <v>0.21575625000000001</v>
      </c>
      <c r="CD345" s="39">
        <f t="shared" si="223"/>
        <v>0.15774179166666666</v>
      </c>
      <c r="CE345" s="37"/>
      <c r="CF345" s="37"/>
      <c r="CG345" s="37"/>
      <c r="CH345" s="37"/>
      <c r="CI345" s="37"/>
      <c r="CJ345" s="39">
        <f t="shared" si="237"/>
        <v>6.5173745172942166E-2</v>
      </c>
      <c r="CK345" s="39">
        <f t="shared" si="229"/>
        <v>2.8913359394214581E-2</v>
      </c>
      <c r="CL345" s="39">
        <f>BP345*(12*AG345+AH345)/100</f>
        <v>0.71918749999999998</v>
      </c>
      <c r="CM345" s="39">
        <f t="shared" si="230"/>
        <v>0.10216734768273704</v>
      </c>
      <c r="CN345" s="37"/>
      <c r="CO345" s="39">
        <f>0.063495+(0.016949+0.014096)*Wages!P343+1.22592*BR345</f>
        <v>0.9203834198941484</v>
      </c>
      <c r="CP345" s="39"/>
      <c r="CQ345" s="39">
        <f t="shared" si="201"/>
        <v>0.76634352384227833</v>
      </c>
      <c r="CR345" s="39">
        <f t="shared" si="192"/>
        <v>0.32593859966513433</v>
      </c>
      <c r="CS345" s="39">
        <f t="shared" si="192"/>
        <v>1.8120517900054489</v>
      </c>
      <c r="CT345" s="39">
        <f t="shared" si="220"/>
        <v>4.3380519852730446</v>
      </c>
      <c r="CU345" s="39">
        <f t="shared" si="220"/>
        <v>1.268436253003814</v>
      </c>
      <c r="CV345" s="39">
        <f t="shared" si="220"/>
        <v>0.21575625000000001</v>
      </c>
      <c r="CW345" s="39">
        <f t="shared" si="220"/>
        <v>0.15774179166666666</v>
      </c>
      <c r="CX345" s="39"/>
      <c r="CY345" s="39"/>
      <c r="CZ345" s="39">
        <f t="shared" si="224"/>
        <v>0.14961743657773713</v>
      </c>
      <c r="DA345" s="39">
        <v>3.7</v>
      </c>
      <c r="DB345" s="39">
        <v>4</v>
      </c>
      <c r="DC345" s="39">
        <f t="shared" si="225"/>
        <v>3.8977817160943462</v>
      </c>
      <c r="DD345" s="39">
        <v>3.8</v>
      </c>
      <c r="DE345" s="39">
        <f t="shared" si="231"/>
        <v>2.8913359394214581E-2</v>
      </c>
      <c r="DF345" s="39">
        <v>6.5173745172942152E-2</v>
      </c>
      <c r="DG345" s="39">
        <f t="shared" si="226"/>
        <v>0.71918749999999998</v>
      </c>
      <c r="DH345" s="39">
        <f t="shared" si="227"/>
        <v>3.272963481346455</v>
      </c>
      <c r="DI345" s="39">
        <f t="shared" si="238"/>
        <v>2.689906524121596</v>
      </c>
      <c r="DJ345" s="37"/>
      <c r="DK345" s="37"/>
      <c r="DL345" s="37"/>
      <c r="DM345" s="39">
        <f t="shared" si="235"/>
        <v>0.8125818717358928</v>
      </c>
      <c r="DN345" s="39"/>
      <c r="DO345" s="39">
        <f t="shared" si="236"/>
        <v>0.8125818717358928</v>
      </c>
      <c r="DP345" s="37"/>
      <c r="DQ345" s="37">
        <f>DO345/'Conversions, Sources &amp; Comments'!E343</f>
        <v>1.6947914244947793</v>
      </c>
    </row>
    <row r="346" spans="1:121">
      <c r="A346" s="42">
        <f t="shared" si="228"/>
        <v>1594</v>
      </c>
      <c r="B346" s="36"/>
      <c r="C346" s="38">
        <v>37</v>
      </c>
      <c r="D346" s="38">
        <v>7.5</v>
      </c>
      <c r="E346" s="38">
        <v>16</v>
      </c>
      <c r="F346" s="38">
        <v>0</v>
      </c>
      <c r="G346" s="38">
        <v>11</v>
      </c>
      <c r="H346" s="38">
        <v>3</v>
      </c>
      <c r="I346" s="36"/>
      <c r="J346" s="36"/>
      <c r="K346" s="38">
        <v>2</v>
      </c>
      <c r="L346" s="38">
        <v>0</v>
      </c>
      <c r="M346" s="36"/>
      <c r="N346" s="36"/>
      <c r="O346" s="36"/>
      <c r="P346" s="36"/>
      <c r="Q346" s="38">
        <v>3</v>
      </c>
      <c r="R346" s="38">
        <v>0</v>
      </c>
      <c r="S346" s="38">
        <v>6</v>
      </c>
      <c r="T346" s="38">
        <v>4</v>
      </c>
      <c r="U346" s="36"/>
      <c r="V346" s="36"/>
      <c r="W346" s="36"/>
      <c r="X346" s="36"/>
      <c r="Y346" s="36"/>
      <c r="Z346" s="38">
        <v>3</v>
      </c>
      <c r="AA346" s="38">
        <v>0.75</v>
      </c>
      <c r="AB346" s="36"/>
      <c r="AC346" s="38">
        <v>1</v>
      </c>
      <c r="AD346" s="38">
        <v>7</v>
      </c>
      <c r="AE346" s="38">
        <v>1</v>
      </c>
      <c r="AF346" s="38">
        <v>7</v>
      </c>
      <c r="AG346" s="38">
        <v>6</v>
      </c>
      <c r="AH346" s="38">
        <v>6</v>
      </c>
      <c r="AI346" s="38">
        <v>9</v>
      </c>
      <c r="AJ346" s="38">
        <v>2.5</v>
      </c>
      <c r="AK346" s="36"/>
      <c r="AL346" s="36"/>
      <c r="AM346" s="38">
        <v>27</v>
      </c>
      <c r="AN346" s="38">
        <v>5</v>
      </c>
      <c r="AO346" s="36"/>
      <c r="AP346" s="36"/>
      <c r="AQ346" s="36"/>
      <c r="AR346" s="36"/>
      <c r="AS346" s="38">
        <v>13.59</v>
      </c>
      <c r="AT346" s="36"/>
      <c r="AU346" s="36"/>
      <c r="AV346" s="36"/>
      <c r="AW346" s="36"/>
      <c r="AX346" s="36"/>
      <c r="AY346" s="38">
        <v>9.66</v>
      </c>
      <c r="AZ346" s="38">
        <v>88</v>
      </c>
      <c r="BA346" s="36"/>
      <c r="BB346" s="36"/>
      <c r="BC346" s="38">
        <v>5.61</v>
      </c>
      <c r="BD346" s="36"/>
      <c r="BE346" s="36"/>
      <c r="BF346" s="38">
        <v>4.7</v>
      </c>
      <c r="BG346" s="59">
        <v>17.739999999999998</v>
      </c>
      <c r="BH346" s="59">
        <v>2</v>
      </c>
      <c r="BI346" s="59">
        <v>0.38965514602402751</v>
      </c>
      <c r="BJ346" s="59"/>
      <c r="BK346" s="38">
        <v>4.7925000000000004</v>
      </c>
      <c r="BL346" s="59">
        <v>1.7</v>
      </c>
      <c r="BM346" s="38"/>
      <c r="BN346" s="38">
        <v>60</v>
      </c>
      <c r="BO346" s="36"/>
      <c r="BP346" s="39">
        <f t="shared" si="221"/>
        <v>0.47945833333333338</v>
      </c>
      <c r="BQ346" s="37"/>
      <c r="BR346" s="39">
        <f t="shared" si="222"/>
        <v>0.76790480979340492</v>
      </c>
      <c r="BS346" s="39">
        <f t="shared" si="196"/>
        <v>1.2420050213995544</v>
      </c>
      <c r="BT346" s="39">
        <f t="shared" si="240"/>
        <v>23.071048410615344</v>
      </c>
      <c r="BU346" s="39">
        <f t="shared" ref="BU346:BU351" si="241">$BP346*12*AY346/(12*(45/36)*0.9144)</f>
        <v>4.0521150481189858</v>
      </c>
      <c r="BV346" s="39">
        <f t="shared" si="233"/>
        <v>0.3620632910494353</v>
      </c>
      <c r="BW346" s="39">
        <f t="shared" si="217"/>
        <v>1.8120517900054489</v>
      </c>
      <c r="BX346" s="39">
        <f t="shared" si="234"/>
        <v>0.27397478646053214</v>
      </c>
      <c r="BY346" s="39">
        <f t="shared" si="216"/>
        <v>3.2371407472647964</v>
      </c>
      <c r="BZ346" s="37"/>
      <c r="CA346" s="39">
        <f t="shared" si="218"/>
        <v>5.0658172854339831</v>
      </c>
      <c r="CB346" s="39">
        <f t="shared" si="219"/>
        <v>1.79695135842207</v>
      </c>
      <c r="CC346" s="39">
        <f t="shared" si="239"/>
        <v>0.60731388888888893</v>
      </c>
      <c r="CD346" s="39">
        <f t="shared" si="223"/>
        <v>0.15774179166666666</v>
      </c>
      <c r="CE346" s="37"/>
      <c r="CF346" s="37"/>
      <c r="CG346" s="37"/>
      <c r="CH346" s="37"/>
      <c r="CI346" s="37"/>
      <c r="CJ346" s="39">
        <f t="shared" si="237"/>
        <v>5.8079422747559596E-2</v>
      </c>
      <c r="CK346" s="39">
        <f t="shared" si="229"/>
        <v>3.2314931087651592E-2</v>
      </c>
      <c r="CL346" s="39">
        <f>BP346*(12*AG346+AH346)/100</f>
        <v>0.37397750000000002</v>
      </c>
      <c r="CM346" s="39">
        <f t="shared" si="230"/>
        <v>0.11418703564541199</v>
      </c>
      <c r="CN346" s="37"/>
      <c r="CO346" s="39">
        <f>0.063495+(0.016949+0.014096)*Wages!P344+1.22592*BR346</f>
        <v>1.2430414077552641</v>
      </c>
      <c r="CP346" s="39"/>
      <c r="CQ346" s="39">
        <f t="shared" si="201"/>
        <v>1.2420050213995544</v>
      </c>
      <c r="CR346" s="39">
        <f t="shared" si="192"/>
        <v>0.3620632910494353</v>
      </c>
      <c r="CS346" s="39">
        <f t="shared" si="192"/>
        <v>1.8120517900054489</v>
      </c>
      <c r="CT346" s="39">
        <f t="shared" si="220"/>
        <v>5.0658172854339831</v>
      </c>
      <c r="CU346" s="39">
        <f t="shared" si="220"/>
        <v>1.79695135842207</v>
      </c>
      <c r="CV346" s="39">
        <f t="shared" si="220"/>
        <v>0.60731388888888893</v>
      </c>
      <c r="CW346" s="39">
        <f t="shared" si="220"/>
        <v>0.15774179166666666</v>
      </c>
      <c r="CX346" s="39"/>
      <c r="CY346" s="39"/>
      <c r="CZ346" s="39">
        <f t="shared" si="224"/>
        <v>0.27397478646053214</v>
      </c>
      <c r="DA346" s="39">
        <v>3.7</v>
      </c>
      <c r="DB346" s="39">
        <f t="shared" ref="DB346:DB351" si="242">BU346</f>
        <v>4.0521150481189858</v>
      </c>
      <c r="DC346" s="39">
        <f t="shared" si="225"/>
        <v>3.2371407472647964</v>
      </c>
      <c r="DD346" s="39">
        <v>3.9</v>
      </c>
      <c r="DE346" s="39">
        <f t="shared" si="231"/>
        <v>3.2314931087651592E-2</v>
      </c>
      <c r="DF346" s="39">
        <v>5.8079422747559596E-2</v>
      </c>
      <c r="DG346" s="39">
        <f t="shared" si="226"/>
        <v>0.37397750000000002</v>
      </c>
      <c r="DH346" s="39">
        <f t="shared" si="227"/>
        <v>3.6580180085636851</v>
      </c>
      <c r="DI346" s="39">
        <f t="shared" si="238"/>
        <v>2.3971035844467208</v>
      </c>
      <c r="DJ346" s="37"/>
      <c r="DK346" s="37"/>
      <c r="DL346" s="37"/>
      <c r="DM346" s="39">
        <f t="shared" si="235"/>
        <v>1.1468893807134695</v>
      </c>
      <c r="DN346" s="39"/>
      <c r="DO346" s="39">
        <f t="shared" si="236"/>
        <v>1.1468893807134695</v>
      </c>
      <c r="DP346" s="37"/>
      <c r="DQ346" s="37">
        <f>DO346/'Conversions, Sources &amp; Comments'!E344</f>
        <v>2.3920522409944613</v>
      </c>
    </row>
    <row r="347" spans="1:121">
      <c r="A347" s="42">
        <f t="shared" si="228"/>
        <v>1595</v>
      </c>
      <c r="B347" s="36"/>
      <c r="C347" s="38">
        <v>40</v>
      </c>
      <c r="D347" s="38">
        <v>9.5</v>
      </c>
      <c r="E347" s="38">
        <v>21</v>
      </c>
      <c r="F347" s="38">
        <v>4</v>
      </c>
      <c r="G347" s="38">
        <v>11</v>
      </c>
      <c r="H347" s="38">
        <v>10.75</v>
      </c>
      <c r="I347" s="38">
        <v>34</v>
      </c>
      <c r="J347" s="38">
        <v>2.5</v>
      </c>
      <c r="K347" s="38">
        <v>2</v>
      </c>
      <c r="L347" s="38">
        <v>1.5</v>
      </c>
      <c r="M347" s="36"/>
      <c r="N347" s="36"/>
      <c r="O347" s="36"/>
      <c r="P347" s="36"/>
      <c r="Q347" s="36"/>
      <c r="R347" s="36"/>
      <c r="S347" s="38">
        <v>4</v>
      </c>
      <c r="T347" s="38">
        <v>0</v>
      </c>
      <c r="U347" s="36"/>
      <c r="V347" s="36"/>
      <c r="W347" s="36"/>
      <c r="X347" s="36"/>
      <c r="Y347" s="36"/>
      <c r="Z347" s="38">
        <v>3</v>
      </c>
      <c r="AA347" s="38">
        <v>8.5</v>
      </c>
      <c r="AB347" s="36"/>
      <c r="AC347" s="38">
        <v>1</v>
      </c>
      <c r="AD347" s="38">
        <v>7.25</v>
      </c>
      <c r="AE347" s="38">
        <v>1</v>
      </c>
      <c r="AF347" s="38">
        <v>7</v>
      </c>
      <c r="AG347" s="36"/>
      <c r="AH347" s="36"/>
      <c r="AI347" s="38">
        <v>8</v>
      </c>
      <c r="AJ347" s="38">
        <v>6</v>
      </c>
      <c r="AK347" s="36"/>
      <c r="AL347" s="36"/>
      <c r="AM347" s="38">
        <v>27</v>
      </c>
      <c r="AN347" s="38">
        <v>5</v>
      </c>
      <c r="AO347" s="36"/>
      <c r="AP347" s="36"/>
      <c r="AQ347" s="36"/>
      <c r="AR347" s="36"/>
      <c r="AS347" s="38">
        <v>16.920000000000002</v>
      </c>
      <c r="AT347" s="36"/>
      <c r="AU347" s="36"/>
      <c r="AV347" s="36"/>
      <c r="AW347" s="36"/>
      <c r="AX347" s="38">
        <v>27</v>
      </c>
      <c r="AY347" s="38">
        <v>9.25</v>
      </c>
      <c r="AZ347" s="38">
        <v>88</v>
      </c>
      <c r="BA347" s="36"/>
      <c r="BB347" s="36"/>
      <c r="BC347" s="38">
        <v>5.75</v>
      </c>
      <c r="BD347" s="36"/>
      <c r="BE347" s="36"/>
      <c r="BF347" s="38">
        <v>5</v>
      </c>
      <c r="BG347" s="59">
        <v>20.96</v>
      </c>
      <c r="BH347" s="59">
        <v>2.17</v>
      </c>
      <c r="BI347" s="59">
        <v>0.38965514602402751</v>
      </c>
      <c r="BJ347" s="59"/>
      <c r="BK347" s="38">
        <v>4.7115</v>
      </c>
      <c r="BL347" s="59">
        <v>2.0499999999999998</v>
      </c>
      <c r="BM347" s="38"/>
      <c r="BN347" s="38">
        <v>60</v>
      </c>
      <c r="BO347" s="36"/>
      <c r="BP347" s="39">
        <f t="shared" si="221"/>
        <v>0.47945833333333338</v>
      </c>
      <c r="BQ347" s="37"/>
      <c r="BR347" s="39">
        <f t="shared" si="222"/>
        <v>0.83253467196870812</v>
      </c>
      <c r="BS347" s="39">
        <f t="shared" si="196"/>
        <v>1.3212819376591005</v>
      </c>
      <c r="BT347" s="39">
        <f t="shared" si="240"/>
        <v>23.071048410615344</v>
      </c>
      <c r="BU347" s="39">
        <f t="shared" si="241"/>
        <v>3.8801308690580352</v>
      </c>
      <c r="BV347" s="39">
        <f t="shared" si="233"/>
        <v>0.42778165616663838</v>
      </c>
      <c r="BW347" s="39">
        <f t="shared" si="217"/>
        <v>1.966076192155912</v>
      </c>
      <c r="BX347" s="39">
        <f t="shared" si="234"/>
        <v>0.27397478646053214</v>
      </c>
      <c r="BY347" s="39">
        <f t="shared" si="216"/>
        <v>3.9198030817219984</v>
      </c>
      <c r="BZ347" s="37"/>
      <c r="CA347" s="39">
        <f t="shared" si="218"/>
        <v>4.9801978383562249</v>
      </c>
      <c r="CB347" s="39">
        <f t="shared" si="219"/>
        <v>2.1669119322148487</v>
      </c>
      <c r="CC347" s="39">
        <f t="shared" si="239"/>
        <v>0.38356666666666672</v>
      </c>
      <c r="CD347" s="39">
        <f t="shared" si="223"/>
        <v>0.15774179166666666</v>
      </c>
      <c r="CE347" s="37"/>
      <c r="CF347" s="37"/>
      <c r="CG347" s="37"/>
      <c r="CH347" s="37"/>
      <c r="CI347" s="37"/>
      <c r="CJ347" s="39">
        <f t="shared" si="237"/>
        <v>7.2310804480405333E-2</v>
      </c>
      <c r="CK347" s="39">
        <f t="shared" si="229"/>
        <v>3.2740127549331213E-2</v>
      </c>
      <c r="CL347" s="37"/>
      <c r="CM347" s="39">
        <f t="shared" si="230"/>
        <v>0.11568949664074635</v>
      </c>
      <c r="CN347" s="37"/>
      <c r="CO347" s="39">
        <f>0.063495+(0.016949+0.014096)*Wages!P345+1.22592*BR347</f>
        <v>1.3294171446932119</v>
      </c>
      <c r="CP347" s="39"/>
      <c r="CQ347" s="39">
        <f t="shared" si="201"/>
        <v>1.3212819376591005</v>
      </c>
      <c r="CR347" s="39">
        <f t="shared" ref="CR347:CS410" si="243">BV347</f>
        <v>0.42778165616663838</v>
      </c>
      <c r="CS347" s="39">
        <f t="shared" si="243"/>
        <v>1.966076192155912</v>
      </c>
      <c r="CT347" s="39">
        <f t="shared" si="220"/>
        <v>4.9801978383562249</v>
      </c>
      <c r="CU347" s="39">
        <f t="shared" si="220"/>
        <v>2.1669119322148487</v>
      </c>
      <c r="CV347" s="39">
        <f t="shared" si="220"/>
        <v>0.38356666666666672</v>
      </c>
      <c r="CW347" s="39">
        <f t="shared" si="220"/>
        <v>0.15774179166666666</v>
      </c>
      <c r="CX347" s="39"/>
      <c r="CY347" s="39"/>
      <c r="CZ347" s="39">
        <f t="shared" si="224"/>
        <v>0.27397478646053214</v>
      </c>
      <c r="DA347" s="39">
        <v>3.7</v>
      </c>
      <c r="DB347" s="39">
        <f t="shared" si="242"/>
        <v>3.8801308690580352</v>
      </c>
      <c r="DC347" s="39">
        <f t="shared" si="225"/>
        <v>3.9198030817219984</v>
      </c>
      <c r="DD347" s="39">
        <v>3.9</v>
      </c>
      <c r="DE347" s="39">
        <f t="shared" si="231"/>
        <v>3.2740127549331213E-2</v>
      </c>
      <c r="DF347" s="39">
        <v>7.2310804480405333E-2</v>
      </c>
      <c r="DG347" s="39">
        <f t="shared" si="226"/>
        <v>0</v>
      </c>
      <c r="DH347" s="39">
        <f t="shared" si="227"/>
        <v>3.7061498244658382</v>
      </c>
      <c r="DI347" s="39">
        <f t="shared" si="238"/>
        <v>2.9844733369270435</v>
      </c>
      <c r="DJ347" s="37"/>
      <c r="DK347" s="37"/>
      <c r="DL347" s="37"/>
      <c r="DM347" s="39">
        <f t="shared" si="235"/>
        <v>1.1778602339805471</v>
      </c>
      <c r="DN347" s="39"/>
      <c r="DO347" s="39">
        <f t="shared" si="236"/>
        <v>1.1778602339805471</v>
      </c>
      <c r="DP347" s="37"/>
      <c r="DQ347" s="37">
        <f>DO347/'Conversions, Sources &amp; Comments'!E345</f>
        <v>2.4566477462008454</v>
      </c>
    </row>
    <row r="348" spans="1:121">
      <c r="A348" s="42">
        <f t="shared" si="228"/>
        <v>1596</v>
      </c>
      <c r="B348" s="36"/>
      <c r="C348" s="38">
        <v>56</v>
      </c>
      <c r="D348" s="38">
        <v>6.25</v>
      </c>
      <c r="E348" s="36"/>
      <c r="F348" s="36"/>
      <c r="G348" s="38">
        <v>18</v>
      </c>
      <c r="H348" s="38">
        <v>0.25</v>
      </c>
      <c r="I348" s="38">
        <v>52</v>
      </c>
      <c r="J348" s="38">
        <v>9.5</v>
      </c>
      <c r="K348" s="38">
        <v>2</v>
      </c>
      <c r="L348" s="38">
        <v>1.5</v>
      </c>
      <c r="M348" s="36"/>
      <c r="N348" s="36"/>
      <c r="O348" s="36"/>
      <c r="P348" s="36"/>
      <c r="Q348" s="38">
        <v>4</v>
      </c>
      <c r="R348" s="38">
        <v>0</v>
      </c>
      <c r="S348" s="38">
        <v>2</v>
      </c>
      <c r="T348" s="38">
        <v>9.75</v>
      </c>
      <c r="U348" s="36"/>
      <c r="V348" s="36"/>
      <c r="W348" s="36"/>
      <c r="X348" s="36"/>
      <c r="Y348" s="36"/>
      <c r="Z348" s="38">
        <v>3</v>
      </c>
      <c r="AA348" s="38">
        <v>7.5</v>
      </c>
      <c r="AB348" s="36"/>
      <c r="AC348" s="38">
        <v>1</v>
      </c>
      <c r="AD348" s="38">
        <v>7.25</v>
      </c>
      <c r="AE348" s="38">
        <v>1</v>
      </c>
      <c r="AF348" s="38">
        <v>7</v>
      </c>
      <c r="AG348" s="36"/>
      <c r="AH348" s="36"/>
      <c r="AI348" s="38">
        <v>9</v>
      </c>
      <c r="AJ348" s="38">
        <v>7</v>
      </c>
      <c r="AK348" s="36"/>
      <c r="AL348" s="36"/>
      <c r="AM348" s="38">
        <v>27</v>
      </c>
      <c r="AN348" s="38">
        <v>5</v>
      </c>
      <c r="AO348" s="36"/>
      <c r="AP348" s="36"/>
      <c r="AQ348" s="36"/>
      <c r="AR348" s="36"/>
      <c r="AS348" s="38">
        <v>15.92</v>
      </c>
      <c r="AT348" s="36"/>
      <c r="AU348" s="36"/>
      <c r="AV348" s="36"/>
      <c r="AW348" s="36"/>
      <c r="AX348" s="36"/>
      <c r="AY348" s="38">
        <v>8</v>
      </c>
      <c r="AZ348" s="38">
        <v>88</v>
      </c>
      <c r="BA348" s="36"/>
      <c r="BB348" s="36"/>
      <c r="BC348" s="38">
        <v>5.75</v>
      </c>
      <c r="BD348" s="36"/>
      <c r="BE348" s="36"/>
      <c r="BF348" s="38">
        <v>6.5</v>
      </c>
      <c r="BG348" s="59">
        <v>35.130000000000003</v>
      </c>
      <c r="BH348" s="59">
        <v>2.17</v>
      </c>
      <c r="BI348" s="59">
        <v>0.61073607993836809</v>
      </c>
      <c r="BJ348" s="59"/>
      <c r="BK348" s="38">
        <v>4.6440000000000001</v>
      </c>
      <c r="BL348" s="59">
        <v>2.39</v>
      </c>
      <c r="BM348" s="38"/>
      <c r="BN348" s="38">
        <v>60</v>
      </c>
      <c r="BO348" s="36"/>
      <c r="BP348" s="39">
        <f t="shared" si="221"/>
        <v>0.47945833333333338</v>
      </c>
      <c r="BQ348" s="37"/>
      <c r="BR348" s="39">
        <f t="shared" si="222"/>
        <v>1.1535580005368258</v>
      </c>
      <c r="BS348" s="39">
        <f t="shared" si="196"/>
        <v>1.7176665189568308</v>
      </c>
      <c r="BT348" s="39">
        <f t="shared" si="240"/>
        <v>23.071048410615344</v>
      </c>
      <c r="BU348" s="39">
        <f t="shared" si="241"/>
        <v>3.3557888597258683</v>
      </c>
      <c r="BV348" s="39">
        <f t="shared" si="233"/>
        <v>0.71698328154265301</v>
      </c>
      <c r="BW348" s="39">
        <f t="shared" si="217"/>
        <v>1.966076192155912</v>
      </c>
      <c r="BX348" s="39">
        <f t="shared" si="234"/>
        <v>0.42942147381402462</v>
      </c>
      <c r="BY348" s="39">
        <f t="shared" si="216"/>
        <v>3.8317176192113918</v>
      </c>
      <c r="BZ348" s="37"/>
      <c r="CA348" s="39">
        <f t="shared" si="218"/>
        <v>4.9088482991247604</v>
      </c>
      <c r="CB348" s="39">
        <f t="shared" si="219"/>
        <v>2.5263022038992635</v>
      </c>
      <c r="CC348" s="39">
        <f t="shared" si="239"/>
        <v>0.26969531250000001</v>
      </c>
      <c r="CD348" s="39">
        <f t="shared" si="223"/>
        <v>0.15774179166666666</v>
      </c>
      <c r="CE348" s="37"/>
      <c r="CF348" s="37"/>
      <c r="CG348" s="37"/>
      <c r="CH348" s="37"/>
      <c r="CI348" s="37"/>
      <c r="CJ348" s="39">
        <f t="shared" si="237"/>
        <v>6.8037116272343545E-2</v>
      </c>
      <c r="CK348" s="39">
        <f t="shared" si="229"/>
        <v>3.2740127549331213E-2</v>
      </c>
      <c r="CL348" s="37"/>
      <c r="CM348" s="39">
        <f t="shared" si="230"/>
        <v>0.11568949664074635</v>
      </c>
      <c r="CN348" s="37"/>
      <c r="CO348" s="39">
        <f>0.063495+(0.016949+0.014096)*Wages!P346+1.22592*BR348</f>
        <v>1.7313015426681053</v>
      </c>
      <c r="CP348" s="39"/>
      <c r="CQ348" s="39">
        <f t="shared" si="201"/>
        <v>1.7176665189568308</v>
      </c>
      <c r="CR348" s="39">
        <f t="shared" si="243"/>
        <v>0.71698328154265301</v>
      </c>
      <c r="CS348" s="39">
        <f t="shared" si="243"/>
        <v>1.966076192155912</v>
      </c>
      <c r="CT348" s="39">
        <f t="shared" si="220"/>
        <v>4.9088482991247604</v>
      </c>
      <c r="CU348" s="39">
        <f t="shared" si="220"/>
        <v>2.5263022038992635</v>
      </c>
      <c r="CV348" s="39">
        <f t="shared" si="220"/>
        <v>0.26969531250000001</v>
      </c>
      <c r="CW348" s="39">
        <f t="shared" si="220"/>
        <v>0.15774179166666666</v>
      </c>
      <c r="CX348" s="39"/>
      <c r="CY348" s="39"/>
      <c r="CZ348" s="39">
        <f t="shared" si="224"/>
        <v>0.42942147381402462</v>
      </c>
      <c r="DA348" s="39">
        <v>3.7</v>
      </c>
      <c r="DB348" s="39">
        <f t="shared" si="242"/>
        <v>3.3557888597258683</v>
      </c>
      <c r="DC348" s="39">
        <f t="shared" si="225"/>
        <v>3.8317176192113918</v>
      </c>
      <c r="DD348" s="39">
        <v>4</v>
      </c>
      <c r="DE348" s="39">
        <f t="shared" si="231"/>
        <v>3.2740127549331213E-2</v>
      </c>
      <c r="DF348" s="39">
        <v>6.8037116272343545E-2</v>
      </c>
      <c r="DG348" s="39">
        <f t="shared" si="226"/>
        <v>0</v>
      </c>
      <c r="DH348" s="39">
        <f t="shared" si="227"/>
        <v>3.7061498244658382</v>
      </c>
      <c r="DI348" s="39">
        <f t="shared" si="238"/>
        <v>2.808086023869889</v>
      </c>
      <c r="DJ348" s="37"/>
      <c r="DK348" s="37"/>
      <c r="DL348" s="37"/>
      <c r="DM348" s="39">
        <f t="shared" si="235"/>
        <v>1.4392675234152346</v>
      </c>
      <c r="DN348" s="39"/>
      <c r="DO348" s="39">
        <f t="shared" si="236"/>
        <v>1.4392675234152346</v>
      </c>
      <c r="DP348" s="37"/>
      <c r="DQ348" s="37">
        <f>DO348/'Conversions, Sources &amp; Comments'!E346</f>
        <v>3.001861524460383</v>
      </c>
    </row>
    <row r="349" spans="1:121">
      <c r="A349" s="42">
        <f t="shared" si="228"/>
        <v>1597</v>
      </c>
      <c r="B349" s="36"/>
      <c r="C349" s="38">
        <v>52</v>
      </c>
      <c r="D349" s="38">
        <v>4.5</v>
      </c>
      <c r="E349" s="38">
        <v>25</v>
      </c>
      <c r="F349" s="38">
        <v>5.25</v>
      </c>
      <c r="G349" s="38">
        <v>14</v>
      </c>
      <c r="H349" s="38">
        <v>1.75</v>
      </c>
      <c r="I349" s="38">
        <v>36</v>
      </c>
      <c r="J349" s="38">
        <v>0</v>
      </c>
      <c r="K349" s="38">
        <v>2</v>
      </c>
      <c r="L349" s="38">
        <v>2.75</v>
      </c>
      <c r="M349" s="36"/>
      <c r="N349" s="36"/>
      <c r="O349" s="36"/>
      <c r="P349" s="36"/>
      <c r="Q349" s="36"/>
      <c r="R349" s="36"/>
      <c r="S349" s="38">
        <v>3</v>
      </c>
      <c r="T349" s="38">
        <v>10</v>
      </c>
      <c r="U349" s="36"/>
      <c r="V349" s="36"/>
      <c r="W349" s="36"/>
      <c r="X349" s="36"/>
      <c r="Y349" s="36"/>
      <c r="Z349" s="38">
        <v>4</v>
      </c>
      <c r="AA349" s="38">
        <v>0.75</v>
      </c>
      <c r="AB349" s="36"/>
      <c r="AC349" s="38">
        <v>1</v>
      </c>
      <c r="AD349" s="38">
        <v>7.75</v>
      </c>
      <c r="AE349" s="38">
        <v>1</v>
      </c>
      <c r="AF349" s="38">
        <v>7</v>
      </c>
      <c r="AG349" s="38">
        <v>20</v>
      </c>
      <c r="AH349" s="38">
        <v>10</v>
      </c>
      <c r="AI349" s="38">
        <v>9</v>
      </c>
      <c r="AJ349" s="38">
        <v>1</v>
      </c>
      <c r="AK349" s="36"/>
      <c r="AL349" s="36"/>
      <c r="AM349" s="38">
        <v>27</v>
      </c>
      <c r="AN349" s="38">
        <v>5</v>
      </c>
      <c r="AO349" s="36"/>
      <c r="AP349" s="36"/>
      <c r="AQ349" s="36"/>
      <c r="AR349" s="36"/>
      <c r="AS349" s="38">
        <v>14.26</v>
      </c>
      <c r="AT349" s="36"/>
      <c r="AU349" s="36"/>
      <c r="AV349" s="36"/>
      <c r="AW349" s="38">
        <v>4</v>
      </c>
      <c r="AX349" s="36"/>
      <c r="AY349" s="38">
        <v>8.5</v>
      </c>
      <c r="AZ349" s="38">
        <v>92</v>
      </c>
      <c r="BA349" s="36"/>
      <c r="BB349" s="36"/>
      <c r="BC349" s="38">
        <v>5.75</v>
      </c>
      <c r="BD349" s="36"/>
      <c r="BE349" s="36"/>
      <c r="BF349" s="38">
        <v>5.6</v>
      </c>
      <c r="BG349" s="59">
        <v>26.48</v>
      </c>
      <c r="BH349" s="59">
        <v>2.25</v>
      </c>
      <c r="BI349" s="59">
        <v>0.48085103126369289</v>
      </c>
      <c r="BJ349" s="59"/>
      <c r="BK349" s="38">
        <v>4.8330000000000002</v>
      </c>
      <c r="BL349" s="59">
        <v>2.5099999999999998</v>
      </c>
      <c r="BM349" s="38"/>
      <c r="BN349" s="38">
        <v>60</v>
      </c>
      <c r="BO349" s="36"/>
      <c r="BP349" s="39">
        <f t="shared" si="221"/>
        <v>0.47945833333333338</v>
      </c>
      <c r="BQ349" s="37"/>
      <c r="BR349" s="39">
        <f t="shared" si="222"/>
        <v>1.0689439046625802</v>
      </c>
      <c r="BS349" s="39">
        <f t="shared" si="196"/>
        <v>1.4798357701781926</v>
      </c>
      <c r="BT349" s="39">
        <f t="shared" si="240"/>
        <v>24.119732429279679</v>
      </c>
      <c r="BU349" s="39">
        <f t="shared" si="241"/>
        <v>3.5655256634587351</v>
      </c>
      <c r="BV349" s="39">
        <f t="shared" si="233"/>
        <v>0.54044171065327207</v>
      </c>
      <c r="BW349" s="39">
        <f t="shared" si="217"/>
        <v>2.0385582637561299</v>
      </c>
      <c r="BX349" s="39">
        <f t="shared" si="234"/>
        <v>0.33809654499384773</v>
      </c>
      <c r="BY349" s="39">
        <f t="shared" si="216"/>
        <v>4.2941662973920769</v>
      </c>
      <c r="BZ349" s="37"/>
      <c r="CA349" s="39">
        <f t="shared" si="218"/>
        <v>5.1086270089728618</v>
      </c>
      <c r="CB349" s="39">
        <f t="shared" si="219"/>
        <v>2.6531458291996444</v>
      </c>
      <c r="CC349" s="39">
        <f t="shared" si="239"/>
        <v>0.36758472222222227</v>
      </c>
      <c r="CD349" s="39">
        <f t="shared" si="223"/>
        <v>0.15774179166666666</v>
      </c>
      <c r="CE349" s="37"/>
      <c r="CF349" s="37"/>
      <c r="CG349" s="37"/>
      <c r="CH349" s="39">
        <f>BP349*12*AW349/(12*0.453592)</f>
        <v>4.228102200509122</v>
      </c>
      <c r="CI349" s="37"/>
      <c r="CJ349" s="39">
        <f t="shared" si="237"/>
        <v>6.0942793846960996E-2</v>
      </c>
      <c r="CK349" s="39">
        <f t="shared" si="229"/>
        <v>3.3590520472690469E-2</v>
      </c>
      <c r="CL349" s="39">
        <f t="shared" ref="CL349:CL366" si="244">BP349*(12*AG349+AH349)/100</f>
        <v>1.1986458333333334</v>
      </c>
      <c r="CM349" s="39">
        <f t="shared" si="230"/>
        <v>0.1186944186314151</v>
      </c>
      <c r="CN349" s="37"/>
      <c r="CO349" s="39">
        <f>0.063495+(0.016949+0.014096)*Wages!P347+1.22592*BR349</f>
        <v>1.63471612655395</v>
      </c>
      <c r="CP349" s="39"/>
      <c r="CQ349" s="39">
        <f t="shared" si="201"/>
        <v>1.4798357701781926</v>
      </c>
      <c r="CR349" s="39">
        <f t="shared" si="243"/>
        <v>0.54044171065327207</v>
      </c>
      <c r="CS349" s="39">
        <f t="shared" si="243"/>
        <v>2.0385582637561299</v>
      </c>
      <c r="CT349" s="39">
        <f t="shared" si="220"/>
        <v>5.1086270089728618</v>
      </c>
      <c r="CU349" s="39">
        <f t="shared" si="220"/>
        <v>2.6531458291996444</v>
      </c>
      <c r="CV349" s="39">
        <f t="shared" si="220"/>
        <v>0.36758472222222227</v>
      </c>
      <c r="CW349" s="39">
        <f t="shared" si="220"/>
        <v>0.15774179166666666</v>
      </c>
      <c r="CX349" s="39"/>
      <c r="CY349" s="39"/>
      <c r="CZ349" s="39">
        <f t="shared" si="224"/>
        <v>0.33809654499384773</v>
      </c>
      <c r="DA349" s="39">
        <f>CH349</f>
        <v>4.228102200509122</v>
      </c>
      <c r="DB349" s="39">
        <f t="shared" si="242"/>
        <v>3.5655256634587351</v>
      </c>
      <c r="DC349" s="39">
        <f t="shared" si="225"/>
        <v>4.2941662973920769</v>
      </c>
      <c r="DD349" s="39">
        <v>4</v>
      </c>
      <c r="DE349" s="39">
        <f t="shared" si="231"/>
        <v>3.3590520472690469E-2</v>
      </c>
      <c r="DF349" s="39">
        <v>6.094279384696099E-2</v>
      </c>
      <c r="DG349" s="39">
        <f t="shared" si="226"/>
        <v>1.1986458333333334</v>
      </c>
      <c r="DH349" s="39">
        <f t="shared" si="227"/>
        <v>3.8024134562701462</v>
      </c>
      <c r="DI349" s="39">
        <f t="shared" si="238"/>
        <v>2.5152830841950138</v>
      </c>
      <c r="DJ349" s="37"/>
      <c r="DK349" s="37"/>
      <c r="DL349" s="37"/>
      <c r="DM349" s="39">
        <f t="shared" si="235"/>
        <v>1.3035528508047409</v>
      </c>
      <c r="DN349" s="39"/>
      <c r="DO349" s="39">
        <f t="shared" si="236"/>
        <v>1.3035528508047409</v>
      </c>
      <c r="DP349" s="37"/>
      <c r="DQ349" s="37">
        <f>DO349/'Conversions, Sources &amp; Comments'!E347</f>
        <v>2.7188031997317963</v>
      </c>
    </row>
    <row r="350" spans="1:121">
      <c r="A350" s="42">
        <f t="shared" si="228"/>
        <v>1598</v>
      </c>
      <c r="B350" s="36"/>
      <c r="C350" s="38">
        <v>31</v>
      </c>
      <c r="D350" s="38">
        <v>1.5</v>
      </c>
      <c r="E350" s="38">
        <v>17</v>
      </c>
      <c r="F350" s="38">
        <v>8.5</v>
      </c>
      <c r="G350" s="38">
        <v>9</v>
      </c>
      <c r="H350" s="38">
        <v>11.25</v>
      </c>
      <c r="I350" s="38">
        <v>22</v>
      </c>
      <c r="J350" s="38">
        <v>0</v>
      </c>
      <c r="K350" s="38">
        <v>2</v>
      </c>
      <c r="L350" s="38">
        <v>5.25</v>
      </c>
      <c r="M350" s="36"/>
      <c r="N350" s="36"/>
      <c r="O350" s="36"/>
      <c r="P350" s="36"/>
      <c r="Q350" s="36"/>
      <c r="R350" s="36"/>
      <c r="S350" s="38">
        <v>4</v>
      </c>
      <c r="T350" s="38">
        <v>0</v>
      </c>
      <c r="U350" s="36"/>
      <c r="V350" s="36"/>
      <c r="W350" s="36"/>
      <c r="X350" s="36"/>
      <c r="Y350" s="36"/>
      <c r="Z350" s="38">
        <v>4</v>
      </c>
      <c r="AA350" s="38">
        <v>2.75</v>
      </c>
      <c r="AB350" s="36"/>
      <c r="AC350" s="38">
        <v>1</v>
      </c>
      <c r="AD350" s="38">
        <v>7</v>
      </c>
      <c r="AE350" s="38">
        <v>1</v>
      </c>
      <c r="AF350" s="38">
        <v>7</v>
      </c>
      <c r="AG350" s="38">
        <v>20</v>
      </c>
      <c r="AH350" s="38">
        <v>10</v>
      </c>
      <c r="AI350" s="38">
        <v>11</v>
      </c>
      <c r="AJ350" s="38">
        <v>0</v>
      </c>
      <c r="AK350" s="36"/>
      <c r="AL350" s="36"/>
      <c r="AM350" s="38">
        <v>27</v>
      </c>
      <c r="AN350" s="38">
        <v>5</v>
      </c>
      <c r="AO350" s="36"/>
      <c r="AP350" s="36"/>
      <c r="AQ350" s="36"/>
      <c r="AR350" s="36"/>
      <c r="AS350" s="38">
        <v>13.97</v>
      </c>
      <c r="AT350" s="36"/>
      <c r="AU350" s="36"/>
      <c r="AV350" s="36"/>
      <c r="AW350" s="38">
        <v>4</v>
      </c>
      <c r="AX350" s="38">
        <v>29</v>
      </c>
      <c r="AY350" s="38">
        <v>9</v>
      </c>
      <c r="AZ350" s="38">
        <v>92</v>
      </c>
      <c r="BA350" s="36"/>
      <c r="BB350" s="36"/>
      <c r="BC350" s="38">
        <v>5.75</v>
      </c>
      <c r="BD350" s="36"/>
      <c r="BE350" s="36"/>
      <c r="BF350" s="38">
        <v>3.7</v>
      </c>
      <c r="BG350" s="59">
        <v>15.33</v>
      </c>
      <c r="BH350" s="59">
        <v>2.42</v>
      </c>
      <c r="BI350" s="59">
        <v>0.33853018005633456</v>
      </c>
      <c r="BJ350" s="59"/>
      <c r="BK350" s="38">
        <v>4.8195000000000006</v>
      </c>
      <c r="BL350" s="59">
        <v>2.5099999999999998</v>
      </c>
      <c r="BM350" s="38"/>
      <c r="BN350" s="38">
        <v>60</v>
      </c>
      <c r="BO350" s="36"/>
      <c r="BP350" s="39">
        <f t="shared" si="221"/>
        <v>0.47945833333333338</v>
      </c>
      <c r="BQ350" s="37"/>
      <c r="BR350" s="39">
        <f t="shared" si="222"/>
        <v>0.63524351374936161</v>
      </c>
      <c r="BS350" s="39">
        <f t="shared" si="196"/>
        <v>0.97774863386773447</v>
      </c>
      <c r="BT350" s="39">
        <f t="shared" si="240"/>
        <v>24.119732429279679</v>
      </c>
      <c r="BU350" s="39">
        <f t="shared" si="241"/>
        <v>3.775262467191602</v>
      </c>
      <c r="BV350" s="39">
        <f t="shared" si="233"/>
        <v>0.31287656436233618</v>
      </c>
      <c r="BW350" s="39">
        <f t="shared" si="217"/>
        <v>2.1925826659065932</v>
      </c>
      <c r="BX350" s="39">
        <f t="shared" si="234"/>
        <v>0.23802774001003582</v>
      </c>
      <c r="BY350" s="39">
        <f t="shared" si="216"/>
        <v>4.4703372224132902</v>
      </c>
      <c r="BZ350" s="37"/>
      <c r="CA350" s="39">
        <f t="shared" si="218"/>
        <v>5.0943571011265698</v>
      </c>
      <c r="CB350" s="39">
        <f t="shared" si="219"/>
        <v>2.6531458291996444</v>
      </c>
      <c r="CC350" s="39">
        <f t="shared" si="239"/>
        <v>0.38356666666666672</v>
      </c>
      <c r="CD350" s="39">
        <f t="shared" si="223"/>
        <v>0.15774179166666666</v>
      </c>
      <c r="CE350" s="37"/>
      <c r="CF350" s="37"/>
      <c r="CG350" s="37"/>
      <c r="CH350" s="39">
        <f>BP350*12*AW350/(12*0.453592)</f>
        <v>4.228102200509122</v>
      </c>
      <c r="CI350" s="37"/>
      <c r="CJ350" s="39">
        <f t="shared" si="237"/>
        <v>5.9703424266623083E-2</v>
      </c>
      <c r="CK350" s="39">
        <f t="shared" si="229"/>
        <v>3.2314931087651592E-2</v>
      </c>
      <c r="CL350" s="39">
        <f t="shared" si="244"/>
        <v>1.1986458333333334</v>
      </c>
      <c r="CM350" s="39">
        <f t="shared" si="230"/>
        <v>0.11418703564541199</v>
      </c>
      <c r="CN350" s="37"/>
      <c r="CO350" s="39">
        <f>0.063495+(0.016949+0.014096)*Wages!P348+1.22592*BR350</f>
        <v>1.1101788396256174</v>
      </c>
      <c r="CP350" s="39"/>
      <c r="CQ350" s="39">
        <f t="shared" si="201"/>
        <v>0.97774863386773447</v>
      </c>
      <c r="CR350" s="39">
        <f t="shared" si="243"/>
        <v>0.31287656436233618</v>
      </c>
      <c r="CS350" s="39">
        <f t="shared" si="243"/>
        <v>2.1925826659065932</v>
      </c>
      <c r="CT350" s="39">
        <f t="shared" si="220"/>
        <v>5.0943571011265698</v>
      </c>
      <c r="CU350" s="39">
        <f t="shared" si="220"/>
        <v>2.6531458291996444</v>
      </c>
      <c r="CV350" s="39">
        <f t="shared" si="220"/>
        <v>0.38356666666666672</v>
      </c>
      <c r="CW350" s="39">
        <f t="shared" si="220"/>
        <v>0.15774179166666666</v>
      </c>
      <c r="CX350" s="39"/>
      <c r="CY350" s="39"/>
      <c r="CZ350" s="39">
        <f t="shared" si="224"/>
        <v>0.23802774001003582</v>
      </c>
      <c r="DA350" s="39">
        <f>CH350</f>
        <v>4.228102200509122</v>
      </c>
      <c r="DB350" s="39">
        <f t="shared" si="242"/>
        <v>3.775262467191602</v>
      </c>
      <c r="DC350" s="39">
        <f t="shared" si="225"/>
        <v>4.4703372224132902</v>
      </c>
      <c r="DD350" s="39">
        <v>4.0999999999999996</v>
      </c>
      <c r="DE350" s="39">
        <f t="shared" si="231"/>
        <v>3.2314931087651592E-2</v>
      </c>
      <c r="DF350" s="39">
        <v>5.9703424266623076E-2</v>
      </c>
      <c r="DG350" s="39">
        <f t="shared" si="226"/>
        <v>1.1986458333333334</v>
      </c>
      <c r="DH350" s="39">
        <f t="shared" si="227"/>
        <v>3.6580180085636851</v>
      </c>
      <c r="DI350" s="39">
        <f t="shared" si="238"/>
        <v>2.4641307634084395</v>
      </c>
      <c r="DJ350" s="37"/>
      <c r="DK350" s="37"/>
      <c r="DL350" s="37"/>
      <c r="DM350" s="39">
        <f t="shared" si="235"/>
        <v>1.024883561912594</v>
      </c>
      <c r="DN350" s="39"/>
      <c r="DO350" s="39">
        <f t="shared" si="236"/>
        <v>1.024883561912594</v>
      </c>
      <c r="DP350" s="37"/>
      <c r="DQ350" s="37">
        <f>DO350/'Conversions, Sources &amp; Comments'!E348</f>
        <v>2.1375862940733685</v>
      </c>
    </row>
    <row r="351" spans="1:121">
      <c r="A351" s="42">
        <f t="shared" si="228"/>
        <v>1599</v>
      </c>
      <c r="B351" s="36"/>
      <c r="C351" s="38">
        <v>29</v>
      </c>
      <c r="D351" s="38">
        <v>8.75</v>
      </c>
      <c r="E351" s="38">
        <v>19</v>
      </c>
      <c r="F351" s="38">
        <v>0</v>
      </c>
      <c r="G351" s="38">
        <v>9</v>
      </c>
      <c r="H351" s="38">
        <v>3.75</v>
      </c>
      <c r="I351" s="38">
        <v>29</v>
      </c>
      <c r="J351" s="38">
        <v>4</v>
      </c>
      <c r="K351" s="38">
        <v>2</v>
      </c>
      <c r="L351" s="38">
        <v>5</v>
      </c>
      <c r="M351" s="36"/>
      <c r="N351" s="36"/>
      <c r="O351" s="36"/>
      <c r="P351" s="36"/>
      <c r="Q351" s="36"/>
      <c r="R351" s="36"/>
      <c r="S351" s="38">
        <v>4</v>
      </c>
      <c r="T351" s="38">
        <v>0</v>
      </c>
      <c r="U351" s="36"/>
      <c r="V351" s="36"/>
      <c r="W351" s="36"/>
      <c r="X351" s="36"/>
      <c r="Y351" s="36"/>
      <c r="Z351" s="38">
        <v>4</v>
      </c>
      <c r="AA351" s="38">
        <v>1</v>
      </c>
      <c r="AB351" s="36"/>
      <c r="AC351" s="38">
        <v>1</v>
      </c>
      <c r="AD351" s="38">
        <v>7.25</v>
      </c>
      <c r="AE351" s="38">
        <v>1</v>
      </c>
      <c r="AF351" s="38">
        <v>7</v>
      </c>
      <c r="AG351" s="38">
        <v>18</v>
      </c>
      <c r="AH351" s="38">
        <v>9</v>
      </c>
      <c r="AI351" s="38">
        <v>8</v>
      </c>
      <c r="AJ351" s="38">
        <v>6</v>
      </c>
      <c r="AK351" s="36"/>
      <c r="AL351" s="36"/>
      <c r="AM351" s="38">
        <v>27</v>
      </c>
      <c r="AN351" s="38">
        <v>5</v>
      </c>
      <c r="AO351" s="36"/>
      <c r="AP351" s="36"/>
      <c r="AQ351" s="36"/>
      <c r="AR351" s="36"/>
      <c r="AS351" s="36"/>
      <c r="AT351" s="36"/>
      <c r="AU351" s="36"/>
      <c r="AV351" s="36"/>
      <c r="AW351" s="38">
        <v>4</v>
      </c>
      <c r="AX351" s="38">
        <v>16</v>
      </c>
      <c r="AY351" s="38">
        <v>8</v>
      </c>
      <c r="AZ351" s="38">
        <v>108</v>
      </c>
      <c r="BA351" s="36"/>
      <c r="BB351" s="36"/>
      <c r="BC351" s="36"/>
      <c r="BD351" s="36"/>
      <c r="BE351" s="36"/>
      <c r="BF351" s="38">
        <v>4.3</v>
      </c>
      <c r="BG351" s="59">
        <v>14.94</v>
      </c>
      <c r="BH351" s="59">
        <v>2.42</v>
      </c>
      <c r="BI351" s="59">
        <v>0.32333086584972481</v>
      </c>
      <c r="BJ351" s="59"/>
      <c r="BK351" s="38">
        <v>4.7655000000000003</v>
      </c>
      <c r="BL351" s="59">
        <v>2.5099999999999998</v>
      </c>
      <c r="BM351" s="38"/>
      <c r="BN351" s="38">
        <v>60</v>
      </c>
      <c r="BO351" s="36"/>
      <c r="BP351" s="39">
        <f t="shared" si="221"/>
        <v>0.47945833333333338</v>
      </c>
      <c r="BQ351" s="37"/>
      <c r="BR351" s="39">
        <f t="shared" si="222"/>
        <v>0.60675535081682652</v>
      </c>
      <c r="BS351" s="39">
        <f t="shared" si="196"/>
        <v>1.1363024663868264</v>
      </c>
      <c r="BT351" s="39">
        <f t="shared" si="240"/>
        <v>28.314468503937011</v>
      </c>
      <c r="BU351" s="39">
        <f t="shared" si="241"/>
        <v>3.3557888597258683</v>
      </c>
      <c r="BV351" s="39">
        <f t="shared" si="233"/>
        <v>0.30491688659969357</v>
      </c>
      <c r="BW351" s="39">
        <f t="shared" si="217"/>
        <v>2.1925826659065932</v>
      </c>
      <c r="BX351" s="39">
        <f t="shared" si="234"/>
        <v>0.22734078025448398</v>
      </c>
      <c r="BY351" s="39">
        <f t="shared" si="216"/>
        <v>4.3161876630197282</v>
      </c>
      <c r="BZ351" s="37"/>
      <c r="CA351" s="39">
        <f t="shared" si="218"/>
        <v>5.0372774697413973</v>
      </c>
      <c r="CB351" s="39">
        <f t="shared" si="219"/>
        <v>2.6531458291996444</v>
      </c>
      <c r="CC351" s="39">
        <f t="shared" si="239"/>
        <v>0.38356666666666672</v>
      </c>
      <c r="CD351" s="39">
        <f t="shared" si="223"/>
        <v>0.15774179166666666</v>
      </c>
      <c r="CE351" s="37"/>
      <c r="CF351" s="37"/>
      <c r="CG351" s="37"/>
      <c r="CH351" s="39">
        <f>BP351*12*AW351/(12*0.453592)</f>
        <v>4.228102200509122</v>
      </c>
      <c r="CI351" s="37"/>
      <c r="CJ351" s="39">
        <f t="shared" si="237"/>
        <v>0</v>
      </c>
      <c r="CK351" s="39">
        <f t="shared" si="229"/>
        <v>3.2740127549331213E-2</v>
      </c>
      <c r="CL351" s="39">
        <f t="shared" si="244"/>
        <v>1.07878125</v>
      </c>
      <c r="CM351" s="39">
        <f t="shared" si="230"/>
        <v>0.11568949664074635</v>
      </c>
      <c r="CN351" s="37"/>
      <c r="CO351" s="39">
        <f>0.063495+(0.016949+0.014096)*Wages!P349+1.22592*BR351</f>
        <v>1.0752546309233639</v>
      </c>
      <c r="CP351" s="39"/>
      <c r="CQ351" s="39">
        <f t="shared" si="201"/>
        <v>1.1363024663868264</v>
      </c>
      <c r="CR351" s="39">
        <f t="shared" si="243"/>
        <v>0.30491688659969357</v>
      </c>
      <c r="CS351" s="39">
        <f t="shared" si="243"/>
        <v>2.1925826659065932</v>
      </c>
      <c r="CT351" s="39">
        <f t="shared" si="220"/>
        <v>5.0372774697413973</v>
      </c>
      <c r="CU351" s="39">
        <f t="shared" si="220"/>
        <v>2.6531458291996444</v>
      </c>
      <c r="CV351" s="39">
        <f t="shared" si="220"/>
        <v>0.38356666666666672</v>
      </c>
      <c r="CW351" s="39">
        <f t="shared" si="220"/>
        <v>0.15774179166666666</v>
      </c>
      <c r="CX351" s="39"/>
      <c r="CY351" s="39"/>
      <c r="CZ351" s="39">
        <f t="shared" si="224"/>
        <v>0.22734078025448398</v>
      </c>
      <c r="DA351" s="39">
        <f>CH351</f>
        <v>4.228102200509122</v>
      </c>
      <c r="DB351" s="39">
        <f t="shared" si="242"/>
        <v>3.3557888597258683</v>
      </c>
      <c r="DC351" s="39">
        <f t="shared" si="225"/>
        <v>4.3161876630197282</v>
      </c>
      <c r="DD351" s="39">
        <v>4.0999999999999996</v>
      </c>
      <c r="DE351" s="39">
        <f t="shared" si="231"/>
        <v>3.2740127549331213E-2</v>
      </c>
      <c r="DF351" s="39">
        <v>5.9499999999999997E-2</v>
      </c>
      <c r="DG351" s="39">
        <f t="shared" si="226"/>
        <v>1.07878125</v>
      </c>
      <c r="DH351" s="39">
        <f t="shared" si="227"/>
        <v>3.7061498244658382</v>
      </c>
      <c r="DI351" s="39">
        <f t="shared" si="238"/>
        <v>2.4557348631804863</v>
      </c>
      <c r="DJ351" s="37"/>
      <c r="DK351" s="37"/>
      <c r="DL351" s="37"/>
      <c r="DM351" s="39">
        <f t="shared" si="235"/>
        <v>1.0825929635180047</v>
      </c>
      <c r="DN351" s="39"/>
      <c r="DO351" s="39">
        <f t="shared" si="236"/>
        <v>1.0825929635180047</v>
      </c>
      <c r="DP351" s="37"/>
      <c r="DQ351" s="37">
        <f>DO351/'Conversions, Sources &amp; Comments'!E349</f>
        <v>2.2579500412298699</v>
      </c>
    </row>
    <row r="352" spans="1:121">
      <c r="A352" s="42">
        <f t="shared" si="228"/>
        <v>1600</v>
      </c>
      <c r="B352" s="36"/>
      <c r="C352" s="38">
        <v>34</v>
      </c>
      <c r="D352" s="38">
        <v>9</v>
      </c>
      <c r="E352" s="38">
        <v>25</v>
      </c>
      <c r="F352" s="38">
        <v>10.5</v>
      </c>
      <c r="G352" s="38">
        <v>15</v>
      </c>
      <c r="H352" s="38">
        <v>1</v>
      </c>
      <c r="I352" s="38">
        <v>33</v>
      </c>
      <c r="J352" s="38">
        <v>6.75</v>
      </c>
      <c r="K352" s="38">
        <v>2</v>
      </c>
      <c r="L352" s="38">
        <v>5.25</v>
      </c>
      <c r="M352" s="36"/>
      <c r="N352" s="36"/>
      <c r="O352" s="36"/>
      <c r="P352" s="36"/>
      <c r="Q352" s="36"/>
      <c r="R352" s="36"/>
      <c r="S352" s="38">
        <v>4</v>
      </c>
      <c r="T352" s="38">
        <v>0</v>
      </c>
      <c r="U352" s="36"/>
      <c r="V352" s="36"/>
      <c r="W352" s="36"/>
      <c r="X352" s="36"/>
      <c r="Y352" s="36"/>
      <c r="Z352" s="38">
        <v>4</v>
      </c>
      <c r="AA352" s="38">
        <v>7.5</v>
      </c>
      <c r="AB352" s="36"/>
      <c r="AC352" s="38">
        <v>1</v>
      </c>
      <c r="AD352" s="38">
        <v>7.25</v>
      </c>
      <c r="AE352" s="38">
        <v>1</v>
      </c>
      <c r="AF352" s="38">
        <v>7</v>
      </c>
      <c r="AG352" s="38">
        <v>16</v>
      </c>
      <c r="AH352" s="38">
        <v>8</v>
      </c>
      <c r="AI352" s="38">
        <v>8</v>
      </c>
      <c r="AJ352" s="38">
        <v>0</v>
      </c>
      <c r="AK352" s="36"/>
      <c r="AL352" s="36"/>
      <c r="AM352" s="38">
        <v>27</v>
      </c>
      <c r="AN352" s="38">
        <v>5</v>
      </c>
      <c r="AO352" s="36"/>
      <c r="AP352" s="36"/>
      <c r="AQ352" s="36"/>
      <c r="AR352" s="36"/>
      <c r="AS352" s="38">
        <v>13.83</v>
      </c>
      <c r="AT352" s="36"/>
      <c r="AU352" s="36"/>
      <c r="AV352" s="36"/>
      <c r="AW352" s="38">
        <v>4</v>
      </c>
      <c r="AX352" s="38">
        <v>16</v>
      </c>
      <c r="AY352" s="36"/>
      <c r="AZ352" s="38">
        <v>108</v>
      </c>
      <c r="BA352" s="36"/>
      <c r="BB352" s="36"/>
      <c r="BC352" s="38">
        <v>5.75</v>
      </c>
      <c r="BD352" s="36"/>
      <c r="BE352" s="36"/>
      <c r="BF352" s="38">
        <v>4</v>
      </c>
      <c r="BG352" s="59">
        <v>23.12</v>
      </c>
      <c r="BH352" s="59">
        <v>2.42</v>
      </c>
      <c r="BI352" s="59">
        <v>0.39656392520885025</v>
      </c>
      <c r="BJ352" s="59"/>
      <c r="BK352" s="38">
        <v>5.2649999999999997</v>
      </c>
      <c r="BL352" s="59">
        <v>2.5099999999999998</v>
      </c>
      <c r="BM352" s="36"/>
      <c r="BN352" s="38">
        <v>60</v>
      </c>
      <c r="BO352" s="36"/>
      <c r="BP352" s="39">
        <f t="shared" si="221"/>
        <v>0.47945833333333338</v>
      </c>
      <c r="BQ352" s="37"/>
      <c r="BR352" s="39">
        <f t="shared" si="222"/>
        <v>0.70922769808161656</v>
      </c>
      <c r="BS352" s="39">
        <f t="shared" si="196"/>
        <v>1.0570255501272805</v>
      </c>
      <c r="BT352" s="39">
        <f t="shared" si="240"/>
        <v>28.314468503937011</v>
      </c>
      <c r="BU352" s="37"/>
      <c r="BV352" s="39">
        <f t="shared" si="233"/>
        <v>0.47186602531358202</v>
      </c>
      <c r="BW352" s="39">
        <f t="shared" si="217"/>
        <v>2.1925826659065932</v>
      </c>
      <c r="BX352" s="39">
        <f t="shared" si="234"/>
        <v>0.27883249544032851</v>
      </c>
      <c r="BY352" s="39">
        <f t="shared" si="216"/>
        <v>4.8887431693386718</v>
      </c>
      <c r="BZ352" s="37"/>
      <c r="CA352" s="39">
        <f t="shared" si="218"/>
        <v>5.5652640600542336</v>
      </c>
      <c r="CB352" s="39">
        <f t="shared" si="219"/>
        <v>2.6531458291996444</v>
      </c>
      <c r="CC352" s="39">
        <f t="shared" si="239"/>
        <v>0.38356666666666672</v>
      </c>
      <c r="CD352" s="39">
        <f t="shared" si="223"/>
        <v>0.15774179166666666</v>
      </c>
      <c r="CE352" s="37"/>
      <c r="CF352" s="37"/>
      <c r="CG352" s="37"/>
      <c r="CH352" s="39">
        <f>BP352*12*AW352/(12*0.453592)</f>
        <v>4.228102200509122</v>
      </c>
      <c r="CI352" s="37"/>
      <c r="CJ352" s="39">
        <f t="shared" si="237"/>
        <v>5.9105107917494425E-2</v>
      </c>
      <c r="CK352" s="39">
        <f t="shared" si="229"/>
        <v>3.2740127549331213E-2</v>
      </c>
      <c r="CL352" s="39">
        <f t="shared" si="244"/>
        <v>0.95891666666666675</v>
      </c>
      <c r="CM352" s="39">
        <f t="shared" si="230"/>
        <v>0.11568949664074635</v>
      </c>
      <c r="CN352" s="37"/>
      <c r="CO352" s="39">
        <f>0.063495+(0.016949+0.014096)*Wages!P350+1.22592*BR352</f>
        <v>1.2008775308822153</v>
      </c>
      <c r="CP352" s="39"/>
      <c r="CQ352" s="39">
        <f t="shared" si="201"/>
        <v>1.0570255501272805</v>
      </c>
      <c r="CR352" s="39">
        <f t="shared" si="243"/>
        <v>0.47186602531358202</v>
      </c>
      <c r="CS352" s="39">
        <f t="shared" si="243"/>
        <v>2.1925826659065932</v>
      </c>
      <c r="CT352" s="39">
        <f t="shared" si="220"/>
        <v>5.5652640600542336</v>
      </c>
      <c r="CU352" s="39">
        <f t="shared" si="220"/>
        <v>2.6531458291996444</v>
      </c>
      <c r="CV352" s="39">
        <f t="shared" si="220"/>
        <v>0.38356666666666672</v>
      </c>
      <c r="CW352" s="39">
        <f t="shared" si="220"/>
        <v>0.15774179166666666</v>
      </c>
      <c r="CX352" s="39"/>
      <c r="CY352" s="39"/>
      <c r="CZ352" s="39">
        <f t="shared" si="224"/>
        <v>0.27883249544032851</v>
      </c>
      <c r="DA352" s="39">
        <f>CH352</f>
        <v>4.228102200509122</v>
      </c>
      <c r="DB352" s="39">
        <v>3.4</v>
      </c>
      <c r="DC352" s="39">
        <f t="shared" si="225"/>
        <v>4.8887431693386718</v>
      </c>
      <c r="DD352" s="39">
        <v>4.2</v>
      </c>
      <c r="DE352" s="39">
        <f t="shared" si="231"/>
        <v>3.2740127549331213E-2</v>
      </c>
      <c r="DF352" s="39">
        <v>5.9105107917494425E-2</v>
      </c>
      <c r="DG352" s="39">
        <f t="shared" si="226"/>
        <v>0.95891666666666675</v>
      </c>
      <c r="DH352" s="39">
        <f t="shared" si="227"/>
        <v>3.7061498244658382</v>
      </c>
      <c r="DI352" s="39">
        <f t="shared" si="238"/>
        <v>2.4394365395804378</v>
      </c>
      <c r="DJ352" s="37"/>
      <c r="DK352" s="37"/>
      <c r="DL352" s="37"/>
      <c r="DM352" s="39">
        <f t="shared" si="235"/>
        <v>1.1026934818014682</v>
      </c>
      <c r="DN352" s="39"/>
      <c r="DO352" s="39">
        <f t="shared" si="236"/>
        <v>1.1026934818014682</v>
      </c>
      <c r="DP352" s="39"/>
      <c r="DQ352" s="37">
        <f>DO352/'Conversions, Sources &amp; Comments'!E350</f>
        <v>2.2998734303671884</v>
      </c>
    </row>
    <row r="353" spans="1:121">
      <c r="A353" s="42">
        <f t="shared" si="228"/>
        <v>1601</v>
      </c>
      <c r="B353" s="36"/>
      <c r="C353" s="38">
        <v>24</v>
      </c>
      <c r="D353" s="38">
        <v>2</v>
      </c>
      <c r="E353" s="38">
        <v>18</v>
      </c>
      <c r="F353" s="38">
        <v>5.5</v>
      </c>
      <c r="G353" s="38">
        <v>9</v>
      </c>
      <c r="H353" s="38">
        <v>10</v>
      </c>
      <c r="I353" s="38">
        <v>28</v>
      </c>
      <c r="J353" s="38">
        <v>9.5</v>
      </c>
      <c r="K353" s="38">
        <v>2</v>
      </c>
      <c r="L353" s="38">
        <v>4</v>
      </c>
      <c r="M353" s="36"/>
      <c r="N353" s="36"/>
      <c r="O353" s="36"/>
      <c r="P353" s="36"/>
      <c r="Q353" s="38">
        <v>2</v>
      </c>
      <c r="R353" s="38">
        <v>6</v>
      </c>
      <c r="S353" s="38" t="s">
        <v>8</v>
      </c>
      <c r="T353" s="36"/>
      <c r="U353" s="36"/>
      <c r="V353" s="36"/>
      <c r="W353" s="36"/>
      <c r="X353" s="36"/>
      <c r="Y353" s="36"/>
      <c r="Z353" s="38">
        <v>4</v>
      </c>
      <c r="AA353" s="38">
        <v>5</v>
      </c>
      <c r="AB353" s="36"/>
      <c r="AC353" s="38">
        <v>1</v>
      </c>
      <c r="AD353" s="38">
        <v>7</v>
      </c>
      <c r="AE353" s="38">
        <v>1</v>
      </c>
      <c r="AF353" s="38">
        <v>7</v>
      </c>
      <c r="AG353" s="38">
        <v>17</v>
      </c>
      <c r="AH353" s="38">
        <v>3.5</v>
      </c>
      <c r="AI353" s="36"/>
      <c r="AJ353" s="36"/>
      <c r="AK353" s="36"/>
      <c r="AL353" s="36"/>
      <c r="AM353" s="38">
        <v>27</v>
      </c>
      <c r="AN353" s="38">
        <v>5</v>
      </c>
      <c r="AO353" s="36"/>
      <c r="AP353" s="36"/>
      <c r="AQ353" s="36"/>
      <c r="AR353" s="36"/>
      <c r="AS353" s="38">
        <v>14</v>
      </c>
      <c r="AT353" s="36"/>
      <c r="AU353" s="36"/>
      <c r="AV353" s="36"/>
      <c r="AW353" s="36"/>
      <c r="AX353" s="38">
        <v>16</v>
      </c>
      <c r="AY353" s="38">
        <v>9</v>
      </c>
      <c r="AZ353" s="38">
        <v>120.43</v>
      </c>
      <c r="BA353" s="36"/>
      <c r="BB353" s="36"/>
      <c r="BC353" s="38">
        <v>6</v>
      </c>
      <c r="BD353" s="36"/>
      <c r="BE353" s="36"/>
      <c r="BF353" s="38">
        <v>3.3</v>
      </c>
      <c r="BG353" s="59">
        <v>22.6</v>
      </c>
      <c r="BH353" s="59">
        <v>2.33</v>
      </c>
      <c r="BI353" s="59">
        <v>0.32194911001275889</v>
      </c>
      <c r="BJ353" s="59"/>
      <c r="BK353" s="38">
        <v>6.2774999999999999</v>
      </c>
      <c r="BL353" s="59">
        <v>2.5099999999999998</v>
      </c>
      <c r="BM353" s="38"/>
      <c r="BN353" s="38">
        <v>62</v>
      </c>
      <c r="BO353" s="36"/>
      <c r="BP353" s="39">
        <f t="shared" si="221"/>
        <v>0.46399193548387102</v>
      </c>
      <c r="BQ353" s="37"/>
      <c r="BR353" s="39">
        <f t="shared" si="222"/>
        <v>0.47731731827261259</v>
      </c>
      <c r="BS353" s="39">
        <f t="shared" si="196"/>
        <v>0.84391556018226421</v>
      </c>
      <c r="BT353" s="39">
        <f t="shared" si="240"/>
        <v>30.554762024454611</v>
      </c>
      <c r="BU353" s="39">
        <f>$BP353*12*AY353/(12*(45/36)*0.9144)</f>
        <v>3.6534798069596146</v>
      </c>
      <c r="BV353" s="39">
        <f t="shared" si="233"/>
        <v>0.44637398867425016</v>
      </c>
      <c r="BW353" s="39">
        <f t="shared" si="217"/>
        <v>2.0429422600222722</v>
      </c>
      <c r="BX353" s="39">
        <f t="shared" si="234"/>
        <v>0.21906700495986173</v>
      </c>
      <c r="BY353" s="39">
        <f t="shared" si="216"/>
        <v>4.5179317868343434</v>
      </c>
      <c r="BZ353" s="37"/>
      <c r="CA353" s="39">
        <f t="shared" si="218"/>
        <v>6.4214585308318091</v>
      </c>
      <c r="CB353" s="39">
        <f t="shared" si="219"/>
        <v>2.5675604798706235</v>
      </c>
      <c r="CC353" s="37"/>
      <c r="CD353" s="39">
        <f t="shared" si="223"/>
        <v>0.15265334677419357</v>
      </c>
      <c r="CE353" s="37"/>
      <c r="CF353" s="37"/>
      <c r="CG353" s="37"/>
      <c r="CH353" s="37"/>
      <c r="CI353" s="37"/>
      <c r="CJ353" s="39">
        <f t="shared" si="237"/>
        <v>5.7901582173740251E-2</v>
      </c>
      <c r="CK353" s="39">
        <f t="shared" si="229"/>
        <v>3.1272513955791864E-2</v>
      </c>
      <c r="CL353" s="39">
        <f t="shared" si="244"/>
        <v>0.96278326612903242</v>
      </c>
      <c r="CM353" s="39">
        <f t="shared" si="230"/>
        <v>0.11050358288265677</v>
      </c>
      <c r="CN353" s="37"/>
      <c r="CO353" s="39">
        <f>0.063495+(0.016949+0.014096)*Wages!P351+1.22592*BR353</f>
        <v>0.90793118028450315</v>
      </c>
      <c r="CP353" s="39"/>
      <c r="CQ353" s="39">
        <f t="shared" si="201"/>
        <v>0.84391556018226421</v>
      </c>
      <c r="CR353" s="39">
        <f t="shared" si="243"/>
        <v>0.44637398867425016</v>
      </c>
      <c r="CS353" s="39">
        <f t="shared" si="243"/>
        <v>2.0429422600222722</v>
      </c>
      <c r="CT353" s="39">
        <f t="shared" si="220"/>
        <v>6.4214585308318091</v>
      </c>
      <c r="CU353" s="39">
        <f t="shared" si="220"/>
        <v>2.5675604798706235</v>
      </c>
      <c r="CV353" s="39">
        <v>0.3</v>
      </c>
      <c r="CW353" s="39">
        <f t="shared" si="220"/>
        <v>0.15265334677419357</v>
      </c>
      <c r="CX353" s="39"/>
      <c r="CY353" s="39"/>
      <c r="CZ353" s="39">
        <f t="shared" si="224"/>
        <v>0.21906700495986173</v>
      </c>
      <c r="DA353" s="39">
        <v>4.0999999999999996</v>
      </c>
      <c r="DB353" s="39">
        <f>BU353</f>
        <v>3.6534798069596146</v>
      </c>
      <c r="DC353" s="39">
        <f t="shared" si="225"/>
        <v>4.5179317868343434</v>
      </c>
      <c r="DD353" s="39">
        <v>4.2</v>
      </c>
      <c r="DE353" s="39">
        <f t="shared" si="231"/>
        <v>3.1272513955791864E-2</v>
      </c>
      <c r="DF353" s="39">
        <v>5.7901582173740258E-2</v>
      </c>
      <c r="DG353" s="39">
        <f t="shared" si="226"/>
        <v>0.96278326612903242</v>
      </c>
      <c r="DH353" s="39">
        <f t="shared" si="227"/>
        <v>3.540017427642276</v>
      </c>
      <c r="DI353" s="39">
        <f t="shared" si="238"/>
        <v>2.3897635962582138</v>
      </c>
      <c r="DJ353" s="37"/>
      <c r="DK353" s="37"/>
      <c r="DL353" s="37"/>
      <c r="DM353" s="39">
        <f t="shared" si="235"/>
        <v>0.96753202818408068</v>
      </c>
      <c r="DN353" s="39"/>
      <c r="DO353" s="39">
        <f t="shared" si="236"/>
        <v>0.96753202818408068</v>
      </c>
      <c r="DP353" s="37"/>
      <c r="DQ353" s="37">
        <f>DO353/'Conversions, Sources &amp; Comments'!E351</f>
        <v>2.0852345788620141</v>
      </c>
    </row>
    <row r="354" spans="1:121">
      <c r="A354" s="42">
        <f t="shared" si="228"/>
        <v>1602</v>
      </c>
      <c r="B354" s="36"/>
      <c r="C354" s="38">
        <v>26</v>
      </c>
      <c r="D354" s="38">
        <v>9</v>
      </c>
      <c r="E354" s="38">
        <v>19</v>
      </c>
      <c r="F354" s="38">
        <v>0</v>
      </c>
      <c r="G354" s="38">
        <v>8</v>
      </c>
      <c r="H354" s="38">
        <v>0.25</v>
      </c>
      <c r="I354" s="38">
        <v>18</v>
      </c>
      <c r="J354" s="38">
        <v>8</v>
      </c>
      <c r="K354" s="38">
        <v>2</v>
      </c>
      <c r="L354" s="38">
        <v>2.25</v>
      </c>
      <c r="M354" s="36"/>
      <c r="N354" s="36"/>
      <c r="O354" s="36"/>
      <c r="P354" s="36"/>
      <c r="Q354" s="38">
        <v>2</v>
      </c>
      <c r="R354" s="38">
        <v>0</v>
      </c>
      <c r="S354" s="38">
        <v>2</v>
      </c>
      <c r="T354" s="38">
        <v>7.5</v>
      </c>
      <c r="U354" s="36"/>
      <c r="V354" s="36"/>
      <c r="W354" s="36"/>
      <c r="X354" s="36"/>
      <c r="Y354" s="36"/>
      <c r="Z354" s="38">
        <v>3</v>
      </c>
      <c r="AA354" s="38">
        <v>7</v>
      </c>
      <c r="AB354" s="36"/>
      <c r="AC354" s="38">
        <v>1</v>
      </c>
      <c r="AD354" s="38">
        <v>7.25</v>
      </c>
      <c r="AE354" s="38">
        <v>1</v>
      </c>
      <c r="AF354" s="38">
        <v>7</v>
      </c>
      <c r="AG354" s="38">
        <v>17</v>
      </c>
      <c r="AH354" s="38">
        <v>5.5</v>
      </c>
      <c r="AI354" s="38">
        <v>13</v>
      </c>
      <c r="AJ354" s="38">
        <v>4</v>
      </c>
      <c r="AK354" s="36"/>
      <c r="AL354" s="36"/>
      <c r="AM354" s="38">
        <v>27</v>
      </c>
      <c r="AN354" s="38">
        <v>5</v>
      </c>
      <c r="AO354" s="36"/>
      <c r="AP354" s="36"/>
      <c r="AQ354" s="36"/>
      <c r="AR354" s="36"/>
      <c r="AS354" s="38">
        <v>13.85</v>
      </c>
      <c r="AT354" s="36"/>
      <c r="AU354" s="36"/>
      <c r="AV354" s="36"/>
      <c r="AW354" s="38">
        <v>4</v>
      </c>
      <c r="AX354" s="38">
        <v>19</v>
      </c>
      <c r="AY354" s="36"/>
      <c r="AZ354" s="38">
        <v>120</v>
      </c>
      <c r="BA354" s="36"/>
      <c r="BB354" s="36"/>
      <c r="BC354" s="38">
        <v>7</v>
      </c>
      <c r="BD354" s="36"/>
      <c r="BE354" s="36"/>
      <c r="BF354" s="38">
        <v>3.4</v>
      </c>
      <c r="BG354" s="59">
        <v>14.51</v>
      </c>
      <c r="BH354" s="59">
        <v>2.17</v>
      </c>
      <c r="BI354" s="59">
        <v>0.25147956232756352</v>
      </c>
      <c r="BJ354" s="59"/>
      <c r="BK354" s="38">
        <v>4.1445000000000007</v>
      </c>
      <c r="BL354" s="59">
        <v>1.83</v>
      </c>
      <c r="BM354" s="36"/>
      <c r="BN354" s="38">
        <v>62</v>
      </c>
      <c r="BO354" s="36"/>
      <c r="BP354" s="39">
        <f t="shared" si="221"/>
        <v>0.46399193548387102</v>
      </c>
      <c r="BQ354" s="37"/>
      <c r="BR354" s="39">
        <f t="shared" si="222"/>
        <v>0.52834089367416781</v>
      </c>
      <c r="BS354" s="39">
        <f t="shared" si="196"/>
        <v>0.86948875897566613</v>
      </c>
      <c r="BT354" s="39">
        <f t="shared" si="240"/>
        <v>30.445665057996788</v>
      </c>
      <c r="BU354" s="37"/>
      <c r="BV354" s="39">
        <f t="shared" si="233"/>
        <v>0.28658790157802522</v>
      </c>
      <c r="BW354" s="39">
        <f t="shared" si="217"/>
        <v>1.9026543795057211</v>
      </c>
      <c r="BX354" s="39">
        <f t="shared" si="234"/>
        <v>0.17111671632057923</v>
      </c>
      <c r="BY354" s="39">
        <f t="shared" si="216"/>
        <v>3.6654918270542787</v>
      </c>
      <c r="BZ354" s="37"/>
      <c r="CA354" s="39">
        <f t="shared" si="218"/>
        <v>4.2395435891728299</v>
      </c>
      <c r="CB354" s="39">
        <f t="shared" si="219"/>
        <v>1.8719664056427259</v>
      </c>
      <c r="CC354" s="39">
        <f>2*BP354*(12*S354+T354)/120</f>
        <v>0.24359576612903228</v>
      </c>
      <c r="CD354" s="39">
        <f t="shared" si="223"/>
        <v>0.15265334677419357</v>
      </c>
      <c r="CE354" s="37"/>
      <c r="CF354" s="37"/>
      <c r="CG354" s="37"/>
      <c r="CH354" s="39">
        <f>BP354*12*AW354/(12*0.453592)</f>
        <v>4.0917118069443115</v>
      </c>
      <c r="CI354" s="37"/>
      <c r="CJ354" s="39">
        <f t="shared" si="237"/>
        <v>5.7281208079021602E-2</v>
      </c>
      <c r="CK354" s="39">
        <f t="shared" si="229"/>
        <v>3.1683994402578602E-2</v>
      </c>
      <c r="CL354" s="39">
        <f t="shared" si="244"/>
        <v>0.97206310483870983</v>
      </c>
      <c r="CM354" s="39">
        <f t="shared" si="230"/>
        <v>0.11195757739427069</v>
      </c>
      <c r="CN354" s="37"/>
      <c r="CO354" s="39">
        <f>0.063495+(0.016949+0.014096)*Wages!P352+1.22592*BR354</f>
        <v>0.97048200184077771</v>
      </c>
      <c r="CP354" s="39"/>
      <c r="CQ354" s="39">
        <f t="shared" si="201"/>
        <v>0.86948875897566613</v>
      </c>
      <c r="CR354" s="39">
        <f t="shared" si="243"/>
        <v>0.28658790157802522</v>
      </c>
      <c r="CS354" s="39">
        <f t="shared" si="243"/>
        <v>1.9026543795057211</v>
      </c>
      <c r="CT354" s="39">
        <f t="shared" si="220"/>
        <v>4.2395435891728299</v>
      </c>
      <c r="CU354" s="39">
        <f t="shared" si="220"/>
        <v>1.8719664056427259</v>
      </c>
      <c r="CV354" s="39">
        <f>CC354</f>
        <v>0.24359576612903228</v>
      </c>
      <c r="CW354" s="39">
        <f t="shared" si="220"/>
        <v>0.15265334677419357</v>
      </c>
      <c r="CX354" s="39"/>
      <c r="CY354" s="39"/>
      <c r="CZ354" s="39">
        <f t="shared" si="224"/>
        <v>0.17111671632057923</v>
      </c>
      <c r="DA354" s="39">
        <f>CH354</f>
        <v>4.0917118069443115</v>
      </c>
      <c r="DB354" s="39">
        <v>3.6534798069596142</v>
      </c>
      <c r="DC354" s="39">
        <f t="shared" si="225"/>
        <v>3.6654918270542787</v>
      </c>
      <c r="DD354" s="39">
        <v>4.2</v>
      </c>
      <c r="DE354" s="39">
        <f t="shared" si="231"/>
        <v>3.1683994402578602E-2</v>
      </c>
      <c r="DF354" s="39">
        <v>5.7281208079021609E-2</v>
      </c>
      <c r="DG354" s="39">
        <f t="shared" si="226"/>
        <v>0.97206310483870983</v>
      </c>
      <c r="DH354" s="39">
        <f t="shared" si="227"/>
        <v>3.5865966043217798</v>
      </c>
      <c r="DI354" s="39">
        <f t="shared" si="238"/>
        <v>2.3641589862983041</v>
      </c>
      <c r="DJ354" s="37"/>
      <c r="DK354" s="37"/>
      <c r="DL354" s="37"/>
      <c r="DM354" s="39">
        <f t="shared" si="235"/>
        <v>0.88093244102639179</v>
      </c>
      <c r="DN354" s="39"/>
      <c r="DO354" s="39">
        <f t="shared" si="236"/>
        <v>0.88093244102639179</v>
      </c>
      <c r="DP354" s="37"/>
      <c r="DQ354" s="37">
        <f>DO354/'Conversions, Sources &amp; Comments'!E352</f>
        <v>1.8985942936868441</v>
      </c>
    </row>
    <row r="355" spans="1:121">
      <c r="A355" s="42">
        <f t="shared" si="228"/>
        <v>1603</v>
      </c>
      <c r="B355" s="36"/>
      <c r="C355" s="38">
        <v>26</v>
      </c>
      <c r="D355" s="38">
        <v>7.25</v>
      </c>
      <c r="E355" s="38">
        <v>10</v>
      </c>
      <c r="F355" s="38">
        <v>8</v>
      </c>
      <c r="G355" s="38">
        <v>9</v>
      </c>
      <c r="H355" s="38">
        <v>0.75</v>
      </c>
      <c r="I355" s="38">
        <v>18</v>
      </c>
      <c r="J355" s="38">
        <v>8</v>
      </c>
      <c r="K355" s="38">
        <v>2</v>
      </c>
      <c r="L355" s="38">
        <v>1</v>
      </c>
      <c r="M355" s="36"/>
      <c r="N355" s="36"/>
      <c r="O355" s="36"/>
      <c r="P355" s="36"/>
      <c r="Q355" s="36"/>
      <c r="R355" s="36"/>
      <c r="S355" s="38">
        <v>2</v>
      </c>
      <c r="T355" s="38">
        <v>4.5</v>
      </c>
      <c r="U355" s="36"/>
      <c r="V355" s="36"/>
      <c r="W355" s="36"/>
      <c r="X355" s="36"/>
      <c r="Y355" s="36"/>
      <c r="Z355" s="38">
        <v>3</v>
      </c>
      <c r="AA355" s="38">
        <v>3.5</v>
      </c>
      <c r="AB355" s="36"/>
      <c r="AC355" s="38">
        <v>1</v>
      </c>
      <c r="AD355" s="38">
        <v>7</v>
      </c>
      <c r="AE355" s="38">
        <v>1</v>
      </c>
      <c r="AF355" s="38">
        <v>10.75</v>
      </c>
      <c r="AG355" s="38">
        <v>22</v>
      </c>
      <c r="AH355" s="38">
        <v>11</v>
      </c>
      <c r="AI355" s="36"/>
      <c r="AJ355" s="36"/>
      <c r="AK355" s="36"/>
      <c r="AL355" s="36"/>
      <c r="AM355" s="38">
        <v>28</v>
      </c>
      <c r="AN355" s="38">
        <v>3</v>
      </c>
      <c r="AO355" s="36"/>
      <c r="AP355" s="36"/>
      <c r="AQ355" s="36"/>
      <c r="AR355" s="36"/>
      <c r="AS355" s="38">
        <v>13.42</v>
      </c>
      <c r="AT355" s="36"/>
      <c r="AU355" s="36"/>
      <c r="AV355" s="36"/>
      <c r="AW355" s="38">
        <v>4</v>
      </c>
      <c r="AX355" s="36"/>
      <c r="AY355" s="38">
        <v>9</v>
      </c>
      <c r="AZ355" s="38">
        <v>118.18</v>
      </c>
      <c r="BA355" s="36"/>
      <c r="BB355" s="36"/>
      <c r="BC355" s="38">
        <v>7</v>
      </c>
      <c r="BD355" s="36"/>
      <c r="BE355" s="36"/>
      <c r="BF355" s="38">
        <v>3.6</v>
      </c>
      <c r="BG355" s="59">
        <v>16.010000000000002</v>
      </c>
      <c r="BH355" s="59">
        <v>2.08</v>
      </c>
      <c r="BI355" s="59">
        <v>0.23213498061005775</v>
      </c>
      <c r="BJ355" s="59"/>
      <c r="BK355" s="38">
        <v>4.1580000000000004</v>
      </c>
      <c r="BL355" s="59">
        <v>2.76</v>
      </c>
      <c r="BM355" s="38"/>
      <c r="BN355" s="38">
        <v>62</v>
      </c>
      <c r="BO355" s="36"/>
      <c r="BP355" s="39">
        <f t="shared" si="221"/>
        <v>0.46399193548387102</v>
      </c>
      <c r="BQ355" s="37"/>
      <c r="BR355" s="39">
        <f t="shared" si="222"/>
        <v>0.52546053054666064</v>
      </c>
      <c r="BS355" s="39">
        <f t="shared" si="196"/>
        <v>0.92063515656247008</v>
      </c>
      <c r="BT355" s="39">
        <f t="shared" si="240"/>
        <v>29.983905804617169</v>
      </c>
      <c r="BU355" s="39">
        <f>$BP355*12*AY355/(12*(45/36)*0.9144)</f>
        <v>3.6534798069596146</v>
      </c>
      <c r="BV355" s="39">
        <f t="shared" si="233"/>
        <v>0.31621449374667016</v>
      </c>
      <c r="BW355" s="39">
        <f t="shared" si="217"/>
        <v>1.8237424467151613</v>
      </c>
      <c r="BX355" s="39">
        <f t="shared" si="234"/>
        <v>0.15795389198822637</v>
      </c>
      <c r="BY355" s="39">
        <f t="shared" si="216"/>
        <v>3.3671378411312558</v>
      </c>
      <c r="BZ355" s="37"/>
      <c r="CA355" s="39">
        <f t="shared" si="218"/>
        <v>4.253353177411177</v>
      </c>
      <c r="CB355" s="39">
        <f t="shared" si="219"/>
        <v>2.8232935953955862</v>
      </c>
      <c r="CC355" s="39">
        <f>2*BP355*(12*S355+T355)/120</f>
        <v>0.22039616935483872</v>
      </c>
      <c r="CD355" s="39">
        <f t="shared" si="223"/>
        <v>0.15729326612903227</v>
      </c>
      <c r="CE355" s="37"/>
      <c r="CF355" s="37"/>
      <c r="CG355" s="37"/>
      <c r="CH355" s="39">
        <f>BP355*12*AW355/(12*0.453592)</f>
        <v>4.0917118069443115</v>
      </c>
      <c r="CI355" s="37"/>
      <c r="CJ355" s="39">
        <f t="shared" si="237"/>
        <v>5.5502802340828154E-2</v>
      </c>
      <c r="CK355" s="39">
        <f t="shared" si="229"/>
        <v>3.1272513955791864E-2</v>
      </c>
      <c r="CL355" s="39">
        <f t="shared" si="244"/>
        <v>1.2759778225806453</v>
      </c>
      <c r="CM355" s="39">
        <f t="shared" si="230"/>
        <v>0.11050358288265677</v>
      </c>
      <c r="CN355" s="37"/>
      <c r="CO355" s="39">
        <f>0.063495+(0.016949+0.014096)*Wages!P353+1.22592*BR355</f>
        <v>0.96695090707550413</v>
      </c>
      <c r="CP355" s="39"/>
      <c r="CQ355" s="39">
        <f t="shared" si="201"/>
        <v>0.92063515656247008</v>
      </c>
      <c r="CR355" s="39">
        <f t="shared" si="243"/>
        <v>0.31621449374667016</v>
      </c>
      <c r="CS355" s="39">
        <f t="shared" si="243"/>
        <v>1.8237424467151613</v>
      </c>
      <c r="CT355" s="39">
        <f t="shared" si="220"/>
        <v>4.253353177411177</v>
      </c>
      <c r="CU355" s="39">
        <f t="shared" si="220"/>
        <v>2.8232935953955862</v>
      </c>
      <c r="CV355" s="39">
        <f>CC355</f>
        <v>0.22039616935483872</v>
      </c>
      <c r="CW355" s="39">
        <f t="shared" si="220"/>
        <v>0.15729326612903227</v>
      </c>
      <c r="CX355" s="39"/>
      <c r="CY355" s="39"/>
      <c r="CZ355" s="39">
        <f t="shared" si="224"/>
        <v>0.15795389198822637</v>
      </c>
      <c r="DA355" s="39">
        <f>CH355</f>
        <v>4.0917118069443115</v>
      </c>
      <c r="DB355" s="39">
        <f>BU355</f>
        <v>3.6534798069596146</v>
      </c>
      <c r="DC355" s="39">
        <f t="shared" si="225"/>
        <v>3.3671378411312558</v>
      </c>
      <c r="DD355" s="39">
        <v>4.2</v>
      </c>
      <c r="DE355" s="39">
        <f t="shared" si="231"/>
        <v>3.1272513955791864E-2</v>
      </c>
      <c r="DF355" s="39">
        <v>5.5502802340828161E-2</v>
      </c>
      <c r="DG355" s="39">
        <f t="shared" si="226"/>
        <v>1.2759778225806453</v>
      </c>
      <c r="DH355" s="39">
        <f t="shared" si="227"/>
        <v>3.540017427642276</v>
      </c>
      <c r="DI355" s="39">
        <f t="shared" si="238"/>
        <v>2.2907591044132305</v>
      </c>
      <c r="DJ355" s="37"/>
      <c r="DK355" s="37"/>
      <c r="DL355" s="37"/>
      <c r="DM355" s="39">
        <f t="shared" si="235"/>
        <v>0.90312002281207571</v>
      </c>
      <c r="DN355" s="39"/>
      <c r="DO355" s="39">
        <f t="shared" si="236"/>
        <v>0.90312002281207571</v>
      </c>
      <c r="DP355" s="37"/>
      <c r="DQ355" s="37">
        <f>DO355/'Conversions, Sources &amp; Comments'!E353</f>
        <v>1.9464131889927414</v>
      </c>
    </row>
    <row r="356" spans="1:121">
      <c r="A356" s="42">
        <f t="shared" si="228"/>
        <v>1604</v>
      </c>
      <c r="B356" s="36"/>
      <c r="C356" s="38">
        <v>29</v>
      </c>
      <c r="D356" s="38">
        <v>7</v>
      </c>
      <c r="E356" s="38">
        <v>15</v>
      </c>
      <c r="F356" s="38">
        <v>0</v>
      </c>
      <c r="G356" s="38">
        <v>11</v>
      </c>
      <c r="H356" s="38">
        <v>6.75</v>
      </c>
      <c r="I356" s="36"/>
      <c r="J356" s="36"/>
      <c r="K356" s="38">
        <v>2</v>
      </c>
      <c r="L356" s="38">
        <v>3.5</v>
      </c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8">
        <v>4</v>
      </c>
      <c r="AA356" s="38">
        <v>4.5</v>
      </c>
      <c r="AB356" s="36"/>
      <c r="AC356" s="38">
        <v>1</v>
      </c>
      <c r="AD356" s="38">
        <v>7.25</v>
      </c>
      <c r="AE356" s="38">
        <v>1</v>
      </c>
      <c r="AF356" s="38">
        <v>10.75</v>
      </c>
      <c r="AG356" s="38">
        <v>16</v>
      </c>
      <c r="AH356" s="38">
        <v>4</v>
      </c>
      <c r="AI356" s="36"/>
      <c r="AJ356" s="36"/>
      <c r="AK356" s="36"/>
      <c r="AL356" s="36"/>
      <c r="AM356" s="38">
        <v>28</v>
      </c>
      <c r="AN356" s="38">
        <v>3</v>
      </c>
      <c r="AO356" s="36"/>
      <c r="AP356" s="36"/>
      <c r="AQ356" s="36"/>
      <c r="AR356" s="36"/>
      <c r="AS356" s="38">
        <v>12.5</v>
      </c>
      <c r="AT356" s="36"/>
      <c r="AU356" s="36"/>
      <c r="AV356" s="36"/>
      <c r="AW356" s="36"/>
      <c r="AX356" s="36"/>
      <c r="AY356" s="36"/>
      <c r="AZ356" s="38">
        <v>121.64</v>
      </c>
      <c r="BA356" s="36"/>
      <c r="BB356" s="36"/>
      <c r="BC356" s="38">
        <v>7.33</v>
      </c>
      <c r="BD356" s="36"/>
      <c r="BE356" s="36"/>
      <c r="BF356" s="38">
        <v>3.9</v>
      </c>
      <c r="BG356" s="59">
        <v>19.37</v>
      </c>
      <c r="BH356" s="59">
        <v>2.33</v>
      </c>
      <c r="BI356" s="59">
        <v>0.29016872576257347</v>
      </c>
      <c r="BJ356" s="59"/>
      <c r="BK356" s="38">
        <v>4.4009999999999998</v>
      </c>
      <c r="BL356" s="59">
        <v>1.76</v>
      </c>
      <c r="BM356" s="36"/>
      <c r="BN356" s="38">
        <v>62</v>
      </c>
      <c r="BO356" s="36"/>
      <c r="BP356" s="39">
        <f t="shared" si="221"/>
        <v>0.46399193548387102</v>
      </c>
      <c r="BQ356" s="37"/>
      <c r="BR356" s="39">
        <f t="shared" si="222"/>
        <v>0.58430223443716378</v>
      </c>
      <c r="BS356" s="39">
        <f t="shared" si="196"/>
        <v>0.99735475294267584</v>
      </c>
      <c r="BT356" s="39">
        <f t="shared" si="240"/>
        <v>30.861755813789408</v>
      </c>
      <c r="BU356" s="37"/>
      <c r="BV356" s="39">
        <f t="shared" si="233"/>
        <v>0.38257806020443474</v>
      </c>
      <c r="BW356" s="39">
        <f t="shared" si="217"/>
        <v>2.0429422600222722</v>
      </c>
      <c r="BX356" s="39">
        <f t="shared" si="234"/>
        <v>0.19744236498528384</v>
      </c>
      <c r="BY356" s="39">
        <f t="shared" si="216"/>
        <v>4.4753097888453404</v>
      </c>
      <c r="BZ356" s="37"/>
      <c r="CA356" s="39">
        <f t="shared" si="218"/>
        <v>4.5019257657014409</v>
      </c>
      <c r="CB356" s="39">
        <f t="shared" si="219"/>
        <v>1.8003611332957359</v>
      </c>
      <c r="CC356" s="37"/>
      <c r="CD356" s="39">
        <f t="shared" si="223"/>
        <v>0.15729326612903227</v>
      </c>
      <c r="CE356" s="37"/>
      <c r="CF356" s="37"/>
      <c r="CG356" s="37"/>
      <c r="CH356" s="37"/>
      <c r="CI356" s="37"/>
      <c r="CJ356" s="39">
        <f t="shared" si="237"/>
        <v>5.1697841226553798E-2</v>
      </c>
      <c r="CK356" s="39">
        <f t="shared" si="229"/>
        <v>3.1683994402578602E-2</v>
      </c>
      <c r="CL356" s="39">
        <f t="shared" si="244"/>
        <v>0.90942419354838722</v>
      </c>
      <c r="CM356" s="39">
        <f t="shared" si="230"/>
        <v>0.11195757739427069</v>
      </c>
      <c r="CN356" s="37"/>
      <c r="CO356" s="39">
        <f>0.063495+(0.016949+0.014096)*Wages!P354+1.22592*BR356</f>
        <v>1.0390861287089499</v>
      </c>
      <c r="CP356" s="39"/>
      <c r="CQ356" s="39">
        <f t="shared" si="201"/>
        <v>0.99735475294267584</v>
      </c>
      <c r="CR356" s="39">
        <f t="shared" si="243"/>
        <v>0.38257806020443474</v>
      </c>
      <c r="CS356" s="39">
        <f t="shared" si="243"/>
        <v>2.0429422600222722</v>
      </c>
      <c r="CT356" s="39">
        <f t="shared" si="220"/>
        <v>4.5019257657014409</v>
      </c>
      <c r="CU356" s="39">
        <f t="shared" si="220"/>
        <v>1.8003611332957359</v>
      </c>
      <c r="CV356" s="39">
        <v>0.28999999999999998</v>
      </c>
      <c r="CW356" s="39">
        <f t="shared" si="220"/>
        <v>0.15729326612903227</v>
      </c>
      <c r="CX356" s="39"/>
      <c r="CY356" s="39"/>
      <c r="CZ356" s="39">
        <f t="shared" si="224"/>
        <v>0.19744236498528384</v>
      </c>
      <c r="DA356" s="39">
        <v>4.0917118069443115</v>
      </c>
      <c r="DB356" s="39">
        <v>3.5</v>
      </c>
      <c r="DC356" s="39">
        <f t="shared" si="225"/>
        <v>4.4753097888453404</v>
      </c>
      <c r="DD356" s="39">
        <v>4.2</v>
      </c>
      <c r="DE356" s="39">
        <f t="shared" si="231"/>
        <v>3.1683994402578602E-2</v>
      </c>
      <c r="DF356" s="39">
        <v>5.1697841226553798E-2</v>
      </c>
      <c r="DG356" s="39">
        <f t="shared" si="226"/>
        <v>0.90942419354838722</v>
      </c>
      <c r="DH356" s="39">
        <f t="shared" si="227"/>
        <v>3.5865966043217798</v>
      </c>
      <c r="DI356" s="39">
        <f t="shared" si="238"/>
        <v>2.133717496659119</v>
      </c>
      <c r="DJ356" s="37"/>
      <c r="DK356" s="37"/>
      <c r="DL356" s="37"/>
      <c r="DM356" s="39">
        <f t="shared" si="235"/>
        <v>0.9808243901452226</v>
      </c>
      <c r="DN356" s="39"/>
      <c r="DO356" s="39">
        <f t="shared" si="236"/>
        <v>0.9808243901452226</v>
      </c>
      <c r="DP356" s="37"/>
      <c r="DQ356" s="37">
        <f>DO356/'Conversions, Sources &amp; Comments'!E354</f>
        <v>2.11388240858621</v>
      </c>
    </row>
    <row r="357" spans="1:121">
      <c r="A357" s="42">
        <f t="shared" si="228"/>
        <v>1605</v>
      </c>
      <c r="B357" s="36"/>
      <c r="C357" s="38">
        <v>27</v>
      </c>
      <c r="D357" s="38">
        <v>8.5</v>
      </c>
      <c r="E357" s="38">
        <v>19</v>
      </c>
      <c r="F357" s="38">
        <v>11</v>
      </c>
      <c r="G357" s="38">
        <v>11</v>
      </c>
      <c r="H357" s="38">
        <v>2</v>
      </c>
      <c r="I357" s="36"/>
      <c r="J357" s="36"/>
      <c r="K357" s="38">
        <v>2</v>
      </c>
      <c r="L357" s="38">
        <v>4.5</v>
      </c>
      <c r="M357" s="36"/>
      <c r="N357" s="36"/>
      <c r="O357" s="36"/>
      <c r="P357" s="36"/>
      <c r="Q357" s="36"/>
      <c r="R357" s="36"/>
      <c r="S357" s="38">
        <v>3</v>
      </c>
      <c r="T357" s="38">
        <v>10</v>
      </c>
      <c r="U357" s="36"/>
      <c r="V357" s="36"/>
      <c r="W357" s="36"/>
      <c r="X357" s="36"/>
      <c r="Y357" s="36"/>
      <c r="Z357" s="38">
        <v>3</v>
      </c>
      <c r="AA357" s="38">
        <v>10.75</v>
      </c>
      <c r="AB357" s="36"/>
      <c r="AC357" s="38">
        <v>1</v>
      </c>
      <c r="AD357" s="38">
        <v>6.75</v>
      </c>
      <c r="AE357" s="38">
        <v>1</v>
      </c>
      <c r="AF357" s="38">
        <v>10.75</v>
      </c>
      <c r="AG357" s="38">
        <v>25</v>
      </c>
      <c r="AH357" s="38">
        <v>0</v>
      </c>
      <c r="AI357" s="38">
        <v>8</v>
      </c>
      <c r="AJ357" s="38">
        <v>6</v>
      </c>
      <c r="AK357" s="36"/>
      <c r="AL357" s="36"/>
      <c r="AM357" s="38">
        <v>28</v>
      </c>
      <c r="AN357" s="38">
        <v>3</v>
      </c>
      <c r="AO357" s="36"/>
      <c r="AP357" s="36"/>
      <c r="AQ357" s="36"/>
      <c r="AR357" s="36"/>
      <c r="AS357" s="38">
        <v>15.5</v>
      </c>
      <c r="AT357" s="36"/>
      <c r="AU357" s="36"/>
      <c r="AV357" s="36"/>
      <c r="AW357" s="38">
        <v>4</v>
      </c>
      <c r="AX357" s="38">
        <v>17</v>
      </c>
      <c r="AY357" s="36"/>
      <c r="AZ357" s="38">
        <v>109.1</v>
      </c>
      <c r="BA357" s="36"/>
      <c r="BB357" s="36"/>
      <c r="BC357" s="38">
        <v>7.33</v>
      </c>
      <c r="BD357" s="36"/>
      <c r="BE357" s="36"/>
      <c r="BF357" s="38">
        <v>3.4</v>
      </c>
      <c r="BG357" s="59">
        <v>19.11</v>
      </c>
      <c r="BH357" s="59">
        <v>2.42</v>
      </c>
      <c r="BI357" s="59">
        <v>0.31089506331704175</v>
      </c>
      <c r="BJ357" s="59"/>
      <c r="BK357" s="38">
        <v>5.4809999999999999</v>
      </c>
      <c r="BL357" s="59">
        <v>1.51</v>
      </c>
      <c r="BM357" s="36"/>
      <c r="BN357" s="38">
        <v>62</v>
      </c>
      <c r="BO357" s="36"/>
      <c r="BP357" s="39">
        <f t="shared" si="221"/>
        <v>0.46399193548387102</v>
      </c>
      <c r="BQ357" s="37"/>
      <c r="BR357" s="39">
        <f t="shared" si="222"/>
        <v>0.54726899422635766</v>
      </c>
      <c r="BS357" s="39">
        <f t="shared" si="196"/>
        <v>0.86948875897566613</v>
      </c>
      <c r="BT357" s="39">
        <f t="shared" si="240"/>
        <v>27.680183815228744</v>
      </c>
      <c r="BU357" s="37"/>
      <c r="BV357" s="39">
        <f t="shared" si="233"/>
        <v>0.37744278422853628</v>
      </c>
      <c r="BW357" s="39">
        <f t="shared" si="217"/>
        <v>2.1218541928128318</v>
      </c>
      <c r="BX357" s="39">
        <f t="shared" si="234"/>
        <v>0.21154539105566042</v>
      </c>
      <c r="BY357" s="39">
        <f t="shared" si="216"/>
        <v>3.9851568119718035</v>
      </c>
      <c r="BZ357" s="37"/>
      <c r="CA357" s="39">
        <f t="shared" si="218"/>
        <v>5.6066928247692784</v>
      </c>
      <c r="CB357" s="39">
        <f t="shared" si="219"/>
        <v>1.5446280177707736</v>
      </c>
      <c r="CC357" s="39">
        <f>2*BP357*(12*S357+T357)/120</f>
        <v>0.35572715053763448</v>
      </c>
      <c r="CD357" s="39">
        <f t="shared" si="223"/>
        <v>0.15729326612903227</v>
      </c>
      <c r="CE357" s="37"/>
      <c r="CF357" s="37"/>
      <c r="CG357" s="37"/>
      <c r="CH357" s="39">
        <f>BP357*12*AW357/(12*0.453592)</f>
        <v>4.0917118069443115</v>
      </c>
      <c r="CI357" s="37"/>
      <c r="CJ357" s="39">
        <f t="shared" si="237"/>
        <v>6.4105323120926705E-2</v>
      </c>
      <c r="CK357" s="39">
        <f t="shared" si="229"/>
        <v>3.0861033509005129E-2</v>
      </c>
      <c r="CL357" s="39">
        <f t="shared" si="244"/>
        <v>1.391975806451613</v>
      </c>
      <c r="CM357" s="39">
        <f t="shared" si="230"/>
        <v>0.10904958837104287</v>
      </c>
      <c r="CN357" s="37"/>
      <c r="CO357" s="39">
        <f>0.063495+(0.016949+0.014096)*Wages!P355+1.22592*BR357</f>
        <v>0.99368633886971836</v>
      </c>
      <c r="CP357" s="39"/>
      <c r="CQ357" s="39">
        <f t="shared" si="201"/>
        <v>0.86948875897566613</v>
      </c>
      <c r="CR357" s="39">
        <f t="shared" si="243"/>
        <v>0.37744278422853628</v>
      </c>
      <c r="CS357" s="39">
        <f t="shared" si="243"/>
        <v>2.1218541928128318</v>
      </c>
      <c r="CT357" s="39">
        <f t="shared" si="220"/>
        <v>5.6066928247692784</v>
      </c>
      <c r="CU357" s="39">
        <f t="shared" si="220"/>
        <v>1.5446280177707736</v>
      </c>
      <c r="CV357" s="39">
        <f>CC357</f>
        <v>0.35572715053763448</v>
      </c>
      <c r="CW357" s="39">
        <f t="shared" si="220"/>
        <v>0.15729326612903227</v>
      </c>
      <c r="CX357" s="39"/>
      <c r="CY357" s="39"/>
      <c r="CZ357" s="39">
        <f t="shared" si="224"/>
        <v>0.21154539105566042</v>
      </c>
      <c r="DA357" s="39">
        <f>CH357</f>
        <v>4.0917118069443115</v>
      </c>
      <c r="DB357" s="39">
        <v>3.5</v>
      </c>
      <c r="DC357" s="39">
        <f t="shared" si="225"/>
        <v>3.9851568119718035</v>
      </c>
      <c r="DD357" s="39">
        <v>4.2</v>
      </c>
      <c r="DE357" s="39">
        <f t="shared" si="231"/>
        <v>3.0861033509005129E-2</v>
      </c>
      <c r="DF357" s="39">
        <v>6.4105323120926705E-2</v>
      </c>
      <c r="DG357" s="39">
        <f t="shared" si="226"/>
        <v>1.391975806451613</v>
      </c>
      <c r="DH357" s="39">
        <f t="shared" si="227"/>
        <v>3.4934382509627722</v>
      </c>
      <c r="DI357" s="39">
        <f t="shared" si="238"/>
        <v>2.6458096958573072</v>
      </c>
      <c r="DJ357" s="37"/>
      <c r="DK357" s="37"/>
      <c r="DL357" s="37"/>
      <c r="DM357" s="39">
        <f t="shared" si="235"/>
        <v>0.94990699891775976</v>
      </c>
      <c r="DN357" s="39"/>
      <c r="DO357" s="39">
        <f t="shared" si="236"/>
        <v>0.94990699891775976</v>
      </c>
      <c r="DP357" s="37"/>
      <c r="DQ357" s="37">
        <f>DO357/'Conversions, Sources &amp; Comments'!E355</f>
        <v>2.0472489417885149</v>
      </c>
    </row>
    <row r="358" spans="1:121">
      <c r="A358" s="42">
        <f t="shared" si="228"/>
        <v>1606</v>
      </c>
      <c r="B358" s="36"/>
      <c r="C358" s="38">
        <v>31</v>
      </c>
      <c r="D358" s="38">
        <v>9.5</v>
      </c>
      <c r="E358" s="38">
        <v>16</v>
      </c>
      <c r="F358" s="38">
        <v>0</v>
      </c>
      <c r="G358" s="38">
        <v>9</v>
      </c>
      <c r="H358" s="38">
        <v>5.25</v>
      </c>
      <c r="I358" s="36"/>
      <c r="J358" s="36"/>
      <c r="K358" s="38">
        <v>2</v>
      </c>
      <c r="L358" s="38">
        <v>4</v>
      </c>
      <c r="M358" s="36"/>
      <c r="N358" s="36"/>
      <c r="O358" s="36"/>
      <c r="P358" s="36"/>
      <c r="Q358" s="36"/>
      <c r="R358" s="36"/>
      <c r="S358" s="38">
        <v>3</v>
      </c>
      <c r="T358" s="38">
        <v>0.25</v>
      </c>
      <c r="U358" s="36"/>
      <c r="V358" s="36"/>
      <c r="W358" s="36"/>
      <c r="X358" s="36"/>
      <c r="Y358" s="36"/>
      <c r="Z358" s="38">
        <v>3</v>
      </c>
      <c r="AA358" s="38">
        <v>9.5</v>
      </c>
      <c r="AB358" s="36"/>
      <c r="AC358" s="38">
        <v>1</v>
      </c>
      <c r="AD358" s="38">
        <v>8</v>
      </c>
      <c r="AE358" s="38">
        <v>1</v>
      </c>
      <c r="AF358" s="38">
        <v>10.75</v>
      </c>
      <c r="AG358" s="38">
        <v>25</v>
      </c>
      <c r="AH358" s="38">
        <v>0</v>
      </c>
      <c r="AI358" s="38">
        <v>11</v>
      </c>
      <c r="AJ358" s="38">
        <v>6</v>
      </c>
      <c r="AK358" s="36"/>
      <c r="AL358" s="36"/>
      <c r="AM358" s="38">
        <v>28</v>
      </c>
      <c r="AN358" s="38">
        <v>3</v>
      </c>
      <c r="AO358" s="36"/>
      <c r="AP358" s="36"/>
      <c r="AQ358" s="36"/>
      <c r="AR358" s="36"/>
      <c r="AS358" s="38">
        <v>17.190000000000001</v>
      </c>
      <c r="AT358" s="36"/>
      <c r="AU358" s="36"/>
      <c r="AV358" s="36"/>
      <c r="AW358" s="38">
        <v>4</v>
      </c>
      <c r="AX358" s="38">
        <v>15</v>
      </c>
      <c r="AY358" s="38">
        <v>8.5</v>
      </c>
      <c r="AZ358" s="38">
        <v>112.11</v>
      </c>
      <c r="BA358" s="36"/>
      <c r="BB358" s="36"/>
      <c r="BC358" s="38">
        <v>7.33</v>
      </c>
      <c r="BD358" s="36"/>
      <c r="BE358" s="36"/>
      <c r="BF358" s="38">
        <v>3.9</v>
      </c>
      <c r="BG358" s="59">
        <v>14.89</v>
      </c>
      <c r="BH358" s="59">
        <v>2.33</v>
      </c>
      <c r="BI358" s="59">
        <v>0.29016872576257347</v>
      </c>
      <c r="BJ358" s="59"/>
      <c r="BK358" s="38">
        <v>5.0354999999999999</v>
      </c>
      <c r="BL358" s="59">
        <v>2.0099999999999998</v>
      </c>
      <c r="BM358" s="38"/>
      <c r="BN358" s="38">
        <v>62</v>
      </c>
      <c r="BO358" s="36"/>
      <c r="BP358" s="39">
        <f t="shared" si="221"/>
        <v>0.46399193548387102</v>
      </c>
      <c r="BQ358" s="37"/>
      <c r="BR358" s="39">
        <f t="shared" si="222"/>
        <v>0.62791916179655771</v>
      </c>
      <c r="BS358" s="39">
        <f t="shared" si="196"/>
        <v>0.99735475294267584</v>
      </c>
      <c r="BT358" s="39">
        <f t="shared" si="240"/>
        <v>28.443862580433496</v>
      </c>
      <c r="BU358" s="39">
        <f>$BP358*12*AY358/(12*(45/36)*0.9144)</f>
        <v>3.4505087065729692</v>
      </c>
      <c r="BV358" s="39">
        <f t="shared" si="233"/>
        <v>0.29409330492741531</v>
      </c>
      <c r="BW358" s="39">
        <f t="shared" si="217"/>
        <v>2.0429422600222722</v>
      </c>
      <c r="BX358" s="39">
        <f t="shared" si="234"/>
        <v>0.19744236498528384</v>
      </c>
      <c r="BY358" s="39">
        <f t="shared" si="216"/>
        <v>3.8786018169992951</v>
      </c>
      <c r="BZ358" s="37"/>
      <c r="CA358" s="39">
        <f t="shared" si="218"/>
        <v>5.1509764129037956</v>
      </c>
      <c r="CB358" s="39">
        <f t="shared" si="219"/>
        <v>2.0560942488206981</v>
      </c>
      <c r="CC358" s="39">
        <f>2*BP358*(12*S358+T358)/120</f>
        <v>0.28032846102150538</v>
      </c>
      <c r="CD358" s="39">
        <f t="shared" si="223"/>
        <v>0.15729326612903227</v>
      </c>
      <c r="CE358" s="37"/>
      <c r="CF358" s="37"/>
      <c r="CG358" s="37"/>
      <c r="CH358" s="39">
        <f>BP358*12*AW358/(12*0.453592)</f>
        <v>4.0917118069443115</v>
      </c>
      <c r="CI358" s="37"/>
      <c r="CJ358" s="39">
        <f t="shared" si="237"/>
        <v>7.1094871254756789E-2</v>
      </c>
      <c r="CK358" s="39">
        <f t="shared" si="229"/>
        <v>3.2918435742938804E-2</v>
      </c>
      <c r="CL358" s="39">
        <f t="shared" si="244"/>
        <v>1.391975806451613</v>
      </c>
      <c r="CM358" s="39">
        <f t="shared" si="230"/>
        <v>0.11631956092911239</v>
      </c>
      <c r="CN358" s="37"/>
      <c r="CO358" s="39">
        <f>0.063495+(0.016949+0.014096)*Wages!P356+1.22592*BR358</f>
        <v>1.0925569922973779</v>
      </c>
      <c r="CP358" s="39"/>
      <c r="CQ358" s="39">
        <f t="shared" si="201"/>
        <v>0.99735475294267584</v>
      </c>
      <c r="CR358" s="39">
        <f t="shared" si="243"/>
        <v>0.29409330492741531</v>
      </c>
      <c r="CS358" s="39">
        <f t="shared" si="243"/>
        <v>2.0429422600222722</v>
      </c>
      <c r="CT358" s="39">
        <f t="shared" si="220"/>
        <v>5.1509764129037956</v>
      </c>
      <c r="CU358" s="39">
        <f t="shared" si="220"/>
        <v>2.0560942488206981</v>
      </c>
      <c r="CV358" s="39">
        <f>CC358</f>
        <v>0.28032846102150538</v>
      </c>
      <c r="CW358" s="39">
        <f t="shared" si="220"/>
        <v>0.15729326612903227</v>
      </c>
      <c r="CX358" s="39"/>
      <c r="CY358" s="39"/>
      <c r="CZ358" s="39">
        <f t="shared" si="224"/>
        <v>0.19744236498528384</v>
      </c>
      <c r="DA358" s="39">
        <f>CH358</f>
        <v>4.0917118069443115</v>
      </c>
      <c r="DB358" s="39">
        <f>BU358</f>
        <v>3.4505087065729692</v>
      </c>
      <c r="DC358" s="39">
        <f t="shared" si="225"/>
        <v>3.8786018169992951</v>
      </c>
      <c r="DD358" s="39">
        <v>4.2</v>
      </c>
      <c r="DE358" s="39">
        <f t="shared" si="231"/>
        <v>3.2918435742938804E-2</v>
      </c>
      <c r="DF358" s="39">
        <v>7.1094871254756789E-2</v>
      </c>
      <c r="DG358" s="39">
        <f t="shared" si="226"/>
        <v>1.391975806451613</v>
      </c>
      <c r="DH358" s="39">
        <f t="shared" si="227"/>
        <v>3.7263341343602905</v>
      </c>
      <c r="DI358" s="39">
        <f t="shared" si="238"/>
        <v>2.9342883014056209</v>
      </c>
      <c r="DJ358" s="37"/>
      <c r="DK358" s="37"/>
      <c r="DL358" s="37"/>
      <c r="DM358" s="39">
        <f t="shared" si="235"/>
        <v>0.97721034826259656</v>
      </c>
      <c r="DN358" s="39"/>
      <c r="DO358" s="39">
        <f t="shared" si="236"/>
        <v>0.97721034826259656</v>
      </c>
      <c r="DP358" s="37"/>
      <c r="DQ358" s="37">
        <f>DO358/'Conversions, Sources &amp; Comments'!E356</f>
        <v>2.1060933898420431</v>
      </c>
    </row>
    <row r="359" spans="1:121">
      <c r="A359" s="42">
        <f t="shared" si="228"/>
        <v>1607</v>
      </c>
      <c r="B359" s="36"/>
      <c r="C359" s="38">
        <v>37</v>
      </c>
      <c r="D359" s="38">
        <v>6.25</v>
      </c>
      <c r="E359" s="38">
        <v>17</v>
      </c>
      <c r="F359" s="38">
        <v>4</v>
      </c>
      <c r="G359" s="38">
        <v>9</v>
      </c>
      <c r="H359" s="38">
        <v>10</v>
      </c>
      <c r="I359" s="36"/>
      <c r="J359" s="36"/>
      <c r="K359" s="38">
        <v>2</v>
      </c>
      <c r="L359" s="38">
        <v>4.5</v>
      </c>
      <c r="M359" s="36"/>
      <c r="N359" s="36"/>
      <c r="O359" s="36"/>
      <c r="P359" s="36"/>
      <c r="Q359" s="36"/>
      <c r="R359" s="36"/>
      <c r="S359" s="38">
        <v>3</v>
      </c>
      <c r="T359" s="38">
        <v>0</v>
      </c>
      <c r="U359" s="36"/>
      <c r="V359" s="36"/>
      <c r="W359" s="36"/>
      <c r="X359" s="36"/>
      <c r="Y359" s="36"/>
      <c r="Z359" s="38">
        <v>3</v>
      </c>
      <c r="AA359" s="38">
        <v>11.25</v>
      </c>
      <c r="AB359" s="36"/>
      <c r="AC359" s="38">
        <v>1</v>
      </c>
      <c r="AD359" s="38">
        <v>10.25</v>
      </c>
      <c r="AE359" s="38">
        <v>1</v>
      </c>
      <c r="AF359" s="38">
        <v>10.75</v>
      </c>
      <c r="AG359" s="38">
        <v>27</v>
      </c>
      <c r="AH359" s="38">
        <v>7</v>
      </c>
      <c r="AI359" s="36"/>
      <c r="AJ359" s="36"/>
      <c r="AK359" s="36"/>
      <c r="AL359" s="36"/>
      <c r="AM359" s="38">
        <v>28</v>
      </c>
      <c r="AN359" s="38">
        <v>3</v>
      </c>
      <c r="AO359" s="36"/>
      <c r="AP359" s="36"/>
      <c r="AQ359" s="36"/>
      <c r="AR359" s="36"/>
      <c r="AS359" s="38">
        <v>18.66</v>
      </c>
      <c r="AT359" s="36"/>
      <c r="AU359" s="36"/>
      <c r="AV359" s="36"/>
      <c r="AW359" s="38">
        <v>4</v>
      </c>
      <c r="AX359" s="38">
        <v>14</v>
      </c>
      <c r="AY359" s="36"/>
      <c r="AZ359" s="38">
        <v>122</v>
      </c>
      <c r="BA359" s="36"/>
      <c r="BB359" s="36"/>
      <c r="BC359" s="38">
        <v>7.33</v>
      </c>
      <c r="BD359" s="36"/>
      <c r="BE359" s="36"/>
      <c r="BF359" s="38">
        <v>5.4</v>
      </c>
      <c r="BG359" s="59">
        <v>20.62</v>
      </c>
      <c r="BH359" s="59">
        <v>2.42</v>
      </c>
      <c r="BI359" s="59">
        <v>0.31918559833883048</v>
      </c>
      <c r="BJ359" s="59"/>
      <c r="BK359" s="38">
        <v>5.3190000000000008</v>
      </c>
      <c r="BL359" s="59">
        <v>2.0099999999999998</v>
      </c>
      <c r="BM359" s="36"/>
      <c r="BN359" s="38">
        <v>62</v>
      </c>
      <c r="BO359" s="36"/>
      <c r="BP359" s="39">
        <f t="shared" si="221"/>
        <v>0.46399193548387102</v>
      </c>
      <c r="BQ359" s="37"/>
      <c r="BR359" s="39">
        <f t="shared" si="222"/>
        <v>0.74107628466290987</v>
      </c>
      <c r="BS359" s="39">
        <f t="shared" si="196"/>
        <v>1.3809527348437054</v>
      </c>
      <c r="BT359" s="39">
        <f t="shared" si="240"/>
        <v>30.953092808963401</v>
      </c>
      <c r="BU359" s="37"/>
      <c r="BV359" s="39">
        <f t="shared" si="233"/>
        <v>0.40726688701163888</v>
      </c>
      <c r="BW359" s="39">
        <f t="shared" si="217"/>
        <v>2.1218541928128318</v>
      </c>
      <c r="BX359" s="39">
        <f t="shared" si="234"/>
        <v>0.217186601483812</v>
      </c>
      <c r="BY359" s="39">
        <f t="shared" si="216"/>
        <v>4.0277788099608065</v>
      </c>
      <c r="BZ359" s="37"/>
      <c r="CA359" s="39">
        <f t="shared" si="218"/>
        <v>5.4409777659091034</v>
      </c>
      <c r="CB359" s="39">
        <f t="shared" si="219"/>
        <v>2.0560942488206981</v>
      </c>
      <c r="CC359" s="39">
        <f>2*BP359*(12*S359+T359)/120</f>
        <v>0.27839516129032266</v>
      </c>
      <c r="CD359" s="39">
        <f t="shared" si="223"/>
        <v>0.15729326612903227</v>
      </c>
      <c r="CE359" s="37"/>
      <c r="CF359" s="37"/>
      <c r="CG359" s="37"/>
      <c r="CH359" s="39">
        <f>BP359*12*AW359/(12*0.453592)</f>
        <v>4.0917118069443115</v>
      </c>
      <c r="CI359" s="37"/>
      <c r="CJ359" s="39">
        <f t="shared" si="237"/>
        <v>7.7174537382999508E-2</v>
      </c>
      <c r="CK359" s="39">
        <f t="shared" si="229"/>
        <v>3.6621759764019414E-2</v>
      </c>
      <c r="CL359" s="39">
        <f t="shared" si="244"/>
        <v>1.5358133064516131</v>
      </c>
      <c r="CM359" s="39">
        <f t="shared" si="230"/>
        <v>0.12940551153363752</v>
      </c>
      <c r="CN359" s="37"/>
      <c r="CO359" s="39">
        <f>0.063495+(0.016949+0.014096)*Wages!P357+1.22592*BR359</f>
        <v>1.2462593871842769</v>
      </c>
      <c r="CP359" s="39"/>
      <c r="CQ359" s="39">
        <f t="shared" si="201"/>
        <v>1.3809527348437054</v>
      </c>
      <c r="CR359" s="39">
        <f t="shared" si="243"/>
        <v>0.40726688701163888</v>
      </c>
      <c r="CS359" s="39">
        <f t="shared" si="243"/>
        <v>2.1218541928128318</v>
      </c>
      <c r="CT359" s="39">
        <f t="shared" si="220"/>
        <v>5.4409777659091034</v>
      </c>
      <c r="CU359" s="39">
        <f t="shared" si="220"/>
        <v>2.0560942488206981</v>
      </c>
      <c r="CV359" s="39">
        <f>CC359</f>
        <v>0.27839516129032266</v>
      </c>
      <c r="CW359" s="39">
        <f t="shared" si="220"/>
        <v>0.15729326612903227</v>
      </c>
      <c r="CX359" s="39"/>
      <c r="CY359" s="39"/>
      <c r="CZ359" s="39">
        <f t="shared" si="224"/>
        <v>0.217186601483812</v>
      </c>
      <c r="DA359" s="39">
        <f>CH359</f>
        <v>4.0917118069443115</v>
      </c>
      <c r="DB359" s="39">
        <v>3.5</v>
      </c>
      <c r="DC359" s="39">
        <f t="shared" si="225"/>
        <v>4.0277788099608065</v>
      </c>
      <c r="DD359" s="39">
        <v>4.2</v>
      </c>
      <c r="DE359" s="39">
        <f t="shared" si="231"/>
        <v>3.6621759764019414E-2</v>
      </c>
      <c r="DF359" s="39">
        <v>7.7174537382999508E-2</v>
      </c>
      <c r="DG359" s="39">
        <f t="shared" si="226"/>
        <v>1.5358133064516131</v>
      </c>
      <c r="DH359" s="39">
        <f t="shared" si="227"/>
        <v>4.1455467244758228</v>
      </c>
      <c r="DI359" s="39">
        <f t="shared" si="238"/>
        <v>3.1852134790127331</v>
      </c>
      <c r="DJ359" s="37"/>
      <c r="DK359" s="37"/>
      <c r="DL359" s="37"/>
      <c r="DM359" s="39">
        <f t="shared" si="235"/>
        <v>1.1832458825235441</v>
      </c>
      <c r="DN359" s="39"/>
      <c r="DO359" s="39">
        <f t="shared" si="236"/>
        <v>1.1832458825235441</v>
      </c>
      <c r="DP359" s="37"/>
      <c r="DQ359" s="37">
        <f>DO359/'Conversions, Sources &amp; Comments'!E357</f>
        <v>2.5501432073158852</v>
      </c>
    </row>
    <row r="360" spans="1:121">
      <c r="A360" s="42">
        <f t="shared" si="228"/>
        <v>1608</v>
      </c>
      <c r="B360" s="36"/>
      <c r="C360" s="38">
        <v>53</v>
      </c>
      <c r="D360" s="38">
        <v>0.5</v>
      </c>
      <c r="E360" s="38">
        <v>16</v>
      </c>
      <c r="F360" s="38">
        <v>8</v>
      </c>
      <c r="G360" s="38">
        <v>13</v>
      </c>
      <c r="H360" s="38">
        <v>2.25</v>
      </c>
      <c r="I360" s="36"/>
      <c r="J360" s="36"/>
      <c r="K360" s="38">
        <v>2</v>
      </c>
      <c r="L360" s="38">
        <v>4.5</v>
      </c>
      <c r="M360" s="36"/>
      <c r="N360" s="36"/>
      <c r="O360" s="36"/>
      <c r="P360" s="36"/>
      <c r="Q360" s="38">
        <v>4</v>
      </c>
      <c r="R360" s="38">
        <v>0</v>
      </c>
      <c r="S360" s="38">
        <v>3</v>
      </c>
      <c r="T360" s="38">
        <v>11.25</v>
      </c>
      <c r="U360" s="36"/>
      <c r="V360" s="36"/>
      <c r="W360" s="36"/>
      <c r="X360" s="36"/>
      <c r="Y360" s="36"/>
      <c r="Z360" s="38">
        <v>4</v>
      </c>
      <c r="AA360" s="38">
        <v>0.25</v>
      </c>
      <c r="AB360" s="36"/>
      <c r="AC360" s="38">
        <v>1</v>
      </c>
      <c r="AD360" s="38">
        <v>8</v>
      </c>
      <c r="AE360" s="38">
        <v>1</v>
      </c>
      <c r="AF360" s="38">
        <v>10.75</v>
      </c>
      <c r="AG360" s="38">
        <v>31</v>
      </c>
      <c r="AH360" s="38">
        <v>9</v>
      </c>
      <c r="AI360" s="38">
        <v>9</v>
      </c>
      <c r="AJ360" s="38">
        <v>6</v>
      </c>
      <c r="AK360" s="36"/>
      <c r="AL360" s="36"/>
      <c r="AM360" s="38">
        <v>28</v>
      </c>
      <c r="AN360" s="38">
        <v>3</v>
      </c>
      <c r="AO360" s="36"/>
      <c r="AP360" s="36"/>
      <c r="AQ360" s="36"/>
      <c r="AR360" s="36"/>
      <c r="AS360" s="38">
        <v>18.64</v>
      </c>
      <c r="AT360" s="36"/>
      <c r="AU360" s="36"/>
      <c r="AV360" s="36"/>
      <c r="AW360" s="38">
        <v>4</v>
      </c>
      <c r="AX360" s="38">
        <v>14</v>
      </c>
      <c r="AY360" s="38">
        <v>9</v>
      </c>
      <c r="AZ360" s="38">
        <v>116.67</v>
      </c>
      <c r="BA360" s="36"/>
      <c r="BB360" s="36"/>
      <c r="BC360" s="38">
        <v>7.33</v>
      </c>
      <c r="BD360" s="36"/>
      <c r="BE360" s="36"/>
      <c r="BF360" s="38">
        <v>5.0999999999999996</v>
      </c>
      <c r="BG360" s="59">
        <v>25.87</v>
      </c>
      <c r="BH360" s="59">
        <v>2.42</v>
      </c>
      <c r="BI360" s="59">
        <v>0.43939835615475281</v>
      </c>
      <c r="BJ360" s="59"/>
      <c r="BK360" s="38">
        <v>5.5755000000000008</v>
      </c>
      <c r="BL360" s="59">
        <v>2.2599999999999998</v>
      </c>
      <c r="BM360" s="38"/>
      <c r="BN360" s="38">
        <v>62</v>
      </c>
      <c r="BO360" s="36"/>
      <c r="BP360" s="39">
        <f t="shared" si="221"/>
        <v>0.46399193548387102</v>
      </c>
      <c r="BQ360" s="37"/>
      <c r="BR360" s="39">
        <f t="shared" si="222"/>
        <v>1.0476292175190276</v>
      </c>
      <c r="BS360" s="39">
        <f t="shared" si="196"/>
        <v>1.3042331384634991</v>
      </c>
      <c r="BT360" s="39">
        <f t="shared" si="240"/>
        <v>29.600797852637378</v>
      </c>
      <c r="BU360" s="39">
        <f>$BP360*12*AY360/(12*(45/36)*0.9144)</f>
        <v>3.6534798069596146</v>
      </c>
      <c r="BV360" s="39">
        <f t="shared" si="233"/>
        <v>0.51095995960189611</v>
      </c>
      <c r="BW360" s="39">
        <f t="shared" si="217"/>
        <v>2.1218541928128318</v>
      </c>
      <c r="BX360" s="39">
        <f t="shared" si="234"/>
        <v>0.29898415269200035</v>
      </c>
      <c r="BY360" s="39">
        <f t="shared" si="216"/>
        <v>4.1130228059388134</v>
      </c>
      <c r="BZ360" s="37"/>
      <c r="CA360" s="39">
        <f t="shared" si="218"/>
        <v>5.7033599424377153</v>
      </c>
      <c r="CB360" s="39">
        <f t="shared" si="219"/>
        <v>2.3118273643456608</v>
      </c>
      <c r="CC360" s="39">
        <f>2*BP360*(12*S360+T360)/120</f>
        <v>0.36539364919354844</v>
      </c>
      <c r="CD360" s="39">
        <f t="shared" si="223"/>
        <v>0.15729326612903227</v>
      </c>
      <c r="CE360" s="37"/>
      <c r="CF360" s="37"/>
      <c r="CG360" s="37"/>
      <c r="CH360" s="39">
        <f>BP360*12*AW360/(12*0.453592)</f>
        <v>4.0917118069443115</v>
      </c>
      <c r="CI360" s="37"/>
      <c r="CJ360" s="39">
        <f t="shared" si="237"/>
        <v>7.7091820837037014E-2</v>
      </c>
      <c r="CK360" s="39">
        <f t="shared" si="229"/>
        <v>3.2918435742938804E-2</v>
      </c>
      <c r="CL360" s="39">
        <f t="shared" si="244"/>
        <v>1.7678092741935487</v>
      </c>
      <c r="CM360" s="39">
        <f t="shared" si="230"/>
        <v>0.11631956092911239</v>
      </c>
      <c r="CN360" s="37"/>
      <c r="CO360" s="39">
        <f>0.063495+(0.016949+0.014096)*Wages!P358+1.22592*BR360</f>
        <v>1.6358972030828616</v>
      </c>
      <c r="CP360" s="39"/>
      <c r="CQ360" s="39">
        <f t="shared" si="201"/>
        <v>1.3042331384634991</v>
      </c>
      <c r="CR360" s="39">
        <f t="shared" si="243"/>
        <v>0.51095995960189611</v>
      </c>
      <c r="CS360" s="39">
        <f t="shared" si="243"/>
        <v>2.1218541928128318</v>
      </c>
      <c r="CT360" s="39">
        <f t="shared" si="220"/>
        <v>5.7033599424377153</v>
      </c>
      <c r="CU360" s="39">
        <f t="shared" si="220"/>
        <v>2.3118273643456608</v>
      </c>
      <c r="CV360" s="39">
        <f>CC360</f>
        <v>0.36539364919354844</v>
      </c>
      <c r="CW360" s="39">
        <f t="shared" si="220"/>
        <v>0.15729326612903227</v>
      </c>
      <c r="CX360" s="39"/>
      <c r="CY360" s="39"/>
      <c r="CZ360" s="39">
        <f t="shared" si="224"/>
        <v>0.29898415269200035</v>
      </c>
      <c r="DA360" s="39">
        <f>CH360</f>
        <v>4.0917118069443115</v>
      </c>
      <c r="DB360" s="39">
        <f>BU360</f>
        <v>3.6534798069596146</v>
      </c>
      <c r="DC360" s="39">
        <f t="shared" si="225"/>
        <v>4.1130228059388134</v>
      </c>
      <c r="DD360" s="39">
        <v>4.2</v>
      </c>
      <c r="DE360" s="39">
        <f t="shared" si="231"/>
        <v>3.2918435742938804E-2</v>
      </c>
      <c r="DF360" s="39">
        <v>7.7091820837037028E-2</v>
      </c>
      <c r="DG360" s="39">
        <f t="shared" si="226"/>
        <v>1.7678092741935487</v>
      </c>
      <c r="DH360" s="39">
        <f t="shared" si="227"/>
        <v>3.7263341343602905</v>
      </c>
      <c r="DI360" s="39">
        <f t="shared" si="238"/>
        <v>3.1817995310180791</v>
      </c>
      <c r="DJ360" s="37"/>
      <c r="DK360" s="37"/>
      <c r="DL360" s="37"/>
      <c r="DM360" s="39">
        <f t="shared" si="235"/>
        <v>1.2131985406465888</v>
      </c>
      <c r="DN360" s="39"/>
      <c r="DO360" s="39">
        <f t="shared" si="236"/>
        <v>1.2131985406465888</v>
      </c>
      <c r="DP360" s="37"/>
      <c r="DQ360" s="37">
        <f>DO360/'Conversions, Sources &amp; Comments'!E358</f>
        <v>2.6146974718028506</v>
      </c>
    </row>
    <row r="361" spans="1:121">
      <c r="A361" s="42">
        <f t="shared" si="228"/>
        <v>1609</v>
      </c>
      <c r="B361" s="36"/>
      <c r="C361" s="38">
        <v>35</v>
      </c>
      <c r="D361" s="38">
        <v>2.25</v>
      </c>
      <c r="E361" s="38">
        <v>18</v>
      </c>
      <c r="F361" s="38">
        <v>2.5</v>
      </c>
      <c r="G361" s="38">
        <v>12</v>
      </c>
      <c r="H361" s="38">
        <v>4.25</v>
      </c>
      <c r="I361" s="36"/>
      <c r="J361" s="36"/>
      <c r="K361" s="38">
        <v>2</v>
      </c>
      <c r="L361" s="38">
        <v>7.5</v>
      </c>
      <c r="M361" s="36"/>
      <c r="N361" s="36"/>
      <c r="O361" s="36"/>
      <c r="P361" s="36"/>
      <c r="Q361" s="36"/>
      <c r="R361" s="36"/>
      <c r="S361" s="38">
        <v>2</v>
      </c>
      <c r="T361" s="38">
        <v>3</v>
      </c>
      <c r="U361" s="36"/>
      <c r="V361" s="36"/>
      <c r="W361" s="36"/>
      <c r="X361" s="36"/>
      <c r="Y361" s="36"/>
      <c r="Z361" s="38">
        <v>4</v>
      </c>
      <c r="AA361" s="38">
        <v>2.5</v>
      </c>
      <c r="AB361" s="36"/>
      <c r="AC361" s="38">
        <v>2</v>
      </c>
      <c r="AD361" s="38">
        <v>2.25</v>
      </c>
      <c r="AE361" s="38">
        <v>1</v>
      </c>
      <c r="AF361" s="38">
        <v>10.75</v>
      </c>
      <c r="AG361" s="38">
        <v>30</v>
      </c>
      <c r="AH361" s="38">
        <v>10</v>
      </c>
      <c r="AI361" s="36"/>
      <c r="AJ361" s="36"/>
      <c r="AK361" s="36"/>
      <c r="AL361" s="36"/>
      <c r="AM361" s="38">
        <v>28</v>
      </c>
      <c r="AN361" s="38">
        <v>3</v>
      </c>
      <c r="AO361" s="36"/>
      <c r="AP361" s="36"/>
      <c r="AQ361" s="36"/>
      <c r="AR361" s="36"/>
      <c r="AS361" s="38">
        <v>15.91</v>
      </c>
      <c r="AT361" s="36"/>
      <c r="AU361" s="36"/>
      <c r="AV361" s="36"/>
      <c r="AW361" s="36"/>
      <c r="AX361" s="38">
        <v>14</v>
      </c>
      <c r="AY361" s="38">
        <v>9</v>
      </c>
      <c r="AZ361" s="38">
        <v>114</v>
      </c>
      <c r="BA361" s="36"/>
      <c r="BB361" s="36"/>
      <c r="BC361" s="38">
        <v>7.33</v>
      </c>
      <c r="BD361" s="36"/>
      <c r="BE361" s="36"/>
      <c r="BF361" s="38">
        <v>4</v>
      </c>
      <c r="BG361" s="59">
        <v>18.98</v>
      </c>
      <c r="BH361" s="59">
        <v>2.67</v>
      </c>
      <c r="BI361" s="59">
        <v>0.37031056430652171</v>
      </c>
      <c r="BJ361" s="59"/>
      <c r="BK361" s="38">
        <v>5.2785000000000002</v>
      </c>
      <c r="BL361" s="59">
        <v>1.86</v>
      </c>
      <c r="BM361" s="38"/>
      <c r="BN361" s="38">
        <v>62</v>
      </c>
      <c r="BO361" s="36"/>
      <c r="BP361" s="39">
        <f t="shared" si="221"/>
        <v>0.46399193548387102</v>
      </c>
      <c r="BQ361" s="37"/>
      <c r="BR361" s="39">
        <f t="shared" si="222"/>
        <v>0.69499047462279551</v>
      </c>
      <c r="BS361" s="39">
        <f t="shared" ref="BS361:BS424" si="245">BP361*(BF361/4)/0.453592</f>
        <v>1.0229279517360779</v>
      </c>
      <c r="BT361" s="39">
        <f t="shared" si="240"/>
        <v>28.923381805096945</v>
      </c>
      <c r="BU361" s="39">
        <f>$BP361*12*AY361/(12*(45/36)*0.9144)</f>
        <v>3.6534798069596146</v>
      </c>
      <c r="BV361" s="39">
        <f t="shared" si="233"/>
        <v>0.3748751462405871</v>
      </c>
      <c r="BW361" s="39">
        <f t="shared" si="217"/>
        <v>2.341054006119943</v>
      </c>
      <c r="BX361" s="39">
        <f t="shared" si="234"/>
        <v>0.25197406579074277</v>
      </c>
      <c r="BY361" s="39">
        <f t="shared" ref="BY361:BY392" si="246">$BP361*(12*Z361+AA361)/(12*0.453592)</f>
        <v>4.3048217968893274</v>
      </c>
      <c r="BZ361" s="37"/>
      <c r="CA361" s="39">
        <f t="shared" si="218"/>
        <v>5.3995490011940594</v>
      </c>
      <c r="CB361" s="39">
        <f t="shared" si="219"/>
        <v>1.9026543795057211</v>
      </c>
      <c r="CC361" s="39">
        <f>2*BP361*(12*S361+T361)/120</f>
        <v>0.20879637096774195</v>
      </c>
      <c r="CD361" s="39">
        <f t="shared" si="223"/>
        <v>0.15729326612903227</v>
      </c>
      <c r="CE361" s="37"/>
      <c r="CF361" s="37"/>
      <c r="CG361" s="37"/>
      <c r="CH361" s="37"/>
      <c r="CI361" s="37"/>
      <c r="CJ361" s="39">
        <f t="shared" si="237"/>
        <v>6.5801012313157672E-2</v>
      </c>
      <c r="CK361" s="39">
        <f t="shared" si="229"/>
        <v>4.3205446912607179E-2</v>
      </c>
      <c r="CL361" s="39">
        <f t="shared" si="244"/>
        <v>1.7167701612903228</v>
      </c>
      <c r="CM361" s="39">
        <f t="shared" si="230"/>
        <v>0.15266942371946002</v>
      </c>
      <c r="CN361" s="37"/>
      <c r="CO361" s="39">
        <f>0.063495+(0.016949+0.014096)*Wages!P359+1.22592*BR361</f>
        <v>1.2035903153915131</v>
      </c>
      <c r="CP361" s="39"/>
      <c r="CQ361" s="39">
        <f t="shared" ref="CQ361:CQ424" si="247">BS361</f>
        <v>1.0229279517360779</v>
      </c>
      <c r="CR361" s="39">
        <f t="shared" si="243"/>
        <v>0.3748751462405871</v>
      </c>
      <c r="CS361" s="39">
        <f t="shared" si="243"/>
        <v>2.341054006119943</v>
      </c>
      <c r="CT361" s="39">
        <f t="shared" si="220"/>
        <v>5.3995490011940594</v>
      </c>
      <c r="CU361" s="39">
        <f t="shared" si="220"/>
        <v>1.9026543795057211</v>
      </c>
      <c r="CV361" s="39">
        <f>CC361</f>
        <v>0.20879637096774195</v>
      </c>
      <c r="CW361" s="39">
        <f t="shared" si="220"/>
        <v>0.15729326612903227</v>
      </c>
      <c r="CX361" s="39"/>
      <c r="CY361" s="39"/>
      <c r="CZ361" s="39">
        <f t="shared" si="224"/>
        <v>0.25197406579074277</v>
      </c>
      <c r="DA361" s="39">
        <v>3.7</v>
      </c>
      <c r="DB361" s="39">
        <f>BU361</f>
        <v>3.6534798069596146</v>
      </c>
      <c r="DC361" s="39">
        <f t="shared" si="225"/>
        <v>4.3048217968893274</v>
      </c>
      <c r="DD361" s="39">
        <v>4.2</v>
      </c>
      <c r="DE361" s="39">
        <f t="shared" si="231"/>
        <v>4.3205446912607179E-2</v>
      </c>
      <c r="DF361" s="39">
        <v>6.5801012313157672E-2</v>
      </c>
      <c r="DG361" s="39">
        <f t="shared" si="226"/>
        <v>1.7167701612903228</v>
      </c>
      <c r="DH361" s="39">
        <f t="shared" si="227"/>
        <v>4.8908135513478808</v>
      </c>
      <c r="DI361" s="39">
        <f t="shared" si="238"/>
        <v>2.7157956297477268</v>
      </c>
      <c r="DJ361" s="37"/>
      <c r="DK361" s="37"/>
      <c r="DL361" s="37"/>
      <c r="DM361" s="39">
        <f t="shared" si="235"/>
        <v>1.0500778895834613</v>
      </c>
      <c r="DN361" s="39"/>
      <c r="DO361" s="39">
        <f t="shared" si="236"/>
        <v>1.0500778895834613</v>
      </c>
      <c r="DP361" s="37"/>
      <c r="DQ361" s="37">
        <f>DO361/'Conversions, Sources &amp; Comments'!E359</f>
        <v>2.2631382342634776</v>
      </c>
    </row>
    <row r="362" spans="1:121">
      <c r="A362" s="42">
        <f t="shared" si="228"/>
        <v>1610</v>
      </c>
      <c r="B362" s="36"/>
      <c r="C362" s="38">
        <v>32</v>
      </c>
      <c r="D362" s="38">
        <v>7</v>
      </c>
      <c r="E362" s="38">
        <v>16</v>
      </c>
      <c r="F362" s="38">
        <v>10.5</v>
      </c>
      <c r="G362" s="38">
        <v>11</v>
      </c>
      <c r="H362" s="38">
        <v>4</v>
      </c>
      <c r="I362" s="36"/>
      <c r="J362" s="36"/>
      <c r="K362" s="38">
        <v>2</v>
      </c>
      <c r="L362" s="38">
        <v>8</v>
      </c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8">
        <v>4</v>
      </c>
      <c r="AA362" s="38">
        <v>10</v>
      </c>
      <c r="AB362" s="36"/>
      <c r="AC362" s="38">
        <v>2</v>
      </c>
      <c r="AD362" s="38">
        <v>2.25</v>
      </c>
      <c r="AE362" s="38">
        <v>1</v>
      </c>
      <c r="AF362" s="38">
        <v>10.75</v>
      </c>
      <c r="AG362" s="38">
        <v>27</v>
      </c>
      <c r="AH362" s="38">
        <v>5</v>
      </c>
      <c r="AI362" s="36"/>
      <c r="AJ362" s="36"/>
      <c r="AK362" s="36"/>
      <c r="AL362" s="36"/>
      <c r="AM362" s="38">
        <v>28</v>
      </c>
      <c r="AN362" s="38">
        <v>3</v>
      </c>
      <c r="AO362" s="36"/>
      <c r="AP362" s="36"/>
      <c r="AQ362" s="36"/>
      <c r="AR362" s="36"/>
      <c r="AS362" s="38">
        <v>15.83</v>
      </c>
      <c r="AT362" s="36"/>
      <c r="AU362" s="36"/>
      <c r="AV362" s="36"/>
      <c r="AW362" s="38">
        <v>3.5</v>
      </c>
      <c r="AX362" s="38">
        <v>14.4</v>
      </c>
      <c r="AY362" s="36"/>
      <c r="AZ362" s="36"/>
      <c r="BA362" s="36"/>
      <c r="BB362" s="36"/>
      <c r="BC362" s="38">
        <v>7.33</v>
      </c>
      <c r="BD362" s="36"/>
      <c r="BE362" s="36"/>
      <c r="BF362" s="38">
        <v>4.2</v>
      </c>
      <c r="BG362" s="59">
        <v>18.940000000000001</v>
      </c>
      <c r="BH362" s="59">
        <v>2.67</v>
      </c>
      <c r="BI362" s="59">
        <v>0.29707750494739621</v>
      </c>
      <c r="BJ362" s="59"/>
      <c r="BK362" s="38">
        <v>5.2110000000000003</v>
      </c>
      <c r="BL362" s="59">
        <v>2.5099999999999998</v>
      </c>
      <c r="BM362" s="36"/>
      <c r="BN362" s="38">
        <v>62</v>
      </c>
      <c r="BO362" s="36"/>
      <c r="BP362" s="39">
        <f t="shared" si="221"/>
        <v>0.46399193548387102</v>
      </c>
      <c r="BQ362" s="37"/>
      <c r="BR362" s="39">
        <f t="shared" si="222"/>
        <v>0.64355541877445355</v>
      </c>
      <c r="BS362" s="39">
        <f t="shared" si="245"/>
        <v>1.0740743493228819</v>
      </c>
      <c r="BT362" s="37"/>
      <c r="BU362" s="37"/>
      <c r="BV362" s="39">
        <f t="shared" si="233"/>
        <v>0.37408510378275661</v>
      </c>
      <c r="BW362" s="39">
        <f t="shared" si="217"/>
        <v>2.341054006119943</v>
      </c>
      <c r="BX362" s="39">
        <f t="shared" si="234"/>
        <v>0.20214337367540933</v>
      </c>
      <c r="BY362" s="39">
        <f t="shared" si="246"/>
        <v>4.9441517667243762</v>
      </c>
      <c r="BZ362" s="37"/>
      <c r="CA362" s="39">
        <f t="shared" si="218"/>
        <v>5.3305010600023195</v>
      </c>
      <c r="CB362" s="39">
        <f t="shared" si="219"/>
        <v>2.5675604798706235</v>
      </c>
      <c r="CC362" s="37"/>
      <c r="CD362" s="39">
        <f t="shared" si="223"/>
        <v>0.15729326612903227</v>
      </c>
      <c r="CE362" s="37"/>
      <c r="CF362" s="37"/>
      <c r="CG362" s="37"/>
      <c r="CH362" s="39">
        <f t="shared" ref="CH362:CH367" si="248">BP362*12*AW362/(12*0.453592)</f>
        <v>3.5802478310762722</v>
      </c>
      <c r="CI362" s="37"/>
      <c r="CJ362" s="39">
        <f t="shared" si="237"/>
        <v>6.5470146129307724E-2</v>
      </c>
      <c r="CK362" s="39">
        <f t="shared" si="229"/>
        <v>4.3205446912607179E-2</v>
      </c>
      <c r="CL362" s="39">
        <f t="shared" si="244"/>
        <v>1.5265334677419358</v>
      </c>
      <c r="CM362" s="39">
        <f t="shared" si="230"/>
        <v>0.15266942371946002</v>
      </c>
      <c r="CN362" s="37"/>
      <c r="CO362" s="39">
        <f>0.063495+(0.016949+0.014096)*Wages!P360+1.22592*BR362</f>
        <v>1.1405350517259136</v>
      </c>
      <c r="CP362" s="39"/>
      <c r="CQ362" s="39">
        <f t="shared" si="247"/>
        <v>1.0740743493228819</v>
      </c>
      <c r="CR362" s="39">
        <f t="shared" si="243"/>
        <v>0.37408510378275661</v>
      </c>
      <c r="CS362" s="39">
        <f t="shared" si="243"/>
        <v>2.341054006119943</v>
      </c>
      <c r="CT362" s="39">
        <f t="shared" si="220"/>
        <v>5.3305010600023195</v>
      </c>
      <c r="CU362" s="39">
        <f t="shared" si="220"/>
        <v>2.5675604798706235</v>
      </c>
      <c r="CV362" s="39">
        <v>0.26</v>
      </c>
      <c r="CW362" s="39">
        <f t="shared" si="220"/>
        <v>0.15729326612903227</v>
      </c>
      <c r="CX362" s="39"/>
      <c r="CY362" s="39"/>
      <c r="CZ362" s="39">
        <f t="shared" si="224"/>
        <v>0.20214337367540933</v>
      </c>
      <c r="DA362" s="39">
        <f t="shared" ref="DA362:DA367" si="249">CH362</f>
        <v>3.5802478310762722</v>
      </c>
      <c r="DB362" s="39">
        <v>3.6534798069596142</v>
      </c>
      <c r="DC362" s="39">
        <f t="shared" si="225"/>
        <v>4.9441517667243762</v>
      </c>
      <c r="DD362" s="39">
        <v>4.2</v>
      </c>
      <c r="DE362" s="39">
        <f t="shared" si="231"/>
        <v>4.3205446912607179E-2</v>
      </c>
      <c r="DF362" s="39">
        <v>6.5470146129307738E-2</v>
      </c>
      <c r="DG362" s="39">
        <f t="shared" si="226"/>
        <v>1.5265334677419358</v>
      </c>
      <c r="DH362" s="39">
        <f t="shared" si="227"/>
        <v>4.8908135513478808</v>
      </c>
      <c r="DI362" s="39">
        <f t="shared" si="238"/>
        <v>2.702139837769109</v>
      </c>
      <c r="DJ362" s="37"/>
      <c r="DK362" s="37"/>
      <c r="DL362" s="37"/>
      <c r="DM362" s="39">
        <f t="shared" si="235"/>
        <v>1.0676974425195098</v>
      </c>
      <c r="DN362" s="39"/>
      <c r="DO362" s="39">
        <f t="shared" si="236"/>
        <v>1.0676974425195098</v>
      </c>
      <c r="DP362" s="37"/>
      <c r="DQ362" s="37">
        <f>DO362/'Conversions, Sources &amp; Comments'!E360</f>
        <v>2.3011120686959106</v>
      </c>
    </row>
    <row r="363" spans="1:121">
      <c r="A363" s="42">
        <f t="shared" si="228"/>
        <v>1611</v>
      </c>
      <c r="B363" s="36"/>
      <c r="C363" s="38">
        <v>37</v>
      </c>
      <c r="D363" s="38">
        <v>1.75</v>
      </c>
      <c r="E363" s="38">
        <v>21</v>
      </c>
      <c r="F363" s="38">
        <v>3.5</v>
      </c>
      <c r="G363" s="38">
        <v>16</v>
      </c>
      <c r="H363" s="38">
        <v>4.5</v>
      </c>
      <c r="I363" s="36"/>
      <c r="J363" s="36"/>
      <c r="K363" s="38">
        <v>2</v>
      </c>
      <c r="L363" s="38">
        <v>8</v>
      </c>
      <c r="M363" s="36"/>
      <c r="N363" s="36"/>
      <c r="O363" s="36"/>
      <c r="P363" s="36"/>
      <c r="Q363" s="36"/>
      <c r="R363" s="36"/>
      <c r="S363" s="38">
        <v>3</v>
      </c>
      <c r="T363" s="38">
        <v>7.25</v>
      </c>
      <c r="U363" s="36"/>
      <c r="V363" s="36"/>
      <c r="W363" s="36"/>
      <c r="X363" s="36"/>
      <c r="Y363" s="36"/>
      <c r="Z363" s="38">
        <v>4</v>
      </c>
      <c r="AA363" s="38">
        <v>1</v>
      </c>
      <c r="AB363" s="36"/>
      <c r="AC363" s="38">
        <v>2</v>
      </c>
      <c r="AD363" s="38">
        <v>2</v>
      </c>
      <c r="AE363" s="38">
        <v>1</v>
      </c>
      <c r="AF363" s="38">
        <v>10.75</v>
      </c>
      <c r="AG363" s="38">
        <v>27</v>
      </c>
      <c r="AH363" s="38">
        <v>2</v>
      </c>
      <c r="AI363" s="38">
        <v>13</v>
      </c>
      <c r="AJ363" s="38">
        <v>4</v>
      </c>
      <c r="AK363" s="36"/>
      <c r="AL363" s="36"/>
      <c r="AM363" s="38">
        <v>28</v>
      </c>
      <c r="AN363" s="38">
        <v>3</v>
      </c>
      <c r="AO363" s="36"/>
      <c r="AP363" s="36"/>
      <c r="AQ363" s="36"/>
      <c r="AR363" s="36"/>
      <c r="AS363" s="38">
        <v>15.67</v>
      </c>
      <c r="AT363" s="36"/>
      <c r="AU363" s="36"/>
      <c r="AV363" s="36"/>
      <c r="AW363" s="38">
        <v>4</v>
      </c>
      <c r="AX363" s="38">
        <v>14.4</v>
      </c>
      <c r="AY363" s="38">
        <v>9</v>
      </c>
      <c r="AZ363" s="36"/>
      <c r="BA363" s="36"/>
      <c r="BB363" s="36"/>
      <c r="BC363" s="36"/>
      <c r="BD363" s="36"/>
      <c r="BE363" s="36"/>
      <c r="BF363" s="38">
        <v>5.3</v>
      </c>
      <c r="BG363" s="59">
        <v>26.65</v>
      </c>
      <c r="BH363" s="59">
        <v>2.67</v>
      </c>
      <c r="BI363" s="59">
        <v>0.35096598258901762</v>
      </c>
      <c r="BJ363" s="59"/>
      <c r="BK363" s="38">
        <v>5.4675000000000002</v>
      </c>
      <c r="BL363" s="59">
        <v>2.5099999999999998</v>
      </c>
      <c r="BM363" s="38"/>
      <c r="BN363" s="38">
        <v>62</v>
      </c>
      <c r="BO363" s="36"/>
      <c r="BP363" s="39">
        <f t="shared" si="221"/>
        <v>0.46399193548387102</v>
      </c>
      <c r="BQ363" s="37"/>
      <c r="BR363" s="39">
        <f t="shared" si="222"/>
        <v>0.73366963662074858</v>
      </c>
      <c r="BS363" s="39">
        <f t="shared" si="245"/>
        <v>1.3553795360503031</v>
      </c>
      <c r="BT363" s="37"/>
      <c r="BU363" s="39">
        <f>$BP363*12*AY363/(12*(45/36)*0.9144)</f>
        <v>3.6534798069596146</v>
      </c>
      <c r="BV363" s="39">
        <f t="shared" si="233"/>
        <v>0.5263657875295914</v>
      </c>
      <c r="BW363" s="39">
        <f t="shared" si="217"/>
        <v>2.341054006119943</v>
      </c>
      <c r="BX363" s="39">
        <f t="shared" si="234"/>
        <v>0.23881124145839105</v>
      </c>
      <c r="BY363" s="39">
        <f t="shared" si="246"/>
        <v>4.1769558029223175</v>
      </c>
      <c r="BZ363" s="37"/>
      <c r="CA363" s="39">
        <f t="shared" si="218"/>
        <v>5.5928832365309304</v>
      </c>
      <c r="CB363" s="39">
        <f t="shared" si="219"/>
        <v>2.5675604798706235</v>
      </c>
      <c r="CC363" s="39">
        <f t="shared" ref="CC363:CC376" si="250">2*BP363*(12*S363+T363)/120</f>
        <v>0.33446085349462368</v>
      </c>
      <c r="CD363" s="39">
        <f t="shared" ref="CD363:CD394" si="251">BP363*(12*AM363+AN363)/1000</f>
        <v>0.15729326612903227</v>
      </c>
      <c r="CE363" s="37"/>
      <c r="CF363" s="37"/>
      <c r="CG363" s="37"/>
      <c r="CH363" s="39">
        <f t="shared" si="248"/>
        <v>4.0917118069443115</v>
      </c>
      <c r="CI363" s="37"/>
      <c r="CJ363" s="39">
        <f t="shared" si="237"/>
        <v>6.4808413761607842E-2</v>
      </c>
      <c r="CK363" s="39">
        <f t="shared" si="229"/>
        <v>4.2793966465820441E-2</v>
      </c>
      <c r="CL363" s="39">
        <f t="shared" si="244"/>
        <v>1.5126137096774195</v>
      </c>
      <c r="CM363" s="39">
        <f t="shared" si="230"/>
        <v>0.15121542920784609</v>
      </c>
      <c r="CN363" s="37"/>
      <c r="CO363" s="39">
        <f>0.063495+(0.016949+0.014096)*Wages!P361+1.22592*BR363</f>
        <v>1.2510078736680437</v>
      </c>
      <c r="CP363" s="39"/>
      <c r="CQ363" s="39">
        <f t="shared" si="247"/>
        <v>1.3553795360503031</v>
      </c>
      <c r="CR363" s="39">
        <f t="shared" si="243"/>
        <v>0.5263657875295914</v>
      </c>
      <c r="CS363" s="39">
        <f t="shared" si="243"/>
        <v>2.341054006119943</v>
      </c>
      <c r="CT363" s="39">
        <f t="shared" si="220"/>
        <v>5.5928832365309304</v>
      </c>
      <c r="CU363" s="39">
        <f t="shared" si="220"/>
        <v>2.5675604798706235</v>
      </c>
      <c r="CV363" s="39">
        <f t="shared" si="220"/>
        <v>0.33446085349462368</v>
      </c>
      <c r="CW363" s="39">
        <f t="shared" si="220"/>
        <v>0.15729326612903227</v>
      </c>
      <c r="CX363" s="39"/>
      <c r="CY363" s="39"/>
      <c r="CZ363" s="39">
        <f t="shared" si="224"/>
        <v>0.23881124145839105</v>
      </c>
      <c r="DA363" s="39">
        <f t="shared" si="249"/>
        <v>4.0917118069443115</v>
      </c>
      <c r="DB363" s="39">
        <v>3.6534798069596142</v>
      </c>
      <c r="DC363" s="39">
        <f t="shared" si="225"/>
        <v>4.1769558029223175</v>
      </c>
      <c r="DD363" s="39">
        <v>4.2</v>
      </c>
      <c r="DE363" s="39">
        <f t="shared" si="231"/>
        <v>4.2793966465820441E-2</v>
      </c>
      <c r="DF363" s="39">
        <v>6.4808413761607842E-2</v>
      </c>
      <c r="DG363" s="39">
        <f t="shared" si="226"/>
        <v>1.5126137096774195</v>
      </c>
      <c r="DH363" s="39">
        <f t="shared" si="227"/>
        <v>4.8442343746683765</v>
      </c>
      <c r="DI363" s="39">
        <f t="shared" si="238"/>
        <v>2.6748282538118717</v>
      </c>
      <c r="DJ363" s="37"/>
      <c r="DK363" s="37"/>
      <c r="DL363" s="37"/>
      <c r="DM363" s="39">
        <f t="shared" si="235"/>
        <v>1.2367224216852002</v>
      </c>
      <c r="DN363" s="39"/>
      <c r="DO363" s="39">
        <f t="shared" si="236"/>
        <v>1.2367224216852002</v>
      </c>
      <c r="DP363" s="37"/>
      <c r="DQ363" s="37">
        <f>DO363/'Conversions, Sources &amp; Comments'!E361</f>
        <v>2.6653963724509397</v>
      </c>
    </row>
    <row r="364" spans="1:121">
      <c r="A364" s="42">
        <f t="shared" si="228"/>
        <v>1612</v>
      </c>
      <c r="B364" s="36"/>
      <c r="C364" s="38">
        <v>41</v>
      </c>
      <c r="D364" s="38">
        <v>10</v>
      </c>
      <c r="E364" s="38">
        <v>22</v>
      </c>
      <c r="F364" s="38">
        <v>10</v>
      </c>
      <c r="G364" s="38">
        <v>14</v>
      </c>
      <c r="H364" s="38">
        <v>8.25</v>
      </c>
      <c r="I364" s="36"/>
      <c r="J364" s="36"/>
      <c r="K364" s="38">
        <v>2</v>
      </c>
      <c r="L364" s="38">
        <v>8</v>
      </c>
      <c r="M364" s="36"/>
      <c r="N364" s="36"/>
      <c r="O364" s="36"/>
      <c r="P364" s="36"/>
      <c r="Q364" s="36"/>
      <c r="R364" s="36"/>
      <c r="S364" s="38">
        <v>3</v>
      </c>
      <c r="T364" s="38">
        <v>11.25</v>
      </c>
      <c r="U364" s="36"/>
      <c r="V364" s="36"/>
      <c r="W364" s="36"/>
      <c r="X364" s="36"/>
      <c r="Y364" s="36"/>
      <c r="Z364" s="38">
        <v>4</v>
      </c>
      <c r="AA364" s="38">
        <v>3</v>
      </c>
      <c r="AB364" s="36"/>
      <c r="AC364" s="38">
        <v>2</v>
      </c>
      <c r="AD364" s="38">
        <v>4.5</v>
      </c>
      <c r="AE364" s="38">
        <v>1</v>
      </c>
      <c r="AF364" s="38">
        <v>10.75</v>
      </c>
      <c r="AG364" s="38">
        <v>12</v>
      </c>
      <c r="AH364" s="38">
        <v>0</v>
      </c>
      <c r="AI364" s="36"/>
      <c r="AJ364" s="36"/>
      <c r="AK364" s="36"/>
      <c r="AL364" s="36"/>
      <c r="AM364" s="38">
        <v>28</v>
      </c>
      <c r="AN364" s="38">
        <v>3</v>
      </c>
      <c r="AO364" s="36"/>
      <c r="AP364" s="36"/>
      <c r="AQ364" s="36"/>
      <c r="AR364" s="36"/>
      <c r="AS364" s="38">
        <v>16.2</v>
      </c>
      <c r="AT364" s="36"/>
      <c r="AU364" s="36"/>
      <c r="AV364" s="36"/>
      <c r="AW364" s="38">
        <v>3.98</v>
      </c>
      <c r="AX364" s="38">
        <v>13.9</v>
      </c>
      <c r="AY364" s="36"/>
      <c r="AZ364" s="38">
        <v>120</v>
      </c>
      <c r="BA364" s="36"/>
      <c r="BB364" s="36"/>
      <c r="BC364" s="38">
        <v>7.33</v>
      </c>
      <c r="BD364" s="36"/>
      <c r="BE364" s="36"/>
      <c r="BF364" s="38">
        <v>4.8</v>
      </c>
      <c r="BG364" s="59">
        <v>35.770000000000003</v>
      </c>
      <c r="BH364" s="59">
        <v>2.67</v>
      </c>
      <c r="BI364" s="59">
        <v>0.40347270439367305</v>
      </c>
      <c r="BJ364" s="59"/>
      <c r="BK364" s="38">
        <v>5.2785000000000002</v>
      </c>
      <c r="BL364" s="59">
        <v>2.2599999999999998</v>
      </c>
      <c r="BM364" s="36"/>
      <c r="BN364" s="38">
        <v>62</v>
      </c>
      <c r="BO364" s="36"/>
      <c r="BP364" s="39">
        <f t="shared" si="221"/>
        <v>0.46399193548387102</v>
      </c>
      <c r="BQ364" s="37"/>
      <c r="BR364" s="39">
        <f t="shared" si="222"/>
        <v>0.82625273714776404</v>
      </c>
      <c r="BS364" s="39">
        <f t="shared" si="245"/>
        <v>1.2275135420832934</v>
      </c>
      <c r="BT364" s="39">
        <f>BP364*12*AZ364/(24*0.9144)</f>
        <v>30.445665057996788</v>
      </c>
      <c r="BU364" s="37"/>
      <c r="BV364" s="39">
        <f t="shared" si="233"/>
        <v>0.70649546791495255</v>
      </c>
      <c r="BW364" s="39">
        <f t="shared" si="217"/>
        <v>2.341054006119943</v>
      </c>
      <c r="BX364" s="39">
        <f t="shared" si="234"/>
        <v>0.2745389075033467</v>
      </c>
      <c r="BY364" s="39">
        <f t="shared" si="246"/>
        <v>4.3474437948783313</v>
      </c>
      <c r="BZ364" s="37"/>
      <c r="CA364" s="39">
        <f t="shared" si="218"/>
        <v>5.3995490011940594</v>
      </c>
      <c r="CB364" s="39">
        <f t="shared" si="219"/>
        <v>2.3118273643456608</v>
      </c>
      <c r="CC364" s="39">
        <f t="shared" si="250"/>
        <v>0.36539364919354844</v>
      </c>
      <c r="CD364" s="39">
        <f t="shared" si="251"/>
        <v>0.15729326612903227</v>
      </c>
      <c r="CE364" s="37"/>
      <c r="CF364" s="37"/>
      <c r="CG364" s="37"/>
      <c r="CH364" s="39">
        <f t="shared" si="248"/>
        <v>4.0712532479095902</v>
      </c>
      <c r="CI364" s="37"/>
      <c r="CJ364" s="39">
        <f t="shared" si="237"/>
        <v>6.7000402229613717E-2</v>
      </c>
      <c r="CK364" s="39">
        <f t="shared" si="229"/>
        <v>4.6908770933687796E-2</v>
      </c>
      <c r="CL364" s="39">
        <f t="shared" si="244"/>
        <v>0.66814838709677427</v>
      </c>
      <c r="CM364" s="39">
        <f t="shared" si="230"/>
        <v>0.16575537432398516</v>
      </c>
      <c r="CN364" s="37"/>
      <c r="CO364" s="39">
        <f>0.063495+(0.016949+0.014096)*Wages!P362+1.22592*BR364</f>
        <v>1.3645073482661223</v>
      </c>
      <c r="CP364" s="39"/>
      <c r="CQ364" s="39">
        <f t="shared" si="247"/>
        <v>1.2275135420832934</v>
      </c>
      <c r="CR364" s="39">
        <f t="shared" si="243"/>
        <v>0.70649546791495255</v>
      </c>
      <c r="CS364" s="39">
        <f t="shared" si="243"/>
        <v>2.341054006119943</v>
      </c>
      <c r="CT364" s="39">
        <f t="shared" si="220"/>
        <v>5.3995490011940594</v>
      </c>
      <c r="CU364" s="39">
        <f t="shared" si="220"/>
        <v>2.3118273643456608</v>
      </c>
      <c r="CV364" s="39">
        <f t="shared" si="220"/>
        <v>0.36539364919354844</v>
      </c>
      <c r="CW364" s="39">
        <f t="shared" si="220"/>
        <v>0.15729326612903227</v>
      </c>
      <c r="CX364" s="39"/>
      <c r="CY364" s="39"/>
      <c r="CZ364" s="39">
        <f t="shared" si="224"/>
        <v>0.2745389075033467</v>
      </c>
      <c r="DA364" s="39">
        <f t="shared" si="249"/>
        <v>4.0712532479095902</v>
      </c>
      <c r="DB364" s="39">
        <v>3.6534798069596142</v>
      </c>
      <c r="DC364" s="39">
        <f t="shared" si="225"/>
        <v>4.3474437948783313</v>
      </c>
      <c r="DD364" s="39">
        <v>4.2</v>
      </c>
      <c r="DE364" s="39">
        <f t="shared" si="231"/>
        <v>4.6908770933687796E-2</v>
      </c>
      <c r="DF364" s="39">
        <v>6.7000402229613717E-2</v>
      </c>
      <c r="DG364" s="39">
        <f t="shared" si="226"/>
        <v>0.66814838709677427</v>
      </c>
      <c r="DH364" s="39">
        <f t="shared" si="227"/>
        <v>5.310026141463414</v>
      </c>
      <c r="DI364" s="39">
        <f t="shared" si="238"/>
        <v>2.765297875670218</v>
      </c>
      <c r="DJ364" s="37"/>
      <c r="DK364" s="37"/>
      <c r="DL364" s="37"/>
      <c r="DM364" s="39">
        <f t="shared" si="235"/>
        <v>1.2236829935299853</v>
      </c>
      <c r="DN364" s="39"/>
      <c r="DO364" s="39">
        <f t="shared" si="236"/>
        <v>1.2236829935299853</v>
      </c>
      <c r="DP364" s="37"/>
      <c r="DQ364" s="37">
        <f>DO364/'Conversions, Sources &amp; Comments'!E362</f>
        <v>2.6372936681623043</v>
      </c>
    </row>
    <row r="365" spans="1:121">
      <c r="A365" s="42">
        <f t="shared" si="228"/>
        <v>1613</v>
      </c>
      <c r="B365" s="36"/>
      <c r="C365" s="38">
        <v>44</v>
      </c>
      <c r="D365" s="38">
        <v>8.25</v>
      </c>
      <c r="E365" s="38">
        <v>26</v>
      </c>
      <c r="F365" s="38">
        <v>0</v>
      </c>
      <c r="G365" s="38">
        <v>14</v>
      </c>
      <c r="H365" s="38">
        <v>3.75</v>
      </c>
      <c r="I365" s="36"/>
      <c r="J365" s="36"/>
      <c r="K365" s="38">
        <v>2</v>
      </c>
      <c r="L365" s="38">
        <v>8</v>
      </c>
      <c r="M365" s="36"/>
      <c r="N365" s="36"/>
      <c r="O365" s="36"/>
      <c r="P365" s="36"/>
      <c r="Q365" s="36"/>
      <c r="R365" s="36"/>
      <c r="S365" s="38">
        <v>3</v>
      </c>
      <c r="T365" s="38">
        <v>2.75</v>
      </c>
      <c r="U365" s="36"/>
      <c r="V365" s="36"/>
      <c r="W365" s="36"/>
      <c r="X365" s="36"/>
      <c r="Y365" s="36"/>
      <c r="Z365" s="38">
        <v>4</v>
      </c>
      <c r="AA365" s="38">
        <v>2</v>
      </c>
      <c r="AB365" s="36"/>
      <c r="AC365" s="38">
        <v>1</v>
      </c>
      <c r="AD365" s="38">
        <v>10.5</v>
      </c>
      <c r="AE365" s="38">
        <v>2</v>
      </c>
      <c r="AF365" s="38">
        <v>10</v>
      </c>
      <c r="AG365" s="38">
        <v>34</v>
      </c>
      <c r="AH365" s="38">
        <v>4</v>
      </c>
      <c r="AI365" s="36"/>
      <c r="AJ365" s="36"/>
      <c r="AK365" s="36"/>
      <c r="AL365" s="36"/>
      <c r="AM365" s="38">
        <v>33</v>
      </c>
      <c r="AN365" s="38">
        <v>10</v>
      </c>
      <c r="AO365" s="36"/>
      <c r="AP365" s="36"/>
      <c r="AQ365" s="36"/>
      <c r="AR365" s="36"/>
      <c r="AS365" s="38">
        <v>18.5</v>
      </c>
      <c r="AT365" s="36"/>
      <c r="AU365" s="36"/>
      <c r="AV365" s="36"/>
      <c r="AW365" s="38">
        <v>4</v>
      </c>
      <c r="AX365" s="38">
        <v>13</v>
      </c>
      <c r="AY365" s="38">
        <v>9</v>
      </c>
      <c r="AZ365" s="38">
        <v>120</v>
      </c>
      <c r="BA365" s="36"/>
      <c r="BB365" s="36"/>
      <c r="BC365" s="38">
        <v>7.33</v>
      </c>
      <c r="BD365" s="36"/>
      <c r="BE365" s="36"/>
      <c r="BF365" s="38">
        <v>5.3</v>
      </c>
      <c r="BG365" s="59">
        <v>24.32</v>
      </c>
      <c r="BH365" s="59">
        <v>2.67</v>
      </c>
      <c r="BI365" s="59">
        <v>0.42143553027421293</v>
      </c>
      <c r="BJ365" s="59"/>
      <c r="BK365" s="38">
        <v>5.6430000000000007</v>
      </c>
      <c r="BL365" s="59">
        <v>3.17</v>
      </c>
      <c r="BM365" s="38"/>
      <c r="BN365" s="38">
        <v>62</v>
      </c>
      <c r="BO365" s="36"/>
      <c r="BP365" s="39">
        <f t="shared" si="221"/>
        <v>0.46399193548387102</v>
      </c>
      <c r="BQ365" s="37"/>
      <c r="BR365" s="39">
        <f t="shared" si="222"/>
        <v>0.88262555835754664</v>
      </c>
      <c r="BS365" s="39">
        <f t="shared" si="245"/>
        <v>1.3553795360503031</v>
      </c>
      <c r="BT365" s="39">
        <f>BP365*12*AZ365/(24*0.9144)</f>
        <v>30.445665057996788</v>
      </c>
      <c r="BU365" s="39">
        <f>$BP365*12*AY365/(12*(45/36)*0.9144)</f>
        <v>3.6534798069596146</v>
      </c>
      <c r="BV365" s="39">
        <f t="shared" si="233"/>
        <v>0.48034581436096302</v>
      </c>
      <c r="BW365" s="39">
        <f t="shared" si="217"/>
        <v>2.341054006119943</v>
      </c>
      <c r="BX365" s="39">
        <f t="shared" si="234"/>
        <v>0.28676153009767352</v>
      </c>
      <c r="BY365" s="39">
        <f t="shared" si="246"/>
        <v>4.2621997989003244</v>
      </c>
      <c r="BZ365" s="37"/>
      <c r="CA365" s="39">
        <f t="shared" si="218"/>
        <v>5.7724078836294552</v>
      </c>
      <c r="CB365" s="39">
        <f t="shared" si="219"/>
        <v>3.2426959048565247</v>
      </c>
      <c r="CC365" s="39">
        <f t="shared" si="250"/>
        <v>0.29966145833333335</v>
      </c>
      <c r="CD365" s="39">
        <f t="shared" si="251"/>
        <v>0.18838072580645163</v>
      </c>
      <c r="CE365" s="37"/>
      <c r="CF365" s="37"/>
      <c r="CG365" s="37"/>
      <c r="CH365" s="39">
        <f t="shared" si="248"/>
        <v>4.0917118069443115</v>
      </c>
      <c r="CI365" s="37"/>
      <c r="CJ365" s="39">
        <f t="shared" si="237"/>
        <v>7.6512805015299612E-2</v>
      </c>
      <c r="CK365" s="39">
        <f t="shared" si="229"/>
        <v>3.7033240210806152E-2</v>
      </c>
      <c r="CL365" s="39">
        <f t="shared" si="244"/>
        <v>1.9116467741935486</v>
      </c>
      <c r="CM365" s="39">
        <f t="shared" si="230"/>
        <v>0.13085950604525143</v>
      </c>
      <c r="CN365" s="37"/>
      <c r="CO365" s="39">
        <f>0.063495+(0.016949+0.014096)*Wages!P363+1.22592*BR365</f>
        <v>1.4336159172436189</v>
      </c>
      <c r="CP365" s="39"/>
      <c r="CQ365" s="39">
        <f t="shared" si="247"/>
        <v>1.3553795360503031</v>
      </c>
      <c r="CR365" s="39">
        <f t="shared" si="243"/>
        <v>0.48034581436096302</v>
      </c>
      <c r="CS365" s="39">
        <f t="shared" si="243"/>
        <v>2.341054006119943</v>
      </c>
      <c r="CT365" s="39">
        <f t="shared" si="220"/>
        <v>5.7724078836294552</v>
      </c>
      <c r="CU365" s="39">
        <f t="shared" si="220"/>
        <v>3.2426959048565247</v>
      </c>
      <c r="CV365" s="39">
        <f t="shared" si="220"/>
        <v>0.29966145833333335</v>
      </c>
      <c r="CW365" s="39">
        <f t="shared" si="220"/>
        <v>0.18838072580645163</v>
      </c>
      <c r="CX365" s="39"/>
      <c r="CY365" s="39"/>
      <c r="CZ365" s="39">
        <f t="shared" si="224"/>
        <v>0.28676153009767352</v>
      </c>
      <c r="DA365" s="39">
        <f t="shared" si="249"/>
        <v>4.0917118069443115</v>
      </c>
      <c r="DB365" s="39">
        <v>3.6534798069596142</v>
      </c>
      <c r="DC365" s="39">
        <f t="shared" si="225"/>
        <v>4.2621997989003244</v>
      </c>
      <c r="DD365" s="39">
        <v>4.2</v>
      </c>
      <c r="DE365" s="39">
        <f t="shared" si="231"/>
        <v>3.7033240210806152E-2</v>
      </c>
      <c r="DF365" s="39">
        <v>7.6512805015299626E-2</v>
      </c>
      <c r="DG365" s="39">
        <f t="shared" si="226"/>
        <v>1.9116467741935486</v>
      </c>
      <c r="DH365" s="39">
        <f t="shared" si="227"/>
        <v>4.1921259011553271</v>
      </c>
      <c r="DI365" s="39">
        <f t="shared" si="238"/>
        <v>3.1579018950554962</v>
      </c>
      <c r="DJ365" s="37"/>
      <c r="DK365" s="37"/>
      <c r="DL365" s="37"/>
      <c r="DM365" s="39">
        <f t="shared" si="235"/>
        <v>1.2510142711800536</v>
      </c>
      <c r="DN365" s="39"/>
      <c r="DO365" s="39">
        <f t="shared" si="236"/>
        <v>1.2510142711800536</v>
      </c>
      <c r="DP365" s="37"/>
      <c r="DQ365" s="37">
        <f>DO365/'Conversions, Sources &amp; Comments'!E363</f>
        <v>2.6961983075749827</v>
      </c>
    </row>
    <row r="366" spans="1:121">
      <c r="A366" s="42">
        <f t="shared" si="228"/>
        <v>1614</v>
      </c>
      <c r="B366" s="36"/>
      <c r="C366" s="38">
        <v>35</v>
      </c>
      <c r="D366" s="38">
        <v>1.5</v>
      </c>
      <c r="E366" s="38">
        <v>25</v>
      </c>
      <c r="F366" s="38">
        <v>11</v>
      </c>
      <c r="G366" s="38">
        <v>14</v>
      </c>
      <c r="H366" s="38">
        <v>0</v>
      </c>
      <c r="I366" s="36"/>
      <c r="J366" s="36"/>
      <c r="K366" s="38">
        <v>2</v>
      </c>
      <c r="L366" s="38">
        <v>8</v>
      </c>
      <c r="M366" s="36"/>
      <c r="N366" s="36"/>
      <c r="O366" s="36"/>
      <c r="P366" s="36"/>
      <c r="Q366" s="36"/>
      <c r="R366" s="36"/>
      <c r="S366" s="38">
        <v>4</v>
      </c>
      <c r="T366" s="38">
        <v>0</v>
      </c>
      <c r="U366" s="36"/>
      <c r="V366" s="36"/>
      <c r="W366" s="36"/>
      <c r="X366" s="36"/>
      <c r="Y366" s="36"/>
      <c r="Z366" s="38">
        <v>4</v>
      </c>
      <c r="AA366" s="38">
        <v>8</v>
      </c>
      <c r="AB366" s="36"/>
      <c r="AC366" s="38">
        <v>2</v>
      </c>
      <c r="AD366" s="38">
        <v>9.75</v>
      </c>
      <c r="AE366" s="38">
        <v>2</v>
      </c>
      <c r="AF366" s="38">
        <v>10</v>
      </c>
      <c r="AG366" s="38">
        <v>34</v>
      </c>
      <c r="AH366" s="38">
        <v>4</v>
      </c>
      <c r="AI366" s="38">
        <v>13</v>
      </c>
      <c r="AJ366" s="38">
        <v>4</v>
      </c>
      <c r="AK366" s="36"/>
      <c r="AL366" s="36"/>
      <c r="AM366" s="38">
        <v>33</v>
      </c>
      <c r="AN366" s="38">
        <v>10</v>
      </c>
      <c r="AO366" s="36"/>
      <c r="AP366" s="36"/>
      <c r="AQ366" s="36"/>
      <c r="AR366" s="36"/>
      <c r="AS366" s="38">
        <v>18.53</v>
      </c>
      <c r="AT366" s="36"/>
      <c r="AU366" s="36"/>
      <c r="AV366" s="36"/>
      <c r="AW366" s="38">
        <v>4.25</v>
      </c>
      <c r="AX366" s="38">
        <v>13</v>
      </c>
      <c r="AY366" s="38">
        <v>9</v>
      </c>
      <c r="AZ366" s="36"/>
      <c r="BA366" s="36"/>
      <c r="BB366" s="36"/>
      <c r="BC366" s="38">
        <v>7.33</v>
      </c>
      <c r="BD366" s="38">
        <v>6.5</v>
      </c>
      <c r="BE366" s="36"/>
      <c r="BF366" s="38">
        <v>4.5</v>
      </c>
      <c r="BG366" s="59">
        <v>23.25</v>
      </c>
      <c r="BH366" s="59">
        <v>2.67</v>
      </c>
      <c r="BI366" s="59">
        <v>0.40761797190456739</v>
      </c>
      <c r="BJ366" s="59"/>
      <c r="BK366" s="38">
        <v>5.4</v>
      </c>
      <c r="BL366" s="59">
        <v>3.26</v>
      </c>
      <c r="BM366" s="38"/>
      <c r="BN366" s="38">
        <v>62</v>
      </c>
      <c r="BO366" s="36"/>
      <c r="BP366" s="39">
        <f t="shared" si="221"/>
        <v>0.46399193548387102</v>
      </c>
      <c r="BQ366" s="37"/>
      <c r="BR366" s="39">
        <f t="shared" si="222"/>
        <v>0.69375603328243529</v>
      </c>
      <c r="BS366" s="39">
        <f t="shared" si="245"/>
        <v>1.1507939457030876</v>
      </c>
      <c r="BT366" s="37"/>
      <c r="BU366" s="39">
        <f>$BP366*12*AY366/(12*(45/36)*0.9144)</f>
        <v>3.6534798069596146</v>
      </c>
      <c r="BV366" s="39">
        <f t="shared" si="233"/>
        <v>0.45921217861399632</v>
      </c>
      <c r="BW366" s="39">
        <f t="shared" si="217"/>
        <v>2.341054006119943</v>
      </c>
      <c r="BX366" s="39">
        <f t="shared" si="234"/>
        <v>0.27735951271742249</v>
      </c>
      <c r="BY366" s="39">
        <f t="shared" si="246"/>
        <v>4.7736637747683632</v>
      </c>
      <c r="BZ366" s="37"/>
      <c r="CA366" s="39">
        <f t="shared" si="218"/>
        <v>5.5238352953391914</v>
      </c>
      <c r="CB366" s="39">
        <f t="shared" si="219"/>
        <v>3.3347598264455107</v>
      </c>
      <c r="CC366" s="39">
        <f t="shared" si="250"/>
        <v>0.37119354838709678</v>
      </c>
      <c r="CD366" s="39">
        <f t="shared" si="251"/>
        <v>0.18838072580645163</v>
      </c>
      <c r="CE366" s="37"/>
      <c r="CF366" s="37"/>
      <c r="CG366" s="37"/>
      <c r="CH366" s="39">
        <f t="shared" si="248"/>
        <v>4.3474437948783304</v>
      </c>
      <c r="CI366" s="37"/>
      <c r="CJ366" s="39">
        <f t="shared" si="237"/>
        <v>7.6636879834243346E-2</v>
      </c>
      <c r="CK366" s="39">
        <f t="shared" si="229"/>
        <v>5.5549860316209232E-2</v>
      </c>
      <c r="CL366" s="39">
        <f t="shared" si="244"/>
        <v>1.9116467741935486</v>
      </c>
      <c r="CM366" s="39">
        <f t="shared" si="230"/>
        <v>0.19628925906787717</v>
      </c>
      <c r="CN366" s="37"/>
      <c r="CO366" s="39">
        <f>0.063495+(0.016949+0.014096)*Wages!P364+1.22592*BR366</f>
        <v>1.2020769890635385</v>
      </c>
      <c r="CP366" s="39"/>
      <c r="CQ366" s="39">
        <f t="shared" si="247"/>
        <v>1.1507939457030876</v>
      </c>
      <c r="CR366" s="39">
        <f t="shared" si="243"/>
        <v>0.45921217861399632</v>
      </c>
      <c r="CS366" s="39">
        <f t="shared" si="243"/>
        <v>2.341054006119943</v>
      </c>
      <c r="CT366" s="39">
        <f t="shared" si="220"/>
        <v>5.5238352953391914</v>
      </c>
      <c r="CU366" s="39">
        <f t="shared" si="220"/>
        <v>3.3347598264455107</v>
      </c>
      <c r="CV366" s="39">
        <f t="shared" si="220"/>
        <v>0.37119354838709678</v>
      </c>
      <c r="CW366" s="39">
        <f t="shared" si="220"/>
        <v>0.18838072580645163</v>
      </c>
      <c r="CX366" s="39"/>
      <c r="CY366" s="39"/>
      <c r="CZ366" s="39">
        <f t="shared" si="224"/>
        <v>0.27735951271742249</v>
      </c>
      <c r="DA366" s="39">
        <f t="shared" si="249"/>
        <v>4.3474437948783304</v>
      </c>
      <c r="DB366" s="39">
        <v>3.6534798069596142</v>
      </c>
      <c r="DC366" s="39">
        <f t="shared" si="225"/>
        <v>4.7736637747683632</v>
      </c>
      <c r="DD366" s="39">
        <v>4.2</v>
      </c>
      <c r="DE366" s="39">
        <f t="shared" si="231"/>
        <v>5.5549860316209232E-2</v>
      </c>
      <c r="DF366" s="39">
        <v>7.663687983424336E-2</v>
      </c>
      <c r="DG366" s="39">
        <f t="shared" si="226"/>
        <v>1.9116467741935486</v>
      </c>
      <c r="DH366" s="39">
        <f t="shared" si="227"/>
        <v>6.2881888517329907</v>
      </c>
      <c r="DI366" s="39">
        <f t="shared" si="238"/>
        <v>3.1630228170474788</v>
      </c>
      <c r="DJ366" s="37"/>
      <c r="DK366" s="37"/>
      <c r="DL366" s="37"/>
      <c r="DM366" s="39">
        <f t="shared" si="235"/>
        <v>1.1915688070450283</v>
      </c>
      <c r="DN366" s="39"/>
      <c r="DO366" s="39">
        <f t="shared" si="236"/>
        <v>1.1915688070450283</v>
      </c>
      <c r="DP366" s="37"/>
      <c r="DQ366" s="37">
        <f>DO366/'Conversions, Sources &amp; Comments'!E364</f>
        <v>2.5680808564105932</v>
      </c>
    </row>
    <row r="367" spans="1:121">
      <c r="A367" s="42">
        <f t="shared" si="228"/>
        <v>1615</v>
      </c>
      <c r="B367" s="36"/>
      <c r="C367" s="38">
        <v>34</v>
      </c>
      <c r="D367" s="38">
        <v>2.75</v>
      </c>
      <c r="E367" s="38">
        <v>23</v>
      </c>
      <c r="F367" s="38">
        <v>1</v>
      </c>
      <c r="G367" s="38">
        <v>17</v>
      </c>
      <c r="H367" s="38">
        <v>10.25</v>
      </c>
      <c r="I367" s="38">
        <v>21</v>
      </c>
      <c r="J367" s="38">
        <v>0</v>
      </c>
      <c r="K367" s="38">
        <v>2</v>
      </c>
      <c r="L367" s="38">
        <v>8</v>
      </c>
      <c r="M367" s="36"/>
      <c r="N367" s="36"/>
      <c r="O367" s="36"/>
      <c r="P367" s="36"/>
      <c r="Q367" s="36"/>
      <c r="R367" s="36"/>
      <c r="S367" s="38">
        <v>4</v>
      </c>
      <c r="T367" s="38">
        <v>2</v>
      </c>
      <c r="U367" s="36"/>
      <c r="V367" s="36"/>
      <c r="W367" s="36"/>
      <c r="X367" s="36"/>
      <c r="Y367" s="36"/>
      <c r="Z367" s="38">
        <v>4</v>
      </c>
      <c r="AA367" s="38">
        <v>11</v>
      </c>
      <c r="AB367" s="36"/>
      <c r="AC367" s="36"/>
      <c r="AD367" s="36"/>
      <c r="AE367" s="38">
        <v>2</v>
      </c>
      <c r="AF367" s="38">
        <v>10</v>
      </c>
      <c r="AG367" s="36"/>
      <c r="AH367" s="36"/>
      <c r="AI367" s="38">
        <v>10</v>
      </c>
      <c r="AJ367" s="38">
        <v>1.5</v>
      </c>
      <c r="AK367" s="36"/>
      <c r="AL367" s="36"/>
      <c r="AM367" s="38">
        <v>33</v>
      </c>
      <c r="AN367" s="38">
        <v>10</v>
      </c>
      <c r="AO367" s="36"/>
      <c r="AP367" s="36"/>
      <c r="AQ367" s="36"/>
      <c r="AR367" s="36"/>
      <c r="AS367" s="38">
        <v>19.25</v>
      </c>
      <c r="AT367" s="36"/>
      <c r="AU367" s="36"/>
      <c r="AV367" s="36"/>
      <c r="AW367" s="38">
        <v>4</v>
      </c>
      <c r="AX367" s="38">
        <v>13.3</v>
      </c>
      <c r="AY367" s="38">
        <v>9</v>
      </c>
      <c r="AZ367" s="38">
        <v>120</v>
      </c>
      <c r="BA367" s="36"/>
      <c r="BB367" s="36"/>
      <c r="BC367" s="38">
        <v>7.33</v>
      </c>
      <c r="BD367" s="38">
        <v>6.56</v>
      </c>
      <c r="BE367" s="36"/>
      <c r="BF367" s="38">
        <v>4.8</v>
      </c>
      <c r="BG367" s="59">
        <v>33.1</v>
      </c>
      <c r="BH367" s="59">
        <v>2.67</v>
      </c>
      <c r="BI367" s="59">
        <v>0.41590850692635439</v>
      </c>
      <c r="BJ367" s="59"/>
      <c r="BK367" s="38">
        <v>5.3460000000000001</v>
      </c>
      <c r="BL367" s="59">
        <v>2.66</v>
      </c>
      <c r="BM367" s="38"/>
      <c r="BN367" s="38">
        <v>62</v>
      </c>
      <c r="BO367" s="36"/>
      <c r="BP367" s="39">
        <f t="shared" si="221"/>
        <v>0.46399193548387102</v>
      </c>
      <c r="BQ367" s="37"/>
      <c r="BR367" s="39">
        <f t="shared" si="222"/>
        <v>0.67606237407060576</v>
      </c>
      <c r="BS367" s="39">
        <f t="shared" si="245"/>
        <v>1.2275135420832934</v>
      </c>
      <c r="BT367" s="39">
        <f>BP367*12*AZ367/(24*0.9144)</f>
        <v>30.445665057996788</v>
      </c>
      <c r="BU367" s="39">
        <f>$BP367*12*AY367/(12*(45/36)*0.9144)</f>
        <v>3.6534798069596146</v>
      </c>
      <c r="BV367" s="39">
        <f t="shared" si="233"/>
        <v>0.65376013385476472</v>
      </c>
      <c r="BW367" s="39">
        <f t="shared" si="217"/>
        <v>2.341054006119943</v>
      </c>
      <c r="BX367" s="39">
        <f t="shared" si="234"/>
        <v>0.2830007231455729</v>
      </c>
      <c r="BY367" s="39">
        <f t="shared" si="246"/>
        <v>5.0293957627023831</v>
      </c>
      <c r="BZ367" s="37"/>
      <c r="CA367" s="39">
        <f t="shared" si="218"/>
        <v>5.4685969423857985</v>
      </c>
      <c r="CB367" s="39">
        <f t="shared" si="219"/>
        <v>2.7210003491856014</v>
      </c>
      <c r="CC367" s="39">
        <f t="shared" si="250"/>
        <v>0.38665994623655919</v>
      </c>
      <c r="CD367" s="39">
        <f t="shared" si="251"/>
        <v>0.18838072580645163</v>
      </c>
      <c r="CE367" s="37"/>
      <c r="CF367" s="37"/>
      <c r="CG367" s="37"/>
      <c r="CH367" s="39">
        <f t="shared" si="248"/>
        <v>4.0917118069443115</v>
      </c>
      <c r="CI367" s="37"/>
      <c r="CJ367" s="39">
        <f t="shared" si="237"/>
        <v>7.9614675488892839E-2</v>
      </c>
      <c r="CK367" s="37"/>
      <c r="CL367" s="37"/>
      <c r="CM367" s="37"/>
      <c r="CN367" s="37"/>
      <c r="CO367" s="39">
        <f>0.063495+(0.016949+0.014096)*Wages!P365+1.22592*BR367</f>
        <v>1.1803859783625725</v>
      </c>
      <c r="CP367" s="39"/>
      <c r="CQ367" s="39">
        <f t="shared" si="247"/>
        <v>1.2275135420832934</v>
      </c>
      <c r="CR367" s="39">
        <f t="shared" si="243"/>
        <v>0.65376013385476472</v>
      </c>
      <c r="CS367" s="39">
        <f t="shared" si="243"/>
        <v>2.341054006119943</v>
      </c>
      <c r="CT367" s="39">
        <f t="shared" si="220"/>
        <v>5.4685969423857985</v>
      </c>
      <c r="CU367" s="39">
        <f t="shared" si="220"/>
        <v>2.7210003491856014</v>
      </c>
      <c r="CV367" s="39">
        <f t="shared" si="220"/>
        <v>0.38665994623655919</v>
      </c>
      <c r="CW367" s="39">
        <f t="shared" si="220"/>
        <v>0.18838072580645163</v>
      </c>
      <c r="CX367" s="39"/>
      <c r="CY367" s="39"/>
      <c r="CZ367" s="39">
        <f t="shared" si="224"/>
        <v>0.2830007231455729</v>
      </c>
      <c r="DA367" s="39">
        <f t="shared" si="249"/>
        <v>4.0917118069443115</v>
      </c>
      <c r="DB367" s="39">
        <v>3.6534798069596142</v>
      </c>
      <c r="DC367" s="39">
        <f t="shared" si="225"/>
        <v>5.0293957627023831</v>
      </c>
      <c r="DD367" s="39">
        <v>4.2</v>
      </c>
      <c r="DE367" s="39">
        <v>5.8000000000000003E-2</v>
      </c>
      <c r="DF367" s="39">
        <v>7.9614675488892853E-2</v>
      </c>
      <c r="DG367" s="39">
        <f t="shared" si="226"/>
        <v>0</v>
      </c>
      <c r="DH367" s="39">
        <f t="shared" si="227"/>
        <v>6.5655422232284355</v>
      </c>
      <c r="DI367" s="39">
        <f t="shared" si="238"/>
        <v>3.285924944855044</v>
      </c>
      <c r="DJ367" s="37"/>
      <c r="DK367" s="37"/>
      <c r="DL367" s="37"/>
      <c r="DM367" s="39">
        <f t="shared" si="235"/>
        <v>1.2489765341364385</v>
      </c>
      <c r="DN367" s="39"/>
      <c r="DO367" s="39">
        <f t="shared" si="236"/>
        <v>1.2489765341364385</v>
      </c>
      <c r="DP367" s="37"/>
      <c r="DQ367" s="37">
        <f>DO367/'Conversions, Sources &amp; Comments'!E365</f>
        <v>2.6918065565815303</v>
      </c>
    </row>
    <row r="368" spans="1:121">
      <c r="A368" s="42">
        <f t="shared" si="228"/>
        <v>1616</v>
      </c>
      <c r="B368" s="36"/>
      <c r="C368" s="38">
        <v>42</v>
      </c>
      <c r="D368" s="38">
        <v>7</v>
      </c>
      <c r="E368" s="38">
        <v>23</v>
      </c>
      <c r="F368" s="38">
        <v>0</v>
      </c>
      <c r="G368" s="38">
        <v>13</v>
      </c>
      <c r="H368" s="38">
        <v>10.75</v>
      </c>
      <c r="I368" s="36"/>
      <c r="J368" s="36"/>
      <c r="K368" s="38">
        <v>2</v>
      </c>
      <c r="L368" s="38">
        <v>8</v>
      </c>
      <c r="M368" s="36"/>
      <c r="N368" s="36"/>
      <c r="O368" s="36"/>
      <c r="P368" s="36"/>
      <c r="Q368" s="36"/>
      <c r="R368" s="36"/>
      <c r="S368" s="38">
        <v>3</v>
      </c>
      <c r="T368" s="38">
        <v>7</v>
      </c>
      <c r="U368" s="36"/>
      <c r="V368" s="36"/>
      <c r="W368" s="36"/>
      <c r="X368" s="36"/>
      <c r="Y368" s="36"/>
      <c r="Z368" s="38">
        <v>4</v>
      </c>
      <c r="AA368" s="38">
        <v>7.25</v>
      </c>
      <c r="AB368" s="36"/>
      <c r="AC368" s="36"/>
      <c r="AD368" s="36"/>
      <c r="AE368" s="38">
        <v>2</v>
      </c>
      <c r="AF368" s="38">
        <v>10</v>
      </c>
      <c r="AG368" s="38">
        <v>14</v>
      </c>
      <c r="AH368" s="38">
        <v>0</v>
      </c>
      <c r="AI368" s="38">
        <v>13</v>
      </c>
      <c r="AJ368" s="38">
        <v>1</v>
      </c>
      <c r="AK368" s="36"/>
      <c r="AL368" s="36"/>
      <c r="AM368" s="38">
        <v>33</v>
      </c>
      <c r="AN368" s="38">
        <v>10</v>
      </c>
      <c r="AO368" s="36"/>
      <c r="AP368" s="36"/>
      <c r="AQ368" s="36"/>
      <c r="AR368" s="36"/>
      <c r="AS368" s="38">
        <v>19.11</v>
      </c>
      <c r="AT368" s="36"/>
      <c r="AU368" s="36"/>
      <c r="AV368" s="36"/>
      <c r="AW368" s="36"/>
      <c r="AX368" s="36"/>
      <c r="AY368" s="36"/>
      <c r="AZ368" s="38">
        <v>120</v>
      </c>
      <c r="BA368" s="36"/>
      <c r="BB368" s="36"/>
      <c r="BC368" s="38">
        <v>7.33</v>
      </c>
      <c r="BD368" s="38">
        <v>6.62</v>
      </c>
      <c r="BE368" s="36"/>
      <c r="BF368" s="38">
        <v>5.2</v>
      </c>
      <c r="BG368" s="59">
        <v>20.190000000000001</v>
      </c>
      <c r="BH368" s="59">
        <v>2.67</v>
      </c>
      <c r="BI368" s="59">
        <v>0.34543895924115903</v>
      </c>
      <c r="BJ368" s="59"/>
      <c r="BK368" s="38">
        <v>5.2515000000000009</v>
      </c>
      <c r="BL368" s="59">
        <v>2.09</v>
      </c>
      <c r="BM368" s="36"/>
      <c r="BN368" s="38">
        <v>62</v>
      </c>
      <c r="BO368" s="36"/>
      <c r="BP368" s="39">
        <f t="shared" si="221"/>
        <v>0.46399193548387102</v>
      </c>
      <c r="BQ368" s="37"/>
      <c r="BR368" s="39">
        <f t="shared" si="222"/>
        <v>0.8410660332320864</v>
      </c>
      <c r="BS368" s="39">
        <f t="shared" si="245"/>
        <v>1.3298063372569013</v>
      </c>
      <c r="BT368" s="39">
        <f>BP368*12*AZ368/(24*0.9144)</f>
        <v>30.445665057996788</v>
      </c>
      <c r="BU368" s="37"/>
      <c r="BV368" s="39">
        <f t="shared" si="233"/>
        <v>0.39877393058996069</v>
      </c>
      <c r="BW368" s="39">
        <f t="shared" si="217"/>
        <v>2.341054006119943</v>
      </c>
      <c r="BX368" s="39">
        <f t="shared" si="234"/>
        <v>0.23505043450629037</v>
      </c>
      <c r="BY368" s="39">
        <f t="shared" si="246"/>
        <v>4.7097307777848592</v>
      </c>
      <c r="BZ368" s="37"/>
      <c r="CA368" s="39">
        <f t="shared" si="218"/>
        <v>5.3719298247173644</v>
      </c>
      <c r="CB368" s="39">
        <f t="shared" si="219"/>
        <v>2.1379288457886867</v>
      </c>
      <c r="CC368" s="39">
        <f t="shared" si="250"/>
        <v>0.3325275537634409</v>
      </c>
      <c r="CD368" s="39">
        <f t="shared" si="251"/>
        <v>0.18838072580645163</v>
      </c>
      <c r="CE368" s="37"/>
      <c r="CF368" s="37"/>
      <c r="CG368" s="37"/>
      <c r="CH368" s="37"/>
      <c r="CI368" s="37"/>
      <c r="CJ368" s="39">
        <f t="shared" si="237"/>
        <v>7.9035659667155436E-2</v>
      </c>
      <c r="CK368" s="37"/>
      <c r="CL368" s="39">
        <f>BP368*(12*AG368+AH368)/100</f>
        <v>0.77950645161290322</v>
      </c>
      <c r="CM368" s="37"/>
      <c r="CN368" s="37"/>
      <c r="CO368" s="39">
        <f>0.063495+(0.016949+0.014096)*Wages!P366+1.22592*BR368</f>
        <v>1.3826672642018147</v>
      </c>
      <c r="CP368" s="39"/>
      <c r="CQ368" s="39">
        <f t="shared" si="247"/>
        <v>1.3298063372569013</v>
      </c>
      <c r="CR368" s="39">
        <f t="shared" si="243"/>
        <v>0.39877393058996069</v>
      </c>
      <c r="CS368" s="39">
        <f t="shared" si="243"/>
        <v>2.341054006119943</v>
      </c>
      <c r="CT368" s="39">
        <f t="shared" si="220"/>
        <v>5.3719298247173644</v>
      </c>
      <c r="CU368" s="39">
        <f t="shared" si="220"/>
        <v>2.1379288457886867</v>
      </c>
      <c r="CV368" s="39">
        <f t="shared" si="220"/>
        <v>0.3325275537634409</v>
      </c>
      <c r="CW368" s="39">
        <f t="shared" si="220"/>
        <v>0.18838072580645163</v>
      </c>
      <c r="CX368" s="39"/>
      <c r="CY368" s="39"/>
      <c r="CZ368" s="39">
        <f t="shared" si="224"/>
        <v>0.23505043450629037</v>
      </c>
      <c r="DA368" s="39">
        <v>4.0917118069443115</v>
      </c>
      <c r="DB368" s="39">
        <v>3.6534798069596142</v>
      </c>
      <c r="DC368" s="39">
        <f t="shared" si="225"/>
        <v>4.7097307777848592</v>
      </c>
      <c r="DD368" s="39">
        <v>4.2</v>
      </c>
      <c r="DE368" s="39">
        <v>5.8000000000000003E-2</v>
      </c>
      <c r="DF368" s="39">
        <v>7.903565966715545E-2</v>
      </c>
      <c r="DG368" s="39">
        <f t="shared" si="226"/>
        <v>0.77950645161290322</v>
      </c>
      <c r="DH368" s="39">
        <f t="shared" si="227"/>
        <v>6.5655422232284355</v>
      </c>
      <c r="DI368" s="39">
        <f t="shared" si="238"/>
        <v>3.2620273088924621</v>
      </c>
      <c r="DJ368" s="37"/>
      <c r="DK368" s="37"/>
      <c r="DL368" s="37"/>
      <c r="DM368" s="39">
        <f t="shared" si="235"/>
        <v>1.2235496032266764</v>
      </c>
      <c r="DN368" s="39"/>
      <c r="DO368" s="39">
        <f t="shared" si="236"/>
        <v>1.2235496032266764</v>
      </c>
      <c r="DP368" s="37"/>
      <c r="DQ368" s="37">
        <f>DO368/'Conversions, Sources &amp; Comments'!E366</f>
        <v>2.63700618406375</v>
      </c>
    </row>
    <row r="369" spans="1:121">
      <c r="A369" s="42">
        <f t="shared" si="228"/>
        <v>1617</v>
      </c>
      <c r="B369" s="36"/>
      <c r="C369" s="38">
        <v>45</v>
      </c>
      <c r="D369" s="38">
        <v>1</v>
      </c>
      <c r="E369" s="38">
        <v>18</v>
      </c>
      <c r="F369" s="38">
        <v>3.5</v>
      </c>
      <c r="G369" s="38">
        <v>11</v>
      </c>
      <c r="H369" s="38">
        <v>11.25</v>
      </c>
      <c r="I369" s="36"/>
      <c r="J369" s="36"/>
      <c r="K369" s="38">
        <v>2</v>
      </c>
      <c r="L369" s="38">
        <v>7.5</v>
      </c>
      <c r="M369" s="36"/>
      <c r="N369" s="36"/>
      <c r="O369" s="36"/>
      <c r="P369" s="36"/>
      <c r="Q369" s="36"/>
      <c r="R369" s="36"/>
      <c r="S369" s="38">
        <v>3</v>
      </c>
      <c r="T369" s="38">
        <v>8</v>
      </c>
      <c r="U369" s="36"/>
      <c r="V369" s="36"/>
      <c r="W369" s="36"/>
      <c r="X369" s="36"/>
      <c r="Y369" s="36"/>
      <c r="Z369" s="38">
        <v>4</v>
      </c>
      <c r="AA369" s="38">
        <v>4.25</v>
      </c>
      <c r="AB369" s="36"/>
      <c r="AC369" s="38">
        <v>3</v>
      </c>
      <c r="AD369" s="38">
        <v>0</v>
      </c>
      <c r="AE369" s="38">
        <v>2</v>
      </c>
      <c r="AF369" s="38">
        <v>10</v>
      </c>
      <c r="AG369" s="36"/>
      <c r="AH369" s="36"/>
      <c r="AI369" s="38">
        <v>14</v>
      </c>
      <c r="AJ369" s="38">
        <v>9.25</v>
      </c>
      <c r="AK369" s="36"/>
      <c r="AL369" s="36"/>
      <c r="AM369" s="38">
        <v>33</v>
      </c>
      <c r="AN369" s="38">
        <v>10</v>
      </c>
      <c r="AO369" s="36"/>
      <c r="AP369" s="36"/>
      <c r="AQ369" s="36"/>
      <c r="AR369" s="36"/>
      <c r="AS369" s="38">
        <v>15.61</v>
      </c>
      <c r="AT369" s="36"/>
      <c r="AU369" s="36"/>
      <c r="AV369" s="36"/>
      <c r="AW369" s="38">
        <v>4</v>
      </c>
      <c r="AX369" s="38">
        <v>12</v>
      </c>
      <c r="AY369" s="38">
        <v>9</v>
      </c>
      <c r="AZ369" s="38">
        <v>120</v>
      </c>
      <c r="BA369" s="36"/>
      <c r="BB369" s="36"/>
      <c r="BC369" s="38">
        <v>7.33</v>
      </c>
      <c r="BD369" s="38">
        <v>6.67</v>
      </c>
      <c r="BE369" s="36"/>
      <c r="BF369" s="38">
        <v>5.3</v>
      </c>
      <c r="BG369" s="59">
        <v>18.04</v>
      </c>
      <c r="BH369" s="59">
        <v>2.67</v>
      </c>
      <c r="BI369" s="59">
        <v>0.33853018005633456</v>
      </c>
      <c r="BJ369" s="59"/>
      <c r="BK369" s="38">
        <v>5.6160000000000005</v>
      </c>
      <c r="BL369" s="59">
        <v>3.01</v>
      </c>
      <c r="BM369" s="38"/>
      <c r="BN369" s="38">
        <v>62</v>
      </c>
      <c r="BO369" s="36"/>
      <c r="BP369" s="39">
        <f t="shared" si="221"/>
        <v>0.46399193548387102</v>
      </c>
      <c r="BQ369" s="37"/>
      <c r="BR369" s="39">
        <f t="shared" si="222"/>
        <v>0.89044368684649466</v>
      </c>
      <c r="BS369" s="39">
        <f t="shared" si="245"/>
        <v>1.3553795360503031</v>
      </c>
      <c r="BT369" s="39">
        <f>BP369*12*AZ369/(24*0.9144)</f>
        <v>30.445665057996788</v>
      </c>
      <c r="BU369" s="39">
        <f>$BP369*12*AY369/(12*(45/36)*0.9144)</f>
        <v>3.6534798069596146</v>
      </c>
      <c r="BV369" s="39">
        <f t="shared" si="233"/>
        <v>0.35630914848156958</v>
      </c>
      <c r="BW369" s="39">
        <f t="shared" si="217"/>
        <v>2.341054006119943</v>
      </c>
      <c r="BX369" s="39">
        <f t="shared" si="234"/>
        <v>0.23034942581616369</v>
      </c>
      <c r="BY369" s="39">
        <f t="shared" si="246"/>
        <v>4.4539987898508393</v>
      </c>
      <c r="BZ369" s="37"/>
      <c r="CA369" s="39">
        <f t="shared" si="218"/>
        <v>5.7447887071527592</v>
      </c>
      <c r="CB369" s="39">
        <f t="shared" si="219"/>
        <v>3.0790267109205485</v>
      </c>
      <c r="CC369" s="39">
        <f t="shared" si="250"/>
        <v>0.34026075268817207</v>
      </c>
      <c r="CD369" s="39">
        <f t="shared" si="251"/>
        <v>0.18838072580645163</v>
      </c>
      <c r="CE369" s="37"/>
      <c r="CF369" s="37"/>
      <c r="CG369" s="37"/>
      <c r="CH369" s="39">
        <f>BP369*12*AW369/(12*0.453592)</f>
        <v>4.0917118069443115</v>
      </c>
      <c r="CI369" s="37"/>
      <c r="CJ369" s="39">
        <f t="shared" si="237"/>
        <v>6.4560264123720387E-2</v>
      </c>
      <c r="CK369" s="39">
        <f>BP369*(12*AC369+AD369)/(35.238*8)</f>
        <v>5.9253184337289849E-2</v>
      </c>
      <c r="CL369" s="37"/>
      <c r="CM369" s="39">
        <f>BP369*(12*$AC369+$AD369)/(35.238*8)/0.283</f>
        <v>0.20937520967240231</v>
      </c>
      <c r="CN369" s="37"/>
      <c r="CO369" s="39">
        <f>0.063495+(0.016949+0.014096)*Wages!P367+1.22592*BR369</f>
        <v>1.4432003173207901</v>
      </c>
      <c r="CP369" s="39"/>
      <c r="CQ369" s="39">
        <f t="shared" si="247"/>
        <v>1.3553795360503031</v>
      </c>
      <c r="CR369" s="39">
        <f t="shared" si="243"/>
        <v>0.35630914848156958</v>
      </c>
      <c r="CS369" s="39">
        <f t="shared" si="243"/>
        <v>2.341054006119943</v>
      </c>
      <c r="CT369" s="39">
        <f t="shared" si="220"/>
        <v>5.7447887071527592</v>
      </c>
      <c r="CU369" s="39">
        <f t="shared" si="220"/>
        <v>3.0790267109205485</v>
      </c>
      <c r="CV369" s="39">
        <f t="shared" si="220"/>
        <v>0.34026075268817207</v>
      </c>
      <c r="CW369" s="39">
        <f t="shared" si="220"/>
        <v>0.18838072580645163</v>
      </c>
      <c r="CX369" s="39"/>
      <c r="CY369" s="39"/>
      <c r="CZ369" s="39">
        <f t="shared" si="224"/>
        <v>0.23034942581616369</v>
      </c>
      <c r="DA369" s="39">
        <f>CH369</f>
        <v>4.0917118069443115</v>
      </c>
      <c r="DB369" s="39">
        <f>BU369</f>
        <v>3.6534798069596146</v>
      </c>
      <c r="DC369" s="39">
        <f t="shared" si="225"/>
        <v>4.4539987898508393</v>
      </c>
      <c r="DD369" s="39">
        <v>4.2</v>
      </c>
      <c r="DE369" s="39">
        <f>CK369</f>
        <v>5.9253184337289849E-2</v>
      </c>
      <c r="DF369" s="39">
        <v>6.4560264123720387E-2</v>
      </c>
      <c r="DG369" s="39">
        <f t="shared" si="226"/>
        <v>0</v>
      </c>
      <c r="DH369" s="39">
        <f t="shared" si="227"/>
        <v>6.707401441848523</v>
      </c>
      <c r="DI369" s="39">
        <f t="shared" si="238"/>
        <v>2.6645864098279084</v>
      </c>
      <c r="DJ369" s="37"/>
      <c r="DK369" s="37"/>
      <c r="DL369" s="37"/>
      <c r="DM369" s="39">
        <f t="shared" si="235"/>
        <v>1.2449275065198595</v>
      </c>
      <c r="DN369" s="39"/>
      <c r="DO369" s="39">
        <f t="shared" si="236"/>
        <v>1.2449275065198595</v>
      </c>
      <c r="DP369" s="37"/>
      <c r="DQ369" s="37">
        <f>DO369/'Conversions, Sources &amp; Comments'!E367</f>
        <v>2.6830800522892599</v>
      </c>
    </row>
    <row r="370" spans="1:121">
      <c r="A370" s="42">
        <f t="shared" si="228"/>
        <v>1618</v>
      </c>
      <c r="B370" s="36"/>
      <c r="C370" s="38">
        <v>32</v>
      </c>
      <c r="D370" s="38">
        <v>7.5</v>
      </c>
      <c r="E370" s="38">
        <v>16</v>
      </c>
      <c r="F370" s="38">
        <v>1.25</v>
      </c>
      <c r="G370" s="38">
        <v>13</v>
      </c>
      <c r="H370" s="38">
        <v>5</v>
      </c>
      <c r="I370" s="36"/>
      <c r="J370" s="36"/>
      <c r="K370" s="38">
        <v>2</v>
      </c>
      <c r="L370" s="38">
        <v>8</v>
      </c>
      <c r="M370" s="36"/>
      <c r="N370" s="36"/>
      <c r="O370" s="36"/>
      <c r="P370" s="36"/>
      <c r="Q370" s="36"/>
      <c r="R370" s="36"/>
      <c r="S370" s="38">
        <v>3</v>
      </c>
      <c r="T370" s="38">
        <v>2.5</v>
      </c>
      <c r="U370" s="36"/>
      <c r="V370" s="36"/>
      <c r="W370" s="36"/>
      <c r="X370" s="36"/>
      <c r="Y370" s="36"/>
      <c r="Z370" s="38">
        <v>4</v>
      </c>
      <c r="AA370" s="38">
        <v>6</v>
      </c>
      <c r="AB370" s="36"/>
      <c r="AC370" s="36"/>
      <c r="AD370" s="36"/>
      <c r="AE370" s="38">
        <v>2</v>
      </c>
      <c r="AF370" s="38">
        <v>10</v>
      </c>
      <c r="AG370" s="36"/>
      <c r="AH370" s="36"/>
      <c r="AI370" s="38">
        <v>15</v>
      </c>
      <c r="AJ370" s="38">
        <v>4.5</v>
      </c>
      <c r="AK370" s="36"/>
      <c r="AL370" s="36"/>
      <c r="AM370" s="38">
        <v>33</v>
      </c>
      <c r="AN370" s="38">
        <v>10</v>
      </c>
      <c r="AO370" s="36"/>
      <c r="AP370" s="36"/>
      <c r="AQ370" s="36"/>
      <c r="AR370" s="36"/>
      <c r="AS370" s="38">
        <v>15.5</v>
      </c>
      <c r="AT370" s="36"/>
      <c r="AU370" s="36"/>
      <c r="AV370" s="36"/>
      <c r="AW370" s="36"/>
      <c r="AX370" s="38">
        <v>12.9</v>
      </c>
      <c r="AY370" s="36"/>
      <c r="AZ370" s="36"/>
      <c r="BA370" s="36"/>
      <c r="BB370" s="36"/>
      <c r="BC370" s="38">
        <v>6.33</v>
      </c>
      <c r="BD370" s="38">
        <v>6.5</v>
      </c>
      <c r="BE370" s="36"/>
      <c r="BF370" s="38">
        <v>4</v>
      </c>
      <c r="BG370" s="59">
        <v>16.75</v>
      </c>
      <c r="BH370" s="59">
        <v>2.67</v>
      </c>
      <c r="BI370" s="59">
        <v>0.30951330748007755</v>
      </c>
      <c r="BJ370" s="59"/>
      <c r="BK370" s="38">
        <v>5.0220000000000002</v>
      </c>
      <c r="BL370" s="59">
        <v>3.01</v>
      </c>
      <c r="BM370" s="36"/>
      <c r="BN370" s="38">
        <v>62</v>
      </c>
      <c r="BO370" s="36"/>
      <c r="BP370" s="39">
        <f t="shared" si="221"/>
        <v>0.46399193548387102</v>
      </c>
      <c r="BQ370" s="37"/>
      <c r="BR370" s="39">
        <f t="shared" si="222"/>
        <v>0.64437837966802702</v>
      </c>
      <c r="BS370" s="39">
        <f t="shared" si="245"/>
        <v>1.0229279517360779</v>
      </c>
      <c r="BT370" s="37"/>
      <c r="BU370" s="37"/>
      <c r="BV370" s="39">
        <f t="shared" si="233"/>
        <v>0.33083027921653496</v>
      </c>
      <c r="BW370" s="39">
        <f t="shared" si="217"/>
        <v>2.341054006119943</v>
      </c>
      <c r="BX370" s="39">
        <f t="shared" si="234"/>
        <v>0.21060518931763555</v>
      </c>
      <c r="BY370" s="39">
        <f t="shared" si="246"/>
        <v>4.6031757828123503</v>
      </c>
      <c r="BZ370" s="37"/>
      <c r="CA370" s="39">
        <f t="shared" si="218"/>
        <v>5.1371668246654476</v>
      </c>
      <c r="CB370" s="39">
        <f t="shared" si="219"/>
        <v>3.0790267109205485</v>
      </c>
      <c r="CC370" s="39">
        <f t="shared" si="250"/>
        <v>0.29772815860215057</v>
      </c>
      <c r="CD370" s="39">
        <f t="shared" si="251"/>
        <v>0.18838072580645163</v>
      </c>
      <c r="CE370" s="37"/>
      <c r="CF370" s="37"/>
      <c r="CG370" s="37"/>
      <c r="CH370" s="37"/>
      <c r="CI370" s="37"/>
      <c r="CJ370" s="39">
        <f t="shared" si="237"/>
        <v>6.4105323120926705E-2</v>
      </c>
      <c r="CK370" s="37"/>
      <c r="CL370" s="37"/>
      <c r="CM370" s="37"/>
      <c r="CN370" s="37"/>
      <c r="CO370" s="39">
        <f>0.063495+(0.016949+0.014096)*Wages!P368+1.22592*BR370</f>
        <v>1.1415439359445632</v>
      </c>
      <c r="CP370" s="39"/>
      <c r="CQ370" s="39">
        <f t="shared" si="247"/>
        <v>1.0229279517360779</v>
      </c>
      <c r="CR370" s="39">
        <f t="shared" si="243"/>
        <v>0.33083027921653496</v>
      </c>
      <c r="CS370" s="39">
        <f t="shared" si="243"/>
        <v>2.341054006119943</v>
      </c>
      <c r="CT370" s="39">
        <f t="shared" si="220"/>
        <v>5.1371668246654476</v>
      </c>
      <c r="CU370" s="39">
        <f t="shared" si="220"/>
        <v>3.0790267109205485</v>
      </c>
      <c r="CV370" s="39">
        <f t="shared" si="220"/>
        <v>0.29772815860215057</v>
      </c>
      <c r="CW370" s="39">
        <f t="shared" si="220"/>
        <v>0.18838072580645163</v>
      </c>
      <c r="CX370" s="39"/>
      <c r="CY370" s="39"/>
      <c r="CZ370" s="39">
        <f t="shared" si="224"/>
        <v>0.21060518931763555</v>
      </c>
      <c r="DA370" s="39">
        <v>4.8</v>
      </c>
      <c r="DB370" s="39">
        <v>3.7</v>
      </c>
      <c r="DC370" s="39">
        <f t="shared" si="225"/>
        <v>4.6031757828123503</v>
      </c>
      <c r="DD370" s="39">
        <v>4.2</v>
      </c>
      <c r="DE370" s="39">
        <v>6.3E-2</v>
      </c>
      <c r="DF370" s="39">
        <v>6.4105323120926705E-2</v>
      </c>
      <c r="DG370" s="39">
        <f t="shared" si="226"/>
        <v>0</v>
      </c>
      <c r="DH370" s="39">
        <f t="shared" si="227"/>
        <v>7.1315372424722669</v>
      </c>
      <c r="DI370" s="39">
        <f t="shared" si="238"/>
        <v>2.6458096958573072</v>
      </c>
      <c r="DJ370" s="37"/>
      <c r="DK370" s="37"/>
      <c r="DL370" s="37"/>
      <c r="DM370" s="39">
        <f t="shared" si="235"/>
        <v>1.0853387205845346</v>
      </c>
      <c r="DN370" s="39"/>
      <c r="DO370" s="39">
        <f t="shared" si="236"/>
        <v>1.0853387205845346</v>
      </c>
      <c r="DP370" s="37"/>
      <c r="DQ370" s="37">
        <f>DO370/'Conversions, Sources &amp; Comments'!E368</f>
        <v>2.3391327253407885</v>
      </c>
    </row>
    <row r="371" spans="1:121">
      <c r="A371" s="42">
        <f t="shared" si="228"/>
        <v>1619</v>
      </c>
      <c r="B371" s="36"/>
      <c r="C371" s="38">
        <v>25</v>
      </c>
      <c r="D371" s="38">
        <v>10.5</v>
      </c>
      <c r="E371" s="38">
        <v>14</v>
      </c>
      <c r="F371" s="38">
        <v>11.5</v>
      </c>
      <c r="G371" s="38">
        <v>12</v>
      </c>
      <c r="H371" s="38">
        <v>7</v>
      </c>
      <c r="I371" s="36"/>
      <c r="J371" s="36"/>
      <c r="K371" s="38">
        <v>2</v>
      </c>
      <c r="L371" s="38">
        <v>8</v>
      </c>
      <c r="M371" s="36"/>
      <c r="N371" s="36"/>
      <c r="O371" s="36"/>
      <c r="P371" s="36"/>
      <c r="Q371" s="36"/>
      <c r="R371" s="36"/>
      <c r="S371" s="38">
        <v>3</v>
      </c>
      <c r="T371" s="38">
        <v>6</v>
      </c>
      <c r="U371" s="36"/>
      <c r="V371" s="36"/>
      <c r="W371" s="36"/>
      <c r="X371" s="36"/>
      <c r="Y371" s="36"/>
      <c r="Z371" s="38">
        <v>4</v>
      </c>
      <c r="AA371" s="38">
        <v>6</v>
      </c>
      <c r="AB371" s="36"/>
      <c r="AC371" s="38">
        <v>3</v>
      </c>
      <c r="AD371" s="38">
        <v>4</v>
      </c>
      <c r="AE371" s="38">
        <v>2</v>
      </c>
      <c r="AF371" s="38">
        <v>10</v>
      </c>
      <c r="AG371" s="36"/>
      <c r="AH371" s="36"/>
      <c r="AI371" s="38">
        <v>12</v>
      </c>
      <c r="AJ371" s="38">
        <v>0</v>
      </c>
      <c r="AK371" s="36"/>
      <c r="AL371" s="36"/>
      <c r="AM371" s="38">
        <v>33</v>
      </c>
      <c r="AN371" s="38">
        <v>10</v>
      </c>
      <c r="AO371" s="36"/>
      <c r="AP371" s="36"/>
      <c r="AQ371" s="36"/>
      <c r="AR371" s="36"/>
      <c r="AS371" s="38">
        <v>16.86</v>
      </c>
      <c r="AT371" s="36"/>
      <c r="AU371" s="36"/>
      <c r="AV371" s="36"/>
      <c r="AW371" s="36"/>
      <c r="AX371" s="38">
        <v>24</v>
      </c>
      <c r="AY371" s="38">
        <v>9.25</v>
      </c>
      <c r="AZ371" s="38">
        <v>120</v>
      </c>
      <c r="BA371" s="36"/>
      <c r="BB371" s="36"/>
      <c r="BC371" s="38">
        <v>7.33</v>
      </c>
      <c r="BD371" s="38">
        <v>6.5</v>
      </c>
      <c r="BE371" s="36"/>
      <c r="BF371" s="38">
        <v>3.5</v>
      </c>
      <c r="BG371" s="59">
        <v>19.850000000000001</v>
      </c>
      <c r="BH371" s="59">
        <v>2.67</v>
      </c>
      <c r="BI371" s="59">
        <v>0.28740521408864333</v>
      </c>
      <c r="BJ371" s="59"/>
      <c r="BK371" s="38">
        <v>5.5620000000000003</v>
      </c>
      <c r="BL371" s="59">
        <v>3.01</v>
      </c>
      <c r="BM371" s="38"/>
      <c r="BN371" s="38">
        <v>62</v>
      </c>
      <c r="BO371" s="36"/>
      <c r="BP371" s="39">
        <f t="shared" si="221"/>
        <v>0.46399193548387102</v>
      </c>
      <c r="BQ371" s="37"/>
      <c r="BR371" s="39">
        <f t="shared" si="222"/>
        <v>0.51105871490912491</v>
      </c>
      <c r="BS371" s="39">
        <f t="shared" si="245"/>
        <v>0.89506195776906816</v>
      </c>
      <c r="BT371" s="39">
        <f>BP371*12*AZ371/(24*0.9144)</f>
        <v>30.445665057996788</v>
      </c>
      <c r="BU371" s="39">
        <f>$BP371*12*AY371/(12*(45/36)*0.9144)</f>
        <v>3.7549653571529369</v>
      </c>
      <c r="BV371" s="39">
        <f t="shared" si="233"/>
        <v>0.39205856969840114</v>
      </c>
      <c r="BW371" s="39">
        <f t="shared" si="217"/>
        <v>2.341054006119943</v>
      </c>
      <c r="BX371" s="39">
        <f t="shared" si="234"/>
        <v>0.19556196150923294</v>
      </c>
      <c r="BY371" s="39">
        <f t="shared" si="246"/>
        <v>4.6031757828123503</v>
      </c>
      <c r="BZ371" s="37"/>
      <c r="CA371" s="39">
        <f t="shared" si="218"/>
        <v>5.6895503541993673</v>
      </c>
      <c r="CB371" s="39">
        <f t="shared" si="219"/>
        <v>3.0790267109205485</v>
      </c>
      <c r="CC371" s="39">
        <f t="shared" si="250"/>
        <v>0.32479435483870966</v>
      </c>
      <c r="CD371" s="39">
        <f t="shared" si="251"/>
        <v>0.18838072580645163</v>
      </c>
      <c r="CE371" s="37"/>
      <c r="CF371" s="37"/>
      <c r="CG371" s="37"/>
      <c r="CH371" s="37"/>
      <c r="CI371" s="37"/>
      <c r="CJ371" s="39">
        <f t="shared" si="237"/>
        <v>6.9730048246375756E-2</v>
      </c>
      <c r="CK371" s="39">
        <f>BP371*(12*AC371+AD371)/(35.238*8)</f>
        <v>6.5836871485877607E-2</v>
      </c>
      <c r="CL371" s="37"/>
      <c r="CM371" s="39">
        <f>BP371*(12*$AC371+$AD371)/(35.238*8)/0.283</f>
        <v>0.23263912185822477</v>
      </c>
      <c r="CN371" s="37"/>
      <c r="CO371" s="39">
        <f>0.063495+(0.016949+0.014096)*Wages!P369+1.22592*BR371</f>
        <v>0.97810469252332988</v>
      </c>
      <c r="CP371" s="39"/>
      <c r="CQ371" s="39">
        <f t="shared" si="247"/>
        <v>0.89506195776906816</v>
      </c>
      <c r="CR371" s="39">
        <f t="shared" si="243"/>
        <v>0.39205856969840114</v>
      </c>
      <c r="CS371" s="39">
        <f t="shared" si="243"/>
        <v>2.341054006119943</v>
      </c>
      <c r="CT371" s="39">
        <f t="shared" si="220"/>
        <v>5.6895503541993673</v>
      </c>
      <c r="CU371" s="39">
        <f t="shared" si="220"/>
        <v>3.0790267109205485</v>
      </c>
      <c r="CV371" s="39">
        <f t="shared" si="220"/>
        <v>0.32479435483870966</v>
      </c>
      <c r="CW371" s="39">
        <f t="shared" si="220"/>
        <v>0.18838072580645163</v>
      </c>
      <c r="CX371" s="39"/>
      <c r="CY371" s="39"/>
      <c r="CZ371" s="39">
        <f t="shared" si="224"/>
        <v>0.19556196150923294</v>
      </c>
      <c r="DA371" s="39">
        <v>4.8</v>
      </c>
      <c r="DB371" s="39">
        <f>BU371</f>
        <v>3.7549653571529369</v>
      </c>
      <c r="DC371" s="39">
        <f t="shared" si="225"/>
        <v>4.6031757828123503</v>
      </c>
      <c r="DD371" s="39">
        <v>4.2</v>
      </c>
      <c r="DE371" s="39">
        <f>CK371</f>
        <v>6.5836871485877607E-2</v>
      </c>
      <c r="DF371" s="39">
        <v>6.973004824637577E-2</v>
      </c>
      <c r="DG371" s="39">
        <f t="shared" si="226"/>
        <v>0</v>
      </c>
      <c r="DH371" s="39">
        <f t="shared" si="227"/>
        <v>7.452668268720581</v>
      </c>
      <c r="DI371" s="39">
        <f t="shared" si="238"/>
        <v>2.8779581594938204</v>
      </c>
      <c r="DJ371" s="37"/>
      <c r="DK371" s="37"/>
      <c r="DL371" s="37"/>
      <c r="DM371" s="39">
        <f t="shared" si="235"/>
        <v>1.0451715935648926</v>
      </c>
      <c r="DN371" s="39"/>
      <c r="DO371" s="39">
        <f t="shared" si="236"/>
        <v>1.0451715935648926</v>
      </c>
      <c r="DP371" s="37"/>
      <c r="DQ371" s="37">
        <f>DO371/'Conversions, Sources &amp; Comments'!E369</f>
        <v>2.2525641366480693</v>
      </c>
    </row>
    <row r="372" spans="1:121">
      <c r="A372" s="42">
        <f t="shared" si="228"/>
        <v>1620</v>
      </c>
      <c r="B372" s="36"/>
      <c r="C372" s="38">
        <v>25</v>
      </c>
      <c r="D372" s="38">
        <v>5</v>
      </c>
      <c r="E372" s="38">
        <v>11</v>
      </c>
      <c r="F372" s="38">
        <v>4.5</v>
      </c>
      <c r="G372" s="38">
        <v>10</v>
      </c>
      <c r="H372" s="38">
        <v>1.5</v>
      </c>
      <c r="I372" s="36"/>
      <c r="J372" s="36"/>
      <c r="K372" s="38">
        <v>2</v>
      </c>
      <c r="L372" s="38">
        <v>8</v>
      </c>
      <c r="M372" s="36"/>
      <c r="N372" s="36"/>
      <c r="O372" s="36"/>
      <c r="P372" s="36"/>
      <c r="Q372" s="36"/>
      <c r="R372" s="36"/>
      <c r="S372" s="38">
        <v>3</v>
      </c>
      <c r="T372" s="38">
        <v>1.25</v>
      </c>
      <c r="U372" s="36"/>
      <c r="V372" s="36"/>
      <c r="W372" s="36"/>
      <c r="X372" s="36"/>
      <c r="Y372" s="36"/>
      <c r="Z372" s="38">
        <v>4</v>
      </c>
      <c r="AA372" s="38">
        <v>9.75</v>
      </c>
      <c r="AB372" s="36"/>
      <c r="AC372" s="36"/>
      <c r="AD372" s="36"/>
      <c r="AE372" s="38">
        <v>2</v>
      </c>
      <c r="AF372" s="38">
        <v>10</v>
      </c>
      <c r="AG372" s="38">
        <v>13</v>
      </c>
      <c r="AH372" s="38">
        <v>0</v>
      </c>
      <c r="AI372" s="38">
        <v>20</v>
      </c>
      <c r="AJ372" s="38">
        <v>0</v>
      </c>
      <c r="AK372" s="36"/>
      <c r="AL372" s="36"/>
      <c r="AM372" s="38">
        <v>33</v>
      </c>
      <c r="AN372" s="38">
        <v>10</v>
      </c>
      <c r="AO372" s="36"/>
      <c r="AP372" s="36"/>
      <c r="AQ372" s="36"/>
      <c r="AR372" s="36"/>
      <c r="AS372" s="38">
        <v>16.420000000000002</v>
      </c>
      <c r="AT372" s="36"/>
      <c r="AU372" s="36"/>
      <c r="AV372" s="36"/>
      <c r="AW372" s="36"/>
      <c r="AX372" s="38">
        <v>14.3</v>
      </c>
      <c r="AY372" s="38">
        <v>9.25</v>
      </c>
      <c r="AZ372" s="36"/>
      <c r="BA372" s="36"/>
      <c r="BB372" s="36"/>
      <c r="BC372" s="38">
        <v>7</v>
      </c>
      <c r="BD372" s="38">
        <v>6.5</v>
      </c>
      <c r="BE372" s="36"/>
      <c r="BF372" s="38">
        <v>3.9</v>
      </c>
      <c r="BG372" s="59">
        <v>19.850000000000001</v>
      </c>
      <c r="BH372" s="59">
        <v>2.67</v>
      </c>
      <c r="BI372" s="59">
        <v>0.23904375979488221</v>
      </c>
      <c r="BJ372" s="59"/>
      <c r="BK372" s="38">
        <v>5.157</v>
      </c>
      <c r="BL372" s="59">
        <v>2.76</v>
      </c>
      <c r="BM372" s="38"/>
      <c r="BN372" s="38">
        <v>62</v>
      </c>
      <c r="BO372" s="36"/>
      <c r="BP372" s="39">
        <f t="shared" si="221"/>
        <v>0.46399193548387102</v>
      </c>
      <c r="BQ372" s="37"/>
      <c r="BR372" s="39">
        <f t="shared" si="222"/>
        <v>0.50200614507981678</v>
      </c>
      <c r="BS372" s="39">
        <f t="shared" si="245"/>
        <v>0.99735475294267584</v>
      </c>
      <c r="BT372" s="37"/>
      <c r="BU372" s="39">
        <f>$BP372*12*AY372/(12*(45/36)*0.9144)</f>
        <v>3.7549653571529369</v>
      </c>
      <c r="BV372" s="39">
        <f t="shared" si="233"/>
        <v>0.39205856969840114</v>
      </c>
      <c r="BW372" s="39">
        <f t="shared" si="217"/>
        <v>2.341054006119943</v>
      </c>
      <c r="BX372" s="39">
        <f t="shared" si="234"/>
        <v>0.16265490067835306</v>
      </c>
      <c r="BY372" s="39">
        <f t="shared" si="246"/>
        <v>4.9228407677298751</v>
      </c>
      <c r="BZ372" s="37"/>
      <c r="CA372" s="39">
        <f t="shared" si="218"/>
        <v>5.2752627070489275</v>
      </c>
      <c r="CB372" s="39">
        <f t="shared" si="219"/>
        <v>2.8232935953955862</v>
      </c>
      <c r="CC372" s="39">
        <f t="shared" si="250"/>
        <v>0.28806165994623656</v>
      </c>
      <c r="CD372" s="39">
        <f t="shared" si="251"/>
        <v>0.18838072580645163</v>
      </c>
      <c r="CE372" s="37"/>
      <c r="CF372" s="37"/>
      <c r="CG372" s="37"/>
      <c r="CH372" s="37"/>
      <c r="CI372" s="37"/>
      <c r="CJ372" s="39">
        <f t="shared" si="237"/>
        <v>6.7910284235201082E-2</v>
      </c>
      <c r="CK372" s="37"/>
      <c r="CL372" s="39">
        <f>BP372*(12*AG372+AH372)/100</f>
        <v>0.72382741935483874</v>
      </c>
      <c r="CM372" s="37"/>
      <c r="CN372" s="37"/>
      <c r="CO372" s="39">
        <f>0.063495+(0.016949+0.014096)*Wages!P370+1.22592*BR372</f>
        <v>1.0246254846665717</v>
      </c>
      <c r="CP372" s="39"/>
      <c r="CQ372" s="39">
        <f t="shared" si="247"/>
        <v>0.99735475294267584</v>
      </c>
      <c r="CR372" s="39">
        <f t="shared" si="243"/>
        <v>0.39205856969840114</v>
      </c>
      <c r="CS372" s="39">
        <f t="shared" si="243"/>
        <v>2.341054006119943</v>
      </c>
      <c r="CT372" s="39">
        <f t="shared" si="220"/>
        <v>5.2752627070489275</v>
      </c>
      <c r="CU372" s="39">
        <f t="shared" si="220"/>
        <v>2.8232935953955862</v>
      </c>
      <c r="CV372" s="39">
        <f t="shared" si="220"/>
        <v>0.28806165994623656</v>
      </c>
      <c r="CW372" s="39">
        <f t="shared" si="220"/>
        <v>0.18838072580645163</v>
      </c>
      <c r="CX372" s="39"/>
      <c r="CY372" s="39"/>
      <c r="CZ372" s="39">
        <f t="shared" si="224"/>
        <v>0.16265490067835306</v>
      </c>
      <c r="DA372" s="39">
        <v>4.8</v>
      </c>
      <c r="DB372" s="39">
        <f>BU372</f>
        <v>3.7549653571529369</v>
      </c>
      <c r="DC372" s="39">
        <f t="shared" si="225"/>
        <v>4.9228407677298751</v>
      </c>
      <c r="DD372" s="39">
        <v>4.2</v>
      </c>
      <c r="DE372" s="39">
        <v>6.2E-2</v>
      </c>
      <c r="DF372" s="39">
        <v>6.7910284235201082E-2</v>
      </c>
      <c r="DG372" s="39">
        <f t="shared" si="226"/>
        <v>0.72382741935483874</v>
      </c>
      <c r="DH372" s="39">
        <f t="shared" si="227"/>
        <v>7.0183382386235005</v>
      </c>
      <c r="DI372" s="39">
        <f t="shared" si="238"/>
        <v>2.8028513036114191</v>
      </c>
      <c r="DJ372" s="37"/>
      <c r="DK372" s="37"/>
      <c r="DL372" s="37"/>
      <c r="DM372" s="39">
        <f t="shared" si="235"/>
        <v>1.0593762038959347</v>
      </c>
      <c r="DN372" s="39"/>
      <c r="DO372" s="39">
        <f t="shared" si="236"/>
        <v>1.0593762038959347</v>
      </c>
      <c r="DP372" s="37"/>
      <c r="DQ372" s="37">
        <f>DO372/'Conversions, Sources &amp; Comments'!E370</f>
        <v>2.2831780530650194</v>
      </c>
    </row>
    <row r="373" spans="1:121">
      <c r="A373" s="42">
        <f t="shared" si="228"/>
        <v>1621</v>
      </c>
      <c r="B373" s="36"/>
      <c r="C373" s="38">
        <v>40</v>
      </c>
      <c r="D373" s="38">
        <v>9</v>
      </c>
      <c r="E373" s="38">
        <v>21</v>
      </c>
      <c r="F373" s="38">
        <v>2.75</v>
      </c>
      <c r="G373" s="38">
        <v>14</v>
      </c>
      <c r="H373" s="38">
        <v>5.5</v>
      </c>
      <c r="I373" s="36"/>
      <c r="J373" s="36"/>
      <c r="K373" s="38">
        <v>2</v>
      </c>
      <c r="L373" s="38">
        <v>8</v>
      </c>
      <c r="M373" s="36"/>
      <c r="N373" s="36"/>
      <c r="O373" s="36"/>
      <c r="P373" s="36"/>
      <c r="Q373" s="36"/>
      <c r="R373" s="36"/>
      <c r="S373" s="38">
        <v>2</v>
      </c>
      <c r="T373" s="38">
        <v>2.5</v>
      </c>
      <c r="U373" s="36"/>
      <c r="V373" s="36"/>
      <c r="W373" s="36"/>
      <c r="X373" s="36"/>
      <c r="Y373" s="36"/>
      <c r="Z373" s="38">
        <v>4</v>
      </c>
      <c r="AA373" s="38">
        <v>6.5</v>
      </c>
      <c r="AB373" s="36"/>
      <c r="AC373" s="38">
        <v>3</v>
      </c>
      <c r="AD373" s="38">
        <v>0</v>
      </c>
      <c r="AE373" s="38">
        <v>2</v>
      </c>
      <c r="AF373" s="38">
        <v>10</v>
      </c>
      <c r="AG373" s="36"/>
      <c r="AH373" s="36"/>
      <c r="AI373" s="38">
        <v>10</v>
      </c>
      <c r="AJ373" s="38">
        <v>8</v>
      </c>
      <c r="AK373" s="36"/>
      <c r="AL373" s="36"/>
      <c r="AM373" s="38">
        <v>33</v>
      </c>
      <c r="AN373" s="38">
        <v>10</v>
      </c>
      <c r="AO373" s="36"/>
      <c r="AP373" s="36"/>
      <c r="AQ373" s="36"/>
      <c r="AR373" s="36"/>
      <c r="AS373" s="38">
        <v>15.5</v>
      </c>
      <c r="AT373" s="36"/>
      <c r="AU373" s="36"/>
      <c r="AV373" s="36"/>
      <c r="AW373" s="36"/>
      <c r="AX373" s="38">
        <v>13</v>
      </c>
      <c r="AY373" s="38">
        <v>9</v>
      </c>
      <c r="AZ373" s="38">
        <v>120</v>
      </c>
      <c r="BA373" s="36"/>
      <c r="BB373" s="36"/>
      <c r="BC373" s="38">
        <v>7</v>
      </c>
      <c r="BD373" s="38">
        <v>6.33</v>
      </c>
      <c r="BE373" s="36"/>
      <c r="BF373" s="38">
        <v>5.3</v>
      </c>
      <c r="BG373" s="59">
        <v>22.04</v>
      </c>
      <c r="BH373" s="59">
        <v>2.67</v>
      </c>
      <c r="BI373" s="59">
        <v>0.33853018005633456</v>
      </c>
      <c r="BJ373" s="59"/>
      <c r="BK373" s="38">
        <v>5.2649999999999997</v>
      </c>
      <c r="BL373" s="59">
        <v>2.5099999999999998</v>
      </c>
      <c r="BM373" s="38"/>
      <c r="BN373" s="38">
        <v>62</v>
      </c>
      <c r="BO373" s="36"/>
      <c r="BP373" s="39">
        <f t="shared" si="221"/>
        <v>0.46399193548387102</v>
      </c>
      <c r="BQ373" s="37"/>
      <c r="BR373" s="39">
        <f t="shared" si="222"/>
        <v>0.80485575391485376</v>
      </c>
      <c r="BS373" s="39">
        <f t="shared" si="245"/>
        <v>1.3553795360503031</v>
      </c>
      <c r="BT373" s="39">
        <f>BP373*12*AZ373/(24*0.9144)</f>
        <v>30.445665057996788</v>
      </c>
      <c r="BU373" s="39">
        <f>$BP373*12*AY373/(12*(45/36)*0.9144)</f>
        <v>3.6534798069596146</v>
      </c>
      <c r="BV373" s="39">
        <f t="shared" si="233"/>
        <v>0.43531339426462268</v>
      </c>
      <c r="BW373" s="39">
        <f t="shared" si="217"/>
        <v>2.341054006119943</v>
      </c>
      <c r="BX373" s="39">
        <f t="shared" si="234"/>
        <v>0.23034942581616369</v>
      </c>
      <c r="BY373" s="39">
        <f t="shared" si="246"/>
        <v>4.6457977808013533</v>
      </c>
      <c r="BZ373" s="37"/>
      <c r="CA373" s="39">
        <f t="shared" si="218"/>
        <v>5.3857394129557106</v>
      </c>
      <c r="CB373" s="39">
        <f t="shared" si="219"/>
        <v>2.5675604798706235</v>
      </c>
      <c r="CC373" s="39">
        <f t="shared" si="250"/>
        <v>0.20492977150537636</v>
      </c>
      <c r="CD373" s="39">
        <f t="shared" si="251"/>
        <v>0.18838072580645163</v>
      </c>
      <c r="CE373" s="37"/>
      <c r="CF373" s="37"/>
      <c r="CG373" s="37"/>
      <c r="CH373" s="37"/>
      <c r="CI373" s="37"/>
      <c r="CJ373" s="39">
        <f t="shared" si="237"/>
        <v>6.4105323120926705E-2</v>
      </c>
      <c r="CK373" s="39">
        <f>BP373*(12*AC373+AD373)/(35.238*8)</f>
        <v>5.9253184337289849E-2</v>
      </c>
      <c r="CL373" s="37"/>
      <c r="CM373" s="39">
        <f>BP373*(12*$AC373+$AD373)/(35.238*8)/0.283</f>
        <v>0.20937520967240231</v>
      </c>
      <c r="CN373" s="37"/>
      <c r="CO373" s="39">
        <f>0.063495+(0.016949+0.014096)*Wages!P371+1.22592*BR373</f>
        <v>1.39589487712962</v>
      </c>
      <c r="CP373" s="39"/>
      <c r="CQ373" s="39">
        <f t="shared" si="247"/>
        <v>1.3553795360503031</v>
      </c>
      <c r="CR373" s="39">
        <f t="shared" si="243"/>
        <v>0.43531339426462268</v>
      </c>
      <c r="CS373" s="39">
        <f t="shared" si="243"/>
        <v>2.341054006119943</v>
      </c>
      <c r="CT373" s="39">
        <f t="shared" si="220"/>
        <v>5.3857394129557106</v>
      </c>
      <c r="CU373" s="39">
        <f t="shared" si="220"/>
        <v>2.5675604798706235</v>
      </c>
      <c r="CV373" s="39">
        <f t="shared" si="220"/>
        <v>0.20492977150537636</v>
      </c>
      <c r="CW373" s="39">
        <f t="shared" si="220"/>
        <v>0.18838072580645163</v>
      </c>
      <c r="CX373" s="39"/>
      <c r="CY373" s="39"/>
      <c r="CZ373" s="39">
        <f t="shared" si="224"/>
        <v>0.23034942581616369</v>
      </c>
      <c r="DA373" s="39">
        <v>4.8</v>
      </c>
      <c r="DB373" s="39">
        <f>BU373</f>
        <v>3.6534798069596146</v>
      </c>
      <c r="DC373" s="39">
        <f t="shared" si="225"/>
        <v>4.6457977808013533</v>
      </c>
      <c r="DD373" s="39">
        <v>4.2</v>
      </c>
      <c r="DE373" s="39">
        <f>CK373</f>
        <v>5.9253184337289849E-2</v>
      </c>
      <c r="DF373" s="39">
        <v>6.4105323120926705E-2</v>
      </c>
      <c r="DG373" s="39">
        <f t="shared" si="226"/>
        <v>0</v>
      </c>
      <c r="DH373" s="39">
        <f t="shared" si="227"/>
        <v>6.707401441848523</v>
      </c>
      <c r="DI373" s="39">
        <f t="shared" si="238"/>
        <v>2.6458096958573072</v>
      </c>
      <c r="DJ373" s="37"/>
      <c r="DK373" s="37"/>
      <c r="DL373" s="37"/>
      <c r="DM373" s="39">
        <f t="shared" si="235"/>
        <v>1.2325981251704972</v>
      </c>
      <c r="DN373" s="39"/>
      <c r="DO373" s="39">
        <f t="shared" si="236"/>
        <v>1.2325981251704972</v>
      </c>
      <c r="DP373" s="37"/>
      <c r="DQ373" s="37">
        <f>DO373/'Conversions, Sources &amp; Comments'!E371</f>
        <v>2.6565076478863583</v>
      </c>
    </row>
    <row r="374" spans="1:121">
      <c r="A374" s="42">
        <f t="shared" si="228"/>
        <v>1622</v>
      </c>
      <c r="B374" s="36"/>
      <c r="C374" s="38">
        <v>51</v>
      </c>
      <c r="D374" s="38">
        <v>1</v>
      </c>
      <c r="E374" s="38">
        <v>27</v>
      </c>
      <c r="F374" s="38">
        <v>2.25</v>
      </c>
      <c r="G374" s="38">
        <v>11</v>
      </c>
      <c r="H374" s="38">
        <v>9.5</v>
      </c>
      <c r="I374" s="38">
        <v>34</v>
      </c>
      <c r="J374" s="38">
        <v>0</v>
      </c>
      <c r="K374" s="38">
        <v>2</v>
      </c>
      <c r="L374" s="38">
        <v>6.5</v>
      </c>
      <c r="M374" s="36"/>
      <c r="N374" s="36"/>
      <c r="O374" s="36"/>
      <c r="P374" s="36"/>
      <c r="Q374" s="36"/>
      <c r="R374" s="36"/>
      <c r="S374" s="38">
        <v>3</v>
      </c>
      <c r="T374" s="38">
        <v>4</v>
      </c>
      <c r="U374" s="36"/>
      <c r="V374" s="36"/>
      <c r="W374" s="36"/>
      <c r="X374" s="36"/>
      <c r="Y374" s="36"/>
      <c r="Z374" s="38">
        <v>4</v>
      </c>
      <c r="AA374" s="38">
        <v>1.75</v>
      </c>
      <c r="AB374" s="36"/>
      <c r="AC374" s="38">
        <v>3</v>
      </c>
      <c r="AD374" s="38">
        <v>0</v>
      </c>
      <c r="AE374" s="38">
        <v>2</v>
      </c>
      <c r="AF374" s="38">
        <v>10</v>
      </c>
      <c r="AG374" s="36"/>
      <c r="AH374" s="36"/>
      <c r="AI374" s="38">
        <v>11</v>
      </c>
      <c r="AJ374" s="38">
        <v>0</v>
      </c>
      <c r="AK374" s="36"/>
      <c r="AL374" s="36"/>
      <c r="AM374" s="38">
        <v>33</v>
      </c>
      <c r="AN374" s="38">
        <v>10</v>
      </c>
      <c r="AO374" s="36"/>
      <c r="AP374" s="36"/>
      <c r="AQ374" s="36"/>
      <c r="AR374" s="36"/>
      <c r="AS374" s="38">
        <v>15.5</v>
      </c>
      <c r="AT374" s="36"/>
      <c r="AU374" s="36"/>
      <c r="AV374" s="36"/>
      <c r="AW374" s="36"/>
      <c r="AX374" s="38">
        <v>12</v>
      </c>
      <c r="AY374" s="36"/>
      <c r="AZ374" s="36"/>
      <c r="BA374" s="36"/>
      <c r="BB374" s="36"/>
      <c r="BC374" s="38">
        <v>7</v>
      </c>
      <c r="BD374" s="38">
        <v>6.33</v>
      </c>
      <c r="BE374" s="36"/>
      <c r="BF374" s="38">
        <v>5.8</v>
      </c>
      <c r="BG374" s="59">
        <v>22.73</v>
      </c>
      <c r="BH374" s="59">
        <v>2.58</v>
      </c>
      <c r="BI374" s="59">
        <v>0.48361454293762129</v>
      </c>
      <c r="BJ374" s="59"/>
      <c r="BK374" s="38">
        <v>4.6440000000000001</v>
      </c>
      <c r="BL374" s="59">
        <v>2.2599999999999998</v>
      </c>
      <c r="BM374" s="36"/>
      <c r="BN374" s="38">
        <v>62</v>
      </c>
      <c r="BO374" s="36"/>
      <c r="BP374" s="39">
        <f t="shared" si="221"/>
        <v>0.46399193548387102</v>
      </c>
      <c r="BQ374" s="37"/>
      <c r="BR374" s="39">
        <f t="shared" si="222"/>
        <v>1.0089500555210744</v>
      </c>
      <c r="BS374" s="39">
        <f t="shared" si="245"/>
        <v>1.4832455300173129</v>
      </c>
      <c r="BT374" s="37"/>
      <c r="BU374" s="37"/>
      <c r="BV374" s="39">
        <f t="shared" si="233"/>
        <v>0.44894162666219939</v>
      </c>
      <c r="BW374" s="39">
        <f t="shared" si="217"/>
        <v>2.2621420733293829</v>
      </c>
      <c r="BX374" s="39">
        <f t="shared" si="234"/>
        <v>0.32907060830880558</v>
      </c>
      <c r="BY374" s="39">
        <f t="shared" si="246"/>
        <v>4.2408887999058225</v>
      </c>
      <c r="BZ374" s="37"/>
      <c r="CA374" s="39">
        <f t="shared" si="218"/>
        <v>4.7504983539917038</v>
      </c>
      <c r="CB374" s="39">
        <f t="shared" si="219"/>
        <v>2.3118273643456608</v>
      </c>
      <c r="CC374" s="39">
        <f t="shared" si="250"/>
        <v>0.30932795698924737</v>
      </c>
      <c r="CD374" s="39">
        <f t="shared" si="251"/>
        <v>0.18838072580645163</v>
      </c>
      <c r="CE374" s="37"/>
      <c r="CF374" s="37"/>
      <c r="CG374" s="37"/>
      <c r="CH374" s="37"/>
      <c r="CI374" s="37"/>
      <c r="CJ374" s="39">
        <f t="shared" si="237"/>
        <v>6.4105323120926705E-2</v>
      </c>
      <c r="CK374" s="39">
        <f>BP374*(12*AC374+AD374)/(35.238*8)</f>
        <v>5.9253184337289849E-2</v>
      </c>
      <c r="CL374" s="37"/>
      <c r="CM374" s="39">
        <f>BP374*(12*$AC374+$AD374)/(35.238*8)/0.283</f>
        <v>0.20937520967240231</v>
      </c>
      <c r="CN374" s="37"/>
      <c r="CO374" s="39">
        <f>0.063495+(0.016949+0.014096)*Wages!P372+1.22592*BR374</f>
        <v>1.646098163354718</v>
      </c>
      <c r="CP374" s="39"/>
      <c r="CQ374" s="39">
        <f t="shared" si="247"/>
        <v>1.4832455300173129</v>
      </c>
      <c r="CR374" s="39">
        <f t="shared" si="243"/>
        <v>0.44894162666219939</v>
      </c>
      <c r="CS374" s="39">
        <f t="shared" si="243"/>
        <v>2.2621420733293829</v>
      </c>
      <c r="CT374" s="39">
        <f t="shared" si="220"/>
        <v>4.7504983539917038</v>
      </c>
      <c r="CU374" s="39">
        <f t="shared" si="220"/>
        <v>2.3118273643456608</v>
      </c>
      <c r="CV374" s="39">
        <f t="shared" si="220"/>
        <v>0.30932795698924737</v>
      </c>
      <c r="CW374" s="39">
        <f t="shared" si="220"/>
        <v>0.18838072580645163</v>
      </c>
      <c r="CX374" s="39"/>
      <c r="CY374" s="39"/>
      <c r="CZ374" s="39">
        <f t="shared" si="224"/>
        <v>0.32907060830880558</v>
      </c>
      <c r="DA374" s="39">
        <v>4.8</v>
      </c>
      <c r="DB374" s="39">
        <v>3.6534798069596142</v>
      </c>
      <c r="DC374" s="39">
        <f t="shared" si="225"/>
        <v>4.2408887999058225</v>
      </c>
      <c r="DD374" s="39">
        <v>4.2</v>
      </c>
      <c r="DE374" s="39">
        <f>CK374</f>
        <v>5.9253184337289849E-2</v>
      </c>
      <c r="DF374" s="39">
        <v>6.4105323120926705E-2</v>
      </c>
      <c r="DG374" s="39">
        <f t="shared" si="226"/>
        <v>0</v>
      </c>
      <c r="DH374" s="39">
        <f t="shared" si="227"/>
        <v>6.707401441848523</v>
      </c>
      <c r="DI374" s="39">
        <f t="shared" si="238"/>
        <v>2.6458096958573072</v>
      </c>
      <c r="DJ374" s="37"/>
      <c r="DK374" s="37"/>
      <c r="DL374" s="37"/>
      <c r="DM374" s="39">
        <f t="shared" si="235"/>
        <v>1.3281363867636673</v>
      </c>
      <c r="DN374" s="39"/>
      <c r="DO374" s="39">
        <f t="shared" si="236"/>
        <v>1.3281363867636673</v>
      </c>
      <c r="DP374" s="37"/>
      <c r="DQ374" s="37">
        <f>DO374/'Conversions, Sources &amp; Comments'!E372</f>
        <v>2.8624126524497213</v>
      </c>
    </row>
    <row r="375" spans="1:121">
      <c r="A375" s="42">
        <f t="shared" si="228"/>
        <v>1623</v>
      </c>
      <c r="B375" s="36"/>
      <c r="C375" s="38">
        <v>37</v>
      </c>
      <c r="D375" s="38">
        <v>8</v>
      </c>
      <c r="E375" s="38">
        <v>19</v>
      </c>
      <c r="F375" s="38">
        <v>9.75</v>
      </c>
      <c r="G375" s="38">
        <v>12</v>
      </c>
      <c r="H375" s="38">
        <v>8</v>
      </c>
      <c r="I375" s="38">
        <v>34</v>
      </c>
      <c r="J375" s="38">
        <v>0</v>
      </c>
      <c r="K375" s="38">
        <v>2</v>
      </c>
      <c r="L375" s="38">
        <v>6</v>
      </c>
      <c r="M375" s="36"/>
      <c r="N375" s="36"/>
      <c r="O375" s="36"/>
      <c r="P375" s="36"/>
      <c r="Q375" s="36"/>
      <c r="R375" s="36"/>
      <c r="S375" s="38">
        <v>4</v>
      </c>
      <c r="T375" s="38">
        <v>0</v>
      </c>
      <c r="U375" s="36"/>
      <c r="V375" s="36"/>
      <c r="W375" s="36"/>
      <c r="X375" s="36"/>
      <c r="Y375" s="36"/>
      <c r="Z375" s="38">
        <v>4</v>
      </c>
      <c r="AA375" s="38">
        <v>2</v>
      </c>
      <c r="AB375" s="36"/>
      <c r="AC375" s="38">
        <v>3</v>
      </c>
      <c r="AD375" s="38">
        <v>0</v>
      </c>
      <c r="AE375" s="38">
        <v>3</v>
      </c>
      <c r="AF375" s="38">
        <v>0</v>
      </c>
      <c r="AG375" s="36"/>
      <c r="AH375" s="36"/>
      <c r="AI375" s="36"/>
      <c r="AJ375" s="36"/>
      <c r="AK375" s="36"/>
      <c r="AL375" s="36"/>
      <c r="AM375" s="38">
        <v>37</v>
      </c>
      <c r="AN375" s="38">
        <v>7</v>
      </c>
      <c r="AO375" s="36"/>
      <c r="AP375" s="36"/>
      <c r="AQ375" s="36"/>
      <c r="AR375" s="36"/>
      <c r="AS375" s="36"/>
      <c r="AT375" s="36"/>
      <c r="AU375" s="36"/>
      <c r="AV375" s="36"/>
      <c r="AW375" s="36"/>
      <c r="AX375" s="38">
        <v>12</v>
      </c>
      <c r="AY375" s="38">
        <v>9</v>
      </c>
      <c r="AZ375" s="38">
        <v>120</v>
      </c>
      <c r="BA375" s="36"/>
      <c r="BB375" s="36"/>
      <c r="BC375" s="38">
        <v>7.5</v>
      </c>
      <c r="BD375" s="38">
        <v>6.33</v>
      </c>
      <c r="BE375" s="36"/>
      <c r="BF375" s="38">
        <v>5.4</v>
      </c>
      <c r="BG375" s="59">
        <v>23.16</v>
      </c>
      <c r="BH375" s="59">
        <v>2.5</v>
      </c>
      <c r="BI375" s="59">
        <v>0.42005377443724873</v>
      </c>
      <c r="BJ375" s="59"/>
      <c r="BK375" s="38">
        <v>4.9815000000000005</v>
      </c>
      <c r="BL375" s="59">
        <v>2.2799999999999998</v>
      </c>
      <c r="BM375" s="38"/>
      <c r="BN375" s="38">
        <v>62</v>
      </c>
      <c r="BO375" s="36"/>
      <c r="BP375" s="39">
        <f t="shared" si="221"/>
        <v>0.46399193548387102</v>
      </c>
      <c r="BQ375" s="37"/>
      <c r="BR375" s="39">
        <f t="shared" si="222"/>
        <v>0.74395664779041693</v>
      </c>
      <c r="BS375" s="39">
        <f t="shared" si="245"/>
        <v>1.3809527348437054</v>
      </c>
      <c r="BT375" s="39">
        <f>BP375*12*AZ375/(24*0.9144)</f>
        <v>30.445665057996788</v>
      </c>
      <c r="BU375" s="39">
        <f t="shared" ref="BU375:BU393" si="252">$BP375*12*AY375/(12*(45/36)*0.9144)</f>
        <v>3.6534798069596146</v>
      </c>
      <c r="BV375" s="39">
        <f t="shared" si="233"/>
        <v>0.45743458308387758</v>
      </c>
      <c r="BW375" s="39">
        <f t="shared" si="217"/>
        <v>2.1919981330711078</v>
      </c>
      <c r="BX375" s="39">
        <f t="shared" si="234"/>
        <v>0.28582132835964869</v>
      </c>
      <c r="BY375" s="39">
        <f t="shared" si="246"/>
        <v>4.2621997989003244</v>
      </c>
      <c r="BZ375" s="37"/>
      <c r="CA375" s="39">
        <f t="shared" si="218"/>
        <v>5.0957380599504045</v>
      </c>
      <c r="CB375" s="39">
        <f t="shared" si="219"/>
        <v>2.332286013587658</v>
      </c>
      <c r="CC375" s="39">
        <f t="shared" si="250"/>
        <v>0.37119354838709678</v>
      </c>
      <c r="CD375" s="39">
        <f t="shared" si="251"/>
        <v>0.20926036290322583</v>
      </c>
      <c r="CE375" s="37"/>
      <c r="CF375" s="37"/>
      <c r="CG375" s="37"/>
      <c r="CH375" s="37"/>
      <c r="CI375" s="37"/>
      <c r="CJ375" s="39">
        <f t="shared" si="237"/>
        <v>0</v>
      </c>
      <c r="CK375" s="39">
        <f>BP375*(12*AC375+AD375)/(35.238*8)</f>
        <v>5.9253184337289849E-2</v>
      </c>
      <c r="CL375" s="37"/>
      <c r="CM375" s="39">
        <f>BP375*(12*$AC375+$AD375)/(35.238*8)/0.283</f>
        <v>0.20937520967240231</v>
      </c>
      <c r="CN375" s="37"/>
      <c r="CO375" s="39">
        <f>0.063495+(0.016949+0.014096)*Wages!P373+1.22592*BR375</f>
        <v>1.3212374449495505</v>
      </c>
      <c r="CP375" s="39"/>
      <c r="CQ375" s="39">
        <f t="shared" si="247"/>
        <v>1.3809527348437054</v>
      </c>
      <c r="CR375" s="39">
        <f t="shared" si="243"/>
        <v>0.45743458308387758</v>
      </c>
      <c r="CS375" s="39">
        <f t="shared" si="243"/>
        <v>2.1919981330711078</v>
      </c>
      <c r="CT375" s="39">
        <f t="shared" si="220"/>
        <v>5.0957380599504045</v>
      </c>
      <c r="CU375" s="39">
        <f t="shared" si="220"/>
        <v>2.332286013587658</v>
      </c>
      <c r="CV375" s="39">
        <f t="shared" si="220"/>
        <v>0.37119354838709678</v>
      </c>
      <c r="CW375" s="39">
        <f t="shared" si="220"/>
        <v>0.20926036290322583</v>
      </c>
      <c r="CX375" s="39"/>
      <c r="CY375" s="39"/>
      <c r="CZ375" s="39">
        <f t="shared" si="224"/>
        <v>0.28582132835964869</v>
      </c>
      <c r="DA375" s="39">
        <v>4.8</v>
      </c>
      <c r="DB375" s="39">
        <f t="shared" ref="DB375:DB393" si="253">BU375</f>
        <v>3.6534798069596146</v>
      </c>
      <c r="DC375" s="39">
        <f t="shared" si="225"/>
        <v>4.2621997989003244</v>
      </c>
      <c r="DD375" s="39">
        <v>4.2</v>
      </c>
      <c r="DE375" s="39">
        <f>CK375</f>
        <v>5.9253184337289849E-2</v>
      </c>
      <c r="DF375" s="39">
        <v>7.1999999999999995E-2</v>
      </c>
      <c r="DG375" s="39">
        <f t="shared" si="226"/>
        <v>0</v>
      </c>
      <c r="DH375" s="39">
        <f t="shared" si="227"/>
        <v>6.707401441848523</v>
      </c>
      <c r="DI375" s="39">
        <f t="shared" si="238"/>
        <v>2.9716455487226052</v>
      </c>
      <c r="DJ375" s="37"/>
      <c r="DK375" s="37"/>
      <c r="DL375" s="37"/>
      <c r="DM375" s="39">
        <f t="shared" si="235"/>
        <v>1.273432152722892</v>
      </c>
      <c r="DN375" s="39"/>
      <c r="DO375" s="39">
        <f t="shared" si="236"/>
        <v>1.273432152722892</v>
      </c>
      <c r="DP375" s="37"/>
      <c r="DQ375" s="37">
        <f>DO375/'Conversions, Sources &amp; Comments'!E373</f>
        <v>2.7445135471910764</v>
      </c>
    </row>
    <row r="376" spans="1:121">
      <c r="A376" s="42">
        <f t="shared" si="228"/>
        <v>1624</v>
      </c>
      <c r="B376" s="36"/>
      <c r="C376" s="38">
        <v>43</v>
      </c>
      <c r="D376" s="38">
        <v>0.5</v>
      </c>
      <c r="E376" s="38">
        <v>18</v>
      </c>
      <c r="F376" s="38">
        <v>10.5</v>
      </c>
      <c r="G376" s="38">
        <v>14</v>
      </c>
      <c r="H376" s="38">
        <v>8</v>
      </c>
      <c r="I376" s="36"/>
      <c r="J376" s="36"/>
      <c r="K376" s="38">
        <v>2</v>
      </c>
      <c r="L376" s="38">
        <v>7.5</v>
      </c>
      <c r="M376" s="36"/>
      <c r="N376" s="36"/>
      <c r="O376" s="36"/>
      <c r="P376" s="36"/>
      <c r="Q376" s="36"/>
      <c r="R376" s="36"/>
      <c r="S376" s="38">
        <v>3</v>
      </c>
      <c r="T376" s="38">
        <v>0</v>
      </c>
      <c r="U376" s="36"/>
      <c r="V376" s="36"/>
      <c r="W376" s="36"/>
      <c r="X376" s="36"/>
      <c r="Y376" s="36"/>
      <c r="Z376" s="38">
        <v>5</v>
      </c>
      <c r="AA376" s="38">
        <v>0.5</v>
      </c>
      <c r="AB376" s="36"/>
      <c r="AC376" s="36"/>
      <c r="AD376" s="36"/>
      <c r="AE376" s="38">
        <v>3</v>
      </c>
      <c r="AF376" s="38">
        <v>0</v>
      </c>
      <c r="AG376" s="36"/>
      <c r="AH376" s="36"/>
      <c r="AI376" s="38">
        <v>13</v>
      </c>
      <c r="AJ376" s="38">
        <v>3</v>
      </c>
      <c r="AK376" s="36"/>
      <c r="AL376" s="36"/>
      <c r="AM376" s="38">
        <v>37</v>
      </c>
      <c r="AN376" s="38">
        <v>7</v>
      </c>
      <c r="AO376" s="36"/>
      <c r="AP376" s="36"/>
      <c r="AQ376" s="36"/>
      <c r="AR376" s="36"/>
      <c r="AS376" s="36"/>
      <c r="AT376" s="36"/>
      <c r="AU376" s="36"/>
      <c r="AV376" s="36"/>
      <c r="AW376" s="38">
        <v>5.64</v>
      </c>
      <c r="AX376" s="38">
        <v>12</v>
      </c>
      <c r="AY376" s="38">
        <v>9</v>
      </c>
      <c r="AZ376" s="36"/>
      <c r="BA376" s="36"/>
      <c r="BB376" s="36"/>
      <c r="BC376" s="38">
        <v>7.5</v>
      </c>
      <c r="BD376" s="38">
        <v>6.33</v>
      </c>
      <c r="BE376" s="36"/>
      <c r="BF376" s="38">
        <v>6</v>
      </c>
      <c r="BG376" s="59">
        <v>23.76</v>
      </c>
      <c r="BH376" s="59">
        <v>2.67</v>
      </c>
      <c r="BI376" s="59">
        <v>0.33576666838240615</v>
      </c>
      <c r="BJ376" s="59"/>
      <c r="BK376" s="38">
        <v>5.1165000000000003</v>
      </c>
      <c r="BL376" s="59">
        <v>2.4300000000000002</v>
      </c>
      <c r="BM376" s="38"/>
      <c r="BN376" s="38">
        <v>62</v>
      </c>
      <c r="BO376" s="36"/>
      <c r="BP376" s="39">
        <f t="shared" si="221"/>
        <v>0.46399193548387102</v>
      </c>
      <c r="BQ376" s="37"/>
      <c r="BR376" s="39">
        <f t="shared" si="222"/>
        <v>0.85011860306139453</v>
      </c>
      <c r="BS376" s="39">
        <f t="shared" si="245"/>
        <v>1.5343919276041167</v>
      </c>
      <c r="BT376" s="37"/>
      <c r="BU376" s="39">
        <f t="shared" si="252"/>
        <v>3.6534798069596146</v>
      </c>
      <c r="BV376" s="39">
        <f t="shared" si="233"/>
        <v>0.4692852199513356</v>
      </c>
      <c r="BW376" s="39">
        <f t="shared" si="217"/>
        <v>2.341054006119943</v>
      </c>
      <c r="BX376" s="39">
        <f t="shared" si="234"/>
        <v>0.22846902234011396</v>
      </c>
      <c r="BY376" s="39">
        <f t="shared" si="246"/>
        <v>5.1572617566693921</v>
      </c>
      <c r="BZ376" s="37"/>
      <c r="CA376" s="39">
        <f t="shared" si="218"/>
        <v>5.2338339423338835</v>
      </c>
      <c r="CB376" s="39">
        <f t="shared" si="219"/>
        <v>2.4857258829026359</v>
      </c>
      <c r="CC376" s="39">
        <f t="shared" si="250"/>
        <v>0.27839516129032266</v>
      </c>
      <c r="CD376" s="39">
        <f t="shared" si="251"/>
        <v>0.20926036290322583</v>
      </c>
      <c r="CE376" s="37"/>
      <c r="CF376" s="37"/>
      <c r="CG376" s="37"/>
      <c r="CH376" s="39">
        <f>BP376*12*AW376/(12*0.453592)</f>
        <v>5.7693136477914786</v>
      </c>
      <c r="CI376" s="37"/>
      <c r="CJ376" s="39">
        <f t="shared" si="237"/>
        <v>0</v>
      </c>
      <c r="CK376" s="37"/>
      <c r="CL376" s="37"/>
      <c r="CM376" s="37"/>
      <c r="CN376" s="37"/>
      <c r="CO376" s="39">
        <f>0.063495+(0.016949+0.014096)*Wages!P374+1.22592*BR376</f>
        <v>1.4513835091553471</v>
      </c>
      <c r="CP376" s="39"/>
      <c r="CQ376" s="39">
        <f t="shared" si="247"/>
        <v>1.5343919276041167</v>
      </c>
      <c r="CR376" s="39">
        <f t="shared" si="243"/>
        <v>0.4692852199513356</v>
      </c>
      <c r="CS376" s="39">
        <f t="shared" si="243"/>
        <v>2.341054006119943</v>
      </c>
      <c r="CT376" s="39">
        <f t="shared" si="220"/>
        <v>5.2338339423338835</v>
      </c>
      <c r="CU376" s="39">
        <f t="shared" si="220"/>
        <v>2.4857258829026359</v>
      </c>
      <c r="CV376" s="39">
        <f t="shared" si="220"/>
        <v>0.27839516129032266</v>
      </c>
      <c r="CW376" s="39">
        <f t="shared" si="220"/>
        <v>0.20926036290322583</v>
      </c>
      <c r="CX376" s="39"/>
      <c r="CY376" s="39"/>
      <c r="CZ376" s="39">
        <f t="shared" si="224"/>
        <v>0.22846902234011396</v>
      </c>
      <c r="DA376" s="39">
        <f>CH376</f>
        <v>5.7693136477914786</v>
      </c>
      <c r="DB376" s="39">
        <f t="shared" si="253"/>
        <v>3.6534798069596146</v>
      </c>
      <c r="DC376" s="39">
        <f t="shared" si="225"/>
        <v>5.1572617566693921</v>
      </c>
      <c r="DD376" s="39">
        <v>4.2</v>
      </c>
      <c r="DE376" s="39">
        <v>5.1999999999999998E-2</v>
      </c>
      <c r="DF376" s="39">
        <v>7.1999999999999995E-2</v>
      </c>
      <c r="DG376" s="39">
        <f t="shared" si="226"/>
        <v>0</v>
      </c>
      <c r="DH376" s="39">
        <f t="shared" si="227"/>
        <v>5.8863482001358394</v>
      </c>
      <c r="DI376" s="39">
        <f t="shared" si="238"/>
        <v>2.9716455487226052</v>
      </c>
      <c r="DJ376" s="37"/>
      <c r="DK376" s="37"/>
      <c r="DL376" s="37"/>
      <c r="DM376" s="39">
        <f t="shared" si="235"/>
        <v>1.3202196682029617</v>
      </c>
      <c r="DN376" s="39"/>
      <c r="DO376" s="39">
        <f t="shared" si="236"/>
        <v>1.3202196682029617</v>
      </c>
      <c r="DP376" s="37"/>
      <c r="DQ376" s="37">
        <f>DO376/'Conversions, Sources &amp; Comments'!E374</f>
        <v>2.8453504624518509</v>
      </c>
    </row>
    <row r="377" spans="1:121">
      <c r="A377" s="42">
        <f t="shared" si="228"/>
        <v>1625</v>
      </c>
      <c r="B377" s="36"/>
      <c r="C377" s="38">
        <v>48</v>
      </c>
      <c r="D377" s="38">
        <v>3.75</v>
      </c>
      <c r="E377" s="38">
        <v>25</v>
      </c>
      <c r="F377" s="38">
        <v>2</v>
      </c>
      <c r="G377" s="38">
        <v>16</v>
      </c>
      <c r="H377" s="38">
        <v>0.25</v>
      </c>
      <c r="I377" s="36"/>
      <c r="J377" s="36"/>
      <c r="K377" s="38">
        <v>2</v>
      </c>
      <c r="L377" s="38">
        <v>8</v>
      </c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8">
        <v>4</v>
      </c>
      <c r="AA377" s="38">
        <v>0.5</v>
      </c>
      <c r="AB377" s="36"/>
      <c r="AC377" s="36"/>
      <c r="AD377" s="36"/>
      <c r="AE377" s="38">
        <v>3</v>
      </c>
      <c r="AF377" s="38">
        <v>0</v>
      </c>
      <c r="AG377" s="36"/>
      <c r="AH377" s="36"/>
      <c r="AI377" s="38">
        <v>16</v>
      </c>
      <c r="AJ377" s="38">
        <v>9</v>
      </c>
      <c r="AK377" s="36"/>
      <c r="AL377" s="36"/>
      <c r="AM377" s="38">
        <v>37</v>
      </c>
      <c r="AN377" s="38">
        <v>7</v>
      </c>
      <c r="AO377" s="36"/>
      <c r="AP377" s="36"/>
      <c r="AQ377" s="36"/>
      <c r="AR377" s="36"/>
      <c r="AS377" s="36"/>
      <c r="AT377" s="36"/>
      <c r="AU377" s="36"/>
      <c r="AV377" s="36"/>
      <c r="AW377" s="38">
        <v>5</v>
      </c>
      <c r="AX377" s="38">
        <v>12</v>
      </c>
      <c r="AY377" s="38">
        <v>9</v>
      </c>
      <c r="AZ377" s="36"/>
      <c r="BA377" s="36"/>
      <c r="BB377" s="36"/>
      <c r="BC377" s="38">
        <v>7</v>
      </c>
      <c r="BD377" s="38">
        <v>6.33</v>
      </c>
      <c r="BE377" s="36"/>
      <c r="BF377" s="38">
        <v>5.3</v>
      </c>
      <c r="BG377" s="59">
        <v>32.33</v>
      </c>
      <c r="BH377" s="59">
        <v>2.67</v>
      </c>
      <c r="BI377" s="59">
        <v>0.42834430945903573</v>
      </c>
      <c r="BJ377" s="59"/>
      <c r="BK377" s="38">
        <v>4.7115</v>
      </c>
      <c r="BL377" s="59">
        <v>2.5099999999999998</v>
      </c>
      <c r="BM377" s="38"/>
      <c r="BN377" s="38">
        <v>62</v>
      </c>
      <c r="BO377" s="36"/>
      <c r="BP377" s="39">
        <f t="shared" si="221"/>
        <v>0.46399193548387102</v>
      </c>
      <c r="BQ377" s="37"/>
      <c r="BR377" s="39">
        <f t="shared" si="222"/>
        <v>0.95422315609843855</v>
      </c>
      <c r="BS377" s="39">
        <f t="shared" si="245"/>
        <v>1.3553795360503031</v>
      </c>
      <c r="BT377" s="37"/>
      <c r="BU377" s="39">
        <f t="shared" si="252"/>
        <v>3.6534798069596146</v>
      </c>
      <c r="BV377" s="39">
        <f t="shared" si="233"/>
        <v>0.63855181654152693</v>
      </c>
      <c r="BW377" s="39">
        <f t="shared" si="217"/>
        <v>2.341054006119943</v>
      </c>
      <c r="BX377" s="39">
        <f t="shared" si="234"/>
        <v>0.2914625387877991</v>
      </c>
      <c r="BY377" s="39">
        <f t="shared" si="246"/>
        <v>4.1343338049333145</v>
      </c>
      <c r="BZ377" s="37"/>
      <c r="CA377" s="39">
        <f t="shared" si="218"/>
        <v>4.8195462951834438</v>
      </c>
      <c r="CB377" s="39">
        <f t="shared" si="219"/>
        <v>2.5675604798706235</v>
      </c>
      <c r="CC377" s="37"/>
      <c r="CD377" s="39">
        <f t="shared" si="251"/>
        <v>0.20926036290322583</v>
      </c>
      <c r="CE377" s="37"/>
      <c r="CF377" s="37"/>
      <c r="CG377" s="37"/>
      <c r="CH377" s="39">
        <f>BP377*12*AW377/(12*0.453592)</f>
        <v>5.1146397586803891</v>
      </c>
      <c r="CI377" s="37"/>
      <c r="CJ377" s="39">
        <f t="shared" si="237"/>
        <v>0</v>
      </c>
      <c r="CK377" s="37"/>
      <c r="CL377" s="37"/>
      <c r="CM377" s="37"/>
      <c r="CN377" s="37"/>
      <c r="CO377" s="39">
        <f>0.063495+(0.016949+0.014096)*Wages!P375+1.22592*BR377</f>
        <v>1.5790073628145205</v>
      </c>
      <c r="CP377" s="39"/>
      <c r="CQ377" s="39">
        <f t="shared" si="247"/>
        <v>1.3553795360503031</v>
      </c>
      <c r="CR377" s="39">
        <f t="shared" si="243"/>
        <v>0.63855181654152693</v>
      </c>
      <c r="CS377" s="39">
        <f t="shared" si="243"/>
        <v>2.341054006119943</v>
      </c>
      <c r="CT377" s="39">
        <f t="shared" si="220"/>
        <v>4.8195462951834438</v>
      </c>
      <c r="CU377" s="39">
        <f t="shared" si="220"/>
        <v>2.5675604798706235</v>
      </c>
      <c r="CV377" s="39">
        <v>0.3</v>
      </c>
      <c r="CW377" s="39">
        <f t="shared" si="220"/>
        <v>0.20926036290322583</v>
      </c>
      <c r="CX377" s="39"/>
      <c r="CY377" s="39"/>
      <c r="CZ377" s="39">
        <f t="shared" si="224"/>
        <v>0.2914625387877991</v>
      </c>
      <c r="DA377" s="39">
        <f>CH377</f>
        <v>5.1146397586803891</v>
      </c>
      <c r="DB377" s="39">
        <f t="shared" si="253"/>
        <v>3.6534798069596146</v>
      </c>
      <c r="DC377" s="39">
        <f t="shared" si="225"/>
        <v>4.1343338049333145</v>
      </c>
      <c r="DD377" s="39">
        <v>4.2</v>
      </c>
      <c r="DE377" s="39">
        <v>5.1999999999999998E-2</v>
      </c>
      <c r="DF377" s="39">
        <v>7.1999999999999995E-2</v>
      </c>
      <c r="DG377" s="39">
        <f t="shared" si="226"/>
        <v>0</v>
      </c>
      <c r="DH377" s="39">
        <f t="shared" si="227"/>
        <v>5.8863482001358394</v>
      </c>
      <c r="DI377" s="39">
        <f t="shared" si="238"/>
        <v>2.9716455487226052</v>
      </c>
      <c r="DJ377" s="37"/>
      <c r="DK377" s="37"/>
      <c r="DL377" s="37"/>
      <c r="DM377" s="39">
        <f t="shared" si="235"/>
        <v>1.2785694020515528</v>
      </c>
      <c r="DN377" s="39"/>
      <c r="DO377" s="39">
        <f t="shared" si="236"/>
        <v>1.2785694020515528</v>
      </c>
      <c r="DP377" s="37"/>
      <c r="DQ377" s="37">
        <f>DO377/'Conversions, Sources &amp; Comments'!E375</f>
        <v>2.7555853976604245</v>
      </c>
    </row>
    <row r="378" spans="1:121">
      <c r="A378" s="42">
        <f t="shared" si="228"/>
        <v>1626</v>
      </c>
      <c r="B378" s="36"/>
      <c r="C378" s="38">
        <v>33</v>
      </c>
      <c r="D378" s="38">
        <v>0</v>
      </c>
      <c r="E378" s="38">
        <v>16</v>
      </c>
      <c r="F378" s="38">
        <v>1.5</v>
      </c>
      <c r="G378" s="38">
        <v>10</v>
      </c>
      <c r="H378" s="38">
        <v>0.25</v>
      </c>
      <c r="I378" s="38">
        <v>19</v>
      </c>
      <c r="J378" s="38">
        <v>2.75</v>
      </c>
      <c r="K378" s="38">
        <v>2</v>
      </c>
      <c r="L378" s="38">
        <v>8</v>
      </c>
      <c r="M378" s="36"/>
      <c r="N378" s="36"/>
      <c r="O378" s="36"/>
      <c r="P378" s="36"/>
      <c r="Q378" s="38">
        <v>3</v>
      </c>
      <c r="R378" s="38">
        <v>0</v>
      </c>
      <c r="S378" s="36"/>
      <c r="T378" s="36"/>
      <c r="U378" s="36"/>
      <c r="V378" s="36"/>
      <c r="W378" s="36"/>
      <c r="X378" s="36"/>
      <c r="Y378" s="36"/>
      <c r="Z378" s="38">
        <v>4</v>
      </c>
      <c r="AA378" s="38">
        <v>4.75</v>
      </c>
      <c r="AB378" s="36"/>
      <c r="AC378" s="36"/>
      <c r="AD378" s="36"/>
      <c r="AE378" s="38">
        <v>3</v>
      </c>
      <c r="AF378" s="38">
        <v>0</v>
      </c>
      <c r="AG378" s="36"/>
      <c r="AH378" s="36"/>
      <c r="AI378" s="36"/>
      <c r="AJ378" s="36"/>
      <c r="AK378" s="36"/>
      <c r="AL378" s="36"/>
      <c r="AM378" s="38">
        <v>37</v>
      </c>
      <c r="AN378" s="38">
        <v>7</v>
      </c>
      <c r="AO378" s="36"/>
      <c r="AP378" s="36"/>
      <c r="AQ378" s="36"/>
      <c r="AR378" s="36"/>
      <c r="AS378" s="38">
        <v>19.8</v>
      </c>
      <c r="AT378" s="36"/>
      <c r="AU378" s="36"/>
      <c r="AV378" s="36"/>
      <c r="AW378" s="36"/>
      <c r="AX378" s="38">
        <v>12</v>
      </c>
      <c r="AY378" s="38">
        <v>9.5</v>
      </c>
      <c r="AZ378" s="36"/>
      <c r="BA378" s="36"/>
      <c r="BB378" s="36"/>
      <c r="BC378" s="38">
        <v>7.5</v>
      </c>
      <c r="BD378" s="38">
        <v>6.33</v>
      </c>
      <c r="BE378" s="36"/>
      <c r="BF378" s="38">
        <v>4.2</v>
      </c>
      <c r="BG378" s="59">
        <v>20.32</v>
      </c>
      <c r="BH378" s="59">
        <v>2.67</v>
      </c>
      <c r="BI378" s="59">
        <v>0.35234773842598183</v>
      </c>
      <c r="BJ378" s="59"/>
      <c r="BK378" s="38">
        <v>5.1840000000000011</v>
      </c>
      <c r="BL378" s="59">
        <v>2.31</v>
      </c>
      <c r="BM378" s="38"/>
      <c r="BN378" s="38">
        <v>62</v>
      </c>
      <c r="BO378" s="36"/>
      <c r="BP378" s="39">
        <f t="shared" si="221"/>
        <v>0.46399193548387102</v>
      </c>
      <c r="BQ378" s="37"/>
      <c r="BR378" s="39">
        <f t="shared" si="222"/>
        <v>0.65178502771018831</v>
      </c>
      <c r="BS378" s="39">
        <f t="shared" si="245"/>
        <v>1.0740743493228819</v>
      </c>
      <c r="BT378" s="37"/>
      <c r="BU378" s="39">
        <f t="shared" si="252"/>
        <v>3.8564509073462596</v>
      </c>
      <c r="BV378" s="39">
        <f t="shared" si="233"/>
        <v>0.40134156857790987</v>
      </c>
      <c r="BW378" s="39">
        <f t="shared" si="217"/>
        <v>2.341054006119943</v>
      </c>
      <c r="BX378" s="39">
        <f t="shared" si="234"/>
        <v>0.23975144319641592</v>
      </c>
      <c r="BY378" s="39">
        <f t="shared" si="246"/>
        <v>4.4966207878398423</v>
      </c>
      <c r="BZ378" s="37"/>
      <c r="CA378" s="39">
        <f t="shared" si="218"/>
        <v>5.3028818835256244</v>
      </c>
      <c r="CB378" s="39">
        <f t="shared" si="219"/>
        <v>2.3629739874506539</v>
      </c>
      <c r="CC378" s="37"/>
      <c r="CD378" s="39">
        <f t="shared" si="251"/>
        <v>0.20926036290322583</v>
      </c>
      <c r="CE378" s="37"/>
      <c r="CF378" s="37"/>
      <c r="CG378" s="37"/>
      <c r="CH378" s="37"/>
      <c r="CI378" s="37"/>
      <c r="CJ378" s="39">
        <f t="shared" si="237"/>
        <v>8.1889380502861209E-2</v>
      </c>
      <c r="CK378" s="37"/>
      <c r="CL378" s="37"/>
      <c r="CM378" s="37"/>
      <c r="CN378" s="37"/>
      <c r="CO378" s="39">
        <f>0.063495+(0.016949+0.014096)*Wages!P376+1.22592*BR378</f>
        <v>1.2082424124607964</v>
      </c>
      <c r="CP378" s="39"/>
      <c r="CQ378" s="39">
        <f t="shared" si="247"/>
        <v>1.0740743493228819</v>
      </c>
      <c r="CR378" s="39">
        <f t="shared" si="243"/>
        <v>0.40134156857790987</v>
      </c>
      <c r="CS378" s="39">
        <f t="shared" si="243"/>
        <v>2.341054006119943</v>
      </c>
      <c r="CT378" s="39">
        <f t="shared" si="220"/>
        <v>5.3028818835256244</v>
      </c>
      <c r="CU378" s="39">
        <f t="shared" si="220"/>
        <v>2.3629739874506539</v>
      </c>
      <c r="CV378" s="39">
        <v>0.3</v>
      </c>
      <c r="CW378" s="39">
        <f t="shared" si="220"/>
        <v>0.20926036290322583</v>
      </c>
      <c r="CX378" s="39"/>
      <c r="CY378" s="39"/>
      <c r="CZ378" s="39">
        <f t="shared" si="224"/>
        <v>0.23975144319641592</v>
      </c>
      <c r="DA378" s="39">
        <v>4.7</v>
      </c>
      <c r="DB378" s="39">
        <f t="shared" si="253"/>
        <v>3.8564509073462596</v>
      </c>
      <c r="DC378" s="39">
        <f t="shared" si="225"/>
        <v>4.4966207878398423</v>
      </c>
      <c r="DD378" s="39">
        <v>4.2</v>
      </c>
      <c r="DE378" s="39">
        <v>5.1999999999999998E-2</v>
      </c>
      <c r="DF378" s="39">
        <v>8.1889380502861223E-2</v>
      </c>
      <c r="DG378" s="39">
        <f t="shared" si="226"/>
        <v>0</v>
      </c>
      <c r="DH378" s="39">
        <f t="shared" si="227"/>
        <v>5.8863482001358394</v>
      </c>
      <c r="DI378" s="39">
        <f t="shared" si="238"/>
        <v>3.3798085147080452</v>
      </c>
      <c r="DJ378" s="37"/>
      <c r="DK378" s="37"/>
      <c r="DL378" s="37"/>
      <c r="DM378" s="39">
        <f t="shared" si="235"/>
        <v>1.1083696335480271</v>
      </c>
      <c r="DN378" s="39"/>
      <c r="DO378" s="39">
        <f t="shared" si="236"/>
        <v>1.1083696335480271</v>
      </c>
      <c r="DP378" s="37"/>
      <c r="DQ378" s="37">
        <f>DO378/'Conversions, Sources &amp; Comments'!E376</f>
        <v>2.3887691763266767</v>
      </c>
    </row>
    <row r="379" spans="1:121">
      <c r="A379" s="42">
        <f t="shared" si="228"/>
        <v>1627</v>
      </c>
      <c r="B379" s="36"/>
      <c r="C379" s="38">
        <v>26</v>
      </c>
      <c r="D379" s="38">
        <v>4.75</v>
      </c>
      <c r="E379" s="38">
        <v>12</v>
      </c>
      <c r="F379" s="38">
        <v>11.75</v>
      </c>
      <c r="G379" s="38">
        <v>10</v>
      </c>
      <c r="H379" s="38">
        <v>2.25</v>
      </c>
      <c r="I379" s="38">
        <v>13</v>
      </c>
      <c r="J379" s="38">
        <v>5</v>
      </c>
      <c r="K379" s="38">
        <v>2</v>
      </c>
      <c r="L379" s="38">
        <v>8</v>
      </c>
      <c r="M379" s="36"/>
      <c r="N379" s="36"/>
      <c r="O379" s="36"/>
      <c r="P379" s="36"/>
      <c r="Q379" s="38">
        <v>3</v>
      </c>
      <c r="R379" s="38">
        <v>0</v>
      </c>
      <c r="S379" s="38">
        <v>3</v>
      </c>
      <c r="T379" s="38">
        <v>5</v>
      </c>
      <c r="U379" s="36"/>
      <c r="V379" s="36"/>
      <c r="W379" s="36"/>
      <c r="X379" s="36"/>
      <c r="Y379" s="36"/>
      <c r="Z379" s="38">
        <v>4</v>
      </c>
      <c r="AA379" s="38">
        <v>7.5</v>
      </c>
      <c r="AB379" s="36"/>
      <c r="AC379" s="36"/>
      <c r="AD379" s="36"/>
      <c r="AE379" s="38">
        <v>3</v>
      </c>
      <c r="AF379" s="38">
        <v>0</v>
      </c>
      <c r="AG379" s="38">
        <v>39</v>
      </c>
      <c r="AH379" s="38">
        <v>6</v>
      </c>
      <c r="AI379" s="36"/>
      <c r="AJ379" s="36"/>
      <c r="AK379" s="36"/>
      <c r="AL379" s="36"/>
      <c r="AM379" s="38">
        <v>37</v>
      </c>
      <c r="AN379" s="38">
        <v>7</v>
      </c>
      <c r="AO379" s="36"/>
      <c r="AP379" s="36"/>
      <c r="AQ379" s="36"/>
      <c r="AR379" s="36"/>
      <c r="AS379" s="38">
        <v>21.55</v>
      </c>
      <c r="AT379" s="36"/>
      <c r="AU379" s="36"/>
      <c r="AV379" s="36"/>
      <c r="AW379" s="36"/>
      <c r="AX379" s="38">
        <v>12</v>
      </c>
      <c r="AY379" s="38">
        <v>10</v>
      </c>
      <c r="AZ379" s="36"/>
      <c r="BA379" s="36"/>
      <c r="BB379" s="36"/>
      <c r="BC379" s="38">
        <v>7.5</v>
      </c>
      <c r="BD379" s="38">
        <v>6.83</v>
      </c>
      <c r="BE379" s="36"/>
      <c r="BF379" s="38">
        <v>3.6</v>
      </c>
      <c r="BG379" s="59">
        <v>20.58</v>
      </c>
      <c r="BH379" s="59">
        <v>2.67</v>
      </c>
      <c r="BI379" s="59">
        <v>0.26667887653417499</v>
      </c>
      <c r="BJ379" s="59"/>
      <c r="BK379" s="38">
        <v>5.2515000000000009</v>
      </c>
      <c r="BL379" s="59">
        <v>2.2599999999999998</v>
      </c>
      <c r="BM379" s="38"/>
      <c r="BN379" s="38">
        <v>62</v>
      </c>
      <c r="BO379" s="36"/>
      <c r="BP379" s="39">
        <f t="shared" si="221"/>
        <v>0.46399193548387102</v>
      </c>
      <c r="BQ379" s="37"/>
      <c r="BR379" s="39">
        <f t="shared" si="222"/>
        <v>0.52134572607879337</v>
      </c>
      <c r="BS379" s="39">
        <f t="shared" si="245"/>
        <v>0.92063515656247008</v>
      </c>
      <c r="BT379" s="37"/>
      <c r="BU379" s="39">
        <f t="shared" si="252"/>
        <v>4.0594220077329055</v>
      </c>
      <c r="BV379" s="39">
        <f t="shared" si="233"/>
        <v>0.40647684455380828</v>
      </c>
      <c r="BW379" s="39">
        <f t="shared" si="217"/>
        <v>2.341054006119943</v>
      </c>
      <c r="BX379" s="39">
        <f t="shared" si="234"/>
        <v>0.18145893543885633</v>
      </c>
      <c r="BY379" s="39">
        <f t="shared" si="246"/>
        <v>4.7310417767793602</v>
      </c>
      <c r="BZ379" s="37"/>
      <c r="CA379" s="39">
        <f t="shared" si="218"/>
        <v>5.3719298247173644</v>
      </c>
      <c r="CB379" s="39">
        <f t="shared" si="219"/>
        <v>2.3118273643456608</v>
      </c>
      <c r="CC379" s="39">
        <f>2*BP379*(12*S379+T379)/120</f>
        <v>0.31706115591397854</v>
      </c>
      <c r="CD379" s="39">
        <f t="shared" si="251"/>
        <v>0.20926036290322583</v>
      </c>
      <c r="CE379" s="37"/>
      <c r="CF379" s="37"/>
      <c r="CG379" s="37"/>
      <c r="CH379" s="37"/>
      <c r="CI379" s="37"/>
      <c r="CJ379" s="39">
        <f t="shared" si="237"/>
        <v>8.9127078274578747E-2</v>
      </c>
      <c r="CK379" s="37"/>
      <c r="CL379" s="39">
        <f>BP379*(12*AG379+AH379)/100</f>
        <v>2.1993217741935487</v>
      </c>
      <c r="CM379" s="37"/>
      <c r="CN379" s="37"/>
      <c r="CO379" s="39">
        <f>0.063495+(0.016949+0.014096)*Wages!P377+1.22592*BR379</f>
        <v>1.0483342638048367</v>
      </c>
      <c r="CP379" s="39"/>
      <c r="CQ379" s="39">
        <f t="shared" si="247"/>
        <v>0.92063515656247008</v>
      </c>
      <c r="CR379" s="39">
        <f t="shared" si="243"/>
        <v>0.40647684455380828</v>
      </c>
      <c r="CS379" s="39">
        <f t="shared" si="243"/>
        <v>2.341054006119943</v>
      </c>
      <c r="CT379" s="39">
        <f t="shared" si="220"/>
        <v>5.3719298247173644</v>
      </c>
      <c r="CU379" s="39">
        <f t="shared" si="220"/>
        <v>2.3118273643456608</v>
      </c>
      <c r="CV379" s="39">
        <f>CC379</f>
        <v>0.31706115591397854</v>
      </c>
      <c r="CW379" s="39">
        <f t="shared" si="220"/>
        <v>0.20926036290322583</v>
      </c>
      <c r="CX379" s="39"/>
      <c r="CY379" s="39"/>
      <c r="CZ379" s="39">
        <f t="shared" si="224"/>
        <v>0.18145893543885633</v>
      </c>
      <c r="DA379" s="39">
        <v>4.7</v>
      </c>
      <c r="DB379" s="39">
        <f t="shared" si="253"/>
        <v>4.0594220077329055</v>
      </c>
      <c r="DC379" s="39">
        <f t="shared" si="225"/>
        <v>4.7310417767793602</v>
      </c>
      <c r="DD379" s="39">
        <v>4.2</v>
      </c>
      <c r="DE379" s="39">
        <v>5.1999999999999998E-2</v>
      </c>
      <c r="DF379" s="39">
        <v>8.9127078274578747E-2</v>
      </c>
      <c r="DG379" s="39">
        <f t="shared" si="226"/>
        <v>2.1993217741935487</v>
      </c>
      <c r="DH379" s="39">
        <f t="shared" si="227"/>
        <v>5.8863482001358394</v>
      </c>
      <c r="DI379" s="39">
        <f t="shared" si="238"/>
        <v>3.6785289642403218</v>
      </c>
      <c r="DJ379" s="37"/>
      <c r="DK379" s="37"/>
      <c r="DL379" s="37"/>
      <c r="DM379" s="39">
        <f t="shared" si="235"/>
        <v>1.0224124634996028</v>
      </c>
      <c r="DN379" s="39"/>
      <c r="DO379" s="39">
        <f t="shared" si="236"/>
        <v>1.0224124634996028</v>
      </c>
      <c r="DP379" s="37"/>
      <c r="DQ379" s="37">
        <f>DO379/'Conversions, Sources &amp; Comments'!E377</f>
        <v>2.2035134348474967</v>
      </c>
    </row>
    <row r="380" spans="1:121">
      <c r="A380" s="42">
        <f t="shared" si="228"/>
        <v>1628</v>
      </c>
      <c r="B380" s="36"/>
      <c r="C380" s="38">
        <v>32</v>
      </c>
      <c r="D380" s="38">
        <v>11.25</v>
      </c>
      <c r="E380" s="38">
        <v>19</v>
      </c>
      <c r="F380" s="38">
        <v>1.75</v>
      </c>
      <c r="G380" s="38">
        <v>12</v>
      </c>
      <c r="H380" s="38">
        <v>1.5</v>
      </c>
      <c r="I380" s="36"/>
      <c r="J380" s="36"/>
      <c r="K380" s="38">
        <v>2</v>
      </c>
      <c r="L380" s="38">
        <v>8</v>
      </c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8">
        <v>4</v>
      </c>
      <c r="AA380" s="38">
        <v>6.25</v>
      </c>
      <c r="AB380" s="36"/>
      <c r="AC380" s="36"/>
      <c r="AD380" s="36"/>
      <c r="AE380" s="38">
        <v>3</v>
      </c>
      <c r="AF380" s="38">
        <v>0</v>
      </c>
      <c r="AG380" s="36"/>
      <c r="AH380" s="36"/>
      <c r="AI380" s="38">
        <v>33</v>
      </c>
      <c r="AJ380" s="38">
        <v>0</v>
      </c>
      <c r="AK380" s="36"/>
      <c r="AL380" s="36"/>
      <c r="AM380" s="38">
        <v>37</v>
      </c>
      <c r="AN380" s="38">
        <v>7</v>
      </c>
      <c r="AO380" s="36"/>
      <c r="AP380" s="36"/>
      <c r="AQ380" s="36"/>
      <c r="AR380" s="36"/>
      <c r="AS380" s="38">
        <v>18.07</v>
      </c>
      <c r="AT380" s="36"/>
      <c r="AU380" s="36"/>
      <c r="AV380" s="36"/>
      <c r="AW380" s="38">
        <v>4</v>
      </c>
      <c r="AX380" s="38">
        <v>17</v>
      </c>
      <c r="AY380" s="38">
        <v>10</v>
      </c>
      <c r="AZ380" s="36"/>
      <c r="BA380" s="36"/>
      <c r="BB380" s="36"/>
      <c r="BC380" s="38">
        <v>7.5</v>
      </c>
      <c r="BD380" s="38">
        <v>6.67</v>
      </c>
      <c r="BE380" s="36"/>
      <c r="BF380" s="38">
        <v>4.5</v>
      </c>
      <c r="BG380" s="59">
        <v>30.87</v>
      </c>
      <c r="BH380" s="59">
        <v>2.67</v>
      </c>
      <c r="BI380" s="59">
        <v>0.31227681915400768</v>
      </c>
      <c r="BJ380" s="59"/>
      <c r="BK380" s="38">
        <v>4.6305000000000005</v>
      </c>
      <c r="BL380" s="59">
        <v>2.75</v>
      </c>
      <c r="BM380" s="38"/>
      <c r="BN380" s="38">
        <v>62</v>
      </c>
      <c r="BO380" s="36"/>
      <c r="BP380" s="39">
        <f t="shared" si="221"/>
        <v>0.46399193548387102</v>
      </c>
      <c r="BQ380" s="37"/>
      <c r="BR380" s="39">
        <f t="shared" si="222"/>
        <v>0.6505505863698281</v>
      </c>
      <c r="BS380" s="39">
        <f t="shared" si="245"/>
        <v>1.1507939457030876</v>
      </c>
      <c r="BT380" s="37"/>
      <c r="BU380" s="39">
        <f t="shared" si="252"/>
        <v>4.0594220077329055</v>
      </c>
      <c r="BV380" s="39">
        <f t="shared" si="233"/>
        <v>0.60971526683071253</v>
      </c>
      <c r="BW380" s="39">
        <f t="shared" si="217"/>
        <v>2.341054006119943</v>
      </c>
      <c r="BX380" s="39">
        <f t="shared" si="234"/>
        <v>0.21248559279368645</v>
      </c>
      <c r="BY380" s="39">
        <f t="shared" si="246"/>
        <v>4.6244867818068522</v>
      </c>
      <c r="BZ380" s="37"/>
      <c r="CA380" s="39">
        <f t="shared" si="218"/>
        <v>4.7366887657533567</v>
      </c>
      <c r="CB380" s="39">
        <f t="shared" si="219"/>
        <v>2.8130642707745874</v>
      </c>
      <c r="CC380" s="37"/>
      <c r="CD380" s="39">
        <f t="shared" si="251"/>
        <v>0.20926036290322583</v>
      </c>
      <c r="CE380" s="37"/>
      <c r="CF380" s="37"/>
      <c r="CG380" s="37"/>
      <c r="CH380" s="39">
        <f>BP380*12*AW380/(12*0.453592)</f>
        <v>4.0917118069443115</v>
      </c>
      <c r="CI380" s="37"/>
      <c r="CJ380" s="39">
        <f t="shared" si="237"/>
        <v>7.4734399277106164E-2</v>
      </c>
      <c r="CK380" s="37"/>
      <c r="CL380" s="37"/>
      <c r="CM380" s="37"/>
      <c r="CN380" s="37"/>
      <c r="CO380" s="39">
        <f>0.063495+(0.016949+0.014096)*Wages!P378+1.22592*BR380</f>
        <v>1.2067290861328221</v>
      </c>
      <c r="CP380" s="39"/>
      <c r="CQ380" s="39">
        <f t="shared" si="247"/>
        <v>1.1507939457030876</v>
      </c>
      <c r="CR380" s="39">
        <f t="shared" si="243"/>
        <v>0.60971526683071253</v>
      </c>
      <c r="CS380" s="39">
        <f t="shared" si="243"/>
        <v>2.341054006119943</v>
      </c>
      <c r="CT380" s="39">
        <f t="shared" si="220"/>
        <v>4.7366887657533567</v>
      </c>
      <c r="CU380" s="39">
        <f t="shared" si="220"/>
        <v>2.8130642707745874</v>
      </c>
      <c r="CV380" s="39">
        <v>0.3</v>
      </c>
      <c r="CW380" s="39">
        <f t="shared" si="220"/>
        <v>0.20926036290322583</v>
      </c>
      <c r="CX380" s="39"/>
      <c r="CY380" s="39"/>
      <c r="CZ380" s="39">
        <f t="shared" si="224"/>
        <v>0.21248559279368645</v>
      </c>
      <c r="DA380" s="39">
        <f>CH380</f>
        <v>4.0917118069443115</v>
      </c>
      <c r="DB380" s="39">
        <f t="shared" si="253"/>
        <v>4.0594220077329055</v>
      </c>
      <c r="DC380" s="39">
        <f t="shared" si="225"/>
        <v>4.6244867818068522</v>
      </c>
      <c r="DD380" s="39">
        <v>4.2</v>
      </c>
      <c r="DE380" s="39">
        <v>5.1999999999999998E-2</v>
      </c>
      <c r="DF380" s="39">
        <v>7.4734399277106178E-2</v>
      </c>
      <c r="DG380" s="39">
        <f t="shared" si="226"/>
        <v>0</v>
      </c>
      <c r="DH380" s="39">
        <f t="shared" si="227"/>
        <v>5.8863482001358394</v>
      </c>
      <c r="DI380" s="39">
        <f t="shared" si="238"/>
        <v>3.0845020131704231</v>
      </c>
      <c r="DJ380" s="37"/>
      <c r="DK380" s="37"/>
      <c r="DL380" s="37"/>
      <c r="DM380" s="39">
        <f t="shared" si="235"/>
        <v>1.1541592133230847</v>
      </c>
      <c r="DN380" s="39"/>
      <c r="DO380" s="39">
        <f t="shared" si="236"/>
        <v>1.1541592133230847</v>
      </c>
      <c r="DP380" s="37"/>
      <c r="DQ380" s="37">
        <f>DO380/'Conversions, Sources &amp; Comments'!E378</f>
        <v>2.4874553307041363</v>
      </c>
    </row>
    <row r="381" spans="1:121">
      <c r="A381" s="42">
        <f t="shared" si="228"/>
        <v>1629</v>
      </c>
      <c r="B381" s="36"/>
      <c r="C381" s="38">
        <v>42</v>
      </c>
      <c r="D381" s="38">
        <v>1.75</v>
      </c>
      <c r="E381" s="38">
        <v>24</v>
      </c>
      <c r="F381" s="38">
        <v>6</v>
      </c>
      <c r="G381" s="38">
        <v>14</v>
      </c>
      <c r="H381" s="38">
        <v>10.25</v>
      </c>
      <c r="I381" s="36"/>
      <c r="J381" s="36"/>
      <c r="K381" s="38">
        <v>2</v>
      </c>
      <c r="L381" s="38">
        <v>8</v>
      </c>
      <c r="M381" s="36"/>
      <c r="N381" s="36"/>
      <c r="O381" s="36"/>
      <c r="P381" s="36"/>
      <c r="Q381" s="36"/>
      <c r="R381" s="36"/>
      <c r="S381" s="38">
        <v>3</v>
      </c>
      <c r="T381" s="38">
        <v>2</v>
      </c>
      <c r="U381" s="36"/>
      <c r="V381" s="36"/>
      <c r="W381" s="36"/>
      <c r="X381" s="36"/>
      <c r="Y381" s="36"/>
      <c r="Z381" s="38">
        <v>4</v>
      </c>
      <c r="AA381" s="38">
        <v>5</v>
      </c>
      <c r="AB381" s="36"/>
      <c r="AC381" s="36"/>
      <c r="AD381" s="36"/>
      <c r="AE381" s="38">
        <v>3</v>
      </c>
      <c r="AF381" s="38">
        <v>0</v>
      </c>
      <c r="AG381" s="36"/>
      <c r="AH381" s="36"/>
      <c r="AI381" s="36"/>
      <c r="AJ381" s="36"/>
      <c r="AK381" s="36"/>
      <c r="AL381" s="36"/>
      <c r="AM381" s="38">
        <v>37</v>
      </c>
      <c r="AN381" s="38">
        <v>7</v>
      </c>
      <c r="AO381" s="36"/>
      <c r="AP381" s="36"/>
      <c r="AQ381" s="36"/>
      <c r="AR381" s="36"/>
      <c r="AS381" s="38">
        <v>21.42</v>
      </c>
      <c r="AT381" s="36"/>
      <c r="AU381" s="36"/>
      <c r="AV381" s="36"/>
      <c r="AW381" s="36"/>
      <c r="AX381" s="36"/>
      <c r="AY381" s="38">
        <v>10</v>
      </c>
      <c r="AZ381" s="36"/>
      <c r="BA381" s="36"/>
      <c r="BB381" s="36"/>
      <c r="BC381" s="38">
        <v>7.5</v>
      </c>
      <c r="BD381" s="38">
        <v>6.67</v>
      </c>
      <c r="BE381" s="36"/>
      <c r="BF381" s="38">
        <v>6</v>
      </c>
      <c r="BG381" s="59">
        <v>27.21</v>
      </c>
      <c r="BH381" s="59">
        <v>2.67</v>
      </c>
      <c r="BI381" s="59">
        <v>0.43110782113296586</v>
      </c>
      <c r="BJ381" s="59"/>
      <c r="BK381" s="38">
        <v>6.4124999999999996</v>
      </c>
      <c r="BL381" s="59">
        <v>3.01</v>
      </c>
      <c r="BM381" s="38"/>
      <c r="BN381" s="38">
        <v>62</v>
      </c>
      <c r="BO381" s="36"/>
      <c r="BP381" s="39">
        <f t="shared" si="221"/>
        <v>0.46399193548387102</v>
      </c>
      <c r="BQ381" s="37"/>
      <c r="BR381" s="39">
        <f t="shared" si="222"/>
        <v>0.832424943849565</v>
      </c>
      <c r="BS381" s="39">
        <f t="shared" si="245"/>
        <v>1.5343919276041167</v>
      </c>
      <c r="BT381" s="37"/>
      <c r="BU381" s="39">
        <f t="shared" si="252"/>
        <v>4.0594220077329055</v>
      </c>
      <c r="BV381" s="39">
        <f t="shared" si="233"/>
        <v>0.53742638193921888</v>
      </c>
      <c r="BW381" s="39">
        <f t="shared" si="217"/>
        <v>2.341054006119943</v>
      </c>
      <c r="BX381" s="39">
        <f t="shared" si="234"/>
        <v>0.29334294226384999</v>
      </c>
      <c r="BY381" s="39">
        <f t="shared" si="246"/>
        <v>4.5179317868343434</v>
      </c>
      <c r="BZ381" s="37"/>
      <c r="CA381" s="39">
        <f t="shared" si="218"/>
        <v>6.559554413215289</v>
      </c>
      <c r="CB381" s="39">
        <f t="shared" si="219"/>
        <v>3.0790267109205485</v>
      </c>
      <c r="CC381" s="39">
        <f>2*BP381*(12*S381+T381)/120</f>
        <v>0.29386155913978496</v>
      </c>
      <c r="CD381" s="39">
        <f t="shared" si="251"/>
        <v>0.20926036290322583</v>
      </c>
      <c r="CE381" s="37"/>
      <c r="CF381" s="37"/>
      <c r="CG381" s="37"/>
      <c r="CH381" s="37"/>
      <c r="CI381" s="37"/>
      <c r="CJ381" s="39">
        <f t="shared" si="237"/>
        <v>8.8589420725822599E-2</v>
      </c>
      <c r="CK381" s="37"/>
      <c r="CL381" s="37"/>
      <c r="CM381" s="37"/>
      <c r="CN381" s="37"/>
      <c r="CO381" s="39">
        <f>0.063495+(0.016949+0.014096)*Wages!P379+1.22592*BR381</f>
        <v>1.4296924984543811</v>
      </c>
      <c r="CP381" s="39"/>
      <c r="CQ381" s="39">
        <f t="shared" si="247"/>
        <v>1.5343919276041167</v>
      </c>
      <c r="CR381" s="39">
        <f t="shared" si="243"/>
        <v>0.53742638193921888</v>
      </c>
      <c r="CS381" s="39">
        <f t="shared" si="243"/>
        <v>2.341054006119943</v>
      </c>
      <c r="CT381" s="39">
        <f t="shared" si="220"/>
        <v>6.559554413215289</v>
      </c>
      <c r="CU381" s="39">
        <f t="shared" si="220"/>
        <v>3.0790267109205485</v>
      </c>
      <c r="CV381" s="39">
        <f>CC381</f>
        <v>0.29386155913978496</v>
      </c>
      <c r="CW381" s="39">
        <f t="shared" si="220"/>
        <v>0.20926036290322583</v>
      </c>
      <c r="CX381" s="39"/>
      <c r="CY381" s="39"/>
      <c r="CZ381" s="39">
        <f t="shared" si="224"/>
        <v>0.29334294226384999</v>
      </c>
      <c r="DA381" s="39">
        <v>4.0917118069443115</v>
      </c>
      <c r="DB381" s="39">
        <f t="shared" si="253"/>
        <v>4.0594220077329055</v>
      </c>
      <c r="DC381" s="39">
        <f t="shared" si="225"/>
        <v>4.5179317868343434</v>
      </c>
      <c r="DD381" s="39">
        <v>4.2</v>
      </c>
      <c r="DE381" s="39">
        <v>5.1999999999999998E-2</v>
      </c>
      <c r="DF381" s="39">
        <v>8.8589420725822599E-2</v>
      </c>
      <c r="DG381" s="39">
        <f t="shared" si="226"/>
        <v>0</v>
      </c>
      <c r="DH381" s="39">
        <f t="shared" si="227"/>
        <v>5.8863482001358394</v>
      </c>
      <c r="DI381" s="39">
        <f t="shared" si="238"/>
        <v>3.6563383022750671</v>
      </c>
      <c r="DJ381" s="37"/>
      <c r="DK381" s="37"/>
      <c r="DL381" s="37"/>
      <c r="DM381" s="39">
        <f t="shared" si="235"/>
        <v>1.3735802730639342</v>
      </c>
      <c r="DN381" s="39"/>
      <c r="DO381" s="39">
        <f t="shared" si="236"/>
        <v>1.3735802730639342</v>
      </c>
      <c r="DP381" s="37"/>
      <c r="DQ381" s="37">
        <f>DO381/'Conversions, Sources &amp; Comments'!E379</f>
        <v>2.9603537648375391</v>
      </c>
    </row>
    <row r="382" spans="1:121">
      <c r="A382" s="42">
        <f t="shared" si="228"/>
        <v>1630</v>
      </c>
      <c r="B382" s="36"/>
      <c r="C382" s="38">
        <v>64</v>
      </c>
      <c r="D382" s="38">
        <v>6</v>
      </c>
      <c r="E382" s="38">
        <v>38</v>
      </c>
      <c r="F382" s="38">
        <v>1.25</v>
      </c>
      <c r="G382" s="38">
        <v>21</v>
      </c>
      <c r="H382" s="38">
        <v>11.25</v>
      </c>
      <c r="I382" s="36"/>
      <c r="J382" s="36"/>
      <c r="K382" s="38">
        <v>2</v>
      </c>
      <c r="L382" s="38">
        <v>8</v>
      </c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8">
        <v>4</v>
      </c>
      <c r="AA382" s="38">
        <v>3.75</v>
      </c>
      <c r="AB382" s="36"/>
      <c r="AC382" s="36"/>
      <c r="AD382" s="36"/>
      <c r="AE382" s="38">
        <v>3</v>
      </c>
      <c r="AF382" s="38">
        <v>0</v>
      </c>
      <c r="AG382" s="38">
        <v>24</v>
      </c>
      <c r="AH382" s="38">
        <v>0</v>
      </c>
      <c r="AI382" s="38">
        <v>17</v>
      </c>
      <c r="AJ382" s="38">
        <v>0</v>
      </c>
      <c r="AK382" s="36"/>
      <c r="AL382" s="36"/>
      <c r="AM382" s="38">
        <v>37</v>
      </c>
      <c r="AN382" s="38">
        <v>7</v>
      </c>
      <c r="AO382" s="36"/>
      <c r="AP382" s="36"/>
      <c r="AQ382" s="36"/>
      <c r="AR382" s="36"/>
      <c r="AS382" s="38">
        <v>22.25</v>
      </c>
      <c r="AT382" s="36"/>
      <c r="AU382" s="36"/>
      <c r="AV382" s="36"/>
      <c r="AW382" s="36"/>
      <c r="AX382" s="36"/>
      <c r="AY382" s="38">
        <v>10</v>
      </c>
      <c r="AZ382" s="36"/>
      <c r="BA382" s="36"/>
      <c r="BB382" s="36"/>
      <c r="BC382" s="38">
        <v>7.5</v>
      </c>
      <c r="BD382" s="38">
        <v>6.5</v>
      </c>
      <c r="BE382" s="36"/>
      <c r="BF382" s="38">
        <v>7</v>
      </c>
      <c r="BG382" s="59">
        <v>37.58</v>
      </c>
      <c r="BH382" s="59">
        <v>2.67</v>
      </c>
      <c r="BI382" s="59">
        <v>0.58171920736211113</v>
      </c>
      <c r="BJ382" s="59"/>
      <c r="BK382" s="38">
        <v>4.1715</v>
      </c>
      <c r="BL382" s="59">
        <v>2.5099999999999998</v>
      </c>
      <c r="BM382" s="38"/>
      <c r="BN382" s="38">
        <v>62</v>
      </c>
      <c r="BO382" s="36"/>
      <c r="BP382" s="39">
        <f t="shared" si="221"/>
        <v>0.46399193548387102</v>
      </c>
      <c r="BQ382" s="37"/>
      <c r="BR382" s="39">
        <f t="shared" si="222"/>
        <v>1.2739434632517317</v>
      </c>
      <c r="BS382" s="39">
        <f t="shared" si="245"/>
        <v>1.7901239155381363</v>
      </c>
      <c r="BT382" s="37"/>
      <c r="BU382" s="39">
        <f t="shared" si="252"/>
        <v>4.0594220077329055</v>
      </c>
      <c r="BV382" s="39">
        <f t="shared" si="233"/>
        <v>0.7422448891317841</v>
      </c>
      <c r="BW382" s="39">
        <f t="shared" si="217"/>
        <v>2.341054006119943</v>
      </c>
      <c r="BX382" s="39">
        <f t="shared" si="234"/>
        <v>0.39582493170859256</v>
      </c>
      <c r="BY382" s="39">
        <f t="shared" si="246"/>
        <v>4.4113767918618363</v>
      </c>
      <c r="BZ382" s="37"/>
      <c r="CA382" s="39">
        <f t="shared" si="218"/>
        <v>4.267162765649525</v>
      </c>
      <c r="CB382" s="39">
        <f t="shared" si="219"/>
        <v>2.5675604798706235</v>
      </c>
      <c r="CC382" s="37"/>
      <c r="CD382" s="39">
        <f t="shared" si="251"/>
        <v>0.20926036290322583</v>
      </c>
      <c r="CE382" s="37"/>
      <c r="CF382" s="37"/>
      <c r="CG382" s="37"/>
      <c r="CH382" s="37"/>
      <c r="CI382" s="37"/>
      <c r="CJ382" s="39">
        <f t="shared" si="237"/>
        <v>9.2022157383265746E-2</v>
      </c>
      <c r="CK382" s="37"/>
      <c r="CL382" s="39">
        <f>BP382*(12*AG382+AH382)/100</f>
        <v>1.3362967741935485</v>
      </c>
      <c r="CM382" s="37"/>
      <c r="CN382" s="37"/>
      <c r="CO382" s="39">
        <f>0.063495+(0.016949+0.014096)*Wages!P380+1.22592*BR382</f>
        <v>2.0429820299453691</v>
      </c>
      <c r="CP382" s="39"/>
      <c r="CQ382" s="39">
        <f t="shared" si="247"/>
        <v>1.7901239155381363</v>
      </c>
      <c r="CR382" s="39">
        <f t="shared" si="243"/>
        <v>0.7422448891317841</v>
      </c>
      <c r="CS382" s="39">
        <f t="shared" si="243"/>
        <v>2.341054006119943</v>
      </c>
      <c r="CT382" s="39">
        <f t="shared" si="220"/>
        <v>4.267162765649525</v>
      </c>
      <c r="CU382" s="39">
        <f t="shared" si="220"/>
        <v>2.5675604798706235</v>
      </c>
      <c r="CV382" s="39">
        <v>0.33</v>
      </c>
      <c r="CW382" s="39">
        <f t="shared" si="220"/>
        <v>0.20926036290322583</v>
      </c>
      <c r="CX382" s="39"/>
      <c r="CY382" s="39"/>
      <c r="CZ382" s="39">
        <f t="shared" si="224"/>
        <v>0.39582493170859256</v>
      </c>
      <c r="DA382" s="39">
        <v>4.0917118069443115</v>
      </c>
      <c r="DB382" s="39">
        <f t="shared" si="253"/>
        <v>4.0594220077329055</v>
      </c>
      <c r="DC382" s="39">
        <f t="shared" si="225"/>
        <v>4.4113767918618363</v>
      </c>
      <c r="DD382" s="39">
        <v>4.2</v>
      </c>
      <c r="DE382" s="39">
        <v>5.1999999999999998E-2</v>
      </c>
      <c r="DF382" s="39">
        <v>9.202215738326576E-2</v>
      </c>
      <c r="DG382" s="39">
        <f t="shared" si="226"/>
        <v>1.3362967741935485</v>
      </c>
      <c r="DH382" s="39">
        <f t="shared" si="227"/>
        <v>5.8863482001358394</v>
      </c>
      <c r="DI382" s="39">
        <f t="shared" si="238"/>
        <v>3.7980171440532322</v>
      </c>
      <c r="DJ382" s="37"/>
      <c r="DK382" s="37"/>
      <c r="DL382" s="37"/>
      <c r="DM382" s="39">
        <f t="shared" si="235"/>
        <v>1.5251054555384731</v>
      </c>
      <c r="DN382" s="39"/>
      <c r="DO382" s="39">
        <f t="shared" si="236"/>
        <v>1.5251054555384731</v>
      </c>
      <c r="DP382" s="37"/>
      <c r="DQ382" s="37">
        <f>DO382/'Conversions, Sources &amp; Comments'!E380</f>
        <v>3.2869223340014018</v>
      </c>
    </row>
    <row r="383" spans="1:121">
      <c r="A383" s="42">
        <f t="shared" si="228"/>
        <v>1631</v>
      </c>
      <c r="B383" s="36"/>
      <c r="C383" s="38">
        <v>40</v>
      </c>
      <c r="D383" s="38">
        <v>11.25</v>
      </c>
      <c r="E383" s="38">
        <v>24</v>
      </c>
      <c r="F383" s="38">
        <v>5</v>
      </c>
      <c r="G383" s="38">
        <v>11</v>
      </c>
      <c r="H383" s="38">
        <v>9</v>
      </c>
      <c r="I383" s="36"/>
      <c r="J383" s="36"/>
      <c r="K383" s="38">
        <v>2</v>
      </c>
      <c r="L383" s="38">
        <v>8</v>
      </c>
      <c r="M383" s="36"/>
      <c r="N383" s="36"/>
      <c r="O383" s="36"/>
      <c r="P383" s="36"/>
      <c r="Q383" s="36"/>
      <c r="R383" s="36"/>
      <c r="S383" s="38">
        <v>4</v>
      </c>
      <c r="T383" s="38">
        <v>1</v>
      </c>
      <c r="U383" s="36"/>
      <c r="V383" s="36"/>
      <c r="W383" s="36"/>
      <c r="X383" s="36"/>
      <c r="Y383" s="36"/>
      <c r="Z383" s="38">
        <v>4</v>
      </c>
      <c r="AA383" s="38">
        <v>2.75</v>
      </c>
      <c r="AB383" s="36"/>
      <c r="AC383" s="36"/>
      <c r="AD383" s="36"/>
      <c r="AE383" s="38">
        <v>3</v>
      </c>
      <c r="AF383" s="38">
        <v>0</v>
      </c>
      <c r="AG383" s="36"/>
      <c r="AH383" s="36"/>
      <c r="AI383" s="36"/>
      <c r="AJ383" s="36"/>
      <c r="AK383" s="36"/>
      <c r="AL383" s="36"/>
      <c r="AM383" s="38">
        <v>37</v>
      </c>
      <c r="AN383" s="38">
        <v>7</v>
      </c>
      <c r="AO383" s="36"/>
      <c r="AP383" s="36"/>
      <c r="AQ383" s="36"/>
      <c r="AR383" s="36"/>
      <c r="AS383" s="38">
        <v>21.25</v>
      </c>
      <c r="AT383" s="36"/>
      <c r="AU383" s="36"/>
      <c r="AV383" s="36"/>
      <c r="AW383" s="36"/>
      <c r="AX383" s="38">
        <v>12</v>
      </c>
      <c r="AY383" s="38">
        <v>10</v>
      </c>
      <c r="AZ383" s="38">
        <v>120</v>
      </c>
      <c r="BA383" s="36"/>
      <c r="BB383" s="36"/>
      <c r="BC383" s="38">
        <v>7.5</v>
      </c>
      <c r="BD383" s="38">
        <v>6.67</v>
      </c>
      <c r="BE383" s="36"/>
      <c r="BF383" s="38">
        <v>5.5</v>
      </c>
      <c r="BG383" s="59">
        <v>35.299999999999997</v>
      </c>
      <c r="BH383" s="59">
        <v>2.67</v>
      </c>
      <c r="BI383" s="59">
        <v>0.45459767036136428</v>
      </c>
      <c r="BJ383" s="59"/>
      <c r="BK383" s="38">
        <v>5.3055000000000003</v>
      </c>
      <c r="BL383" s="59">
        <v>2.4700000000000002</v>
      </c>
      <c r="BM383" s="38"/>
      <c r="BN383" s="38">
        <v>62</v>
      </c>
      <c r="BO383" s="36"/>
      <c r="BP383" s="39">
        <f t="shared" si="221"/>
        <v>0.46399193548387102</v>
      </c>
      <c r="BQ383" s="37"/>
      <c r="BR383" s="39">
        <f t="shared" si="222"/>
        <v>0.8085590779359344</v>
      </c>
      <c r="BS383" s="39">
        <f t="shared" si="245"/>
        <v>1.406525933637107</v>
      </c>
      <c r="BT383" s="39">
        <f>BP383*12*AZ383/(24*0.9144)</f>
        <v>30.445665057996788</v>
      </c>
      <c r="BU383" s="39">
        <f t="shared" si="252"/>
        <v>4.0594220077329055</v>
      </c>
      <c r="BV383" s="39">
        <f t="shared" si="233"/>
        <v>0.69721246903544376</v>
      </c>
      <c r="BW383" s="39">
        <f t="shared" si="217"/>
        <v>2.341054006119943</v>
      </c>
      <c r="BX383" s="39">
        <f t="shared" si="234"/>
        <v>0.30932637181027745</v>
      </c>
      <c r="BY383" s="39">
        <f t="shared" si="246"/>
        <v>4.3261327958838294</v>
      </c>
      <c r="BZ383" s="37"/>
      <c r="CA383" s="39">
        <f t="shared" si="218"/>
        <v>5.4271681776707554</v>
      </c>
      <c r="CB383" s="39">
        <f t="shared" si="219"/>
        <v>2.5266431813866301</v>
      </c>
      <c r="CC383" s="39">
        <f>2*BP383*(12*S383+T383)/120</f>
        <v>0.37892674731182802</v>
      </c>
      <c r="CD383" s="39">
        <f t="shared" si="251"/>
        <v>0.20926036290322583</v>
      </c>
      <c r="CE383" s="37"/>
      <c r="CF383" s="37"/>
      <c r="CG383" s="37"/>
      <c r="CH383" s="37"/>
      <c r="CI383" s="37"/>
      <c r="CJ383" s="39">
        <f t="shared" si="237"/>
        <v>8.7886330085141448E-2</v>
      </c>
      <c r="CK383" s="37"/>
      <c r="CL383" s="37"/>
      <c r="CM383" s="37"/>
      <c r="CN383" s="37"/>
      <c r="CO383" s="39">
        <f>0.063495+(0.016949+0.014096)*Wages!P381+1.22592*BR383</f>
        <v>1.472458004299027</v>
      </c>
      <c r="CP383" s="39"/>
      <c r="CQ383" s="39">
        <f t="shared" si="247"/>
        <v>1.406525933637107</v>
      </c>
      <c r="CR383" s="39">
        <f t="shared" si="243"/>
        <v>0.69721246903544376</v>
      </c>
      <c r="CS383" s="39">
        <f t="shared" si="243"/>
        <v>2.341054006119943</v>
      </c>
      <c r="CT383" s="39">
        <f t="shared" si="220"/>
        <v>5.4271681776707554</v>
      </c>
      <c r="CU383" s="39">
        <f t="shared" si="220"/>
        <v>2.5266431813866301</v>
      </c>
      <c r="CV383" s="39">
        <f>CC383</f>
        <v>0.37892674731182802</v>
      </c>
      <c r="CW383" s="39">
        <f t="shared" si="220"/>
        <v>0.20926036290322583</v>
      </c>
      <c r="CX383" s="39"/>
      <c r="CY383" s="39"/>
      <c r="CZ383" s="39">
        <f t="shared" si="224"/>
        <v>0.30932637181027745</v>
      </c>
      <c r="DA383" s="39">
        <v>4.0917118069443115</v>
      </c>
      <c r="DB383" s="39">
        <f t="shared" si="253"/>
        <v>4.0594220077329055</v>
      </c>
      <c r="DC383" s="39">
        <f t="shared" si="225"/>
        <v>4.3261327958838294</v>
      </c>
      <c r="DD383" s="39">
        <v>4.2</v>
      </c>
      <c r="DE383" s="39">
        <v>5.1999999999999998E-2</v>
      </c>
      <c r="DF383" s="39">
        <v>8.7886330085141448E-2</v>
      </c>
      <c r="DG383" s="39">
        <f t="shared" si="226"/>
        <v>0</v>
      </c>
      <c r="DH383" s="39">
        <f t="shared" si="227"/>
        <v>5.8863482001358394</v>
      </c>
      <c r="DI383" s="39">
        <f t="shared" si="238"/>
        <v>3.6273197443205025</v>
      </c>
      <c r="DJ383" s="37"/>
      <c r="DK383" s="37"/>
      <c r="DL383" s="37"/>
      <c r="DM383" s="39">
        <f t="shared" si="235"/>
        <v>1.3328719253022385</v>
      </c>
      <c r="DN383" s="39"/>
      <c r="DO383" s="39">
        <f t="shared" si="236"/>
        <v>1.3328719253022385</v>
      </c>
      <c r="DP383" s="37"/>
      <c r="DQ383" s="37">
        <f>DO383/'Conversions, Sources &amp; Comments'!E381</f>
        <v>2.8726187318584784</v>
      </c>
    </row>
    <row r="384" spans="1:121">
      <c r="A384" s="42">
        <f t="shared" si="228"/>
        <v>1632</v>
      </c>
      <c r="B384" s="36"/>
      <c r="C384" s="38">
        <v>47</v>
      </c>
      <c r="D384" s="38">
        <v>3.25</v>
      </c>
      <c r="E384" s="38">
        <v>21</v>
      </c>
      <c r="F384" s="38">
        <v>10</v>
      </c>
      <c r="G384" s="38">
        <v>12</v>
      </c>
      <c r="H384" s="38">
        <v>10</v>
      </c>
      <c r="I384" s="38">
        <v>29</v>
      </c>
      <c r="J384" s="38">
        <v>6.5</v>
      </c>
      <c r="K384" s="38">
        <v>2</v>
      </c>
      <c r="L384" s="38">
        <v>8</v>
      </c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8">
        <v>4</v>
      </c>
      <c r="AA384" s="38">
        <v>3.25</v>
      </c>
      <c r="AB384" s="36"/>
      <c r="AC384" s="36"/>
      <c r="AD384" s="36"/>
      <c r="AE384" s="38">
        <v>3</v>
      </c>
      <c r="AF384" s="38">
        <v>0</v>
      </c>
      <c r="AG384" s="36"/>
      <c r="AH384" s="36"/>
      <c r="AI384" s="38">
        <v>19</v>
      </c>
      <c r="AJ384" s="38">
        <v>3</v>
      </c>
      <c r="AK384" s="36"/>
      <c r="AL384" s="36"/>
      <c r="AM384" s="38">
        <v>37</v>
      </c>
      <c r="AN384" s="38">
        <v>7</v>
      </c>
      <c r="AO384" s="36"/>
      <c r="AP384" s="36"/>
      <c r="AQ384" s="36"/>
      <c r="AR384" s="36"/>
      <c r="AS384" s="38">
        <v>20.8</v>
      </c>
      <c r="AT384" s="36"/>
      <c r="AU384" s="36"/>
      <c r="AV384" s="36"/>
      <c r="AW384" s="36"/>
      <c r="AX384" s="38">
        <v>12</v>
      </c>
      <c r="AY384" s="38">
        <v>10</v>
      </c>
      <c r="AZ384" s="38">
        <v>120</v>
      </c>
      <c r="BA384" s="36"/>
      <c r="BB384" s="36"/>
      <c r="BC384" s="38">
        <v>7.5</v>
      </c>
      <c r="BD384" s="38">
        <v>6.67</v>
      </c>
      <c r="BE384" s="36"/>
      <c r="BF384" s="38">
        <v>6.1</v>
      </c>
      <c r="BG384" s="59">
        <v>33.1</v>
      </c>
      <c r="BH384" s="59">
        <v>2.67</v>
      </c>
      <c r="BI384" s="59">
        <v>0.42696255362207147</v>
      </c>
      <c r="BJ384" s="59"/>
      <c r="BK384" s="38">
        <v>5.4</v>
      </c>
      <c r="BL384" s="59">
        <v>2.4300000000000002</v>
      </c>
      <c r="BM384" s="38"/>
      <c r="BN384" s="38">
        <v>62</v>
      </c>
      <c r="BO384" s="36"/>
      <c r="BP384" s="39">
        <f t="shared" si="221"/>
        <v>0.46399193548387102</v>
      </c>
      <c r="BQ384" s="37"/>
      <c r="BR384" s="39">
        <f t="shared" si="222"/>
        <v>0.93364913375910186</v>
      </c>
      <c r="BS384" s="39">
        <f t="shared" si="245"/>
        <v>1.5599651263975187</v>
      </c>
      <c r="BT384" s="39">
        <f>BP384*12*AZ384/(24*0.9144)</f>
        <v>30.445665057996788</v>
      </c>
      <c r="BU384" s="39">
        <f t="shared" si="252"/>
        <v>4.0594220077329055</v>
      </c>
      <c r="BV384" s="39">
        <f t="shared" si="233"/>
        <v>0.65376013385476472</v>
      </c>
      <c r="BW384" s="39">
        <f t="shared" si="217"/>
        <v>2.341054006119943</v>
      </c>
      <c r="BX384" s="39">
        <f t="shared" si="234"/>
        <v>0.29052233704977415</v>
      </c>
      <c r="BY384" s="39">
        <f t="shared" si="246"/>
        <v>4.3687547938728324</v>
      </c>
      <c r="BZ384" s="37"/>
      <c r="CA384" s="39">
        <f t="shared" si="218"/>
        <v>5.5238352953391914</v>
      </c>
      <c r="CB384" s="39">
        <f t="shared" si="219"/>
        <v>2.4857258829026359</v>
      </c>
      <c r="CC384" s="37"/>
      <c r="CD384" s="39">
        <f t="shared" si="251"/>
        <v>0.20926036290322583</v>
      </c>
      <c r="CE384" s="37"/>
      <c r="CF384" s="37"/>
      <c r="CG384" s="37"/>
      <c r="CH384" s="37"/>
      <c r="CI384" s="37"/>
      <c r="CJ384" s="39">
        <f t="shared" si="237"/>
        <v>8.602520780098552E-2</v>
      </c>
      <c r="CK384" s="37"/>
      <c r="CL384" s="37"/>
      <c r="CM384" s="37"/>
      <c r="CN384" s="37"/>
      <c r="CO384" s="39">
        <f>0.063495+(0.016949+0.014096)*Wages!P382+1.22592*BR384</f>
        <v>1.6258084055337645</v>
      </c>
      <c r="CP384" s="39"/>
      <c r="CQ384" s="39">
        <f t="shared" si="247"/>
        <v>1.5599651263975187</v>
      </c>
      <c r="CR384" s="39">
        <f t="shared" si="243"/>
        <v>0.65376013385476472</v>
      </c>
      <c r="CS384" s="39">
        <f t="shared" si="243"/>
        <v>2.341054006119943</v>
      </c>
      <c r="CT384" s="39">
        <f t="shared" si="220"/>
        <v>5.5238352953391914</v>
      </c>
      <c r="CU384" s="39">
        <f t="shared" si="220"/>
        <v>2.4857258829026359</v>
      </c>
      <c r="CV384" s="39">
        <v>0.35</v>
      </c>
      <c r="CW384" s="39">
        <f t="shared" si="220"/>
        <v>0.20926036290322583</v>
      </c>
      <c r="CX384" s="39"/>
      <c r="CY384" s="39"/>
      <c r="CZ384" s="39">
        <f t="shared" si="224"/>
        <v>0.29052233704977415</v>
      </c>
      <c r="DA384" s="39">
        <v>4.0917118069443115</v>
      </c>
      <c r="DB384" s="39">
        <f t="shared" si="253"/>
        <v>4.0594220077329055</v>
      </c>
      <c r="DC384" s="39">
        <f t="shared" si="225"/>
        <v>4.3687547938728324</v>
      </c>
      <c r="DD384" s="39">
        <v>4.2</v>
      </c>
      <c r="DE384" s="39">
        <v>5.1999999999999998E-2</v>
      </c>
      <c r="DF384" s="39">
        <v>8.602520780098552E-2</v>
      </c>
      <c r="DG384" s="39">
        <f t="shared" si="226"/>
        <v>0</v>
      </c>
      <c r="DH384" s="39">
        <f t="shared" si="227"/>
        <v>5.8863482001358394</v>
      </c>
      <c r="DI384" s="39">
        <f t="shared" si="238"/>
        <v>3.5505059144407745</v>
      </c>
      <c r="DJ384" s="37"/>
      <c r="DK384" s="37"/>
      <c r="DL384" s="37"/>
      <c r="DM384" s="39">
        <f t="shared" si="235"/>
        <v>1.3838255742794552</v>
      </c>
      <c r="DN384" s="39"/>
      <c r="DO384" s="39">
        <f t="shared" si="236"/>
        <v>1.3838255742794552</v>
      </c>
      <c r="DP384" s="37"/>
      <c r="DQ384" s="37">
        <f>DO384/'Conversions, Sources &amp; Comments'!E382</f>
        <v>2.9824345391614222</v>
      </c>
    </row>
    <row r="385" spans="1:121">
      <c r="A385" s="42">
        <f t="shared" si="228"/>
        <v>1633</v>
      </c>
      <c r="B385" s="36"/>
      <c r="C385" s="38">
        <v>43</v>
      </c>
      <c r="D385" s="38">
        <v>9.5</v>
      </c>
      <c r="E385" s="38">
        <v>28</v>
      </c>
      <c r="F385" s="38">
        <v>6.5</v>
      </c>
      <c r="G385" s="38">
        <v>13</v>
      </c>
      <c r="H385" s="38">
        <v>8</v>
      </c>
      <c r="I385" s="38">
        <v>26</v>
      </c>
      <c r="J385" s="38">
        <v>9.5</v>
      </c>
      <c r="K385" s="38">
        <v>2</v>
      </c>
      <c r="L385" s="38">
        <v>8</v>
      </c>
      <c r="M385" s="36"/>
      <c r="N385" s="36"/>
      <c r="O385" s="36"/>
      <c r="P385" s="36"/>
      <c r="Q385" s="38">
        <v>2</v>
      </c>
      <c r="R385" s="38">
        <v>5.75</v>
      </c>
      <c r="S385" s="36"/>
      <c r="T385" s="36"/>
      <c r="U385" s="36"/>
      <c r="V385" s="36"/>
      <c r="W385" s="36"/>
      <c r="X385" s="36"/>
      <c r="Y385" s="36"/>
      <c r="Z385" s="38">
        <v>4</v>
      </c>
      <c r="AA385" s="38">
        <v>7.25</v>
      </c>
      <c r="AB385" s="36"/>
      <c r="AC385" s="36"/>
      <c r="AD385" s="36"/>
      <c r="AE385" s="36"/>
      <c r="AF385" s="36"/>
      <c r="AG385" s="36"/>
      <c r="AH385" s="36"/>
      <c r="AI385" s="38">
        <v>23</v>
      </c>
      <c r="AJ385" s="38">
        <v>0</v>
      </c>
      <c r="AK385" s="36"/>
      <c r="AL385" s="36"/>
      <c r="AM385" s="38">
        <v>33</v>
      </c>
      <c r="AN385" s="38">
        <v>9</v>
      </c>
      <c r="AO385" s="36"/>
      <c r="AP385" s="36"/>
      <c r="AQ385" s="36"/>
      <c r="AR385" s="36"/>
      <c r="AS385" s="38">
        <v>20.78</v>
      </c>
      <c r="AT385" s="36"/>
      <c r="AU385" s="36"/>
      <c r="AV385" s="36"/>
      <c r="AW385" s="38">
        <v>4</v>
      </c>
      <c r="AX385" s="38">
        <v>12.6</v>
      </c>
      <c r="AY385" s="38">
        <v>10</v>
      </c>
      <c r="AZ385" s="36"/>
      <c r="BA385" s="36"/>
      <c r="BB385" s="36"/>
      <c r="BC385" s="38">
        <v>7.5</v>
      </c>
      <c r="BD385" s="38">
        <v>6.67</v>
      </c>
      <c r="BE385" s="36"/>
      <c r="BF385" s="38">
        <v>5.8</v>
      </c>
      <c r="BG385" s="59">
        <v>24.71</v>
      </c>
      <c r="BH385" s="59">
        <v>2.67</v>
      </c>
      <c r="BI385" s="59">
        <v>0.49743210130726856</v>
      </c>
      <c r="BJ385" s="59"/>
      <c r="BK385" s="38">
        <v>5.4809999999999999</v>
      </c>
      <c r="BL385" s="59">
        <v>2.42</v>
      </c>
      <c r="BM385" s="38"/>
      <c r="BN385" s="38">
        <v>62</v>
      </c>
      <c r="BO385" s="36"/>
      <c r="BP385" s="39">
        <f t="shared" si="221"/>
        <v>0.46399193548387102</v>
      </c>
      <c r="BQ385" s="37"/>
      <c r="BR385" s="39">
        <f t="shared" si="222"/>
        <v>0.86493189914571711</v>
      </c>
      <c r="BS385" s="39">
        <f t="shared" si="245"/>
        <v>1.4832455300173129</v>
      </c>
      <c r="BT385" s="37"/>
      <c r="BU385" s="39">
        <f t="shared" si="252"/>
        <v>4.0594220077329055</v>
      </c>
      <c r="BV385" s="39">
        <f t="shared" si="233"/>
        <v>0.48804872832481072</v>
      </c>
      <c r="BW385" s="39">
        <f t="shared" si="217"/>
        <v>2.341054006119943</v>
      </c>
      <c r="BX385" s="39">
        <f t="shared" si="234"/>
        <v>0.33847262568905784</v>
      </c>
      <c r="BY385" s="39">
        <f t="shared" si="246"/>
        <v>4.7097307777848592</v>
      </c>
      <c r="BZ385" s="37"/>
      <c r="CA385" s="39">
        <f t="shared" si="218"/>
        <v>5.6066928247692784</v>
      </c>
      <c r="CB385" s="39">
        <f t="shared" si="219"/>
        <v>2.4754965582816371</v>
      </c>
      <c r="CC385" s="37"/>
      <c r="CD385" s="39">
        <f t="shared" si="251"/>
        <v>0.18791673387096777</v>
      </c>
      <c r="CE385" s="37"/>
      <c r="CF385" s="37"/>
      <c r="CG385" s="37"/>
      <c r="CH385" s="39">
        <f>BP385*12*AW385/(12*0.453592)</f>
        <v>4.0917118069443115</v>
      </c>
      <c r="CI385" s="37"/>
      <c r="CJ385" s="39">
        <f t="shared" si="237"/>
        <v>8.5942491255023026E-2</v>
      </c>
      <c r="CK385" s="37"/>
      <c r="CL385" s="37"/>
      <c r="CM385" s="37"/>
      <c r="CN385" s="37"/>
      <c r="CO385" s="39">
        <f>0.063495+(0.016949+0.014096)*Wages!P383+1.22592*BR385</f>
        <v>1.541566573276524</v>
      </c>
      <c r="CP385" s="39"/>
      <c r="CQ385" s="39">
        <f t="shared" si="247"/>
        <v>1.4832455300173129</v>
      </c>
      <c r="CR385" s="39">
        <f t="shared" si="243"/>
        <v>0.48804872832481072</v>
      </c>
      <c r="CS385" s="39">
        <f t="shared" si="243"/>
        <v>2.341054006119943</v>
      </c>
      <c r="CT385" s="39">
        <f t="shared" si="220"/>
        <v>5.6066928247692784</v>
      </c>
      <c r="CU385" s="39">
        <f t="shared" si="220"/>
        <v>2.4754965582816371</v>
      </c>
      <c r="CV385" s="39">
        <v>0.35</v>
      </c>
      <c r="CW385" s="39">
        <f t="shared" si="220"/>
        <v>0.18791673387096777</v>
      </c>
      <c r="CX385" s="39"/>
      <c r="CY385" s="39"/>
      <c r="CZ385" s="39">
        <f t="shared" si="224"/>
        <v>0.33847262568905784</v>
      </c>
      <c r="DA385" s="39">
        <f>CH385</f>
        <v>4.0917118069443115</v>
      </c>
      <c r="DB385" s="39">
        <f t="shared" si="253"/>
        <v>4.0594220077329055</v>
      </c>
      <c r="DC385" s="39">
        <f t="shared" si="225"/>
        <v>4.7097307777848592</v>
      </c>
      <c r="DD385" s="39">
        <v>4.2</v>
      </c>
      <c r="DE385" s="39">
        <v>5.1999999999999998E-2</v>
      </c>
      <c r="DF385" s="39">
        <v>8.5942491255023026E-2</v>
      </c>
      <c r="DG385" s="39">
        <f t="shared" si="226"/>
        <v>0</v>
      </c>
      <c r="DH385" s="39">
        <f t="shared" si="227"/>
        <v>5.8863482001358394</v>
      </c>
      <c r="DI385" s="39">
        <f t="shared" si="238"/>
        <v>3.5470919664461196</v>
      </c>
      <c r="DJ385" s="37"/>
      <c r="DK385" s="37"/>
      <c r="DL385" s="37"/>
      <c r="DM385" s="39">
        <f t="shared" si="235"/>
        <v>1.3534837031836262</v>
      </c>
      <c r="DN385" s="39"/>
      <c r="DO385" s="39">
        <f t="shared" si="236"/>
        <v>1.3534837031836262</v>
      </c>
      <c r="DP385" s="37"/>
      <c r="DQ385" s="37">
        <f>DO385/'Conversions, Sources &amp; Comments'!E383</f>
        <v>2.9170414390331039</v>
      </c>
    </row>
    <row r="386" spans="1:121">
      <c r="A386" s="42">
        <f t="shared" si="228"/>
        <v>1634</v>
      </c>
      <c r="B386" s="36"/>
      <c r="C386" s="38">
        <v>41</v>
      </c>
      <c r="D386" s="38">
        <v>7.75</v>
      </c>
      <c r="E386" s="38">
        <v>23</v>
      </c>
      <c r="F386" s="38">
        <v>7.5</v>
      </c>
      <c r="G386" s="38">
        <v>13</v>
      </c>
      <c r="H386" s="38">
        <v>4.75</v>
      </c>
      <c r="I386" s="38">
        <v>19</v>
      </c>
      <c r="J386" s="38">
        <v>10</v>
      </c>
      <c r="K386" s="38">
        <v>2</v>
      </c>
      <c r="L386" s="38">
        <v>10</v>
      </c>
      <c r="M386" s="36"/>
      <c r="N386" s="36"/>
      <c r="O386" s="36"/>
      <c r="P386" s="36"/>
      <c r="Q386" s="36"/>
      <c r="R386" s="36"/>
      <c r="S386" s="38">
        <v>3</v>
      </c>
      <c r="T386" s="38">
        <v>8.75</v>
      </c>
      <c r="U386" s="36"/>
      <c r="V386" s="36"/>
      <c r="W386" s="36"/>
      <c r="X386" s="36"/>
      <c r="Y386" s="36"/>
      <c r="Z386" s="38">
        <v>5</v>
      </c>
      <c r="AA386" s="38">
        <v>1.5</v>
      </c>
      <c r="AB386" s="36"/>
      <c r="AC386" s="36"/>
      <c r="AD386" s="36"/>
      <c r="AE386" s="36"/>
      <c r="AF386" s="36"/>
      <c r="AG386" s="38">
        <v>30</v>
      </c>
      <c r="AH386" s="38">
        <v>0</v>
      </c>
      <c r="AI386" s="38">
        <v>12</v>
      </c>
      <c r="AJ386" s="38">
        <v>0</v>
      </c>
      <c r="AK386" s="36"/>
      <c r="AL386" s="36"/>
      <c r="AM386" s="38">
        <v>33</v>
      </c>
      <c r="AN386" s="38">
        <v>9</v>
      </c>
      <c r="AO386" s="36"/>
      <c r="AP386" s="36"/>
      <c r="AQ386" s="36"/>
      <c r="AR386" s="36"/>
      <c r="AS386" s="38">
        <v>20.32</v>
      </c>
      <c r="AT386" s="36"/>
      <c r="AU386" s="36"/>
      <c r="AV386" s="36"/>
      <c r="AW386" s="36"/>
      <c r="AX386" s="38">
        <v>12.6</v>
      </c>
      <c r="AY386" s="38">
        <v>10</v>
      </c>
      <c r="AZ386" s="36"/>
      <c r="BA386" s="36"/>
      <c r="BB386" s="36"/>
      <c r="BC386" s="38">
        <v>7.5</v>
      </c>
      <c r="BD386" s="38">
        <v>6.67</v>
      </c>
      <c r="BE386" s="36"/>
      <c r="BF386" s="38">
        <v>5.8</v>
      </c>
      <c r="BG386" s="59">
        <v>24.24</v>
      </c>
      <c r="BH386" s="59">
        <v>2.83</v>
      </c>
      <c r="BI386" s="59">
        <v>0.41314499525242593</v>
      </c>
      <c r="BJ386" s="59"/>
      <c r="BK386" s="38">
        <v>5.8320000000000007</v>
      </c>
      <c r="BL386" s="59">
        <v>3.07</v>
      </c>
      <c r="BM386" s="38"/>
      <c r="BN386" s="38">
        <v>62</v>
      </c>
      <c r="BO386" s="36"/>
      <c r="BP386" s="39">
        <f t="shared" si="221"/>
        <v>0.46399193548387102</v>
      </c>
      <c r="BQ386" s="37"/>
      <c r="BR386" s="39">
        <f t="shared" si="222"/>
        <v>0.82254941312668328</v>
      </c>
      <c r="BS386" s="39">
        <f t="shared" si="245"/>
        <v>1.4832455300173129</v>
      </c>
      <c r="BT386" s="37"/>
      <c r="BU386" s="39">
        <f t="shared" si="252"/>
        <v>4.0594220077329055</v>
      </c>
      <c r="BV386" s="39">
        <f t="shared" si="233"/>
        <v>0.47876572944530194</v>
      </c>
      <c r="BW386" s="39">
        <f t="shared" si="217"/>
        <v>2.481341886636494</v>
      </c>
      <c r="BX386" s="39">
        <f t="shared" si="234"/>
        <v>0.28112031966952311</v>
      </c>
      <c r="BY386" s="39">
        <f t="shared" si="246"/>
        <v>5.242505752647399</v>
      </c>
      <c r="BZ386" s="37"/>
      <c r="CA386" s="39">
        <f t="shared" si="218"/>
        <v>5.9657421189663271</v>
      </c>
      <c r="CB386" s="39">
        <f t="shared" si="219"/>
        <v>3.1404026586465394</v>
      </c>
      <c r="CC386" s="39">
        <f>2*BP386*(12*S386+T386)/120</f>
        <v>0.34606065188172047</v>
      </c>
      <c r="CD386" s="39">
        <f t="shared" si="251"/>
        <v>0.18791673387096777</v>
      </c>
      <c r="CE386" s="37"/>
      <c r="CF386" s="37"/>
      <c r="CG386" s="37"/>
      <c r="CH386" s="37"/>
      <c r="CI386" s="37"/>
      <c r="CJ386" s="39">
        <f t="shared" si="237"/>
        <v>8.4040010697885845E-2</v>
      </c>
      <c r="CK386" s="37"/>
      <c r="CL386" s="39">
        <f>BP386*(12*AG386+AH386)/100</f>
        <v>1.6703709677419356</v>
      </c>
      <c r="CM386" s="37"/>
      <c r="CN386" s="37"/>
      <c r="CO386" s="39">
        <f>0.063495+(0.016949+0.014096)*Wages!P384+1.22592*BR386</f>
        <v>1.4896090360160699</v>
      </c>
      <c r="CP386" s="39"/>
      <c r="CQ386" s="39">
        <f t="shared" si="247"/>
        <v>1.4832455300173129</v>
      </c>
      <c r="CR386" s="39">
        <f t="shared" si="243"/>
        <v>0.47876572944530194</v>
      </c>
      <c r="CS386" s="39">
        <f t="shared" si="243"/>
        <v>2.481341886636494</v>
      </c>
      <c r="CT386" s="39">
        <f t="shared" si="220"/>
        <v>5.9657421189663271</v>
      </c>
      <c r="CU386" s="39">
        <f t="shared" si="220"/>
        <v>3.1404026586465394</v>
      </c>
      <c r="CV386" s="39">
        <f>CC386</f>
        <v>0.34606065188172047</v>
      </c>
      <c r="CW386" s="39">
        <f t="shared" si="220"/>
        <v>0.18791673387096777</v>
      </c>
      <c r="CX386" s="39"/>
      <c r="CY386" s="39"/>
      <c r="CZ386" s="39">
        <f t="shared" si="224"/>
        <v>0.28112031966952311</v>
      </c>
      <c r="DA386" s="39">
        <v>3.5</v>
      </c>
      <c r="DB386" s="39">
        <f t="shared" si="253"/>
        <v>4.0594220077329055</v>
      </c>
      <c r="DC386" s="39">
        <f t="shared" si="225"/>
        <v>5.242505752647399</v>
      </c>
      <c r="DD386" s="39">
        <v>4.2</v>
      </c>
      <c r="DE386" s="39">
        <v>5.1999999999999998E-2</v>
      </c>
      <c r="DF386" s="39">
        <v>8.4040010697885845E-2</v>
      </c>
      <c r="DG386" s="39">
        <f t="shared" si="226"/>
        <v>1.6703709677419356</v>
      </c>
      <c r="DH386" s="39">
        <f t="shared" si="227"/>
        <v>5.8863482001358394</v>
      </c>
      <c r="DI386" s="39">
        <f t="shared" si="238"/>
        <v>3.4685711625690638</v>
      </c>
      <c r="DJ386" s="37"/>
      <c r="DK386" s="37"/>
      <c r="DL386" s="37"/>
      <c r="DM386" s="39">
        <f t="shared" si="235"/>
        <v>1.3479236362137841</v>
      </c>
      <c r="DN386" s="39"/>
      <c r="DO386" s="39">
        <f t="shared" si="236"/>
        <v>1.3479236362137841</v>
      </c>
      <c r="DP386" s="37"/>
      <c r="DQ386" s="37">
        <f>DO386/'Conversions, Sources &amp; Comments'!E384</f>
        <v>2.9050583278093196</v>
      </c>
    </row>
    <row r="387" spans="1:121">
      <c r="A387" s="42">
        <f t="shared" si="228"/>
        <v>1635</v>
      </c>
      <c r="B387" s="36"/>
      <c r="C387" s="38">
        <v>44</v>
      </c>
      <c r="D387" s="38">
        <v>9.5</v>
      </c>
      <c r="E387" s="38">
        <v>20</v>
      </c>
      <c r="F387" s="38">
        <v>6.25</v>
      </c>
      <c r="G387" s="38">
        <v>16</v>
      </c>
      <c r="H387" s="38">
        <v>2</v>
      </c>
      <c r="I387" s="38">
        <v>20</v>
      </c>
      <c r="J387" s="38">
        <v>0</v>
      </c>
      <c r="K387" s="38">
        <v>3</v>
      </c>
      <c r="L387" s="38">
        <v>0</v>
      </c>
      <c r="M387" s="36"/>
      <c r="N387" s="36"/>
      <c r="O387" s="36"/>
      <c r="P387" s="36"/>
      <c r="Q387" s="38">
        <v>3</v>
      </c>
      <c r="R387" s="38">
        <v>4</v>
      </c>
      <c r="S387" s="38">
        <v>3</v>
      </c>
      <c r="T387" s="38">
        <v>7.75</v>
      </c>
      <c r="U387" s="36"/>
      <c r="V387" s="36"/>
      <c r="W387" s="36"/>
      <c r="X387" s="36"/>
      <c r="Y387" s="36"/>
      <c r="Z387" s="38">
        <v>5</v>
      </c>
      <c r="AA387" s="38">
        <v>1.75</v>
      </c>
      <c r="AB387" s="36"/>
      <c r="AC387" s="36"/>
      <c r="AD387" s="36"/>
      <c r="AE387" s="36"/>
      <c r="AF387" s="36"/>
      <c r="AG387" s="38">
        <v>25</v>
      </c>
      <c r="AH387" s="38">
        <v>0</v>
      </c>
      <c r="AI387" s="36"/>
      <c r="AJ387" s="36"/>
      <c r="AK387" s="36"/>
      <c r="AL387" s="36"/>
      <c r="AM387" s="38">
        <v>33</v>
      </c>
      <c r="AN387" s="38">
        <v>9</v>
      </c>
      <c r="AO387" s="36"/>
      <c r="AP387" s="36"/>
      <c r="AQ387" s="36"/>
      <c r="AR387" s="36"/>
      <c r="AS387" s="38">
        <v>21.96</v>
      </c>
      <c r="AT387" s="36"/>
      <c r="AU387" s="36"/>
      <c r="AV387" s="36"/>
      <c r="AW387" s="36"/>
      <c r="AX387" s="38">
        <v>13.9</v>
      </c>
      <c r="AY387" s="38">
        <v>10</v>
      </c>
      <c r="AZ387" s="36"/>
      <c r="BA387" s="36"/>
      <c r="BB387" s="36"/>
      <c r="BC387" s="38">
        <v>7.5</v>
      </c>
      <c r="BD387" s="38">
        <v>6.67</v>
      </c>
      <c r="BE387" s="36"/>
      <c r="BF387" s="38">
        <v>6.1</v>
      </c>
      <c r="BG387" s="59">
        <v>25.05</v>
      </c>
      <c r="BH387" s="59">
        <v>3</v>
      </c>
      <c r="BI387" s="59">
        <v>0.39380041353492012</v>
      </c>
      <c r="BJ387" s="59"/>
      <c r="BK387" s="38">
        <v>5.8455000000000004</v>
      </c>
      <c r="BL387" s="59">
        <v>2.82</v>
      </c>
      <c r="BM387" s="38"/>
      <c r="BN387" s="38">
        <v>62</v>
      </c>
      <c r="BO387" s="36"/>
      <c r="BP387" s="39">
        <f t="shared" si="221"/>
        <v>0.46399193548387102</v>
      </c>
      <c r="BQ387" s="37"/>
      <c r="BR387" s="39">
        <f t="shared" si="222"/>
        <v>0.88468296059148033</v>
      </c>
      <c r="BS387" s="39">
        <f t="shared" si="245"/>
        <v>1.5599651263975187</v>
      </c>
      <c r="BT387" s="37"/>
      <c r="BU387" s="39">
        <f t="shared" si="252"/>
        <v>4.0594220077329055</v>
      </c>
      <c r="BV387" s="39">
        <f t="shared" si="233"/>
        <v>0.49476408921637022</v>
      </c>
      <c r="BW387" s="39">
        <f t="shared" si="217"/>
        <v>2.6303977596853287</v>
      </c>
      <c r="BX387" s="39">
        <f t="shared" si="234"/>
        <v>0.26795749533717023</v>
      </c>
      <c r="BY387" s="39">
        <f t="shared" si="246"/>
        <v>5.263816751641901</v>
      </c>
      <c r="BZ387" s="37"/>
      <c r="CA387" s="39">
        <f t="shared" si="218"/>
        <v>5.9795517072046751</v>
      </c>
      <c r="CB387" s="39">
        <f t="shared" si="219"/>
        <v>2.8846695431215772</v>
      </c>
      <c r="CC387" s="39">
        <f>2*BP387*(12*S387+T387)/120</f>
        <v>0.33832745295698924</v>
      </c>
      <c r="CD387" s="39">
        <f t="shared" si="251"/>
        <v>0.18791673387096777</v>
      </c>
      <c r="CE387" s="37"/>
      <c r="CF387" s="37"/>
      <c r="CG387" s="37"/>
      <c r="CH387" s="37"/>
      <c r="CI387" s="37"/>
      <c r="CJ387" s="39">
        <f t="shared" si="237"/>
        <v>9.0822767466809715E-2</v>
      </c>
      <c r="CK387" s="37"/>
      <c r="CL387" s="39">
        <f>BP387*(12*AG387+AH387)/100</f>
        <v>1.391975806451613</v>
      </c>
      <c r="CM387" s="37"/>
      <c r="CN387" s="37"/>
      <c r="CO387" s="39">
        <f>0.063495+(0.016949+0.014096)*Wages!P385+1.22592*BR387</f>
        <v>1.5657797945241141</v>
      </c>
      <c r="CP387" s="39"/>
      <c r="CQ387" s="39">
        <f t="shared" si="247"/>
        <v>1.5599651263975187</v>
      </c>
      <c r="CR387" s="39">
        <f t="shared" si="243"/>
        <v>0.49476408921637022</v>
      </c>
      <c r="CS387" s="39">
        <f t="shared" si="243"/>
        <v>2.6303977596853287</v>
      </c>
      <c r="CT387" s="39">
        <f t="shared" si="220"/>
        <v>5.9795517072046751</v>
      </c>
      <c r="CU387" s="39">
        <f t="shared" si="220"/>
        <v>2.8846695431215772</v>
      </c>
      <c r="CV387" s="39">
        <f>CC387</f>
        <v>0.33832745295698924</v>
      </c>
      <c r="CW387" s="39">
        <f t="shared" si="220"/>
        <v>0.18791673387096777</v>
      </c>
      <c r="CX387" s="39"/>
      <c r="CY387" s="39"/>
      <c r="CZ387" s="39">
        <f t="shared" si="224"/>
        <v>0.26795749533717023</v>
      </c>
      <c r="DA387" s="39">
        <v>3.5</v>
      </c>
      <c r="DB387" s="39">
        <f t="shared" si="253"/>
        <v>4.0594220077329055</v>
      </c>
      <c r="DC387" s="39">
        <f t="shared" si="225"/>
        <v>5.263816751641901</v>
      </c>
      <c r="DD387" s="39">
        <v>4.2</v>
      </c>
      <c r="DE387" s="39">
        <v>5.1999999999999998E-2</v>
      </c>
      <c r="DF387" s="39">
        <v>9.0822767466809715E-2</v>
      </c>
      <c r="DG387" s="39">
        <f t="shared" si="226"/>
        <v>1.391975806451613</v>
      </c>
      <c r="DH387" s="39">
        <f t="shared" si="227"/>
        <v>5.8863482001358394</v>
      </c>
      <c r="DI387" s="39">
        <f t="shared" si="238"/>
        <v>3.7485148981307406</v>
      </c>
      <c r="DJ387" s="37"/>
      <c r="DK387" s="37"/>
      <c r="DL387" s="37"/>
      <c r="DM387" s="39">
        <f t="shared" si="235"/>
        <v>1.3832816159603674</v>
      </c>
      <c r="DN387" s="39"/>
      <c r="DO387" s="39">
        <f t="shared" si="236"/>
        <v>1.3832816159603674</v>
      </c>
      <c r="DP387" s="37"/>
      <c r="DQ387" s="37">
        <f>DO387/'Conversions, Sources &amp; Comments'!E385</f>
        <v>2.9812621948220306</v>
      </c>
    </row>
    <row r="388" spans="1:121">
      <c r="A388" s="42">
        <f t="shared" si="228"/>
        <v>1636</v>
      </c>
      <c r="B388" s="36"/>
      <c r="C388" s="38">
        <v>43</v>
      </c>
      <c r="D388" s="38">
        <v>7.75</v>
      </c>
      <c r="E388" s="38">
        <v>22</v>
      </c>
      <c r="F388" s="38">
        <v>5.25</v>
      </c>
      <c r="G388" s="38">
        <v>15</v>
      </c>
      <c r="H388" s="38">
        <v>5.75</v>
      </c>
      <c r="I388" s="36"/>
      <c r="J388" s="36"/>
      <c r="K388" s="38">
        <v>3</v>
      </c>
      <c r="L388" s="38">
        <v>0</v>
      </c>
      <c r="M388" s="36"/>
      <c r="N388" s="36"/>
      <c r="O388" s="36"/>
      <c r="P388" s="36"/>
      <c r="Q388" s="38">
        <v>4</v>
      </c>
      <c r="R388" s="38">
        <v>3</v>
      </c>
      <c r="S388" s="38">
        <v>2</v>
      </c>
      <c r="T388" s="38">
        <v>10</v>
      </c>
      <c r="U388" s="36"/>
      <c r="V388" s="36"/>
      <c r="W388" s="36"/>
      <c r="X388" s="36"/>
      <c r="Y388" s="36"/>
      <c r="Z388" s="38">
        <v>4</v>
      </c>
      <c r="AA388" s="38">
        <v>8</v>
      </c>
      <c r="AB388" s="36"/>
      <c r="AC388" s="36"/>
      <c r="AD388" s="36"/>
      <c r="AE388" s="36"/>
      <c r="AF388" s="36"/>
      <c r="AG388" s="36"/>
      <c r="AH388" s="36"/>
      <c r="AI388" s="38">
        <v>26</v>
      </c>
      <c r="AJ388" s="38">
        <v>1.5</v>
      </c>
      <c r="AK388" s="36"/>
      <c r="AL388" s="36"/>
      <c r="AM388" s="38">
        <v>33</v>
      </c>
      <c r="AN388" s="38">
        <v>9</v>
      </c>
      <c r="AO388" s="36"/>
      <c r="AP388" s="36"/>
      <c r="AQ388" s="36"/>
      <c r="AR388" s="36"/>
      <c r="AS388" s="38">
        <v>22.17</v>
      </c>
      <c r="AT388" s="36"/>
      <c r="AU388" s="36"/>
      <c r="AV388" s="36"/>
      <c r="AW388" s="36"/>
      <c r="AX388" s="38">
        <v>12.9</v>
      </c>
      <c r="AY388" s="38">
        <v>10</v>
      </c>
      <c r="AZ388" s="36"/>
      <c r="BA388" s="36"/>
      <c r="BB388" s="36"/>
      <c r="BC388" s="38">
        <v>7.5</v>
      </c>
      <c r="BD388" s="38">
        <v>6.67</v>
      </c>
      <c r="BE388" s="36"/>
      <c r="BF388" s="38">
        <v>5.4</v>
      </c>
      <c r="BG388" s="59">
        <v>35.26</v>
      </c>
      <c r="BH388" s="59">
        <v>3</v>
      </c>
      <c r="BI388" s="59">
        <v>0.45736118203529441</v>
      </c>
      <c r="BJ388" s="59"/>
      <c r="BK388" s="38">
        <v>5.8049999999999997</v>
      </c>
      <c r="BL388" s="59">
        <v>4.1900000000000004</v>
      </c>
      <c r="BM388" s="38"/>
      <c r="BN388" s="38">
        <v>62</v>
      </c>
      <c r="BO388" s="36"/>
      <c r="BP388" s="39">
        <f t="shared" si="221"/>
        <v>0.46399193548387102</v>
      </c>
      <c r="BQ388" s="37"/>
      <c r="BR388" s="39">
        <f t="shared" si="222"/>
        <v>0.86205153601820994</v>
      </c>
      <c r="BS388" s="39">
        <f t="shared" si="245"/>
        <v>1.3809527348437054</v>
      </c>
      <c r="BT388" s="37"/>
      <c r="BU388" s="39">
        <f t="shared" si="252"/>
        <v>4.0594220077329055</v>
      </c>
      <c r="BV388" s="39">
        <f t="shared" si="233"/>
        <v>0.69642242657761333</v>
      </c>
      <c r="BW388" s="39">
        <f t="shared" si="217"/>
        <v>2.6303977596853287</v>
      </c>
      <c r="BX388" s="39">
        <f t="shared" si="234"/>
        <v>0.31120677528632834</v>
      </c>
      <c r="BY388" s="39">
        <f t="shared" si="246"/>
        <v>4.7736637747683632</v>
      </c>
      <c r="BZ388" s="37"/>
      <c r="CA388" s="39">
        <f t="shared" si="218"/>
        <v>5.9381229424896294</v>
      </c>
      <c r="CB388" s="39">
        <f t="shared" si="219"/>
        <v>4.2860870161983726</v>
      </c>
      <c r="CC388" s="39">
        <f>2*BP388*(12*S388+T388)/120</f>
        <v>0.26292876344086025</v>
      </c>
      <c r="CD388" s="39">
        <f t="shared" si="251"/>
        <v>0.18791673387096777</v>
      </c>
      <c r="CE388" s="37"/>
      <c r="CF388" s="37"/>
      <c r="CG388" s="37"/>
      <c r="CH388" s="37"/>
      <c r="CI388" s="37"/>
      <c r="CJ388" s="39">
        <f t="shared" si="237"/>
        <v>9.1691291199415825E-2</v>
      </c>
      <c r="CK388" s="37"/>
      <c r="CL388" s="37"/>
      <c r="CM388" s="37"/>
      <c r="CN388" s="37"/>
      <c r="CO388" s="39">
        <f>0.063495+(0.016949+0.014096)*Wages!P386+1.22592*BR388</f>
        <v>1.5380354785112504</v>
      </c>
      <c r="CP388" s="39"/>
      <c r="CQ388" s="39">
        <f t="shared" si="247"/>
        <v>1.3809527348437054</v>
      </c>
      <c r="CR388" s="39">
        <f t="shared" si="243"/>
        <v>0.69642242657761333</v>
      </c>
      <c r="CS388" s="39">
        <f t="shared" si="243"/>
        <v>2.6303977596853287</v>
      </c>
      <c r="CT388" s="39">
        <f t="shared" si="220"/>
        <v>5.9381229424896294</v>
      </c>
      <c r="CU388" s="39">
        <f t="shared" si="220"/>
        <v>4.2860870161983726</v>
      </c>
      <c r="CV388" s="39">
        <f>CC388</f>
        <v>0.26292876344086025</v>
      </c>
      <c r="CW388" s="39">
        <f t="shared" si="220"/>
        <v>0.18791673387096777</v>
      </c>
      <c r="CX388" s="39"/>
      <c r="CY388" s="39"/>
      <c r="CZ388" s="39">
        <f t="shared" si="224"/>
        <v>0.31120677528632834</v>
      </c>
      <c r="DA388" s="39">
        <v>3.5</v>
      </c>
      <c r="DB388" s="39">
        <f t="shared" si="253"/>
        <v>4.0594220077329055</v>
      </c>
      <c r="DC388" s="39">
        <f t="shared" si="225"/>
        <v>4.7736637747683632</v>
      </c>
      <c r="DD388" s="39">
        <v>4.2</v>
      </c>
      <c r="DE388" s="39">
        <v>5.1999999999999998E-2</v>
      </c>
      <c r="DF388" s="39">
        <v>9.1691291199415811E-2</v>
      </c>
      <c r="DG388" s="39">
        <f t="shared" si="226"/>
        <v>0</v>
      </c>
      <c r="DH388" s="39">
        <f t="shared" si="227"/>
        <v>5.8863482001358394</v>
      </c>
      <c r="DI388" s="39">
        <f t="shared" si="238"/>
        <v>3.784361352074614</v>
      </c>
      <c r="DJ388" s="37"/>
      <c r="DK388" s="37"/>
      <c r="DL388" s="37"/>
      <c r="DM388" s="39">
        <f t="shared" si="235"/>
        <v>1.3535253379086614</v>
      </c>
      <c r="DN388" s="39"/>
      <c r="DO388" s="39">
        <f t="shared" si="236"/>
        <v>1.3535253379086614</v>
      </c>
      <c r="DP388" s="37"/>
      <c r="DQ388" s="37">
        <f>DO388/'Conversions, Sources &amp; Comments'!E386</f>
        <v>2.9171311706035281</v>
      </c>
    </row>
    <row r="389" spans="1:121">
      <c r="A389" s="42">
        <f t="shared" si="228"/>
        <v>1637</v>
      </c>
      <c r="B389" s="36"/>
      <c r="C389" s="38">
        <v>47</v>
      </c>
      <c r="D389" s="38">
        <v>9.5</v>
      </c>
      <c r="E389" s="38">
        <v>38</v>
      </c>
      <c r="F389" s="38">
        <v>6.25</v>
      </c>
      <c r="G389" s="38">
        <v>17</v>
      </c>
      <c r="H389" s="38">
        <v>8.75</v>
      </c>
      <c r="I389" s="38">
        <v>24</v>
      </c>
      <c r="J389" s="38">
        <v>0</v>
      </c>
      <c r="K389" s="38">
        <v>3</v>
      </c>
      <c r="L389" s="38">
        <v>0</v>
      </c>
      <c r="M389" s="36"/>
      <c r="N389" s="36"/>
      <c r="O389" s="36"/>
      <c r="P389" s="36"/>
      <c r="Q389" s="38">
        <v>3</v>
      </c>
      <c r="R389" s="38">
        <v>0</v>
      </c>
      <c r="S389" s="36"/>
      <c r="T389" s="36"/>
      <c r="U389" s="36"/>
      <c r="V389" s="36"/>
      <c r="W389" s="36"/>
      <c r="X389" s="36"/>
      <c r="Y389" s="36"/>
      <c r="Z389" s="38">
        <v>4</v>
      </c>
      <c r="AA389" s="38">
        <v>10</v>
      </c>
      <c r="AB389" s="36"/>
      <c r="AC389" s="36"/>
      <c r="AD389" s="36"/>
      <c r="AE389" s="36"/>
      <c r="AF389" s="36"/>
      <c r="AG389" s="38">
        <v>34</v>
      </c>
      <c r="AH389" s="38">
        <v>0</v>
      </c>
      <c r="AI389" s="36"/>
      <c r="AJ389" s="36"/>
      <c r="AK389" s="36"/>
      <c r="AL389" s="36"/>
      <c r="AM389" s="38">
        <v>33</v>
      </c>
      <c r="AN389" s="38">
        <v>9</v>
      </c>
      <c r="AO389" s="36"/>
      <c r="AP389" s="36"/>
      <c r="AQ389" s="36"/>
      <c r="AR389" s="36"/>
      <c r="AS389" s="38">
        <v>20.34</v>
      </c>
      <c r="AT389" s="36"/>
      <c r="AU389" s="36"/>
      <c r="AV389" s="36"/>
      <c r="AW389" s="36"/>
      <c r="AX389" s="38">
        <v>13.3</v>
      </c>
      <c r="AY389" s="38">
        <v>10</v>
      </c>
      <c r="AZ389" s="36"/>
      <c r="BA389" s="36"/>
      <c r="BB389" s="36"/>
      <c r="BC389" s="38">
        <v>7.5</v>
      </c>
      <c r="BD389" s="38">
        <v>6.67</v>
      </c>
      <c r="BE389" s="36"/>
      <c r="BF389" s="38">
        <v>6.2</v>
      </c>
      <c r="BG389" s="59">
        <v>51.19</v>
      </c>
      <c r="BH389" s="59">
        <v>3</v>
      </c>
      <c r="BI389" s="59">
        <v>0.60106378907961522</v>
      </c>
      <c r="BJ389" s="59"/>
      <c r="BK389" s="38">
        <v>6.8580000000000005</v>
      </c>
      <c r="BL389" s="59">
        <v>3.04</v>
      </c>
      <c r="BM389" s="38"/>
      <c r="BN389" s="38">
        <v>62</v>
      </c>
      <c r="BO389" s="36"/>
      <c r="BP389" s="39">
        <f t="shared" si="221"/>
        <v>0.46399193548387102</v>
      </c>
      <c r="BQ389" s="37"/>
      <c r="BR389" s="39">
        <f t="shared" si="222"/>
        <v>0.94393614492877009</v>
      </c>
      <c r="BS389" s="39">
        <f t="shared" si="245"/>
        <v>1.5855383251909207</v>
      </c>
      <c r="BT389" s="37"/>
      <c r="BU389" s="39">
        <f t="shared" si="252"/>
        <v>4.0594220077329055</v>
      </c>
      <c r="BV389" s="39">
        <f t="shared" si="233"/>
        <v>1.0110568354086225</v>
      </c>
      <c r="BW389" s="39">
        <f t="shared" si="217"/>
        <v>2.6303977596853287</v>
      </c>
      <c r="BX389" s="39">
        <f t="shared" si="234"/>
        <v>0.40898775604094423</v>
      </c>
      <c r="BY389" s="39">
        <f t="shared" si="246"/>
        <v>4.9441517667243762</v>
      </c>
      <c r="BZ389" s="37"/>
      <c r="CA389" s="39">
        <f t="shared" si="218"/>
        <v>7.0152708250807727</v>
      </c>
      <c r="CB389" s="39">
        <f t="shared" si="219"/>
        <v>3.1097146847835444</v>
      </c>
      <c r="CC389" s="37"/>
      <c r="CD389" s="39">
        <f t="shared" si="251"/>
        <v>0.18791673387096777</v>
      </c>
      <c r="CE389" s="37"/>
      <c r="CF389" s="37"/>
      <c r="CG389" s="37"/>
      <c r="CH389" s="37"/>
      <c r="CI389" s="37"/>
      <c r="CJ389" s="39">
        <f t="shared" si="237"/>
        <v>8.4122727243848325E-2</v>
      </c>
      <c r="CK389" s="37"/>
      <c r="CL389" s="39">
        <f>BP389*(12*AG389+AH389)/100</f>
        <v>1.893087096774194</v>
      </c>
      <c r="CM389" s="37"/>
      <c r="CN389" s="37"/>
      <c r="CO389" s="39">
        <f>0.063495+(0.016949+0.014096)*Wages!P387+1.22592*BR389</f>
        <v>1.6384194582668843</v>
      </c>
      <c r="CP389" s="39"/>
      <c r="CQ389" s="39">
        <f t="shared" si="247"/>
        <v>1.5855383251909207</v>
      </c>
      <c r="CR389" s="39">
        <f t="shared" si="243"/>
        <v>1.0110568354086225</v>
      </c>
      <c r="CS389" s="39">
        <f t="shared" si="243"/>
        <v>2.6303977596853287</v>
      </c>
      <c r="CT389" s="39">
        <f t="shared" si="220"/>
        <v>7.0152708250807727</v>
      </c>
      <c r="CU389" s="39">
        <f t="shared" si="220"/>
        <v>3.1097146847835444</v>
      </c>
      <c r="CV389" s="39">
        <v>0.28999999999999998</v>
      </c>
      <c r="CW389" s="39">
        <f t="shared" si="220"/>
        <v>0.18791673387096777</v>
      </c>
      <c r="CX389" s="39"/>
      <c r="CY389" s="39"/>
      <c r="CZ389" s="39">
        <f t="shared" si="224"/>
        <v>0.40898775604094423</v>
      </c>
      <c r="DA389" s="39">
        <v>3.5</v>
      </c>
      <c r="DB389" s="39">
        <f t="shared" si="253"/>
        <v>4.0594220077329055</v>
      </c>
      <c r="DC389" s="39">
        <f t="shared" si="225"/>
        <v>4.9441517667243762</v>
      </c>
      <c r="DD389" s="39">
        <v>4.2</v>
      </c>
      <c r="DE389" s="39">
        <v>5.1999999999999998E-2</v>
      </c>
      <c r="DF389" s="39">
        <v>8.4122727243848339E-2</v>
      </c>
      <c r="DG389" s="39">
        <f t="shared" si="226"/>
        <v>1.893087096774194</v>
      </c>
      <c r="DH389" s="39">
        <f t="shared" si="227"/>
        <v>5.8863482001358394</v>
      </c>
      <c r="DI389" s="39">
        <f t="shared" si="238"/>
        <v>3.4719851105637192</v>
      </c>
      <c r="DJ389" s="37"/>
      <c r="DK389" s="37"/>
      <c r="DL389" s="37"/>
      <c r="DM389" s="39">
        <f t="shared" si="235"/>
        <v>1.5288132121440434</v>
      </c>
      <c r="DN389" s="39"/>
      <c r="DO389" s="39">
        <f t="shared" si="236"/>
        <v>1.5288132121440434</v>
      </c>
      <c r="DP389" s="37"/>
      <c r="DQ389" s="37">
        <f>DO389/'Conversions, Sources &amp; Comments'!E387</f>
        <v>3.2949133276416331</v>
      </c>
    </row>
    <row r="390" spans="1:121">
      <c r="A390" s="42">
        <f t="shared" si="228"/>
        <v>1638</v>
      </c>
      <c r="B390" s="36"/>
      <c r="C390" s="38">
        <v>39</v>
      </c>
      <c r="D390" s="38">
        <v>4.75</v>
      </c>
      <c r="E390" s="38">
        <v>24</v>
      </c>
      <c r="F390" s="38">
        <v>3.75</v>
      </c>
      <c r="G390" s="38">
        <v>16</v>
      </c>
      <c r="H390" s="38">
        <v>2</v>
      </c>
      <c r="I390" s="36"/>
      <c r="J390" s="36"/>
      <c r="K390" s="38">
        <v>3</v>
      </c>
      <c r="L390" s="38">
        <v>0</v>
      </c>
      <c r="M390" s="36"/>
      <c r="N390" s="36"/>
      <c r="O390" s="36"/>
      <c r="P390" s="36"/>
      <c r="Q390" s="38">
        <v>2</v>
      </c>
      <c r="R390" s="38">
        <v>3.25</v>
      </c>
      <c r="S390" s="36"/>
      <c r="T390" s="36"/>
      <c r="U390" s="36"/>
      <c r="V390" s="36"/>
      <c r="W390" s="36"/>
      <c r="X390" s="36"/>
      <c r="Y390" s="36"/>
      <c r="Z390" s="38">
        <v>4</v>
      </c>
      <c r="AA390" s="38">
        <v>11</v>
      </c>
      <c r="AB390" s="36"/>
      <c r="AC390" s="36"/>
      <c r="AD390" s="36"/>
      <c r="AE390" s="36"/>
      <c r="AF390" s="36"/>
      <c r="AG390" s="36"/>
      <c r="AH390" s="36"/>
      <c r="AI390" s="38">
        <v>26</v>
      </c>
      <c r="AJ390" s="38">
        <v>6</v>
      </c>
      <c r="AK390" s="36"/>
      <c r="AL390" s="36"/>
      <c r="AM390" s="38">
        <v>33</v>
      </c>
      <c r="AN390" s="38">
        <v>9</v>
      </c>
      <c r="AO390" s="36"/>
      <c r="AP390" s="36"/>
      <c r="AQ390" s="36"/>
      <c r="AR390" s="36"/>
      <c r="AS390" s="36"/>
      <c r="AT390" s="36"/>
      <c r="AU390" s="36"/>
      <c r="AV390" s="36"/>
      <c r="AW390" s="36"/>
      <c r="AX390" s="38">
        <v>13.6</v>
      </c>
      <c r="AY390" s="38">
        <v>10</v>
      </c>
      <c r="AZ390" s="36"/>
      <c r="BA390" s="36"/>
      <c r="BB390" s="36"/>
      <c r="BC390" s="36"/>
      <c r="BD390" s="38">
        <v>6.67</v>
      </c>
      <c r="BE390" s="36"/>
      <c r="BF390" s="38">
        <v>5</v>
      </c>
      <c r="BG390" s="59">
        <v>23.94</v>
      </c>
      <c r="BH390" s="59">
        <v>3</v>
      </c>
      <c r="BI390" s="59">
        <v>0.48223278710065709</v>
      </c>
      <c r="BJ390" s="59"/>
      <c r="BK390" s="38">
        <v>6.0480000000000009</v>
      </c>
      <c r="BL390" s="59">
        <v>2.58</v>
      </c>
      <c r="BM390" s="38"/>
      <c r="BN390" s="38">
        <v>62</v>
      </c>
      <c r="BO390" s="36"/>
      <c r="BP390" s="39">
        <f t="shared" si="221"/>
        <v>0.46399193548387102</v>
      </c>
      <c r="BQ390" s="37"/>
      <c r="BR390" s="39">
        <f t="shared" si="222"/>
        <v>0.77810952487371599</v>
      </c>
      <c r="BS390" s="39">
        <f t="shared" si="245"/>
        <v>1.2786599396700973</v>
      </c>
      <c r="BT390" s="37"/>
      <c r="BU390" s="39">
        <f t="shared" si="252"/>
        <v>4.0594220077329055</v>
      </c>
      <c r="BV390" s="39">
        <f t="shared" si="233"/>
        <v>0.47284041101157298</v>
      </c>
      <c r="BW390" s="39">
        <f t="shared" si="217"/>
        <v>2.6303977596853287</v>
      </c>
      <c r="BX390" s="39">
        <f t="shared" si="234"/>
        <v>0.32813040657078074</v>
      </c>
      <c r="BY390" s="39">
        <f t="shared" si="246"/>
        <v>5.0293957627023831</v>
      </c>
      <c r="BZ390" s="37"/>
      <c r="CA390" s="39">
        <f t="shared" si="218"/>
        <v>6.186695530779895</v>
      </c>
      <c r="CB390" s="39">
        <f t="shared" si="219"/>
        <v>2.6391657522176133</v>
      </c>
      <c r="CC390" s="37"/>
      <c r="CD390" s="39">
        <f t="shared" si="251"/>
        <v>0.18791673387096777</v>
      </c>
      <c r="CE390" s="37"/>
      <c r="CF390" s="37"/>
      <c r="CG390" s="37"/>
      <c r="CH390" s="37"/>
      <c r="CI390" s="37"/>
      <c r="CJ390" s="39">
        <f t="shared" si="237"/>
        <v>0</v>
      </c>
      <c r="CK390" s="37"/>
      <c r="CL390" s="37"/>
      <c r="CM390" s="37"/>
      <c r="CN390" s="37"/>
      <c r="CO390" s="39">
        <f>0.063495+(0.016949+0.014096)*Wages!P388+1.22592*BR390</f>
        <v>1.4351292882089921</v>
      </c>
      <c r="CP390" s="39"/>
      <c r="CQ390" s="39">
        <f t="shared" si="247"/>
        <v>1.2786599396700973</v>
      </c>
      <c r="CR390" s="39">
        <f t="shared" si="243"/>
        <v>0.47284041101157298</v>
      </c>
      <c r="CS390" s="39">
        <f t="shared" si="243"/>
        <v>2.6303977596853287</v>
      </c>
      <c r="CT390" s="39">
        <f t="shared" si="220"/>
        <v>6.186695530779895</v>
      </c>
      <c r="CU390" s="39">
        <f t="shared" si="220"/>
        <v>2.6391657522176133</v>
      </c>
      <c r="CV390" s="39">
        <v>0.28999999999999998</v>
      </c>
      <c r="CW390" s="39">
        <f t="shared" si="220"/>
        <v>0.18791673387096777</v>
      </c>
      <c r="CX390" s="39"/>
      <c r="CY390" s="39"/>
      <c r="CZ390" s="39">
        <f t="shared" si="224"/>
        <v>0.32813040657078074</v>
      </c>
      <c r="DA390" s="39">
        <v>3.5</v>
      </c>
      <c r="DB390" s="39">
        <f t="shared" si="253"/>
        <v>4.0594220077329055</v>
      </c>
      <c r="DC390" s="39">
        <f t="shared" si="225"/>
        <v>5.0293957627023831</v>
      </c>
      <c r="DD390" s="39">
        <v>4.2</v>
      </c>
      <c r="DE390" s="39">
        <v>5.1999999999999998E-2</v>
      </c>
      <c r="DF390" s="39">
        <v>8.6999999999999994E-2</v>
      </c>
      <c r="DG390" s="39">
        <f t="shared" si="226"/>
        <v>0</v>
      </c>
      <c r="DH390" s="39">
        <f t="shared" si="227"/>
        <v>5.8863482001358394</v>
      </c>
      <c r="DI390" s="39">
        <f t="shared" si="238"/>
        <v>3.5907383713731482</v>
      </c>
      <c r="DJ390" s="37"/>
      <c r="DK390" s="37"/>
      <c r="DL390" s="37"/>
      <c r="DM390" s="39">
        <f t="shared" si="235"/>
        <v>1.2755249530408679</v>
      </c>
      <c r="DN390" s="39"/>
      <c r="DO390" s="39">
        <f t="shared" si="236"/>
        <v>1.2755249530408679</v>
      </c>
      <c r="DP390" s="37"/>
      <c r="DQ390" s="37">
        <f>DO390/'Conversions, Sources &amp; Comments'!E388</f>
        <v>2.7490239710970297</v>
      </c>
    </row>
    <row r="391" spans="1:121">
      <c r="A391" s="42">
        <f t="shared" si="228"/>
        <v>1639</v>
      </c>
      <c r="B391" s="36"/>
      <c r="C391" s="38">
        <v>35</v>
      </c>
      <c r="D391" s="38">
        <v>3.25</v>
      </c>
      <c r="E391" s="38">
        <v>17</v>
      </c>
      <c r="F391" s="38">
        <v>6</v>
      </c>
      <c r="G391" s="38">
        <v>11</v>
      </c>
      <c r="H391" s="38">
        <v>8.75</v>
      </c>
      <c r="I391" s="36"/>
      <c r="J391" s="36"/>
      <c r="K391" s="38">
        <v>3</v>
      </c>
      <c r="L391" s="38">
        <v>0</v>
      </c>
      <c r="M391" s="36"/>
      <c r="N391" s="36"/>
      <c r="O391" s="36"/>
      <c r="P391" s="36"/>
      <c r="Q391" s="36"/>
      <c r="R391" s="36"/>
      <c r="S391" s="38">
        <v>3</v>
      </c>
      <c r="T391" s="38">
        <v>6</v>
      </c>
      <c r="U391" s="36"/>
      <c r="V391" s="36"/>
      <c r="W391" s="36"/>
      <c r="X391" s="36"/>
      <c r="Y391" s="36"/>
      <c r="Z391" s="38">
        <v>4</v>
      </c>
      <c r="AA391" s="38">
        <v>10.5</v>
      </c>
      <c r="AB391" s="36"/>
      <c r="AC391" s="36"/>
      <c r="AD391" s="36"/>
      <c r="AE391" s="36"/>
      <c r="AF391" s="36"/>
      <c r="AG391" s="38">
        <v>26</v>
      </c>
      <c r="AH391" s="38">
        <v>8</v>
      </c>
      <c r="AI391" s="36"/>
      <c r="AJ391" s="36"/>
      <c r="AK391" s="36"/>
      <c r="AL391" s="36"/>
      <c r="AM391" s="38">
        <v>33</v>
      </c>
      <c r="AN391" s="38">
        <v>9</v>
      </c>
      <c r="AO391" s="36"/>
      <c r="AP391" s="36"/>
      <c r="AQ391" s="36"/>
      <c r="AR391" s="36"/>
      <c r="AS391" s="38">
        <v>22.13</v>
      </c>
      <c r="AT391" s="36"/>
      <c r="AU391" s="36"/>
      <c r="AV391" s="36"/>
      <c r="AW391" s="36"/>
      <c r="AX391" s="38">
        <v>14.3</v>
      </c>
      <c r="AY391" s="38">
        <v>10</v>
      </c>
      <c r="AZ391" s="38">
        <v>120</v>
      </c>
      <c r="BA391" s="36"/>
      <c r="BB391" s="36"/>
      <c r="BC391" s="38">
        <v>7.5</v>
      </c>
      <c r="BD391" s="38">
        <v>6.67</v>
      </c>
      <c r="BE391" s="36"/>
      <c r="BF391" s="38">
        <v>4.5999999999999996</v>
      </c>
      <c r="BG391" s="59">
        <v>16.920000000000002</v>
      </c>
      <c r="BH391" s="59">
        <v>3</v>
      </c>
      <c r="BI391" s="59">
        <v>0.35511125009991024</v>
      </c>
      <c r="BJ391" s="59"/>
      <c r="BK391" s="38">
        <v>5.7510000000000003</v>
      </c>
      <c r="BL391" s="59">
        <v>2.54</v>
      </c>
      <c r="BM391" s="38"/>
      <c r="BN391" s="38">
        <v>62</v>
      </c>
      <c r="BO391" s="36"/>
      <c r="BP391" s="39">
        <f t="shared" si="221"/>
        <v>0.46399193548387102</v>
      </c>
      <c r="BQ391" s="37"/>
      <c r="BR391" s="39">
        <f t="shared" si="222"/>
        <v>0.69663639640994246</v>
      </c>
      <c r="BS391" s="39">
        <f t="shared" si="245"/>
        <v>1.1763671444964894</v>
      </c>
      <c r="BT391" s="39">
        <f t="shared" ref="BT391:BT416" si="254">BP391*12*AZ391/(24*0.9144)</f>
        <v>30.445665057996788</v>
      </c>
      <c r="BU391" s="39">
        <f t="shared" si="252"/>
        <v>4.0594220077329055</v>
      </c>
      <c r="BV391" s="39">
        <f t="shared" si="233"/>
        <v>0.33418795966231474</v>
      </c>
      <c r="BW391" s="39">
        <f t="shared" si="217"/>
        <v>2.6303977596853287</v>
      </c>
      <c r="BX391" s="39">
        <f t="shared" si="234"/>
        <v>0.24163184667246565</v>
      </c>
      <c r="BY391" s="39">
        <f t="shared" si="246"/>
        <v>4.9867737647133801</v>
      </c>
      <c r="BZ391" s="37"/>
      <c r="CA391" s="39">
        <f t="shared" si="218"/>
        <v>5.8828845895362383</v>
      </c>
      <c r="CB391" s="39">
        <f t="shared" si="219"/>
        <v>2.598248453733619</v>
      </c>
      <c r="CC391" s="39">
        <f t="shared" ref="CC391:CC397" si="255">2*BP391*(12*S391+T391)/120</f>
        <v>0.32479435483870966</v>
      </c>
      <c r="CD391" s="39">
        <f t="shared" si="251"/>
        <v>0.18791673387096777</v>
      </c>
      <c r="CE391" s="37"/>
      <c r="CF391" s="37"/>
      <c r="CG391" s="37"/>
      <c r="CH391" s="37"/>
      <c r="CI391" s="37"/>
      <c r="CJ391" s="39">
        <f t="shared" si="237"/>
        <v>9.1525858107490837E-2</v>
      </c>
      <c r="CK391" s="37"/>
      <c r="CL391" s="39">
        <f>BP391*(12*AG391+AH391)/100</f>
        <v>1.4847741935483874</v>
      </c>
      <c r="CM391" s="37"/>
      <c r="CN391" s="37"/>
      <c r="CO391" s="39">
        <f>0.063495+(0.016949+0.014096)*Wages!P389+1.22592*BR391</f>
        <v>1.335249750562683</v>
      </c>
      <c r="CP391" s="39"/>
      <c r="CQ391" s="39">
        <f t="shared" si="247"/>
        <v>1.1763671444964894</v>
      </c>
      <c r="CR391" s="39">
        <f t="shared" si="243"/>
        <v>0.33418795966231474</v>
      </c>
      <c r="CS391" s="39">
        <f t="shared" si="243"/>
        <v>2.6303977596853287</v>
      </c>
      <c r="CT391" s="39">
        <f t="shared" si="220"/>
        <v>5.8828845895362383</v>
      </c>
      <c r="CU391" s="39">
        <f t="shared" si="220"/>
        <v>2.598248453733619</v>
      </c>
      <c r="CV391" s="39">
        <f t="shared" si="220"/>
        <v>0.32479435483870966</v>
      </c>
      <c r="CW391" s="39">
        <f t="shared" si="220"/>
        <v>0.18791673387096777</v>
      </c>
      <c r="CX391" s="39"/>
      <c r="CY391" s="39"/>
      <c r="CZ391" s="39">
        <f t="shared" si="224"/>
        <v>0.24163184667246565</v>
      </c>
      <c r="DA391" s="39">
        <v>3.5</v>
      </c>
      <c r="DB391" s="39">
        <f t="shared" si="253"/>
        <v>4.0594220077329055</v>
      </c>
      <c r="DC391" s="39">
        <f t="shared" si="225"/>
        <v>4.9867737647133801</v>
      </c>
      <c r="DD391" s="39">
        <v>4.2</v>
      </c>
      <c r="DE391" s="39">
        <v>5.1999999999999998E-2</v>
      </c>
      <c r="DF391" s="39">
        <v>9.1525858107490837E-2</v>
      </c>
      <c r="DG391" s="39">
        <f t="shared" si="226"/>
        <v>1.4847741935483874</v>
      </c>
      <c r="DH391" s="39">
        <f t="shared" si="227"/>
        <v>5.8863482001358394</v>
      </c>
      <c r="DI391" s="39">
        <f t="shared" si="238"/>
        <v>3.7775334560853042</v>
      </c>
      <c r="DJ391" s="37"/>
      <c r="DK391" s="37"/>
      <c r="DL391" s="37"/>
      <c r="DM391" s="39">
        <f t="shared" si="235"/>
        <v>1.1751051356661844</v>
      </c>
      <c r="DN391" s="39"/>
      <c r="DO391" s="39">
        <f t="shared" si="236"/>
        <v>1.1751051356661844</v>
      </c>
      <c r="DP391" s="37"/>
      <c r="DQ391" s="37">
        <f>DO391/'Conversions, Sources &amp; Comments'!E389</f>
        <v>2.5325981893214018</v>
      </c>
    </row>
    <row r="392" spans="1:121">
      <c r="A392" s="42">
        <f t="shared" si="228"/>
        <v>1640</v>
      </c>
      <c r="B392" s="36"/>
      <c r="C392" s="38">
        <v>43</v>
      </c>
      <c r="D392" s="38">
        <v>11.5</v>
      </c>
      <c r="E392" s="38">
        <v>26</v>
      </c>
      <c r="F392" s="38">
        <v>0</v>
      </c>
      <c r="G392" s="38">
        <v>15</v>
      </c>
      <c r="H392" s="38">
        <v>1.25</v>
      </c>
      <c r="I392" s="36"/>
      <c r="J392" s="36"/>
      <c r="K392" s="38">
        <v>3</v>
      </c>
      <c r="L392" s="38">
        <v>0</v>
      </c>
      <c r="M392" s="36"/>
      <c r="N392" s="36"/>
      <c r="O392" s="36"/>
      <c r="P392" s="36"/>
      <c r="Q392" s="36"/>
      <c r="R392" s="36"/>
      <c r="S392" s="38">
        <v>3</v>
      </c>
      <c r="T392" s="38">
        <v>6</v>
      </c>
      <c r="U392" s="36"/>
      <c r="V392" s="36"/>
      <c r="W392" s="36"/>
      <c r="X392" s="36"/>
      <c r="Y392" s="36"/>
      <c r="Z392" s="38">
        <v>4</v>
      </c>
      <c r="AA392" s="38">
        <v>11.5</v>
      </c>
      <c r="AB392" s="36"/>
      <c r="AC392" s="36"/>
      <c r="AD392" s="36"/>
      <c r="AE392" s="36"/>
      <c r="AF392" s="36"/>
      <c r="AG392" s="36"/>
      <c r="AH392" s="36"/>
      <c r="AI392" s="38">
        <v>26</v>
      </c>
      <c r="AJ392" s="38">
        <v>6</v>
      </c>
      <c r="AK392" s="36"/>
      <c r="AL392" s="36"/>
      <c r="AM392" s="38">
        <v>33</v>
      </c>
      <c r="AN392" s="38">
        <v>9</v>
      </c>
      <c r="AO392" s="36"/>
      <c r="AP392" s="36"/>
      <c r="AQ392" s="36"/>
      <c r="AR392" s="36"/>
      <c r="AS392" s="36"/>
      <c r="AT392" s="36"/>
      <c r="AU392" s="36"/>
      <c r="AV392" s="36"/>
      <c r="AW392" s="38">
        <v>3</v>
      </c>
      <c r="AX392" s="38">
        <v>13</v>
      </c>
      <c r="AY392" s="38">
        <v>10</v>
      </c>
      <c r="AZ392" s="38">
        <v>120</v>
      </c>
      <c r="BA392" s="36"/>
      <c r="BB392" s="36"/>
      <c r="BC392" s="38">
        <v>7.5</v>
      </c>
      <c r="BD392" s="38">
        <v>6.67</v>
      </c>
      <c r="BE392" s="36"/>
      <c r="BF392" s="38">
        <v>5.8</v>
      </c>
      <c r="BG392" s="59">
        <v>27.25</v>
      </c>
      <c r="BH392" s="59">
        <v>3</v>
      </c>
      <c r="BI392" s="59">
        <v>0.41452675108939019</v>
      </c>
      <c r="BJ392" s="59"/>
      <c r="BK392" s="38">
        <v>5.6970000000000001</v>
      </c>
      <c r="BL392" s="59">
        <v>3.29</v>
      </c>
      <c r="BM392" s="38"/>
      <c r="BN392" s="38">
        <v>62</v>
      </c>
      <c r="BO392" s="36"/>
      <c r="BP392" s="39">
        <f t="shared" si="221"/>
        <v>0.46399193548387102</v>
      </c>
      <c r="BQ392" s="37"/>
      <c r="BR392" s="39">
        <f t="shared" si="222"/>
        <v>0.86822374272001102</v>
      </c>
      <c r="BS392" s="39">
        <f t="shared" si="245"/>
        <v>1.4832455300173129</v>
      </c>
      <c r="BT392" s="39">
        <f t="shared" si="254"/>
        <v>30.445665057996788</v>
      </c>
      <c r="BU392" s="39">
        <f t="shared" si="252"/>
        <v>4.0594220077329055</v>
      </c>
      <c r="BV392" s="39">
        <f t="shared" si="233"/>
        <v>0.53821642439704942</v>
      </c>
      <c r="BW392" s="39">
        <f t="shared" si="217"/>
        <v>2.6303977596853287</v>
      </c>
      <c r="BX392" s="39">
        <f t="shared" si="234"/>
        <v>0.282060521407548</v>
      </c>
      <c r="BY392" s="39">
        <f t="shared" si="246"/>
        <v>5.0720177606913861</v>
      </c>
      <c r="BZ392" s="37"/>
      <c r="CA392" s="39">
        <f t="shared" si="218"/>
        <v>5.8276462365828463</v>
      </c>
      <c r="CB392" s="39">
        <f t="shared" si="219"/>
        <v>3.3654478003085067</v>
      </c>
      <c r="CC392" s="39">
        <f t="shared" si="255"/>
        <v>0.32479435483870966</v>
      </c>
      <c r="CD392" s="39">
        <f t="shared" si="251"/>
        <v>0.18791673387096777</v>
      </c>
      <c r="CE392" s="37"/>
      <c r="CF392" s="37"/>
      <c r="CG392" s="37"/>
      <c r="CH392" s="39">
        <f>BP392*12*AW392/(12*0.453592)</f>
        <v>3.0687838552082329</v>
      </c>
      <c r="CI392" s="37"/>
      <c r="CJ392" s="39">
        <f t="shared" si="237"/>
        <v>0</v>
      </c>
      <c r="CK392" s="37"/>
      <c r="CL392" s="37"/>
      <c r="CM392" s="37"/>
      <c r="CN392" s="37"/>
      <c r="CO392" s="39">
        <f>0.063495+(0.016949+0.014096)*Wages!P390+1.22592*BR392</f>
        <v>1.5600067397882191</v>
      </c>
      <c r="CP392" s="39"/>
      <c r="CQ392" s="39">
        <f t="shared" si="247"/>
        <v>1.4832455300173129</v>
      </c>
      <c r="CR392" s="39">
        <f t="shared" si="243"/>
        <v>0.53821642439704942</v>
      </c>
      <c r="CS392" s="39">
        <f t="shared" si="243"/>
        <v>2.6303977596853287</v>
      </c>
      <c r="CT392" s="39">
        <f t="shared" si="220"/>
        <v>5.8276462365828463</v>
      </c>
      <c r="CU392" s="39">
        <f t="shared" si="220"/>
        <v>3.3654478003085067</v>
      </c>
      <c r="CV392" s="39">
        <f t="shared" si="220"/>
        <v>0.32479435483870966</v>
      </c>
      <c r="CW392" s="39">
        <f t="shared" si="220"/>
        <v>0.18791673387096777</v>
      </c>
      <c r="CX392" s="39"/>
      <c r="CY392" s="39"/>
      <c r="CZ392" s="39">
        <f t="shared" si="224"/>
        <v>0.282060521407548</v>
      </c>
      <c r="DA392" s="39">
        <f>CH392</f>
        <v>3.0687838552082329</v>
      </c>
      <c r="DB392" s="39">
        <f t="shared" si="253"/>
        <v>4.0594220077329055</v>
      </c>
      <c r="DC392" s="39">
        <f t="shared" si="225"/>
        <v>5.0720177606913861</v>
      </c>
      <c r="DD392" s="39">
        <v>4.2</v>
      </c>
      <c r="DE392" s="39">
        <v>5.1999999999999998E-2</v>
      </c>
      <c r="DF392" s="39">
        <f t="shared" ref="DF392:DF415" si="256">DF$391+(A392-1639)*(DF$416-DF$391)/25</f>
        <v>9.2715322038431386E-2</v>
      </c>
      <c r="DG392" s="39">
        <f t="shared" si="226"/>
        <v>0</v>
      </c>
      <c r="DH392" s="39">
        <f t="shared" si="227"/>
        <v>5.8863482001358394</v>
      </c>
      <c r="DI392" s="39">
        <f t="shared" si="238"/>
        <v>3.826626028248437</v>
      </c>
      <c r="DJ392" s="37"/>
      <c r="DK392" s="37"/>
      <c r="DL392" s="37"/>
      <c r="DM392" s="39">
        <f t="shared" si="235"/>
        <v>1.3597816234756108</v>
      </c>
      <c r="DN392" s="39"/>
      <c r="DO392" s="39">
        <f t="shared" si="236"/>
        <v>1.3597816234756108</v>
      </c>
      <c r="DP392" s="37"/>
      <c r="DQ392" s="37">
        <f>DO392/'Conversions, Sources &amp; Comments'!E390</f>
        <v>2.9306147790210431</v>
      </c>
    </row>
    <row r="393" spans="1:121">
      <c r="A393" s="42">
        <f t="shared" si="228"/>
        <v>1641</v>
      </c>
      <c r="B393" s="36"/>
      <c r="C393" s="38">
        <v>36</v>
      </c>
      <c r="D393" s="38">
        <v>2.5</v>
      </c>
      <c r="E393" s="38">
        <v>21</v>
      </c>
      <c r="F393" s="38">
        <v>2.5</v>
      </c>
      <c r="G393" s="38">
        <v>13</v>
      </c>
      <c r="H393" s="38">
        <v>2.5</v>
      </c>
      <c r="I393" s="36"/>
      <c r="J393" s="36"/>
      <c r="K393" s="38">
        <v>3</v>
      </c>
      <c r="L393" s="38">
        <v>0</v>
      </c>
      <c r="M393" s="36"/>
      <c r="N393" s="36"/>
      <c r="O393" s="36"/>
      <c r="P393" s="36"/>
      <c r="Q393" s="36"/>
      <c r="R393" s="36"/>
      <c r="S393" s="38">
        <v>3</v>
      </c>
      <c r="T393" s="38">
        <v>4.5</v>
      </c>
      <c r="U393" s="36"/>
      <c r="V393" s="36"/>
      <c r="W393" s="36"/>
      <c r="X393" s="36"/>
      <c r="Y393" s="36"/>
      <c r="Z393" s="38">
        <v>5</v>
      </c>
      <c r="AA393" s="38">
        <v>6</v>
      </c>
      <c r="AB393" s="36"/>
      <c r="AC393" s="36"/>
      <c r="AD393" s="36"/>
      <c r="AE393" s="36"/>
      <c r="AF393" s="36"/>
      <c r="AG393" s="38">
        <v>25</v>
      </c>
      <c r="AH393" s="38">
        <v>0</v>
      </c>
      <c r="AI393" s="36"/>
      <c r="AJ393" s="36"/>
      <c r="AK393" s="36"/>
      <c r="AL393" s="36"/>
      <c r="AM393" s="38">
        <v>33</v>
      </c>
      <c r="AN393" s="38">
        <v>9</v>
      </c>
      <c r="AO393" s="36"/>
      <c r="AP393" s="36"/>
      <c r="AQ393" s="36"/>
      <c r="AR393" s="36"/>
      <c r="AS393" s="36"/>
      <c r="AT393" s="36"/>
      <c r="AU393" s="36"/>
      <c r="AV393" s="36"/>
      <c r="AW393" s="36"/>
      <c r="AX393" s="38">
        <v>13</v>
      </c>
      <c r="AY393" s="38">
        <v>10</v>
      </c>
      <c r="AZ393" s="38">
        <v>120</v>
      </c>
      <c r="BA393" s="36"/>
      <c r="BB393" s="36"/>
      <c r="BC393" s="38">
        <v>7.5</v>
      </c>
      <c r="BD393" s="36"/>
      <c r="BE393" s="36"/>
      <c r="BF393" s="38">
        <v>5.0999999999999996</v>
      </c>
      <c r="BG393" s="59">
        <v>27.25</v>
      </c>
      <c r="BH393" s="59">
        <v>3</v>
      </c>
      <c r="BI393" s="59">
        <v>0.37031056430652171</v>
      </c>
      <c r="BJ393" s="59"/>
      <c r="BK393" s="38">
        <v>5.67</v>
      </c>
      <c r="BL393" s="59">
        <v>3.29</v>
      </c>
      <c r="BM393" s="38"/>
      <c r="BN393" s="38">
        <v>62</v>
      </c>
      <c r="BO393" s="36"/>
      <c r="BP393" s="39">
        <f t="shared" si="221"/>
        <v>0.46399193548387102</v>
      </c>
      <c r="BQ393" s="37"/>
      <c r="BR393" s="39">
        <f t="shared" si="222"/>
        <v>0.71515301651534557</v>
      </c>
      <c r="BS393" s="39">
        <f t="shared" si="245"/>
        <v>1.3042331384634991</v>
      </c>
      <c r="BT393" s="39">
        <f t="shared" si="254"/>
        <v>30.445665057996788</v>
      </c>
      <c r="BU393" s="39">
        <f t="shared" si="252"/>
        <v>4.0594220077329055</v>
      </c>
      <c r="BV393" s="39">
        <f t="shared" si="233"/>
        <v>0.53821642439704942</v>
      </c>
      <c r="BW393" s="39">
        <f t="shared" si="217"/>
        <v>2.6303977596853287</v>
      </c>
      <c r="BX393" s="39">
        <f t="shared" si="234"/>
        <v>0.25197406579074277</v>
      </c>
      <c r="BY393" s="39">
        <f t="shared" ref="BY393:BY424" si="257">$BP393*(12*Z393+AA393)/(12*0.453592)</f>
        <v>5.6261037345484288</v>
      </c>
      <c r="BZ393" s="37"/>
      <c r="CA393" s="39">
        <f t="shared" si="218"/>
        <v>5.8000270601061503</v>
      </c>
      <c r="CB393" s="39">
        <f t="shared" si="219"/>
        <v>3.3654478003085067</v>
      </c>
      <c r="CC393" s="39">
        <f t="shared" si="255"/>
        <v>0.31319455645161293</v>
      </c>
      <c r="CD393" s="39">
        <f t="shared" si="251"/>
        <v>0.18791673387096777</v>
      </c>
      <c r="CE393" s="37"/>
      <c r="CF393" s="37"/>
      <c r="CG393" s="37"/>
      <c r="CH393" s="37"/>
      <c r="CI393" s="37"/>
      <c r="CJ393" s="39">
        <f t="shared" si="237"/>
        <v>0</v>
      </c>
      <c r="CK393" s="37"/>
      <c r="CL393" s="39">
        <f t="shared" ref="CL393:CL427" si="258">BP393*(12*AG393+AH393)/100</f>
        <v>1.391975806451613</v>
      </c>
      <c r="CM393" s="37"/>
      <c r="CN393" s="37"/>
      <c r="CO393" s="39">
        <f>0.063495+(0.016949+0.014096)*Wages!P391+1.22592*BR393</f>
        <v>1.3723542751193956</v>
      </c>
      <c r="CP393" s="39"/>
      <c r="CQ393" s="39">
        <f t="shared" si="247"/>
        <v>1.3042331384634991</v>
      </c>
      <c r="CR393" s="39">
        <f t="shared" si="243"/>
        <v>0.53821642439704942</v>
      </c>
      <c r="CS393" s="39">
        <f t="shared" si="243"/>
        <v>2.6303977596853287</v>
      </c>
      <c r="CT393" s="39">
        <f t="shared" si="220"/>
        <v>5.8000270601061503</v>
      </c>
      <c r="CU393" s="39">
        <f t="shared" si="220"/>
        <v>3.3654478003085067</v>
      </c>
      <c r="CV393" s="39">
        <f t="shared" si="220"/>
        <v>0.31319455645161293</v>
      </c>
      <c r="CW393" s="39">
        <f t="shared" si="220"/>
        <v>0.18791673387096777</v>
      </c>
      <c r="CX393" s="39"/>
      <c r="CY393" s="39"/>
      <c r="CZ393" s="39">
        <f t="shared" si="224"/>
        <v>0.25197406579074277</v>
      </c>
      <c r="DA393" s="39">
        <v>4.0999999999999996</v>
      </c>
      <c r="DB393" s="39">
        <f t="shared" si="253"/>
        <v>4.0594220077329055</v>
      </c>
      <c r="DC393" s="39">
        <f t="shared" si="225"/>
        <v>5.6261037345484288</v>
      </c>
      <c r="DD393" s="39">
        <v>4.2</v>
      </c>
      <c r="DE393" s="39">
        <v>5.1999999999999998E-2</v>
      </c>
      <c r="DF393" s="39">
        <f t="shared" si="256"/>
        <v>9.3904785969371934E-2</v>
      </c>
      <c r="DG393" s="39">
        <f t="shared" si="226"/>
        <v>1.391975806451613</v>
      </c>
      <c r="DH393" s="39">
        <f t="shared" si="227"/>
        <v>5.8863482001358394</v>
      </c>
      <c r="DI393" s="39">
        <f t="shared" si="238"/>
        <v>3.8757186004115702</v>
      </c>
      <c r="DJ393" s="37"/>
      <c r="DK393" s="37"/>
      <c r="DL393" s="37"/>
      <c r="DM393" s="39">
        <f t="shared" si="235"/>
        <v>1.2761925114577291</v>
      </c>
      <c r="DN393" s="39"/>
      <c r="DO393" s="39">
        <f t="shared" si="236"/>
        <v>1.2761925114577291</v>
      </c>
      <c r="DP393" s="37"/>
      <c r="DQ393" s="37">
        <f>DO393/'Conversions, Sources &amp; Comments'!E391</f>
        <v>2.7504626995873536</v>
      </c>
    </row>
    <row r="394" spans="1:121">
      <c r="A394" s="42">
        <f t="shared" si="228"/>
        <v>1642</v>
      </c>
      <c r="B394" s="36"/>
      <c r="C394" s="38">
        <v>35</v>
      </c>
      <c r="D394" s="38">
        <v>2.25</v>
      </c>
      <c r="E394" s="38">
        <v>19</v>
      </c>
      <c r="F394" s="38">
        <v>8.5</v>
      </c>
      <c r="G394" s="38">
        <v>16</v>
      </c>
      <c r="H394" s="38">
        <v>10.75</v>
      </c>
      <c r="I394" s="36"/>
      <c r="J394" s="36"/>
      <c r="K394" s="38">
        <v>3</v>
      </c>
      <c r="L394" s="38">
        <v>0</v>
      </c>
      <c r="M394" s="36"/>
      <c r="N394" s="36"/>
      <c r="O394" s="36"/>
      <c r="P394" s="36"/>
      <c r="Q394" s="36"/>
      <c r="R394" s="36"/>
      <c r="S394" s="38">
        <v>3</v>
      </c>
      <c r="T394" s="38">
        <v>2</v>
      </c>
      <c r="U394" s="36"/>
      <c r="V394" s="36"/>
      <c r="W394" s="36"/>
      <c r="X394" s="36"/>
      <c r="Y394" s="36"/>
      <c r="Z394" s="38">
        <v>4</v>
      </c>
      <c r="AA394" s="38">
        <v>11.5</v>
      </c>
      <c r="AB394" s="36"/>
      <c r="AC394" s="36"/>
      <c r="AD394" s="36"/>
      <c r="AE394" s="36"/>
      <c r="AF394" s="36"/>
      <c r="AG394" s="38">
        <v>25</v>
      </c>
      <c r="AH394" s="38">
        <v>2.5</v>
      </c>
      <c r="AI394" s="36"/>
      <c r="AJ394" s="36"/>
      <c r="AK394" s="36"/>
      <c r="AL394" s="36"/>
      <c r="AM394" s="38">
        <v>33</v>
      </c>
      <c r="AN394" s="38">
        <v>9</v>
      </c>
      <c r="AO394" s="36"/>
      <c r="AP394" s="36"/>
      <c r="AQ394" s="36"/>
      <c r="AR394" s="36"/>
      <c r="AS394" s="36"/>
      <c r="AT394" s="36"/>
      <c r="AU394" s="36"/>
      <c r="AV394" s="36"/>
      <c r="AW394" s="36"/>
      <c r="AX394" s="38">
        <v>12</v>
      </c>
      <c r="AY394" s="36"/>
      <c r="AZ394" s="38">
        <v>120</v>
      </c>
      <c r="BA394" s="36"/>
      <c r="BB394" s="36"/>
      <c r="BC394" s="36"/>
      <c r="BD394" s="36"/>
      <c r="BE394" s="36"/>
      <c r="BF394" s="38">
        <v>5.3</v>
      </c>
      <c r="BG394" s="59">
        <v>27.25</v>
      </c>
      <c r="BH394" s="59">
        <v>3</v>
      </c>
      <c r="BI394" s="59">
        <v>0.33300315670847602</v>
      </c>
      <c r="BJ394" s="59"/>
      <c r="BK394" s="38">
        <v>5.6430000000000007</v>
      </c>
      <c r="BL394" s="59">
        <v>3.29</v>
      </c>
      <c r="BM394" s="36"/>
      <c r="BN394" s="38">
        <v>62</v>
      </c>
      <c r="BO394" s="36"/>
      <c r="BP394" s="39">
        <f t="shared" si="221"/>
        <v>0.46399193548387102</v>
      </c>
      <c r="BQ394" s="37"/>
      <c r="BR394" s="39">
        <f t="shared" si="222"/>
        <v>0.69499047462279551</v>
      </c>
      <c r="BS394" s="39">
        <f t="shared" si="245"/>
        <v>1.3553795360503031</v>
      </c>
      <c r="BT394" s="39">
        <f t="shared" si="254"/>
        <v>30.445665057996788</v>
      </c>
      <c r="BU394" s="37"/>
      <c r="BV394" s="39">
        <f t="shared" si="233"/>
        <v>0.53821642439704942</v>
      </c>
      <c r="BW394" s="39">
        <f t="shared" ref="BW394:BW457" si="259">$BP394*12*$BH394/(14*0.45359)</f>
        <v>2.6303977596853287</v>
      </c>
      <c r="BX394" s="39">
        <f t="shared" si="234"/>
        <v>0.22658861886406306</v>
      </c>
      <c r="BY394" s="39">
        <f t="shared" si="257"/>
        <v>5.0720177606913861</v>
      </c>
      <c r="BZ394" s="37"/>
      <c r="CA394" s="39">
        <f t="shared" ref="CA394:CA457" si="260">$BP394*$BK394/0.45359</f>
        <v>5.7724078836294552</v>
      </c>
      <c r="CB394" s="39">
        <f t="shared" ref="CB394:CB457" si="261">$BP394*12*$BL394/(12*0.45359)</f>
        <v>3.3654478003085067</v>
      </c>
      <c r="CC394" s="39">
        <f t="shared" si="255"/>
        <v>0.29386155913978496</v>
      </c>
      <c r="CD394" s="39">
        <f t="shared" si="251"/>
        <v>0.18791673387096777</v>
      </c>
      <c r="CE394" s="37"/>
      <c r="CF394" s="37"/>
      <c r="CG394" s="37"/>
      <c r="CH394" s="37"/>
      <c r="CI394" s="37"/>
      <c r="CJ394" s="39">
        <f t="shared" si="237"/>
        <v>0</v>
      </c>
      <c r="CK394" s="37"/>
      <c r="CL394" s="39">
        <f t="shared" si="258"/>
        <v>1.40357560483871</v>
      </c>
      <c r="CM394" s="37"/>
      <c r="CN394" s="37"/>
      <c r="CO394" s="39">
        <f>0.063495+(0.016949+0.014096)*Wages!P392+1.22592*BR394</f>
        <v>1.3476366117624807</v>
      </c>
      <c r="CP394" s="39"/>
      <c r="CQ394" s="39">
        <f t="shared" si="247"/>
        <v>1.3553795360503031</v>
      </c>
      <c r="CR394" s="39">
        <f t="shared" si="243"/>
        <v>0.53821642439704942</v>
      </c>
      <c r="CS394" s="39">
        <f t="shared" si="243"/>
        <v>2.6303977596853287</v>
      </c>
      <c r="CT394" s="39">
        <f t="shared" ref="CT394:CW457" si="262">CA394</f>
        <v>5.7724078836294552</v>
      </c>
      <c r="CU394" s="39">
        <f t="shared" si="262"/>
        <v>3.3654478003085067</v>
      </c>
      <c r="CV394" s="39">
        <f t="shared" si="262"/>
        <v>0.29386155913978496</v>
      </c>
      <c r="CW394" s="39">
        <f t="shared" si="262"/>
        <v>0.18791673387096777</v>
      </c>
      <c r="CX394" s="39"/>
      <c r="CY394" s="39"/>
      <c r="CZ394" s="39">
        <f t="shared" si="224"/>
        <v>0.22658861886406306</v>
      </c>
      <c r="DA394" s="39">
        <v>4.0999999999999996</v>
      </c>
      <c r="DB394" s="39">
        <v>4.0999999999999996</v>
      </c>
      <c r="DC394" s="39">
        <f t="shared" si="225"/>
        <v>5.0720177606913861</v>
      </c>
      <c r="DD394" s="39">
        <v>4.2</v>
      </c>
      <c r="DE394" s="39">
        <v>5.1999999999999998E-2</v>
      </c>
      <c r="DF394" s="39">
        <f t="shared" si="256"/>
        <v>9.5094249900312483E-2</v>
      </c>
      <c r="DG394" s="39">
        <f t="shared" si="226"/>
        <v>1.40357560483871</v>
      </c>
      <c r="DH394" s="39">
        <f t="shared" si="227"/>
        <v>5.8863482001358394</v>
      </c>
      <c r="DI394" s="39">
        <f t="shared" si="238"/>
        <v>3.924811172574703</v>
      </c>
      <c r="DJ394" s="37"/>
      <c r="DK394" s="37"/>
      <c r="DL394" s="37"/>
      <c r="DM394" s="39">
        <f t="shared" si="235"/>
        <v>1.2817404292303225</v>
      </c>
      <c r="DN394" s="39"/>
      <c r="DO394" s="39">
        <f t="shared" si="236"/>
        <v>1.2817404292303225</v>
      </c>
      <c r="DP394" s="37"/>
      <c r="DQ394" s="37">
        <f>DO394/'Conversions, Sources &amp; Comments'!E392</f>
        <v>2.7624196267412873</v>
      </c>
    </row>
    <row r="395" spans="1:121">
      <c r="A395" s="42">
        <f t="shared" si="228"/>
        <v>1643</v>
      </c>
      <c r="B395" s="36"/>
      <c r="C395" s="38">
        <v>33</v>
      </c>
      <c r="D395" s="38">
        <v>8.5</v>
      </c>
      <c r="E395" s="38">
        <v>19</v>
      </c>
      <c r="F395" s="38">
        <v>2</v>
      </c>
      <c r="G395" s="38">
        <v>12</v>
      </c>
      <c r="H395" s="38">
        <v>8.25</v>
      </c>
      <c r="I395" s="36"/>
      <c r="J395" s="36"/>
      <c r="K395" s="38">
        <v>3</v>
      </c>
      <c r="L395" s="38">
        <v>0</v>
      </c>
      <c r="M395" s="36"/>
      <c r="N395" s="36"/>
      <c r="O395" s="36"/>
      <c r="P395" s="36"/>
      <c r="Q395" s="38">
        <v>2</v>
      </c>
      <c r="R395" s="38">
        <v>9.75</v>
      </c>
      <c r="S395" s="38">
        <v>3</v>
      </c>
      <c r="T395" s="38">
        <v>2.5</v>
      </c>
      <c r="U395" s="36"/>
      <c r="V395" s="36"/>
      <c r="W395" s="36"/>
      <c r="X395" s="36"/>
      <c r="Y395" s="36"/>
      <c r="Z395" s="38">
        <v>4</v>
      </c>
      <c r="AA395" s="38">
        <v>7</v>
      </c>
      <c r="AB395" s="36"/>
      <c r="AC395" s="36"/>
      <c r="AD395" s="36"/>
      <c r="AE395" s="38">
        <v>2</v>
      </c>
      <c r="AF395" s="38">
        <v>9</v>
      </c>
      <c r="AG395" s="38">
        <v>18</v>
      </c>
      <c r="AH395" s="38">
        <v>7</v>
      </c>
      <c r="AI395" s="38">
        <v>25</v>
      </c>
      <c r="AJ395" s="38">
        <v>9</v>
      </c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8">
        <v>13</v>
      </c>
      <c r="AY395" s="36"/>
      <c r="AZ395" s="38">
        <v>120</v>
      </c>
      <c r="BA395" s="36"/>
      <c r="BB395" s="36"/>
      <c r="BC395" s="36"/>
      <c r="BD395" s="36"/>
      <c r="BE395" s="36"/>
      <c r="BF395" s="38">
        <v>5.0999999999999996</v>
      </c>
      <c r="BG395" s="59">
        <v>27.25</v>
      </c>
      <c r="BH395" s="59">
        <v>3</v>
      </c>
      <c r="BI395" s="59">
        <v>0.30674979580614914</v>
      </c>
      <c r="BJ395" s="59"/>
      <c r="BK395" s="38">
        <v>5.8455000000000004</v>
      </c>
      <c r="BL395" s="59">
        <v>3.29</v>
      </c>
      <c r="BM395" s="36"/>
      <c r="BN395" s="38">
        <v>62</v>
      </c>
      <c r="BO395" s="36"/>
      <c r="BP395" s="39">
        <f t="shared" ref="BP395:BP458" si="263">(31.1*0.925/$BN395)</f>
        <v>0.46399193548387102</v>
      </c>
      <c r="BQ395" s="37"/>
      <c r="BR395" s="39">
        <f t="shared" ref="BR395:BR458" si="264">(31.1*0.925/$BN395)*(12*C395+D395)/35.238/8</f>
        <v>0.66577536290093731</v>
      </c>
      <c r="BS395" s="39">
        <f t="shared" si="245"/>
        <v>1.3042331384634991</v>
      </c>
      <c r="BT395" s="39">
        <f t="shared" si="254"/>
        <v>30.445665057996788</v>
      </c>
      <c r="BU395" s="37"/>
      <c r="BV395" s="39">
        <f t="shared" si="233"/>
        <v>0.53821642439704942</v>
      </c>
      <c r="BW395" s="39">
        <f t="shared" si="259"/>
        <v>2.6303977596853287</v>
      </c>
      <c r="BX395" s="39">
        <f t="shared" si="234"/>
        <v>0.2087247858415858</v>
      </c>
      <c r="BY395" s="39">
        <f t="shared" si="257"/>
        <v>4.6884197787903572</v>
      </c>
      <c r="BZ395" s="37"/>
      <c r="CA395" s="39">
        <f t="shared" si="260"/>
        <v>5.9795517072046751</v>
      </c>
      <c r="CB395" s="39">
        <f t="shared" si="261"/>
        <v>3.3654478003085067</v>
      </c>
      <c r="CC395" s="39">
        <f t="shared" si="255"/>
        <v>0.29772815860215057</v>
      </c>
      <c r="CD395" s="37"/>
      <c r="CE395" s="37"/>
      <c r="CF395" s="37"/>
      <c r="CG395" s="37"/>
      <c r="CH395" s="37"/>
      <c r="CI395" s="37"/>
      <c r="CJ395" s="39">
        <f t="shared" si="237"/>
        <v>0</v>
      </c>
      <c r="CK395" s="37"/>
      <c r="CL395" s="39">
        <f t="shared" si="258"/>
        <v>1.0347020161290323</v>
      </c>
      <c r="CM395" s="37"/>
      <c r="CN395" s="37"/>
      <c r="CO395" s="39">
        <f>0.063495+(0.016949+0.014096)*Wages!P393+1.22592*BR395</f>
        <v>1.3118212220004202</v>
      </c>
      <c r="CP395" s="39"/>
      <c r="CQ395" s="39">
        <f t="shared" si="247"/>
        <v>1.3042331384634991</v>
      </c>
      <c r="CR395" s="39">
        <f t="shared" si="243"/>
        <v>0.53821642439704942</v>
      </c>
      <c r="CS395" s="39">
        <f t="shared" si="243"/>
        <v>2.6303977596853287</v>
      </c>
      <c r="CT395" s="39">
        <f t="shared" si="262"/>
        <v>5.9795517072046751</v>
      </c>
      <c r="CU395" s="39">
        <f t="shared" si="262"/>
        <v>3.3654478003085067</v>
      </c>
      <c r="CV395" s="39">
        <f t="shared" si="262"/>
        <v>0.29772815860215057</v>
      </c>
      <c r="CW395" s="39">
        <v>0.2</v>
      </c>
      <c r="CX395" s="39"/>
      <c r="CY395" s="39"/>
      <c r="CZ395" s="39">
        <f t="shared" ref="CZ395:CZ458" si="265">BX395</f>
        <v>0.2087247858415858</v>
      </c>
      <c r="DA395" s="39">
        <v>4.0999999999999996</v>
      </c>
      <c r="DB395" s="39">
        <v>4.0999999999999996</v>
      </c>
      <c r="DC395" s="39">
        <f t="shared" ref="DC395:DC458" si="266">BY395</f>
        <v>4.6884197787903572</v>
      </c>
      <c r="DD395" s="39">
        <v>4.2</v>
      </c>
      <c r="DE395" s="39">
        <v>5.1999999999999998E-2</v>
      </c>
      <c r="DF395" s="39">
        <f t="shared" si="256"/>
        <v>9.6283713831253046E-2</v>
      </c>
      <c r="DG395" s="39">
        <f t="shared" ref="DG395:DG458" si="267">CL395</f>
        <v>1.0347020161290323</v>
      </c>
      <c r="DH395" s="39">
        <f t="shared" ref="DH395:DH458" si="268">1000*DE395/8.834</f>
        <v>5.8863482001358394</v>
      </c>
      <c r="DI395" s="39">
        <f t="shared" si="238"/>
        <v>3.9739037447378367</v>
      </c>
      <c r="DJ395" s="37"/>
      <c r="DK395" s="37"/>
      <c r="DL395" s="37"/>
      <c r="DM395" s="39">
        <f t="shared" si="235"/>
        <v>1.2521452396835784</v>
      </c>
      <c r="DN395" s="39"/>
      <c r="DO395" s="39">
        <f t="shared" si="236"/>
        <v>1.2521452396835784</v>
      </c>
      <c r="DP395" s="37"/>
      <c r="DQ395" s="37">
        <f>DO395/'Conversions, Sources &amp; Comments'!E393</f>
        <v>2.698635782058985</v>
      </c>
    </row>
    <row r="396" spans="1:121">
      <c r="A396" s="42">
        <f t="shared" ref="A396:A459" si="269">A395+1</f>
        <v>1644</v>
      </c>
      <c r="B396" s="36"/>
      <c r="C396" s="38">
        <v>34</v>
      </c>
      <c r="D396" s="38">
        <v>11.25</v>
      </c>
      <c r="E396" s="38">
        <v>17</v>
      </c>
      <c r="F396" s="38">
        <v>3.25</v>
      </c>
      <c r="G396" s="38">
        <v>14</v>
      </c>
      <c r="H396" s="38">
        <v>6.5</v>
      </c>
      <c r="I396" s="36"/>
      <c r="J396" s="36"/>
      <c r="K396" s="38">
        <v>3</v>
      </c>
      <c r="L396" s="38">
        <v>0</v>
      </c>
      <c r="M396" s="36"/>
      <c r="N396" s="36"/>
      <c r="O396" s="36"/>
      <c r="P396" s="36"/>
      <c r="Q396" s="38">
        <v>3</v>
      </c>
      <c r="R396" s="38">
        <v>7.5</v>
      </c>
      <c r="S396" s="38">
        <v>2</v>
      </c>
      <c r="T396" s="38">
        <v>7.25</v>
      </c>
      <c r="U396" s="36"/>
      <c r="V396" s="36"/>
      <c r="W396" s="36"/>
      <c r="X396" s="36"/>
      <c r="Y396" s="36"/>
      <c r="Z396" s="38">
        <v>4</v>
      </c>
      <c r="AA396" s="38">
        <v>7</v>
      </c>
      <c r="AB396" s="36"/>
      <c r="AC396" s="38">
        <v>2</v>
      </c>
      <c r="AD396" s="38">
        <v>4</v>
      </c>
      <c r="AE396" s="38">
        <v>2</v>
      </c>
      <c r="AF396" s="38">
        <v>9</v>
      </c>
      <c r="AG396" s="38">
        <v>27</v>
      </c>
      <c r="AH396" s="38">
        <v>5.5</v>
      </c>
      <c r="AI396" s="38">
        <v>11</v>
      </c>
      <c r="AJ396" s="38">
        <v>2.25</v>
      </c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8">
        <v>13</v>
      </c>
      <c r="AY396" s="36"/>
      <c r="AZ396" s="38">
        <v>120</v>
      </c>
      <c r="BA396" s="36"/>
      <c r="BB396" s="36"/>
      <c r="BC396" s="36"/>
      <c r="BD396" s="38">
        <v>6.83</v>
      </c>
      <c r="BE396" s="36"/>
      <c r="BF396" s="38">
        <v>4.8</v>
      </c>
      <c r="BG396" s="59">
        <v>27.25</v>
      </c>
      <c r="BH396" s="59">
        <v>3</v>
      </c>
      <c r="BI396" s="59">
        <v>0.42143553027421293</v>
      </c>
      <c r="BJ396" s="59"/>
      <c r="BK396" s="38">
        <v>5.9130000000000003</v>
      </c>
      <c r="BL396" s="59">
        <v>3.29</v>
      </c>
      <c r="BM396" s="36"/>
      <c r="BN396" s="38">
        <v>62</v>
      </c>
      <c r="BO396" s="36"/>
      <c r="BP396" s="39">
        <f t="shared" si="263"/>
        <v>0.46399193548387102</v>
      </c>
      <c r="BQ396" s="37"/>
      <c r="BR396" s="39">
        <f t="shared" si="264"/>
        <v>0.69005270926135465</v>
      </c>
      <c r="BS396" s="39">
        <f t="shared" si="245"/>
        <v>1.2275135420832934</v>
      </c>
      <c r="BT396" s="39">
        <f t="shared" si="254"/>
        <v>30.445665057996788</v>
      </c>
      <c r="BU396" s="37"/>
      <c r="BV396" s="39">
        <f t="shared" si="233"/>
        <v>0.53821642439704942</v>
      </c>
      <c r="BW396" s="39">
        <f t="shared" si="259"/>
        <v>2.6303977596853287</v>
      </c>
      <c r="BX396" s="39">
        <f t="shared" si="234"/>
        <v>0.28676153009767352</v>
      </c>
      <c r="BY396" s="39">
        <f t="shared" si="257"/>
        <v>4.6884197787903572</v>
      </c>
      <c r="BZ396" s="37"/>
      <c r="CA396" s="39">
        <f t="shared" si="260"/>
        <v>6.0485996483964142</v>
      </c>
      <c r="CB396" s="39">
        <f t="shared" si="261"/>
        <v>3.3654478003085067</v>
      </c>
      <c r="CC396" s="39">
        <f t="shared" si="255"/>
        <v>0.2416624663978495</v>
      </c>
      <c r="CD396" s="37"/>
      <c r="CE396" s="37"/>
      <c r="CF396" s="37"/>
      <c r="CG396" s="37"/>
      <c r="CH396" s="37"/>
      <c r="CI396" s="37"/>
      <c r="CJ396" s="39">
        <f t="shared" si="237"/>
        <v>0</v>
      </c>
      <c r="CK396" s="39">
        <f t="shared" ref="CK396:CK410" si="270">BP396*(12*AC396+AD396)/(35.238*8)</f>
        <v>4.6085810040114326E-2</v>
      </c>
      <c r="CL396" s="39">
        <f t="shared" si="258"/>
        <v>1.5288534274193548</v>
      </c>
      <c r="CM396" s="39">
        <f t="shared" ref="CM396:CM410" si="271">BP396*(12*$AC396+$AD396)/(35.238*8)/0.283</f>
        <v>0.16284738530075735</v>
      </c>
      <c r="CN396" s="37"/>
      <c r="CO396" s="39">
        <f>0.063495+(0.016949+0.014096)*Wages!P394+1.22592*BR396</f>
        <v>1.3415833064505831</v>
      </c>
      <c r="CP396" s="39"/>
      <c r="CQ396" s="39">
        <f t="shared" si="247"/>
        <v>1.2275135420832934</v>
      </c>
      <c r="CR396" s="39">
        <f t="shared" si="243"/>
        <v>0.53821642439704942</v>
      </c>
      <c r="CS396" s="39">
        <f t="shared" si="243"/>
        <v>2.6303977596853287</v>
      </c>
      <c r="CT396" s="39">
        <f t="shared" si="262"/>
        <v>6.0485996483964142</v>
      </c>
      <c r="CU396" s="39">
        <f t="shared" si="262"/>
        <v>3.3654478003085067</v>
      </c>
      <c r="CV396" s="39">
        <f t="shared" si="262"/>
        <v>0.2416624663978495</v>
      </c>
      <c r="CW396" s="39">
        <v>0.2</v>
      </c>
      <c r="CX396" s="39"/>
      <c r="CY396" s="39"/>
      <c r="CZ396" s="39">
        <f t="shared" si="265"/>
        <v>0.28676153009767352</v>
      </c>
      <c r="DA396" s="39">
        <v>4.0999999999999996</v>
      </c>
      <c r="DB396" s="39">
        <v>4.0999999999999996</v>
      </c>
      <c r="DC396" s="39">
        <f t="shared" si="266"/>
        <v>4.6884197787903572</v>
      </c>
      <c r="DD396" s="39">
        <v>4.2</v>
      </c>
      <c r="DE396" s="39">
        <f t="shared" ref="DE396:DE410" si="272">CK396</f>
        <v>4.6085810040114326E-2</v>
      </c>
      <c r="DF396" s="39">
        <f t="shared" si="256"/>
        <v>9.7473177762193594E-2</v>
      </c>
      <c r="DG396" s="39">
        <f t="shared" si="267"/>
        <v>1.5288534274193548</v>
      </c>
      <c r="DH396" s="39">
        <f t="shared" si="268"/>
        <v>5.2168677881044063</v>
      </c>
      <c r="DI396" s="39">
        <f t="shared" si="238"/>
        <v>4.0229963169009704</v>
      </c>
      <c r="DJ396" s="37"/>
      <c r="DK396" s="37"/>
      <c r="DL396" s="37"/>
      <c r="DM396" s="39">
        <f t="shared" si="235"/>
        <v>1.2384935993020267</v>
      </c>
      <c r="DN396" s="39"/>
      <c r="DO396" s="39">
        <f t="shared" si="236"/>
        <v>1.2384935993020267</v>
      </c>
      <c r="DP396" s="37"/>
      <c r="DQ396" s="37">
        <f>DO396/'Conversions, Sources &amp; Comments'!E394</f>
        <v>2.6692136319362354</v>
      </c>
    </row>
    <row r="397" spans="1:121">
      <c r="A397" s="42">
        <f t="shared" si="269"/>
        <v>1645</v>
      </c>
      <c r="B397" s="36"/>
      <c r="C397" s="38">
        <v>34</v>
      </c>
      <c r="D397" s="38">
        <v>9.5</v>
      </c>
      <c r="E397" s="38">
        <v>18</v>
      </c>
      <c r="F397" s="38">
        <v>6.25</v>
      </c>
      <c r="G397" s="38">
        <v>14</v>
      </c>
      <c r="H397" s="38">
        <v>2.25</v>
      </c>
      <c r="I397" s="36"/>
      <c r="J397" s="36"/>
      <c r="K397" s="38">
        <v>3</v>
      </c>
      <c r="L397" s="38">
        <v>0</v>
      </c>
      <c r="M397" s="36"/>
      <c r="N397" s="36"/>
      <c r="O397" s="36"/>
      <c r="P397" s="36"/>
      <c r="Q397" s="38">
        <v>2</v>
      </c>
      <c r="R397" s="38">
        <v>3</v>
      </c>
      <c r="S397" s="38">
        <v>2</v>
      </c>
      <c r="T397" s="38">
        <v>6.5</v>
      </c>
      <c r="U397" s="36"/>
      <c r="V397" s="36"/>
      <c r="W397" s="36"/>
      <c r="X397" s="36"/>
      <c r="Y397" s="36"/>
      <c r="Z397" s="38">
        <v>4</v>
      </c>
      <c r="AA397" s="38">
        <v>7.5</v>
      </c>
      <c r="AB397" s="36"/>
      <c r="AC397" s="38">
        <v>4</v>
      </c>
      <c r="AD397" s="38">
        <v>6</v>
      </c>
      <c r="AE397" s="38">
        <v>2</v>
      </c>
      <c r="AF397" s="38">
        <v>9</v>
      </c>
      <c r="AG397" s="38">
        <v>28</v>
      </c>
      <c r="AH397" s="38">
        <v>1</v>
      </c>
      <c r="AI397" s="38">
        <v>10</v>
      </c>
      <c r="AJ397" s="38">
        <v>6</v>
      </c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8">
        <v>10.5</v>
      </c>
      <c r="AZ397" s="38">
        <v>120</v>
      </c>
      <c r="BA397" s="36"/>
      <c r="BB397" s="36"/>
      <c r="BC397" s="36"/>
      <c r="BD397" s="38">
        <v>7.13</v>
      </c>
      <c r="BE397" s="36"/>
      <c r="BF397" s="38">
        <v>5.3</v>
      </c>
      <c r="BG397" s="59">
        <v>27.25</v>
      </c>
      <c r="BH397" s="59">
        <v>3</v>
      </c>
      <c r="BI397" s="59">
        <v>0.37583758765438025</v>
      </c>
      <c r="BJ397" s="59"/>
      <c r="BK397" s="38">
        <v>5.7510000000000003</v>
      </c>
      <c r="BL397" s="59">
        <v>3.29</v>
      </c>
      <c r="BM397" s="38"/>
      <c r="BN397" s="38">
        <v>62</v>
      </c>
      <c r="BO397" s="36"/>
      <c r="BP397" s="39">
        <f t="shared" si="263"/>
        <v>0.46399193548387102</v>
      </c>
      <c r="BQ397" s="37"/>
      <c r="BR397" s="39">
        <f t="shared" si="264"/>
        <v>0.68717234613384748</v>
      </c>
      <c r="BS397" s="39">
        <f t="shared" si="245"/>
        <v>1.3553795360503031</v>
      </c>
      <c r="BT397" s="39">
        <f t="shared" si="254"/>
        <v>30.445665057996788</v>
      </c>
      <c r="BU397" s="39">
        <f>$BP397*12*AY397/(12*(45/36)*0.9144)</f>
        <v>4.2623931081195501</v>
      </c>
      <c r="BV397" s="39">
        <f t="shared" si="233"/>
        <v>0.53821642439704942</v>
      </c>
      <c r="BW397" s="39">
        <f t="shared" si="259"/>
        <v>2.6303977596853287</v>
      </c>
      <c r="BX397" s="39">
        <f t="shared" si="234"/>
        <v>0.2557348727428434</v>
      </c>
      <c r="BY397" s="39">
        <f t="shared" si="257"/>
        <v>4.7310417767793602</v>
      </c>
      <c r="BZ397" s="37"/>
      <c r="CA397" s="39">
        <f t="shared" si="260"/>
        <v>5.8828845895362383</v>
      </c>
      <c r="CB397" s="39">
        <f t="shared" si="261"/>
        <v>3.3654478003085067</v>
      </c>
      <c r="CC397" s="39">
        <f t="shared" si="255"/>
        <v>0.23586256720430113</v>
      </c>
      <c r="CD397" s="37"/>
      <c r="CE397" s="37"/>
      <c r="CF397" s="37"/>
      <c r="CG397" s="37"/>
      <c r="CH397" s="37"/>
      <c r="CI397" s="37"/>
      <c r="CJ397" s="39">
        <f t="shared" si="237"/>
        <v>0</v>
      </c>
      <c r="CK397" s="39">
        <f t="shared" si="270"/>
        <v>8.8879776505934774E-2</v>
      </c>
      <c r="CL397" s="39">
        <f t="shared" si="258"/>
        <v>1.5636528225806452</v>
      </c>
      <c r="CM397" s="39">
        <f t="shared" si="271"/>
        <v>0.31406281450860346</v>
      </c>
      <c r="CN397" s="37"/>
      <c r="CO397" s="39">
        <f>0.063495+(0.016949+0.014096)*Wages!P395+1.22592*BR397</f>
        <v>1.3380522116853095</v>
      </c>
      <c r="CP397" s="39"/>
      <c r="CQ397" s="39">
        <f t="shared" si="247"/>
        <v>1.3553795360503031</v>
      </c>
      <c r="CR397" s="39">
        <f t="shared" si="243"/>
        <v>0.53821642439704942</v>
      </c>
      <c r="CS397" s="39">
        <f t="shared" si="243"/>
        <v>2.6303977596853287</v>
      </c>
      <c r="CT397" s="39">
        <f t="shared" si="262"/>
        <v>5.8828845895362383</v>
      </c>
      <c r="CU397" s="39">
        <f t="shared" si="262"/>
        <v>3.3654478003085067</v>
      </c>
      <c r="CV397" s="39">
        <f t="shared" si="262"/>
        <v>0.23586256720430113</v>
      </c>
      <c r="CW397" s="39">
        <v>0.2</v>
      </c>
      <c r="CX397" s="39"/>
      <c r="CY397" s="39"/>
      <c r="CZ397" s="39">
        <f t="shared" si="265"/>
        <v>0.2557348727428434</v>
      </c>
      <c r="DA397" s="39">
        <v>4.0999999999999996</v>
      </c>
      <c r="DB397" s="39">
        <f>BU397</f>
        <v>4.2623931081195501</v>
      </c>
      <c r="DC397" s="39">
        <f t="shared" si="266"/>
        <v>4.7310417767793602</v>
      </c>
      <c r="DD397" s="39">
        <v>4.2</v>
      </c>
      <c r="DE397" s="39">
        <f t="shared" si="272"/>
        <v>8.8879776505934774E-2</v>
      </c>
      <c r="DF397" s="39">
        <f t="shared" si="256"/>
        <v>9.8662641693134143E-2</v>
      </c>
      <c r="DG397" s="39">
        <f t="shared" si="267"/>
        <v>1.5636528225806452</v>
      </c>
      <c r="DH397" s="39">
        <f t="shared" si="268"/>
        <v>10.061102162772784</v>
      </c>
      <c r="DI397" s="39">
        <f t="shared" si="238"/>
        <v>4.0720888890641032</v>
      </c>
      <c r="DJ397" s="37"/>
      <c r="DK397" s="37"/>
      <c r="DL397" s="37"/>
      <c r="DM397" s="39">
        <f t="shared" si="235"/>
        <v>1.3387720547611313</v>
      </c>
      <c r="DN397" s="39"/>
      <c r="DO397" s="39">
        <f t="shared" si="236"/>
        <v>1.3387720547611313</v>
      </c>
      <c r="DP397" s="37"/>
      <c r="DQ397" s="37">
        <f>DO397/'Conversions, Sources &amp; Comments'!E395</f>
        <v>2.885334749115847</v>
      </c>
    </row>
    <row r="398" spans="1:121">
      <c r="A398" s="42">
        <f t="shared" si="269"/>
        <v>1646</v>
      </c>
      <c r="B398" s="36"/>
      <c r="C398" s="38">
        <v>51</v>
      </c>
      <c r="D398" s="38">
        <v>10.25</v>
      </c>
      <c r="E398" s="38">
        <v>22</v>
      </c>
      <c r="F398" s="38">
        <v>8</v>
      </c>
      <c r="G398" s="38">
        <v>19</v>
      </c>
      <c r="H398" s="38">
        <v>4.5</v>
      </c>
      <c r="I398" s="36"/>
      <c r="J398" s="36"/>
      <c r="K398" s="38">
        <v>3</v>
      </c>
      <c r="L398" s="38">
        <v>3</v>
      </c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8">
        <v>6</v>
      </c>
      <c r="AA398" s="38">
        <v>0.25</v>
      </c>
      <c r="AB398" s="36"/>
      <c r="AC398" s="38">
        <v>2</v>
      </c>
      <c r="AD398" s="38">
        <v>5</v>
      </c>
      <c r="AE398" s="38">
        <v>2</v>
      </c>
      <c r="AF398" s="38">
        <v>9</v>
      </c>
      <c r="AG398" s="38">
        <v>28</v>
      </c>
      <c r="AH398" s="38">
        <v>0</v>
      </c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8">
        <v>14</v>
      </c>
      <c r="AY398" s="38">
        <v>10</v>
      </c>
      <c r="AZ398" s="38">
        <v>120</v>
      </c>
      <c r="BA398" s="36"/>
      <c r="BB398" s="36"/>
      <c r="BC398" s="36"/>
      <c r="BD398" s="38">
        <v>7</v>
      </c>
      <c r="BE398" s="36"/>
      <c r="BF398" s="38">
        <v>6.8</v>
      </c>
      <c r="BG398" s="59">
        <v>27.25</v>
      </c>
      <c r="BH398" s="59">
        <v>3.25</v>
      </c>
      <c r="BI398" s="59">
        <v>0.37583758765438025</v>
      </c>
      <c r="BJ398" s="59"/>
      <c r="BK398" s="38">
        <v>6.5475000000000003</v>
      </c>
      <c r="BL398" s="59">
        <v>3.29</v>
      </c>
      <c r="BM398" s="38"/>
      <c r="BN398" s="38">
        <v>62</v>
      </c>
      <c r="BO398" s="36"/>
      <c r="BP398" s="39">
        <f t="shared" si="263"/>
        <v>0.46399193548387102</v>
      </c>
      <c r="BQ398" s="37"/>
      <c r="BR398" s="39">
        <f t="shared" si="264"/>
        <v>1.0241748320521835</v>
      </c>
      <c r="BS398" s="39">
        <f t="shared" si="245"/>
        <v>1.7389775179513323</v>
      </c>
      <c r="BT398" s="39">
        <f t="shared" si="254"/>
        <v>30.445665057996788</v>
      </c>
      <c r="BU398" s="39">
        <f>$BP398*12*AY398/(12*(45/36)*0.9144)</f>
        <v>4.0594220077329055</v>
      </c>
      <c r="BV398" s="39">
        <f t="shared" si="233"/>
        <v>0.53821642439704942</v>
      </c>
      <c r="BW398" s="39">
        <f t="shared" si="259"/>
        <v>2.8495975729924399</v>
      </c>
      <c r="BX398" s="39">
        <f t="shared" si="234"/>
        <v>0.2557348727428434</v>
      </c>
      <c r="BY398" s="39">
        <f t="shared" si="257"/>
        <v>6.1588787094109696</v>
      </c>
      <c r="BZ398" s="37"/>
      <c r="CA398" s="39">
        <f t="shared" si="260"/>
        <v>6.6976502955987698</v>
      </c>
      <c r="CB398" s="39">
        <f t="shared" si="261"/>
        <v>3.3654478003085067</v>
      </c>
      <c r="CC398" s="37"/>
      <c r="CD398" s="37"/>
      <c r="CE398" s="37"/>
      <c r="CF398" s="37"/>
      <c r="CG398" s="37"/>
      <c r="CH398" s="37"/>
      <c r="CI398" s="37"/>
      <c r="CJ398" s="39">
        <f t="shared" si="237"/>
        <v>0</v>
      </c>
      <c r="CK398" s="39">
        <f t="shared" si="270"/>
        <v>4.7731731827261266E-2</v>
      </c>
      <c r="CL398" s="39">
        <f t="shared" si="258"/>
        <v>1.5590129032258064</v>
      </c>
      <c r="CM398" s="39">
        <f t="shared" si="271"/>
        <v>0.16866336334721296</v>
      </c>
      <c r="CN398" s="37"/>
      <c r="CO398" s="39">
        <f>0.063495+(0.016949+0.014096)*Wages!P396+1.22592*BR398</f>
        <v>1.7511902992223161</v>
      </c>
      <c r="CP398" s="39"/>
      <c r="CQ398" s="39">
        <f t="shared" si="247"/>
        <v>1.7389775179513323</v>
      </c>
      <c r="CR398" s="39">
        <f t="shared" si="243"/>
        <v>0.53821642439704942</v>
      </c>
      <c r="CS398" s="39">
        <f t="shared" si="243"/>
        <v>2.8495975729924399</v>
      </c>
      <c r="CT398" s="39">
        <f t="shared" si="262"/>
        <v>6.6976502955987698</v>
      </c>
      <c r="CU398" s="39">
        <f t="shared" si="262"/>
        <v>3.3654478003085067</v>
      </c>
      <c r="CV398" s="39">
        <v>0.25</v>
      </c>
      <c r="CW398" s="39">
        <v>0.2</v>
      </c>
      <c r="CX398" s="39"/>
      <c r="CY398" s="39"/>
      <c r="CZ398" s="39">
        <f t="shared" si="265"/>
        <v>0.2557348727428434</v>
      </c>
      <c r="DA398" s="39">
        <v>4.0999999999999996</v>
      </c>
      <c r="DB398" s="39">
        <f>BU398</f>
        <v>4.0594220077329055</v>
      </c>
      <c r="DC398" s="39">
        <f t="shared" si="266"/>
        <v>6.1588787094109696</v>
      </c>
      <c r="DD398" s="39">
        <v>4.2</v>
      </c>
      <c r="DE398" s="39">
        <f t="shared" si="272"/>
        <v>4.7731731827261266E-2</v>
      </c>
      <c r="DF398" s="39">
        <f t="shared" si="256"/>
        <v>9.9852105624074691E-2</v>
      </c>
      <c r="DG398" s="39">
        <f t="shared" si="267"/>
        <v>1.5590129032258064</v>
      </c>
      <c r="DH398" s="39">
        <f t="shared" si="268"/>
        <v>5.4031844948224208</v>
      </c>
      <c r="DI398" s="39">
        <f t="shared" si="238"/>
        <v>4.1211814612272359</v>
      </c>
      <c r="DJ398" s="37"/>
      <c r="DK398" s="37"/>
      <c r="DL398" s="37"/>
      <c r="DM398" s="39">
        <f t="shared" si="235"/>
        <v>1.483129914190507</v>
      </c>
      <c r="DN398" s="39"/>
      <c r="DO398" s="39">
        <f t="shared" si="236"/>
        <v>1.483129914190507</v>
      </c>
      <c r="DP398" s="37"/>
      <c r="DQ398" s="37">
        <f>DO398/'Conversions, Sources &amp; Comments'!E396</f>
        <v>3.1964562328951569</v>
      </c>
    </row>
    <row r="399" spans="1:121">
      <c r="A399" s="42">
        <f t="shared" si="269"/>
        <v>1647</v>
      </c>
      <c r="B399" s="36"/>
      <c r="C399" s="38">
        <v>62</v>
      </c>
      <c r="D399" s="38">
        <v>6</v>
      </c>
      <c r="E399" s="38">
        <v>39</v>
      </c>
      <c r="F399" s="38">
        <v>1</v>
      </c>
      <c r="G399" s="38">
        <v>20</v>
      </c>
      <c r="H399" s="38">
        <v>11.75</v>
      </c>
      <c r="I399" s="36"/>
      <c r="J399" s="36"/>
      <c r="K399" s="38">
        <v>3</v>
      </c>
      <c r="L399" s="38">
        <v>6</v>
      </c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8">
        <v>6</v>
      </c>
      <c r="AA399" s="38">
        <v>5.75</v>
      </c>
      <c r="AB399" s="36"/>
      <c r="AC399" s="38">
        <v>2</v>
      </c>
      <c r="AD399" s="38">
        <v>6</v>
      </c>
      <c r="AE399" s="38">
        <v>2</v>
      </c>
      <c r="AF399" s="38">
        <v>9</v>
      </c>
      <c r="AG399" s="38">
        <v>27</v>
      </c>
      <c r="AH399" s="38">
        <v>3.5</v>
      </c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8">
        <v>16</v>
      </c>
      <c r="AY399" s="38">
        <v>10.5</v>
      </c>
      <c r="AZ399" s="38">
        <v>120</v>
      </c>
      <c r="BA399" s="36"/>
      <c r="BB399" s="36"/>
      <c r="BC399" s="36"/>
      <c r="BD399" s="38">
        <v>6.67</v>
      </c>
      <c r="BE399" s="36"/>
      <c r="BF399" s="38">
        <v>9</v>
      </c>
      <c r="BG399" s="59">
        <v>27.25</v>
      </c>
      <c r="BH399" s="59">
        <v>3.5</v>
      </c>
      <c r="BI399" s="59">
        <v>0.58171920736211113</v>
      </c>
      <c r="BJ399" s="59"/>
      <c r="BK399" s="38">
        <v>7.3980000000000006</v>
      </c>
      <c r="BL399" s="59">
        <v>3.29</v>
      </c>
      <c r="BM399" s="38"/>
      <c r="BN399" s="38">
        <v>62</v>
      </c>
      <c r="BO399" s="36"/>
      <c r="BP399" s="39">
        <f t="shared" si="263"/>
        <v>0.46399193548387102</v>
      </c>
      <c r="BQ399" s="37"/>
      <c r="BR399" s="39">
        <f t="shared" si="264"/>
        <v>1.2344413403602053</v>
      </c>
      <c r="BS399" s="39">
        <f t="shared" si="245"/>
        <v>2.3015878914061751</v>
      </c>
      <c r="BT399" s="39">
        <f t="shared" si="254"/>
        <v>30.445665057996788</v>
      </c>
      <c r="BU399" s="39">
        <f>$BP399*12*AY399/(12*(45/36)*0.9144)</f>
        <v>4.2623931081195501</v>
      </c>
      <c r="BV399" s="39">
        <f t="shared" si="233"/>
        <v>0.53821642439704942</v>
      </c>
      <c r="BW399" s="39">
        <f t="shared" si="259"/>
        <v>3.0687973862995501</v>
      </c>
      <c r="BX399" s="39">
        <f t="shared" si="234"/>
        <v>0.39582493170859256</v>
      </c>
      <c r="BY399" s="39">
        <f t="shared" si="257"/>
        <v>6.6277206872900045</v>
      </c>
      <c r="BZ399" s="37"/>
      <c r="CA399" s="39">
        <f t="shared" si="260"/>
        <v>7.5676543546146915</v>
      </c>
      <c r="CB399" s="39">
        <f t="shared" si="261"/>
        <v>3.3654478003085067</v>
      </c>
      <c r="CC399" s="37"/>
      <c r="CD399" s="37"/>
      <c r="CE399" s="37"/>
      <c r="CF399" s="37"/>
      <c r="CG399" s="37"/>
      <c r="CH399" s="37"/>
      <c r="CI399" s="37"/>
      <c r="CJ399" s="39">
        <f t="shared" si="237"/>
        <v>0</v>
      </c>
      <c r="CK399" s="39">
        <f t="shared" si="270"/>
        <v>4.9377653614408205E-2</v>
      </c>
      <c r="CL399" s="39">
        <f t="shared" si="258"/>
        <v>1.5195735887096777</v>
      </c>
      <c r="CM399" s="39">
        <f t="shared" si="271"/>
        <v>0.17447934139366858</v>
      </c>
      <c r="CN399" s="37"/>
      <c r="CO399" s="39">
        <f>0.063495+(0.016949+0.014096)*Wages!P397+1.22592*BR399</f>
        <v>2.008960217087286</v>
      </c>
      <c r="CP399" s="39"/>
      <c r="CQ399" s="39">
        <f t="shared" si="247"/>
        <v>2.3015878914061751</v>
      </c>
      <c r="CR399" s="39">
        <f t="shared" si="243"/>
        <v>0.53821642439704942</v>
      </c>
      <c r="CS399" s="39">
        <f t="shared" si="243"/>
        <v>3.0687973862995501</v>
      </c>
      <c r="CT399" s="39">
        <f t="shared" si="262"/>
        <v>7.5676543546146915</v>
      </c>
      <c r="CU399" s="39">
        <f t="shared" si="262"/>
        <v>3.3654478003085067</v>
      </c>
      <c r="CV399" s="39">
        <v>0.25</v>
      </c>
      <c r="CW399" s="39">
        <v>0.2</v>
      </c>
      <c r="CX399" s="39"/>
      <c r="CY399" s="39"/>
      <c r="CZ399" s="39">
        <f t="shared" si="265"/>
        <v>0.39582493170859256</v>
      </c>
      <c r="DA399" s="39">
        <v>4.0999999999999996</v>
      </c>
      <c r="DB399" s="39">
        <f>BU399</f>
        <v>4.2623931081195501</v>
      </c>
      <c r="DC399" s="39">
        <f t="shared" si="266"/>
        <v>6.6277206872900045</v>
      </c>
      <c r="DD399" s="39">
        <v>4.2</v>
      </c>
      <c r="DE399" s="39">
        <f t="shared" si="272"/>
        <v>4.9377653614408205E-2</v>
      </c>
      <c r="DF399" s="39">
        <f t="shared" si="256"/>
        <v>0.10104156955501524</v>
      </c>
      <c r="DG399" s="39">
        <f t="shared" si="267"/>
        <v>1.5195735887096777</v>
      </c>
      <c r="DH399" s="39">
        <f t="shared" si="268"/>
        <v>5.5895012015404353</v>
      </c>
      <c r="DI399" s="39">
        <f t="shared" si="238"/>
        <v>4.1702740333903687</v>
      </c>
      <c r="DJ399" s="37"/>
      <c r="DK399" s="37"/>
      <c r="DL399" s="37"/>
      <c r="DM399" s="39">
        <f t="shared" si="235"/>
        <v>1.8236470648381808</v>
      </c>
      <c r="DN399" s="39"/>
      <c r="DO399" s="39">
        <f t="shared" si="236"/>
        <v>1.8236470648381808</v>
      </c>
      <c r="DP399" s="37"/>
      <c r="DQ399" s="37">
        <f>DO399/'Conversions, Sources &amp; Comments'!E397</f>
        <v>3.9303421576420337</v>
      </c>
    </row>
    <row r="400" spans="1:121">
      <c r="A400" s="42">
        <f t="shared" si="269"/>
        <v>1648</v>
      </c>
      <c r="B400" s="36"/>
      <c r="C400" s="38">
        <v>67</v>
      </c>
      <c r="D400" s="38">
        <v>10.5</v>
      </c>
      <c r="E400" s="38">
        <v>41</v>
      </c>
      <c r="F400" s="38">
        <v>7.25</v>
      </c>
      <c r="G400" s="38">
        <v>22</v>
      </c>
      <c r="H400" s="38">
        <v>7.5</v>
      </c>
      <c r="I400" s="36"/>
      <c r="J400" s="36"/>
      <c r="K400" s="38">
        <v>4</v>
      </c>
      <c r="L400" s="38">
        <v>0.5</v>
      </c>
      <c r="M400" s="36"/>
      <c r="N400" s="36"/>
      <c r="O400" s="36"/>
      <c r="P400" s="36"/>
      <c r="Q400" s="38">
        <v>3</v>
      </c>
      <c r="R400" s="38">
        <v>10</v>
      </c>
      <c r="S400" s="36"/>
      <c r="T400" s="36"/>
      <c r="U400" s="36"/>
      <c r="V400" s="36"/>
      <c r="W400" s="36"/>
      <c r="X400" s="36"/>
      <c r="Y400" s="36"/>
      <c r="Z400" s="38">
        <v>6</v>
      </c>
      <c r="AA400" s="38">
        <v>0.5</v>
      </c>
      <c r="AB400" s="36"/>
      <c r="AC400" s="38">
        <v>2</v>
      </c>
      <c r="AD400" s="38">
        <v>6</v>
      </c>
      <c r="AE400" s="38">
        <v>2</v>
      </c>
      <c r="AF400" s="38">
        <v>9</v>
      </c>
      <c r="AG400" s="38">
        <v>29</v>
      </c>
      <c r="AH400" s="38">
        <v>5</v>
      </c>
      <c r="AI400" s="38">
        <v>10</v>
      </c>
      <c r="AJ400" s="38">
        <v>0</v>
      </c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8">
        <v>10.5</v>
      </c>
      <c r="AZ400" s="38">
        <v>120</v>
      </c>
      <c r="BA400" s="36"/>
      <c r="BB400" s="36"/>
      <c r="BC400" s="36"/>
      <c r="BD400" s="38">
        <v>7.5</v>
      </c>
      <c r="BE400" s="36"/>
      <c r="BF400" s="38">
        <v>8.6</v>
      </c>
      <c r="BG400" s="59">
        <v>27.25</v>
      </c>
      <c r="BH400" s="59">
        <v>4</v>
      </c>
      <c r="BI400" s="59">
        <v>0.59000974238389814</v>
      </c>
      <c r="BJ400" s="59"/>
      <c r="BK400" s="38">
        <v>7.7490000000000006</v>
      </c>
      <c r="BL400" s="59">
        <v>3.29</v>
      </c>
      <c r="BM400" s="38"/>
      <c r="BN400" s="38">
        <v>62</v>
      </c>
      <c r="BO400" s="36"/>
      <c r="BP400" s="39">
        <f t="shared" si="263"/>
        <v>0.46399193548387102</v>
      </c>
      <c r="BQ400" s="37"/>
      <c r="BR400" s="39">
        <f t="shared" si="264"/>
        <v>1.3406032956311826</v>
      </c>
      <c r="BS400" s="39">
        <f t="shared" si="245"/>
        <v>2.1992950962325675</v>
      </c>
      <c r="BT400" s="39">
        <f t="shared" si="254"/>
        <v>30.445665057996788</v>
      </c>
      <c r="BU400" s="39">
        <f>$BP400*12*AY400/(12*(45/36)*0.9144)</f>
        <v>4.2623931081195501</v>
      </c>
      <c r="BV400" s="39">
        <f t="shared" ref="BV400:BV463" si="273">$BP400*12*$BG400/(8*35.238)</f>
        <v>0.53821642439704942</v>
      </c>
      <c r="BW400" s="39">
        <f t="shared" si="259"/>
        <v>3.5071970129137719</v>
      </c>
      <c r="BX400" s="39">
        <f t="shared" ref="BX400:BX463" si="274">$BP400*240*$BI400/(36*4.546)</f>
        <v>0.40146614213674292</v>
      </c>
      <c r="BY400" s="39">
        <f t="shared" si="257"/>
        <v>6.1801897084054698</v>
      </c>
      <c r="BZ400" s="37"/>
      <c r="CA400" s="39">
        <f t="shared" si="260"/>
        <v>7.9267036488117393</v>
      </c>
      <c r="CB400" s="39">
        <f t="shared" si="261"/>
        <v>3.3654478003085067</v>
      </c>
      <c r="CC400" s="37"/>
      <c r="CD400" s="37"/>
      <c r="CE400" s="37"/>
      <c r="CF400" s="37"/>
      <c r="CG400" s="37"/>
      <c r="CH400" s="37"/>
      <c r="CI400" s="37"/>
      <c r="CJ400" s="39">
        <f t="shared" si="237"/>
        <v>0</v>
      </c>
      <c r="CK400" s="39">
        <f t="shared" si="270"/>
        <v>4.9377653614408205E-2</v>
      </c>
      <c r="CL400" s="39">
        <f t="shared" si="258"/>
        <v>1.6378915322580647</v>
      </c>
      <c r="CM400" s="39">
        <f t="shared" si="271"/>
        <v>0.17447934139366858</v>
      </c>
      <c r="CN400" s="37"/>
      <c r="CO400" s="39">
        <f>0.063495+(0.016949+0.014096)*Wages!P398+1.22592*BR400</f>
        <v>2.1391062812930826</v>
      </c>
      <c r="CP400" s="39"/>
      <c r="CQ400" s="39">
        <f t="shared" si="247"/>
        <v>2.1992950962325675</v>
      </c>
      <c r="CR400" s="39">
        <f t="shared" si="243"/>
        <v>0.53821642439704942</v>
      </c>
      <c r="CS400" s="39">
        <f t="shared" si="243"/>
        <v>3.5071970129137719</v>
      </c>
      <c r="CT400" s="39">
        <f t="shared" si="262"/>
        <v>7.9267036488117393</v>
      </c>
      <c r="CU400" s="39">
        <f t="shared" si="262"/>
        <v>3.3654478003085067</v>
      </c>
      <c r="CV400" s="39">
        <v>0.25</v>
      </c>
      <c r="CW400" s="39">
        <v>0.2</v>
      </c>
      <c r="CX400" s="39"/>
      <c r="CY400" s="39"/>
      <c r="CZ400" s="39">
        <f t="shared" si="265"/>
        <v>0.40146614213674292</v>
      </c>
      <c r="DA400" s="39">
        <v>4.0999999999999996</v>
      </c>
      <c r="DB400" s="39">
        <f>BU400</f>
        <v>4.2623931081195501</v>
      </c>
      <c r="DC400" s="39">
        <f t="shared" si="266"/>
        <v>6.1801897084054698</v>
      </c>
      <c r="DD400" s="39">
        <v>4.2</v>
      </c>
      <c r="DE400" s="39">
        <f t="shared" si="272"/>
        <v>4.9377653614408205E-2</v>
      </c>
      <c r="DF400" s="39">
        <f t="shared" si="256"/>
        <v>0.1022310334859558</v>
      </c>
      <c r="DG400" s="39">
        <f t="shared" si="267"/>
        <v>1.6378915322580647</v>
      </c>
      <c r="DH400" s="39">
        <f t="shared" si="268"/>
        <v>5.5895012015404353</v>
      </c>
      <c r="DI400" s="39">
        <f t="shared" si="238"/>
        <v>4.2193666055535024</v>
      </c>
      <c r="DJ400" s="37"/>
      <c r="DK400" s="37"/>
      <c r="DL400" s="37"/>
      <c r="DM400" s="39">
        <f t="shared" ref="DM400:DM463" si="275">($CQ$6*$CQ400+$CR$6*$CR400+$CS$6*$CS400+$CT$6*$CT400+$CU$6*$CU400+$CV$6*$CV400+$CZ$6*$CZ400+$DA$6*$DA400+$DB$6*$DB400+$DC$6*$DC400+$DD$6*$DD400+$DH$6*$DH400)/414.8987</f>
        <v>1.8104179986902786</v>
      </c>
      <c r="DN400" s="39"/>
      <c r="DO400" s="39">
        <f t="shared" ref="DO400:DO463" si="276">($CQ$6*$CQ400+$CR$6*$CR400+$CS$6*$CS400+$CT$6*$CT400+$CU$6*$CU400+$CV$6*$CV400+$CZ$6*$CZ400+$DA$6*$DA400+$DB$6*$DB400+$DC$6*$DC400+$DD$6*$DD400+$DH$6*$DH400)/414.8987</f>
        <v>1.8104179986902786</v>
      </c>
      <c r="DP400" s="37"/>
      <c r="DQ400" s="37">
        <f>DO400/'Conversions, Sources &amp; Comments'!E398</f>
        <v>3.9018307436794042</v>
      </c>
    </row>
    <row r="401" spans="1:121">
      <c r="A401" s="42">
        <f t="shared" si="269"/>
        <v>1649</v>
      </c>
      <c r="B401" s="36"/>
      <c r="C401" s="38">
        <v>65</v>
      </c>
      <c r="D401" s="38">
        <v>6</v>
      </c>
      <c r="E401" s="38">
        <v>34</v>
      </c>
      <c r="F401" s="38">
        <v>8</v>
      </c>
      <c r="G401" s="38">
        <v>19</v>
      </c>
      <c r="H401" s="38">
        <v>3</v>
      </c>
      <c r="I401" s="36"/>
      <c r="J401" s="36"/>
      <c r="K401" s="38">
        <v>4</v>
      </c>
      <c r="L401" s="38">
        <v>1.75</v>
      </c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8">
        <v>6</v>
      </c>
      <c r="AA401" s="38">
        <v>5.5</v>
      </c>
      <c r="AB401" s="36"/>
      <c r="AC401" s="38">
        <v>2</v>
      </c>
      <c r="AD401" s="38">
        <v>8.75</v>
      </c>
      <c r="AE401" s="38">
        <v>2</v>
      </c>
      <c r="AF401" s="38">
        <v>9</v>
      </c>
      <c r="AG401" s="38">
        <v>28</v>
      </c>
      <c r="AH401" s="38">
        <v>10.25</v>
      </c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8">
        <v>120</v>
      </c>
      <c r="BA401" s="36"/>
      <c r="BB401" s="36"/>
      <c r="BC401" s="36"/>
      <c r="BD401" s="38">
        <v>6.67</v>
      </c>
      <c r="BE401" s="36"/>
      <c r="BF401" s="38">
        <v>9</v>
      </c>
      <c r="BG401" s="59">
        <v>27.25</v>
      </c>
      <c r="BH401" s="59">
        <v>4.17</v>
      </c>
      <c r="BI401" s="59">
        <v>0.57895569568818095</v>
      </c>
      <c r="BJ401" s="59"/>
      <c r="BK401" s="38">
        <v>8.4375</v>
      </c>
      <c r="BL401" s="59">
        <v>3.29</v>
      </c>
      <c r="BM401" s="36"/>
      <c r="BN401" s="38">
        <v>62</v>
      </c>
      <c r="BO401" s="36"/>
      <c r="BP401" s="39">
        <f t="shared" si="263"/>
        <v>0.46399193548387102</v>
      </c>
      <c r="BQ401" s="37"/>
      <c r="BR401" s="39">
        <f t="shared" si="264"/>
        <v>1.2936945246974949</v>
      </c>
      <c r="BS401" s="39">
        <f t="shared" si="245"/>
        <v>2.3015878914061751</v>
      </c>
      <c r="BT401" s="39">
        <f t="shared" si="254"/>
        <v>30.445665057996788</v>
      </c>
      <c r="BU401" s="37"/>
      <c r="BV401" s="39">
        <f t="shared" si="273"/>
        <v>0.53821642439704942</v>
      </c>
      <c r="BW401" s="39">
        <f t="shared" si="259"/>
        <v>3.6562528859626076</v>
      </c>
      <c r="BX401" s="39">
        <f t="shared" si="274"/>
        <v>0.39394452823254161</v>
      </c>
      <c r="BY401" s="39">
        <f t="shared" si="257"/>
        <v>6.6064096882955026</v>
      </c>
      <c r="BZ401" s="37"/>
      <c r="CA401" s="39">
        <f t="shared" si="260"/>
        <v>8.6309926489674851</v>
      </c>
      <c r="CB401" s="39">
        <f t="shared" si="261"/>
        <v>3.3654478003085067</v>
      </c>
      <c r="CC401" s="37"/>
      <c r="CD401" s="37"/>
      <c r="CE401" s="37"/>
      <c r="CF401" s="37"/>
      <c r="CG401" s="37"/>
      <c r="CH401" s="37"/>
      <c r="CI401" s="37"/>
      <c r="CJ401" s="39">
        <f t="shared" ref="CJ401:CJ464" si="277">$BP401*12*AS401/(26.5*112*0.453592)</f>
        <v>0</v>
      </c>
      <c r="CK401" s="39">
        <f t="shared" si="270"/>
        <v>5.3903938529062292E-2</v>
      </c>
      <c r="CL401" s="39">
        <f t="shared" si="258"/>
        <v>1.6065720766129032</v>
      </c>
      <c r="CM401" s="39">
        <f t="shared" si="271"/>
        <v>0.19047328102142155</v>
      </c>
      <c r="CN401" s="37"/>
      <c r="CO401" s="39">
        <f>0.063495+(0.016949+0.014096)*Wages!P399+1.22592*BR401</f>
        <v>2.0815998808300562</v>
      </c>
      <c r="CP401" s="39"/>
      <c r="CQ401" s="39">
        <f t="shared" si="247"/>
        <v>2.3015878914061751</v>
      </c>
      <c r="CR401" s="39">
        <f t="shared" si="243"/>
        <v>0.53821642439704942</v>
      </c>
      <c r="CS401" s="39">
        <f t="shared" si="243"/>
        <v>3.6562528859626076</v>
      </c>
      <c r="CT401" s="39">
        <f t="shared" si="262"/>
        <v>8.6309926489674851</v>
      </c>
      <c r="CU401" s="39">
        <f t="shared" si="262"/>
        <v>3.3654478003085067</v>
      </c>
      <c r="CV401" s="39">
        <v>0.25</v>
      </c>
      <c r="CW401" s="39">
        <v>0.2</v>
      </c>
      <c r="CX401" s="39"/>
      <c r="CY401" s="39"/>
      <c r="CZ401" s="39">
        <f t="shared" si="265"/>
        <v>0.39394452823254161</v>
      </c>
      <c r="DA401" s="39">
        <v>4.0999999999999996</v>
      </c>
      <c r="DB401" s="39">
        <v>4.2623931081195501</v>
      </c>
      <c r="DC401" s="39">
        <f t="shared" si="266"/>
        <v>6.6064096882955026</v>
      </c>
      <c r="DD401" s="39">
        <v>4.2</v>
      </c>
      <c r="DE401" s="39">
        <f t="shared" si="272"/>
        <v>5.3903938529062292E-2</v>
      </c>
      <c r="DF401" s="39">
        <f t="shared" si="256"/>
        <v>0.10342049741689635</v>
      </c>
      <c r="DG401" s="39">
        <f t="shared" si="267"/>
        <v>1.6065720766129032</v>
      </c>
      <c r="DH401" s="39">
        <f t="shared" si="268"/>
        <v>6.1018721450149762</v>
      </c>
      <c r="DI401" s="39">
        <f t="shared" ref="DI401:DI464" si="278">1000*DF401/24.229</f>
        <v>4.2684591777166352</v>
      </c>
      <c r="DJ401" s="37"/>
      <c r="DK401" s="37"/>
      <c r="DL401" s="37"/>
      <c r="DM401" s="39">
        <f t="shared" si="275"/>
        <v>1.8790037454188138</v>
      </c>
      <c r="DN401" s="39"/>
      <c r="DO401" s="39">
        <f t="shared" si="276"/>
        <v>1.8790037454188138</v>
      </c>
      <c r="DP401" s="37"/>
      <c r="DQ401" s="37">
        <f>DO401/'Conversions, Sources &amp; Comments'!E399</f>
        <v>4.0496474221244965</v>
      </c>
    </row>
    <row r="402" spans="1:121">
      <c r="A402" s="42">
        <f t="shared" si="269"/>
        <v>1650</v>
      </c>
      <c r="B402" s="36"/>
      <c r="C402" s="38">
        <v>55</v>
      </c>
      <c r="D402" s="38">
        <v>4</v>
      </c>
      <c r="E402" s="36"/>
      <c r="F402" s="36"/>
      <c r="G402" s="38">
        <v>13</v>
      </c>
      <c r="H402" s="38">
        <v>9.25</v>
      </c>
      <c r="I402" s="36"/>
      <c r="J402" s="36"/>
      <c r="K402" s="38">
        <v>3</v>
      </c>
      <c r="L402" s="38">
        <v>10.5</v>
      </c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8">
        <v>5</v>
      </c>
      <c r="AA402" s="38">
        <v>10</v>
      </c>
      <c r="AB402" s="36"/>
      <c r="AC402" s="38">
        <v>2</v>
      </c>
      <c r="AD402" s="38">
        <v>8</v>
      </c>
      <c r="AE402" s="38">
        <v>2</v>
      </c>
      <c r="AF402" s="38">
        <v>9</v>
      </c>
      <c r="AG402" s="38">
        <v>28</v>
      </c>
      <c r="AH402" s="38">
        <v>0.5</v>
      </c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8">
        <v>5.14</v>
      </c>
      <c r="AX402" s="38">
        <v>17</v>
      </c>
      <c r="AY402" s="38">
        <v>10.5</v>
      </c>
      <c r="AZ402" s="38">
        <v>120</v>
      </c>
      <c r="BA402" s="36"/>
      <c r="BB402" s="36"/>
      <c r="BC402" s="36"/>
      <c r="BD402" s="38">
        <v>6.67</v>
      </c>
      <c r="BE402" s="36"/>
      <c r="BF402" s="38">
        <v>7.4</v>
      </c>
      <c r="BG402" s="59">
        <v>29.19</v>
      </c>
      <c r="BH402" s="59">
        <v>3.92</v>
      </c>
      <c r="BI402" s="59">
        <v>0.44078011199171874</v>
      </c>
      <c r="BJ402" s="59"/>
      <c r="BK402" s="38">
        <v>8.2359999999999989</v>
      </c>
      <c r="BL402" s="59">
        <v>2.6</v>
      </c>
      <c r="BM402" s="38"/>
      <c r="BN402" s="38">
        <v>62</v>
      </c>
      <c r="BO402" s="36"/>
      <c r="BP402" s="39">
        <f t="shared" si="263"/>
        <v>0.46399193548387102</v>
      </c>
      <c r="BQ402" s="37"/>
      <c r="BR402" s="39">
        <f t="shared" si="264"/>
        <v>1.0928920666655684</v>
      </c>
      <c r="BS402" s="39">
        <f t="shared" si="245"/>
        <v>1.892416710711744</v>
      </c>
      <c r="BT402" s="39">
        <f t="shared" si="254"/>
        <v>30.445665057996788</v>
      </c>
      <c r="BU402" s="39">
        <f>$BP402*12*AY402/(12*(45/36)*0.9144)</f>
        <v>4.2623931081195501</v>
      </c>
      <c r="BV402" s="39">
        <f t="shared" si="273"/>
        <v>0.57653348360183021</v>
      </c>
      <c r="BW402" s="39">
        <f t="shared" si="259"/>
        <v>3.4370530726554964</v>
      </c>
      <c r="BX402" s="39">
        <f t="shared" si="274"/>
        <v>0.29992435443002641</v>
      </c>
      <c r="BY402" s="39">
        <f t="shared" si="257"/>
        <v>5.9670797184604547</v>
      </c>
      <c r="BZ402" s="37"/>
      <c r="CA402" s="39">
        <f t="shared" si="260"/>
        <v>8.4248717578543655</v>
      </c>
      <c r="CB402" s="39">
        <f t="shared" si="261"/>
        <v>2.65962440145961</v>
      </c>
      <c r="CC402" s="37"/>
      <c r="CD402" s="37"/>
      <c r="CE402" s="37"/>
      <c r="CF402" s="37"/>
      <c r="CG402" s="37"/>
      <c r="CH402" s="39">
        <f>BP402*12*AW402/(12*0.453592)</f>
        <v>5.2578496719234398</v>
      </c>
      <c r="CI402" s="37"/>
      <c r="CJ402" s="39">
        <f t="shared" si="277"/>
        <v>0</v>
      </c>
      <c r="CK402" s="39">
        <f t="shared" si="270"/>
        <v>5.2669497188702084E-2</v>
      </c>
      <c r="CL402" s="39">
        <f t="shared" si="258"/>
        <v>1.5613328629032259</v>
      </c>
      <c r="CM402" s="39">
        <f t="shared" si="271"/>
        <v>0.18611129748657981</v>
      </c>
      <c r="CN402" s="37"/>
      <c r="CO402" s="39">
        <f>0.063495+(0.016949+0.014096)*Wages!P400+1.22592*BR402</f>
        <v>1.8354321314795565</v>
      </c>
      <c r="CP402" s="39"/>
      <c r="CQ402" s="39">
        <f t="shared" si="247"/>
        <v>1.892416710711744</v>
      </c>
      <c r="CR402" s="39">
        <f t="shared" si="243"/>
        <v>0.57653348360183021</v>
      </c>
      <c r="CS402" s="39">
        <f t="shared" si="243"/>
        <v>3.4370530726554964</v>
      </c>
      <c r="CT402" s="39">
        <f t="shared" si="262"/>
        <v>8.4248717578543655</v>
      </c>
      <c r="CU402" s="39">
        <f t="shared" si="262"/>
        <v>2.65962440145961</v>
      </c>
      <c r="CV402" s="39">
        <v>0.25</v>
      </c>
      <c r="CW402" s="39">
        <v>0.2</v>
      </c>
      <c r="CX402" s="39"/>
      <c r="CY402" s="39"/>
      <c r="CZ402" s="39">
        <f t="shared" si="265"/>
        <v>0.29992435443002641</v>
      </c>
      <c r="DA402" s="39">
        <f>CH402</f>
        <v>5.2578496719234398</v>
      </c>
      <c r="DB402" s="39">
        <f>BU402</f>
        <v>4.2623931081195501</v>
      </c>
      <c r="DC402" s="39">
        <f t="shared" si="266"/>
        <v>5.9670797184604547</v>
      </c>
      <c r="DD402" s="39">
        <v>4.2</v>
      </c>
      <c r="DE402" s="39">
        <f t="shared" si="272"/>
        <v>5.2669497188702084E-2</v>
      </c>
      <c r="DF402" s="39">
        <f t="shared" si="256"/>
        <v>0.1046099613478369</v>
      </c>
      <c r="DG402" s="39">
        <f t="shared" si="267"/>
        <v>1.5613328629032259</v>
      </c>
      <c r="DH402" s="39">
        <f t="shared" si="268"/>
        <v>5.9621346149764642</v>
      </c>
      <c r="DI402" s="39">
        <f t="shared" si="278"/>
        <v>4.317551749879768</v>
      </c>
      <c r="DJ402" s="37"/>
      <c r="DK402" s="37"/>
      <c r="DL402" s="37"/>
      <c r="DM402" s="39">
        <f t="shared" si="275"/>
        <v>1.6394749608785251</v>
      </c>
      <c r="DN402" s="39"/>
      <c r="DO402" s="39">
        <f t="shared" si="276"/>
        <v>1.6394749608785251</v>
      </c>
      <c r="DP402" s="37"/>
      <c r="DQ402" s="37">
        <f>DO402/'Conversions, Sources &amp; Comments'!E400</f>
        <v>3.533412620994822</v>
      </c>
    </row>
    <row r="403" spans="1:121">
      <c r="A403" s="42">
        <f t="shared" si="269"/>
        <v>1651</v>
      </c>
      <c r="B403" s="36"/>
      <c r="C403" s="38">
        <v>48</v>
      </c>
      <c r="D403" s="38">
        <v>10</v>
      </c>
      <c r="E403" s="36"/>
      <c r="F403" s="36"/>
      <c r="G403" s="38">
        <v>17</v>
      </c>
      <c r="H403" s="38">
        <v>1.75</v>
      </c>
      <c r="I403" s="36"/>
      <c r="J403" s="36"/>
      <c r="K403" s="38">
        <v>3</v>
      </c>
      <c r="L403" s="38">
        <v>6</v>
      </c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8">
        <v>5</v>
      </c>
      <c r="AA403" s="38">
        <v>9.75</v>
      </c>
      <c r="AB403" s="36"/>
      <c r="AC403" s="38">
        <v>2</v>
      </c>
      <c r="AD403" s="38">
        <v>4</v>
      </c>
      <c r="AE403" s="38">
        <v>2</v>
      </c>
      <c r="AF403" s="38">
        <v>9</v>
      </c>
      <c r="AG403" s="38">
        <v>11</v>
      </c>
      <c r="AH403" s="38">
        <v>0</v>
      </c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8">
        <v>20</v>
      </c>
      <c r="AY403" s="36"/>
      <c r="AZ403" s="38">
        <v>120</v>
      </c>
      <c r="BA403" s="36"/>
      <c r="BB403" s="36"/>
      <c r="BC403" s="36"/>
      <c r="BD403" s="38">
        <v>7</v>
      </c>
      <c r="BE403" s="36"/>
      <c r="BF403" s="38">
        <v>6.4</v>
      </c>
      <c r="BG403" s="59">
        <v>29.19</v>
      </c>
      <c r="BH403" s="59">
        <v>3.5</v>
      </c>
      <c r="BI403" s="59">
        <v>0.42005377443724873</v>
      </c>
      <c r="BJ403" s="59"/>
      <c r="BK403" s="38">
        <v>6.8159999999999989</v>
      </c>
      <c r="BL403" s="59">
        <v>2.6</v>
      </c>
      <c r="BM403" s="36"/>
      <c r="BN403" s="38">
        <v>62</v>
      </c>
      <c r="BO403" s="36"/>
      <c r="BP403" s="39">
        <f t="shared" si="263"/>
        <v>0.46399193548387102</v>
      </c>
      <c r="BQ403" s="37"/>
      <c r="BR403" s="39">
        <f t="shared" si="264"/>
        <v>0.96451016726810701</v>
      </c>
      <c r="BS403" s="39">
        <f t="shared" si="245"/>
        <v>1.6366847227777246</v>
      </c>
      <c r="BT403" s="39">
        <f t="shared" si="254"/>
        <v>30.445665057996788</v>
      </c>
      <c r="BU403" s="37"/>
      <c r="BV403" s="39">
        <f t="shared" si="273"/>
        <v>0.57653348360183021</v>
      </c>
      <c r="BW403" s="39">
        <f t="shared" si="259"/>
        <v>3.0687973862995501</v>
      </c>
      <c r="BX403" s="39">
        <f t="shared" si="274"/>
        <v>0.28582132835964869</v>
      </c>
      <c r="BY403" s="39">
        <f t="shared" si="257"/>
        <v>5.9457687194659528</v>
      </c>
      <c r="BZ403" s="37"/>
      <c r="CA403" s="39">
        <f t="shared" si="260"/>
        <v>6.972307661672577</v>
      </c>
      <c r="CB403" s="39">
        <f t="shared" si="261"/>
        <v>2.65962440145961</v>
      </c>
      <c r="CC403" s="37"/>
      <c r="CD403" s="37"/>
      <c r="CE403" s="37"/>
      <c r="CF403" s="37"/>
      <c r="CG403" s="37"/>
      <c r="CH403" s="37"/>
      <c r="CI403" s="37"/>
      <c r="CJ403" s="39">
        <f t="shared" si="277"/>
        <v>0</v>
      </c>
      <c r="CK403" s="39">
        <f t="shared" si="270"/>
        <v>4.6085810040114326E-2</v>
      </c>
      <c r="CL403" s="39">
        <f t="shared" si="258"/>
        <v>0.61246935483870979</v>
      </c>
      <c r="CM403" s="39">
        <f t="shared" si="271"/>
        <v>0.16284738530075735</v>
      </c>
      <c r="CN403" s="37"/>
      <c r="CO403" s="39">
        <f>0.063495+(0.016949+0.014096)*Wages!P401+1.22592*BR403</f>
        <v>1.6780461933702209</v>
      </c>
      <c r="CP403" s="39"/>
      <c r="CQ403" s="39">
        <f t="shared" si="247"/>
        <v>1.6366847227777246</v>
      </c>
      <c r="CR403" s="39">
        <f t="shared" si="243"/>
        <v>0.57653348360183021</v>
      </c>
      <c r="CS403" s="39">
        <f t="shared" si="243"/>
        <v>3.0687973862995501</v>
      </c>
      <c r="CT403" s="39">
        <f t="shared" si="262"/>
        <v>6.972307661672577</v>
      </c>
      <c r="CU403" s="39">
        <f t="shared" si="262"/>
        <v>2.65962440145961</v>
      </c>
      <c r="CV403" s="39">
        <v>0.25</v>
      </c>
      <c r="CW403" s="39">
        <v>0.2</v>
      </c>
      <c r="CX403" s="39"/>
      <c r="CY403" s="39"/>
      <c r="CZ403" s="39">
        <f t="shared" si="265"/>
        <v>0.28582132835964869</v>
      </c>
      <c r="DA403" s="39">
        <v>4.5999999999999996</v>
      </c>
      <c r="DB403" s="39">
        <v>4.2623931081195501</v>
      </c>
      <c r="DC403" s="39">
        <f t="shared" si="266"/>
        <v>5.9457687194659528</v>
      </c>
      <c r="DD403" s="39">
        <v>4.2</v>
      </c>
      <c r="DE403" s="39">
        <f t="shared" si="272"/>
        <v>4.6085810040114326E-2</v>
      </c>
      <c r="DF403" s="39">
        <f t="shared" si="256"/>
        <v>0.10579942527877745</v>
      </c>
      <c r="DG403" s="39">
        <f t="shared" si="267"/>
        <v>0.61246935483870979</v>
      </c>
      <c r="DH403" s="39">
        <f t="shared" si="268"/>
        <v>5.2168677881044063</v>
      </c>
      <c r="DI403" s="39">
        <f t="shared" si="278"/>
        <v>4.3666443220429008</v>
      </c>
      <c r="DJ403" s="37"/>
      <c r="DK403" s="37"/>
      <c r="DL403" s="37"/>
      <c r="DM403" s="39">
        <f t="shared" si="275"/>
        <v>1.4665891321860103</v>
      </c>
      <c r="DN403" s="39"/>
      <c r="DO403" s="39">
        <f t="shared" si="276"/>
        <v>1.4665891321860103</v>
      </c>
      <c r="DP403" s="37"/>
      <c r="DQ403" s="37">
        <f>DO403/'Conversions, Sources &amp; Comments'!E401</f>
        <v>3.1608073762243025</v>
      </c>
    </row>
    <row r="404" spans="1:121">
      <c r="A404" s="42">
        <f t="shared" si="269"/>
        <v>1652</v>
      </c>
      <c r="B404" s="36"/>
      <c r="C404" s="38">
        <v>33</v>
      </c>
      <c r="D404" s="38">
        <v>10.75</v>
      </c>
      <c r="E404" s="38">
        <v>17</v>
      </c>
      <c r="F404" s="38">
        <v>1</v>
      </c>
      <c r="G404" s="38">
        <v>17</v>
      </c>
      <c r="H404" s="38">
        <v>9.75</v>
      </c>
      <c r="I404" s="36"/>
      <c r="J404" s="36"/>
      <c r="K404" s="38">
        <v>3</v>
      </c>
      <c r="L404" s="38">
        <v>6</v>
      </c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8">
        <v>5</v>
      </c>
      <c r="AA404" s="38">
        <v>3.25</v>
      </c>
      <c r="AB404" s="36"/>
      <c r="AC404" s="38">
        <v>2</v>
      </c>
      <c r="AD404" s="38">
        <v>8</v>
      </c>
      <c r="AE404" s="38">
        <v>2</v>
      </c>
      <c r="AF404" s="38">
        <v>9</v>
      </c>
      <c r="AG404" s="38">
        <v>18</v>
      </c>
      <c r="AH404" s="38">
        <v>0</v>
      </c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8">
        <v>10.5</v>
      </c>
      <c r="AZ404" s="38">
        <v>120</v>
      </c>
      <c r="BA404" s="36"/>
      <c r="BB404" s="36"/>
      <c r="BC404" s="36"/>
      <c r="BD404" s="38">
        <v>7</v>
      </c>
      <c r="BE404" s="36"/>
      <c r="BF404" s="38">
        <v>4.8</v>
      </c>
      <c r="BG404" s="59">
        <v>29.19</v>
      </c>
      <c r="BH404" s="59">
        <v>3.5</v>
      </c>
      <c r="BI404" s="59">
        <v>0.41590850692635439</v>
      </c>
      <c r="BJ404" s="59"/>
      <c r="BK404" s="38">
        <v>5.5095999999999989</v>
      </c>
      <c r="BL404" s="59">
        <v>2.6</v>
      </c>
      <c r="BM404" s="38"/>
      <c r="BN404" s="38">
        <v>62</v>
      </c>
      <c r="BO404" s="36"/>
      <c r="BP404" s="39">
        <f t="shared" si="263"/>
        <v>0.46399193548387102</v>
      </c>
      <c r="BQ404" s="37"/>
      <c r="BR404" s="39">
        <f t="shared" si="264"/>
        <v>0.66947868692201784</v>
      </c>
      <c r="BS404" s="39">
        <f t="shared" si="245"/>
        <v>1.2275135420832934</v>
      </c>
      <c r="BT404" s="39">
        <f t="shared" si="254"/>
        <v>30.445665057996788</v>
      </c>
      <c r="BU404" s="39">
        <f>$BP404*12*AY404/(12*(45/36)*0.9144)</f>
        <v>4.2623931081195501</v>
      </c>
      <c r="BV404" s="39">
        <f t="shared" si="273"/>
        <v>0.57653348360183021</v>
      </c>
      <c r="BW404" s="39">
        <f t="shared" si="259"/>
        <v>3.0687973862995501</v>
      </c>
      <c r="BX404" s="39">
        <f t="shared" si="274"/>
        <v>0.2830007231455729</v>
      </c>
      <c r="BY404" s="39">
        <f t="shared" si="257"/>
        <v>5.39168274560891</v>
      </c>
      <c r="BZ404" s="37"/>
      <c r="CA404" s="39">
        <f t="shared" si="260"/>
        <v>5.635948693185334</v>
      </c>
      <c r="CB404" s="39">
        <f t="shared" si="261"/>
        <v>2.65962440145961</v>
      </c>
      <c r="CC404" s="37"/>
      <c r="CD404" s="37"/>
      <c r="CE404" s="37"/>
      <c r="CF404" s="37"/>
      <c r="CG404" s="37"/>
      <c r="CH404" s="37"/>
      <c r="CI404" s="37"/>
      <c r="CJ404" s="39">
        <f t="shared" si="277"/>
        <v>0</v>
      </c>
      <c r="CK404" s="39">
        <f t="shared" si="270"/>
        <v>5.2669497188702084E-2</v>
      </c>
      <c r="CL404" s="39">
        <f t="shared" si="258"/>
        <v>1.0022225806451615</v>
      </c>
      <c r="CM404" s="39">
        <f t="shared" si="271"/>
        <v>0.18611129748657981</v>
      </c>
      <c r="CN404" s="37"/>
      <c r="CO404" s="39">
        <f>0.063495+(0.016949+0.014096)*Wages!P402+1.22592*BR404</f>
        <v>1.3163612009843431</v>
      </c>
      <c r="CP404" s="39"/>
      <c r="CQ404" s="39">
        <f t="shared" si="247"/>
        <v>1.2275135420832934</v>
      </c>
      <c r="CR404" s="39">
        <f t="shared" si="243"/>
        <v>0.57653348360183021</v>
      </c>
      <c r="CS404" s="39">
        <f t="shared" si="243"/>
        <v>3.0687973862995501</v>
      </c>
      <c r="CT404" s="39">
        <f t="shared" si="262"/>
        <v>5.635948693185334</v>
      </c>
      <c r="CU404" s="39">
        <f t="shared" si="262"/>
        <v>2.65962440145961</v>
      </c>
      <c r="CV404" s="39">
        <v>0.25</v>
      </c>
      <c r="CW404" s="39">
        <v>0.2</v>
      </c>
      <c r="CX404" s="39"/>
      <c r="CY404" s="39"/>
      <c r="CZ404" s="39">
        <f t="shared" si="265"/>
        <v>0.2830007231455729</v>
      </c>
      <c r="DA404" s="39">
        <v>4.5999999999999996</v>
      </c>
      <c r="DB404" s="39">
        <f>BU404</f>
        <v>4.2623931081195501</v>
      </c>
      <c r="DC404" s="39">
        <f t="shared" si="266"/>
        <v>5.39168274560891</v>
      </c>
      <c r="DD404" s="39">
        <v>4.2</v>
      </c>
      <c r="DE404" s="39">
        <f t="shared" si="272"/>
        <v>5.2669497188702084E-2</v>
      </c>
      <c r="DF404" s="39">
        <f t="shared" si="256"/>
        <v>0.106988889209718</v>
      </c>
      <c r="DG404" s="39">
        <f t="shared" si="267"/>
        <v>1.0022225806451615</v>
      </c>
      <c r="DH404" s="39">
        <f t="shared" si="268"/>
        <v>5.9621346149764642</v>
      </c>
      <c r="DI404" s="39">
        <f t="shared" si="278"/>
        <v>4.4157368942060344</v>
      </c>
      <c r="DJ404" s="37"/>
      <c r="DK404" s="37"/>
      <c r="DL404" s="37"/>
      <c r="DM404" s="39">
        <f t="shared" si="275"/>
        <v>1.2746245368061022</v>
      </c>
      <c r="DN404" s="39"/>
      <c r="DO404" s="39">
        <f t="shared" si="276"/>
        <v>1.2746245368061022</v>
      </c>
      <c r="DP404" s="37"/>
      <c r="DQ404" s="37">
        <f>DO404/'Conversions, Sources &amp; Comments'!E402</f>
        <v>2.7470833851387271</v>
      </c>
    </row>
    <row r="405" spans="1:121">
      <c r="A405" s="42">
        <f t="shared" si="269"/>
        <v>1653</v>
      </c>
      <c r="B405" s="36"/>
      <c r="C405" s="38">
        <v>25</v>
      </c>
      <c r="D405" s="38">
        <v>2.5</v>
      </c>
      <c r="E405" s="38">
        <v>15</v>
      </c>
      <c r="F405" s="38">
        <v>4.75</v>
      </c>
      <c r="G405" s="38">
        <v>12</v>
      </c>
      <c r="H405" s="38">
        <v>4</v>
      </c>
      <c r="I405" s="36"/>
      <c r="J405" s="36"/>
      <c r="K405" s="38">
        <v>3</v>
      </c>
      <c r="L405" s="38">
        <v>6</v>
      </c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8">
        <v>5</v>
      </c>
      <c r="AA405" s="38">
        <v>2.5</v>
      </c>
      <c r="AB405" s="36"/>
      <c r="AC405" s="38">
        <v>3</v>
      </c>
      <c r="AD405" s="38">
        <v>6</v>
      </c>
      <c r="AE405" s="38">
        <v>3</v>
      </c>
      <c r="AF405" s="38">
        <v>4.75</v>
      </c>
      <c r="AG405" s="38">
        <v>28</v>
      </c>
      <c r="AH405" s="38">
        <v>0</v>
      </c>
      <c r="AI405" s="36"/>
      <c r="AJ405" s="36"/>
      <c r="AK405" s="36"/>
      <c r="AL405" s="36"/>
      <c r="AM405" s="38">
        <v>38</v>
      </c>
      <c r="AN405" s="38">
        <v>8</v>
      </c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8">
        <v>10.5</v>
      </c>
      <c r="AZ405" s="38">
        <v>120</v>
      </c>
      <c r="BA405" s="36"/>
      <c r="BB405" s="36"/>
      <c r="BC405" s="36"/>
      <c r="BD405" s="38">
        <v>6.67</v>
      </c>
      <c r="BE405" s="36"/>
      <c r="BF405" s="38">
        <v>3.9</v>
      </c>
      <c r="BG405" s="59">
        <v>29.19</v>
      </c>
      <c r="BH405" s="59">
        <v>3.5</v>
      </c>
      <c r="BI405" s="59">
        <v>0.32333086584972481</v>
      </c>
      <c r="BJ405" s="59"/>
      <c r="BK405" s="38">
        <v>5.2255999999999991</v>
      </c>
      <c r="BL405" s="59">
        <v>2.6</v>
      </c>
      <c r="BM405" s="38"/>
      <c r="BN405" s="38">
        <v>62</v>
      </c>
      <c r="BO405" s="36"/>
      <c r="BP405" s="39">
        <f t="shared" si="263"/>
        <v>0.46399193548387102</v>
      </c>
      <c r="BQ405" s="37"/>
      <c r="BR405" s="39">
        <f t="shared" si="264"/>
        <v>0.49789134061194945</v>
      </c>
      <c r="BS405" s="39">
        <f t="shared" si="245"/>
        <v>0.99735475294267584</v>
      </c>
      <c r="BT405" s="39">
        <f t="shared" si="254"/>
        <v>30.445665057996788</v>
      </c>
      <c r="BU405" s="39">
        <f>$BP405*12*AY405/(12*(45/36)*0.9144)</f>
        <v>4.2623931081195501</v>
      </c>
      <c r="BV405" s="39">
        <f t="shared" si="273"/>
        <v>0.57653348360183021</v>
      </c>
      <c r="BW405" s="39">
        <f t="shared" si="259"/>
        <v>3.0687973862995501</v>
      </c>
      <c r="BX405" s="39">
        <f t="shared" si="274"/>
        <v>0.22000720669788776</v>
      </c>
      <c r="BY405" s="39">
        <f t="shared" si="257"/>
        <v>5.327749748625406</v>
      </c>
      <c r="BZ405" s="37"/>
      <c r="CA405" s="39">
        <f t="shared" si="260"/>
        <v>5.3454358739489756</v>
      </c>
      <c r="CB405" s="39">
        <f t="shared" si="261"/>
        <v>2.65962440145961</v>
      </c>
      <c r="CC405" s="37"/>
      <c r="CD405" s="39">
        <f t="shared" ref="CD405:CD414" si="279">BP405*(12*AM405+AN405)/1000</f>
        <v>0.21529225806451616</v>
      </c>
      <c r="CE405" s="37"/>
      <c r="CF405" s="37"/>
      <c r="CG405" s="37"/>
      <c r="CH405" s="37"/>
      <c r="CI405" s="37"/>
      <c r="CJ405" s="39">
        <f t="shared" si="277"/>
        <v>0</v>
      </c>
      <c r="CK405" s="39">
        <f t="shared" si="270"/>
        <v>6.9128715060171486E-2</v>
      </c>
      <c r="CL405" s="39">
        <f t="shared" si="258"/>
        <v>1.5590129032258064</v>
      </c>
      <c r="CM405" s="39">
        <f t="shared" si="271"/>
        <v>0.24427107795113601</v>
      </c>
      <c r="CN405" s="37"/>
      <c r="CO405" s="39">
        <f>0.063495+(0.016949+0.014096)*Wages!P403+1.22592*BR405</f>
        <v>1.1060088413959042</v>
      </c>
      <c r="CP405" s="39"/>
      <c r="CQ405" s="39">
        <f t="shared" si="247"/>
        <v>0.99735475294267584</v>
      </c>
      <c r="CR405" s="39">
        <f t="shared" si="243"/>
        <v>0.57653348360183021</v>
      </c>
      <c r="CS405" s="39">
        <f t="shared" si="243"/>
        <v>3.0687973862995501</v>
      </c>
      <c r="CT405" s="39">
        <f t="shared" si="262"/>
        <v>5.3454358739489756</v>
      </c>
      <c r="CU405" s="39">
        <f t="shared" si="262"/>
        <v>2.65962440145961</v>
      </c>
      <c r="CV405" s="39">
        <v>0.25</v>
      </c>
      <c r="CW405" s="39">
        <f t="shared" ref="CW405:CW414" si="280">CD405</f>
        <v>0.21529225806451616</v>
      </c>
      <c r="CX405" s="39"/>
      <c r="CY405" s="39"/>
      <c r="CZ405" s="39">
        <f t="shared" si="265"/>
        <v>0.22000720669788776</v>
      </c>
      <c r="DA405" s="39">
        <v>4.5999999999999996</v>
      </c>
      <c r="DB405" s="39">
        <f>BU405</f>
        <v>4.2623931081195501</v>
      </c>
      <c r="DC405" s="39">
        <f t="shared" si="266"/>
        <v>5.327749748625406</v>
      </c>
      <c r="DD405" s="39">
        <v>4.2</v>
      </c>
      <c r="DE405" s="39">
        <f t="shared" si="272"/>
        <v>6.9128715060171486E-2</v>
      </c>
      <c r="DF405" s="39">
        <f t="shared" si="256"/>
        <v>0.10817835314065855</v>
      </c>
      <c r="DG405" s="39">
        <f t="shared" si="267"/>
        <v>1.5590129032258064</v>
      </c>
      <c r="DH405" s="39">
        <f t="shared" si="268"/>
        <v>7.8253016821566099</v>
      </c>
      <c r="DI405" s="39">
        <f t="shared" si="278"/>
        <v>4.4648294663691672</v>
      </c>
      <c r="DJ405" s="37"/>
      <c r="DK405" s="37"/>
      <c r="DL405" s="37"/>
      <c r="DM405" s="39">
        <f t="shared" si="275"/>
        <v>1.1644415530239007</v>
      </c>
      <c r="DN405" s="39"/>
      <c r="DO405" s="39">
        <f t="shared" si="276"/>
        <v>1.1644415530239007</v>
      </c>
      <c r="DP405" s="37"/>
      <c r="DQ405" s="37">
        <f>DO405/'Conversions, Sources &amp; Comments'!E403</f>
        <v>2.5096159307371804</v>
      </c>
    </row>
    <row r="406" spans="1:121">
      <c r="A406" s="42">
        <f t="shared" si="269"/>
        <v>1654</v>
      </c>
      <c r="B406" s="36"/>
      <c r="C406" s="38">
        <v>21</v>
      </c>
      <c r="D406" s="38">
        <v>8</v>
      </c>
      <c r="E406" s="38">
        <v>13</v>
      </c>
      <c r="F406" s="38">
        <v>3.75</v>
      </c>
      <c r="G406" s="38">
        <v>11</v>
      </c>
      <c r="H406" s="38">
        <v>3.25</v>
      </c>
      <c r="I406" s="36"/>
      <c r="J406" s="36"/>
      <c r="K406" s="38">
        <v>3</v>
      </c>
      <c r="L406" s="38">
        <v>3</v>
      </c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8">
        <v>4</v>
      </c>
      <c r="AA406" s="38">
        <v>5.75</v>
      </c>
      <c r="AB406" s="36"/>
      <c r="AC406" s="38">
        <v>3</v>
      </c>
      <c r="AD406" s="38">
        <v>8.25</v>
      </c>
      <c r="AE406" s="38">
        <v>3</v>
      </c>
      <c r="AF406" s="38">
        <v>4.75</v>
      </c>
      <c r="AG406" s="38">
        <v>15</v>
      </c>
      <c r="AH406" s="38">
        <v>0</v>
      </c>
      <c r="AI406" s="36"/>
      <c r="AJ406" s="36"/>
      <c r="AK406" s="36"/>
      <c r="AL406" s="36"/>
      <c r="AM406" s="38">
        <v>38</v>
      </c>
      <c r="AN406" s="38">
        <v>8</v>
      </c>
      <c r="AO406" s="36"/>
      <c r="AP406" s="36"/>
      <c r="AQ406" s="36"/>
      <c r="AR406" s="36"/>
      <c r="AS406" s="36"/>
      <c r="AT406" s="36"/>
      <c r="AU406" s="36"/>
      <c r="AV406" s="36"/>
      <c r="AW406" s="36"/>
      <c r="AX406" s="38">
        <v>15</v>
      </c>
      <c r="AY406" s="38">
        <v>11</v>
      </c>
      <c r="AZ406" s="38">
        <v>120</v>
      </c>
      <c r="BA406" s="36"/>
      <c r="BB406" s="36"/>
      <c r="BC406" s="36"/>
      <c r="BD406" s="38">
        <v>7</v>
      </c>
      <c r="BE406" s="36"/>
      <c r="BF406" s="38">
        <v>3.9</v>
      </c>
      <c r="BG406" s="59">
        <v>29.19</v>
      </c>
      <c r="BH406" s="59">
        <v>3.25</v>
      </c>
      <c r="BI406" s="59">
        <v>0.28049643490382054</v>
      </c>
      <c r="BJ406" s="59"/>
      <c r="BK406" s="38">
        <v>5.3959999999999999</v>
      </c>
      <c r="BL406" s="59">
        <v>2.6</v>
      </c>
      <c r="BM406" s="38"/>
      <c r="BN406" s="38">
        <v>62</v>
      </c>
      <c r="BO406" s="36"/>
      <c r="BP406" s="39">
        <f t="shared" si="263"/>
        <v>0.46399193548387102</v>
      </c>
      <c r="BQ406" s="37"/>
      <c r="BR406" s="39">
        <f t="shared" si="264"/>
        <v>0.42793966465820443</v>
      </c>
      <c r="BS406" s="39">
        <f t="shared" si="245"/>
        <v>0.99735475294267584</v>
      </c>
      <c r="BT406" s="39">
        <f t="shared" si="254"/>
        <v>30.445665057996788</v>
      </c>
      <c r="BU406" s="39">
        <f>$BP406*12*AY406/(12*(45/36)*0.9144)</f>
        <v>4.4653642085061955</v>
      </c>
      <c r="BV406" s="39">
        <f t="shared" si="273"/>
        <v>0.57653348360183021</v>
      </c>
      <c r="BW406" s="39">
        <f t="shared" si="259"/>
        <v>2.8495975729924399</v>
      </c>
      <c r="BX406" s="39">
        <f t="shared" si="274"/>
        <v>0.19086095281910737</v>
      </c>
      <c r="BY406" s="39">
        <f t="shared" si="257"/>
        <v>4.5818647838178483</v>
      </c>
      <c r="BZ406" s="37"/>
      <c r="CA406" s="39">
        <f t="shared" si="260"/>
        <v>5.5197435654907911</v>
      </c>
      <c r="CB406" s="39">
        <f t="shared" si="261"/>
        <v>2.65962440145961</v>
      </c>
      <c r="CC406" s="37"/>
      <c r="CD406" s="39">
        <f t="shared" si="279"/>
        <v>0.21529225806451616</v>
      </c>
      <c r="CE406" s="37"/>
      <c r="CF406" s="37"/>
      <c r="CG406" s="37"/>
      <c r="CH406" s="37"/>
      <c r="CI406" s="37"/>
      <c r="CJ406" s="39">
        <f t="shared" si="277"/>
        <v>0</v>
      </c>
      <c r="CK406" s="39">
        <f t="shared" si="270"/>
        <v>7.2832039081252103E-2</v>
      </c>
      <c r="CL406" s="39">
        <f t="shared" si="258"/>
        <v>0.8351854838709678</v>
      </c>
      <c r="CM406" s="39">
        <f t="shared" si="271"/>
        <v>0.25735702855566117</v>
      </c>
      <c r="CN406" s="37"/>
      <c r="CO406" s="39">
        <f>0.063495+(0.016949+0.014096)*Wages!P404+1.22592*BR406</f>
        <v>1.0202536828106892</v>
      </c>
      <c r="CP406" s="39"/>
      <c r="CQ406" s="39">
        <f t="shared" si="247"/>
        <v>0.99735475294267584</v>
      </c>
      <c r="CR406" s="39">
        <f t="shared" si="243"/>
        <v>0.57653348360183021</v>
      </c>
      <c r="CS406" s="39">
        <f t="shared" si="243"/>
        <v>2.8495975729924399</v>
      </c>
      <c r="CT406" s="39">
        <f t="shared" si="262"/>
        <v>5.5197435654907911</v>
      </c>
      <c r="CU406" s="39">
        <f t="shared" si="262"/>
        <v>2.65962440145961</v>
      </c>
      <c r="CV406" s="39">
        <v>0.25</v>
      </c>
      <c r="CW406" s="39">
        <f t="shared" si="280"/>
        <v>0.21529225806451616</v>
      </c>
      <c r="CX406" s="39"/>
      <c r="CY406" s="39"/>
      <c r="CZ406" s="39">
        <f t="shared" si="265"/>
        <v>0.19086095281910737</v>
      </c>
      <c r="DA406" s="39">
        <v>4.5999999999999996</v>
      </c>
      <c r="DB406" s="39">
        <f>BU406</f>
        <v>4.4653642085061955</v>
      </c>
      <c r="DC406" s="39">
        <f t="shared" si="266"/>
        <v>4.5818647838178483</v>
      </c>
      <c r="DD406" s="39">
        <v>4.2</v>
      </c>
      <c r="DE406" s="39">
        <f t="shared" si="272"/>
        <v>7.2832039081252103E-2</v>
      </c>
      <c r="DF406" s="39">
        <f t="shared" si="256"/>
        <v>0.10936781707159909</v>
      </c>
      <c r="DG406" s="39">
        <f t="shared" si="267"/>
        <v>0.8351854838709678</v>
      </c>
      <c r="DH406" s="39">
        <f t="shared" si="268"/>
        <v>8.2445142722721432</v>
      </c>
      <c r="DI406" s="39">
        <f t="shared" si="278"/>
        <v>4.5139220385323</v>
      </c>
      <c r="DJ406" s="37"/>
      <c r="DK406" s="37"/>
      <c r="DL406" s="37"/>
      <c r="DM406" s="39">
        <f t="shared" si="275"/>
        <v>1.1429283600158384</v>
      </c>
      <c r="DN406" s="39"/>
      <c r="DO406" s="39">
        <f t="shared" si="276"/>
        <v>1.1429283600158384</v>
      </c>
      <c r="DP406" s="37"/>
      <c r="DQ406" s="37">
        <f>DO406/'Conversions, Sources &amp; Comments'!E404</f>
        <v>2.4632504847825487</v>
      </c>
    </row>
    <row r="407" spans="1:121">
      <c r="A407" s="42">
        <f t="shared" si="269"/>
        <v>1655</v>
      </c>
      <c r="B407" s="36"/>
      <c r="C407" s="38">
        <v>33</v>
      </c>
      <c r="D407" s="38">
        <v>2.25</v>
      </c>
      <c r="E407" s="38">
        <v>17</v>
      </c>
      <c r="F407" s="38">
        <v>7.75</v>
      </c>
      <c r="G407" s="38">
        <v>13</v>
      </c>
      <c r="H407" s="38">
        <v>7.75</v>
      </c>
      <c r="I407" s="36"/>
      <c r="J407" s="36"/>
      <c r="K407" s="38">
        <v>3</v>
      </c>
      <c r="L407" s="38">
        <v>0</v>
      </c>
      <c r="M407" s="36"/>
      <c r="N407" s="36"/>
      <c r="O407" s="36"/>
      <c r="P407" s="36"/>
      <c r="Q407" s="38">
        <v>5</v>
      </c>
      <c r="R407" s="38">
        <v>1</v>
      </c>
      <c r="S407" s="36"/>
      <c r="T407" s="36"/>
      <c r="U407" s="36"/>
      <c r="V407" s="36"/>
      <c r="W407" s="36"/>
      <c r="X407" s="36"/>
      <c r="Y407" s="36"/>
      <c r="Z407" s="38">
        <v>4</v>
      </c>
      <c r="AA407" s="38">
        <v>2.25</v>
      </c>
      <c r="AB407" s="36"/>
      <c r="AC407" s="38">
        <v>3</v>
      </c>
      <c r="AD407" s="38">
        <v>5</v>
      </c>
      <c r="AE407" s="38">
        <v>3</v>
      </c>
      <c r="AF407" s="38">
        <v>4.75</v>
      </c>
      <c r="AG407" s="38">
        <v>28</v>
      </c>
      <c r="AH407" s="38">
        <v>3.5</v>
      </c>
      <c r="AI407" s="36"/>
      <c r="AJ407" s="36"/>
      <c r="AK407" s="36"/>
      <c r="AL407" s="36"/>
      <c r="AM407" s="38">
        <v>38</v>
      </c>
      <c r="AN407" s="38">
        <v>8</v>
      </c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8">
        <v>120</v>
      </c>
      <c r="BA407" s="36"/>
      <c r="BB407" s="36"/>
      <c r="BC407" s="36"/>
      <c r="BD407" s="38">
        <v>6.5</v>
      </c>
      <c r="BE407" s="36"/>
      <c r="BF407" s="38">
        <v>5.6</v>
      </c>
      <c r="BG407" s="59">
        <v>29.19</v>
      </c>
      <c r="BH407" s="59">
        <v>3</v>
      </c>
      <c r="BI407" s="59">
        <v>0.32333086584972481</v>
      </c>
      <c r="BJ407" s="59"/>
      <c r="BK407" s="38">
        <v>5.3959999999999999</v>
      </c>
      <c r="BL407" s="59">
        <v>2.6</v>
      </c>
      <c r="BM407" s="36"/>
      <c r="BN407" s="38">
        <v>62</v>
      </c>
      <c r="BO407" s="36"/>
      <c r="BP407" s="39">
        <f t="shared" si="263"/>
        <v>0.46399193548387102</v>
      </c>
      <c r="BQ407" s="37"/>
      <c r="BR407" s="39">
        <f t="shared" si="264"/>
        <v>0.65548835173126896</v>
      </c>
      <c r="BS407" s="39">
        <f t="shared" si="245"/>
        <v>1.432099132430509</v>
      </c>
      <c r="BT407" s="39">
        <f t="shared" si="254"/>
        <v>30.445665057996788</v>
      </c>
      <c r="BU407" s="37"/>
      <c r="BV407" s="39">
        <f t="shared" si="273"/>
        <v>0.57653348360183021</v>
      </c>
      <c r="BW407" s="39">
        <f t="shared" si="259"/>
        <v>2.6303977596853287</v>
      </c>
      <c r="BX407" s="39">
        <f t="shared" si="274"/>
        <v>0.22000720669788776</v>
      </c>
      <c r="BY407" s="39">
        <f t="shared" si="257"/>
        <v>4.2835107978948264</v>
      </c>
      <c r="BZ407" s="37"/>
      <c r="CA407" s="39">
        <f t="shared" si="260"/>
        <v>5.5197435654907911</v>
      </c>
      <c r="CB407" s="39">
        <f t="shared" si="261"/>
        <v>2.65962440145961</v>
      </c>
      <c r="CC407" s="37"/>
      <c r="CD407" s="39">
        <f t="shared" si="279"/>
        <v>0.21529225806451616</v>
      </c>
      <c r="CE407" s="37"/>
      <c r="CF407" s="37"/>
      <c r="CG407" s="37"/>
      <c r="CH407" s="37"/>
      <c r="CI407" s="37"/>
      <c r="CJ407" s="39">
        <f t="shared" si="277"/>
        <v>0</v>
      </c>
      <c r="CK407" s="39">
        <f t="shared" si="270"/>
        <v>6.7482793273024547E-2</v>
      </c>
      <c r="CL407" s="39">
        <f t="shared" si="258"/>
        <v>1.5752526209677422</v>
      </c>
      <c r="CM407" s="39">
        <f t="shared" si="271"/>
        <v>0.23845509990468039</v>
      </c>
      <c r="CN407" s="37"/>
      <c r="CO407" s="39">
        <f>0.063495+(0.016949+0.014096)*Wages!P405+1.22592*BR407</f>
        <v>1.2992101692673004</v>
      </c>
      <c r="CP407" s="39"/>
      <c r="CQ407" s="39">
        <f t="shared" si="247"/>
        <v>1.432099132430509</v>
      </c>
      <c r="CR407" s="39">
        <f t="shared" si="243"/>
        <v>0.57653348360183021</v>
      </c>
      <c r="CS407" s="39">
        <f t="shared" si="243"/>
        <v>2.6303977596853287</v>
      </c>
      <c r="CT407" s="39">
        <f t="shared" si="262"/>
        <v>5.5197435654907911</v>
      </c>
      <c r="CU407" s="39">
        <f t="shared" si="262"/>
        <v>2.65962440145961</v>
      </c>
      <c r="CV407" s="39">
        <v>0.25</v>
      </c>
      <c r="CW407" s="39">
        <f t="shared" si="280"/>
        <v>0.21529225806451616</v>
      </c>
      <c r="CX407" s="39"/>
      <c r="CY407" s="39"/>
      <c r="CZ407" s="39">
        <f t="shared" si="265"/>
        <v>0.22000720669788776</v>
      </c>
      <c r="DA407" s="39">
        <v>4.5999999999999996</v>
      </c>
      <c r="DB407" s="39">
        <v>4.3</v>
      </c>
      <c r="DC407" s="39">
        <f t="shared" si="266"/>
        <v>4.2835107978948264</v>
      </c>
      <c r="DD407" s="39">
        <v>4.2</v>
      </c>
      <c r="DE407" s="39">
        <f t="shared" si="272"/>
        <v>6.7482793273024547E-2</v>
      </c>
      <c r="DF407" s="39">
        <f t="shared" si="256"/>
        <v>0.11055728100253964</v>
      </c>
      <c r="DG407" s="39">
        <f t="shared" si="267"/>
        <v>1.5752526209677422</v>
      </c>
      <c r="DH407" s="39">
        <f t="shared" si="268"/>
        <v>7.6389849754385946</v>
      </c>
      <c r="DI407" s="39">
        <f t="shared" si="278"/>
        <v>4.5630146106954328</v>
      </c>
      <c r="DJ407" s="37"/>
      <c r="DK407" s="37"/>
      <c r="DL407" s="37"/>
      <c r="DM407" s="39">
        <f t="shared" si="275"/>
        <v>1.3215230681618031</v>
      </c>
      <c r="DN407" s="39"/>
      <c r="DO407" s="39">
        <f t="shared" si="276"/>
        <v>1.3215230681618031</v>
      </c>
      <c r="DP407" s="37"/>
      <c r="DQ407" s="37">
        <f>DO407/'Conversions, Sources &amp; Comments'!E405</f>
        <v>2.848159562910638</v>
      </c>
    </row>
    <row r="408" spans="1:121">
      <c r="A408" s="42">
        <f t="shared" si="269"/>
        <v>1656</v>
      </c>
      <c r="B408" s="36"/>
      <c r="C408" s="38">
        <v>37</v>
      </c>
      <c r="D408" s="38">
        <v>1.5</v>
      </c>
      <c r="E408" s="38">
        <v>23</v>
      </c>
      <c r="F408" s="38">
        <v>8.5</v>
      </c>
      <c r="G408" s="38">
        <v>16</v>
      </c>
      <c r="H408" s="38">
        <v>0.75</v>
      </c>
      <c r="I408" s="36"/>
      <c r="J408" s="36"/>
      <c r="K408" s="38">
        <v>3</v>
      </c>
      <c r="L408" s="38">
        <v>4.5</v>
      </c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8">
        <v>4</v>
      </c>
      <c r="AA408" s="38">
        <v>6.25</v>
      </c>
      <c r="AB408" s="36"/>
      <c r="AC408" s="38">
        <v>3</v>
      </c>
      <c r="AD408" s="38">
        <v>5</v>
      </c>
      <c r="AE408" s="38">
        <v>3</v>
      </c>
      <c r="AF408" s="38">
        <v>4.75</v>
      </c>
      <c r="AG408" s="38">
        <v>29</v>
      </c>
      <c r="AH408" s="38">
        <v>4</v>
      </c>
      <c r="AI408" s="38">
        <v>20</v>
      </c>
      <c r="AJ408" s="38">
        <v>0</v>
      </c>
      <c r="AK408" s="36"/>
      <c r="AL408" s="36"/>
      <c r="AM408" s="38">
        <v>38</v>
      </c>
      <c r="AN408" s="38">
        <v>8</v>
      </c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8">
        <v>10</v>
      </c>
      <c r="AZ408" s="38">
        <v>120</v>
      </c>
      <c r="BA408" s="36"/>
      <c r="BB408" s="36"/>
      <c r="BC408" s="36"/>
      <c r="BD408" s="38">
        <v>6.5</v>
      </c>
      <c r="BE408" s="36"/>
      <c r="BF408" s="38">
        <v>5.7</v>
      </c>
      <c r="BG408" s="59">
        <v>29.19</v>
      </c>
      <c r="BH408" s="59">
        <v>3.42</v>
      </c>
      <c r="BI408" s="59">
        <v>0.39518216937188605</v>
      </c>
      <c r="BJ408" s="59"/>
      <c r="BK408" s="38">
        <v>6.2479999999999993</v>
      </c>
      <c r="BL408" s="59">
        <v>2.6</v>
      </c>
      <c r="BM408" s="38"/>
      <c r="BN408" s="38">
        <v>62</v>
      </c>
      <c r="BO408" s="36"/>
      <c r="BP408" s="39">
        <f t="shared" si="263"/>
        <v>0.46399193548387102</v>
      </c>
      <c r="BQ408" s="37"/>
      <c r="BR408" s="39">
        <f t="shared" si="264"/>
        <v>0.73325815617396184</v>
      </c>
      <c r="BS408" s="39">
        <f t="shared" si="245"/>
        <v>1.457672331223911</v>
      </c>
      <c r="BT408" s="39">
        <f t="shared" si="254"/>
        <v>30.445665057996788</v>
      </c>
      <c r="BU408" s="39">
        <f>$BP408*12*AY408/(12*(45/36)*0.9144)</f>
        <v>4.0594220077329055</v>
      </c>
      <c r="BV408" s="39">
        <f t="shared" si="273"/>
        <v>0.57653348360183021</v>
      </c>
      <c r="BW408" s="39">
        <f t="shared" si="259"/>
        <v>2.998653446041275</v>
      </c>
      <c r="BX408" s="39">
        <f t="shared" si="274"/>
        <v>0.26889769707519623</v>
      </c>
      <c r="BY408" s="39">
        <f t="shared" si="257"/>
        <v>4.6244867818068522</v>
      </c>
      <c r="BZ408" s="37"/>
      <c r="CA408" s="39">
        <f t="shared" si="260"/>
        <v>6.3912820231998628</v>
      </c>
      <c r="CB408" s="39">
        <f t="shared" si="261"/>
        <v>2.65962440145961</v>
      </c>
      <c r="CC408" s="37"/>
      <c r="CD408" s="39">
        <f t="shared" si="279"/>
        <v>0.21529225806451616</v>
      </c>
      <c r="CE408" s="37"/>
      <c r="CF408" s="37"/>
      <c r="CG408" s="37"/>
      <c r="CH408" s="37"/>
      <c r="CI408" s="37"/>
      <c r="CJ408" s="39">
        <f t="shared" si="277"/>
        <v>0</v>
      </c>
      <c r="CK408" s="39">
        <f t="shared" si="270"/>
        <v>6.7482793273024547E-2</v>
      </c>
      <c r="CL408" s="39">
        <f t="shared" si="258"/>
        <v>1.633251612903226</v>
      </c>
      <c r="CM408" s="39">
        <f t="shared" si="271"/>
        <v>0.23845509990468039</v>
      </c>
      <c r="CN408" s="37"/>
      <c r="CO408" s="39">
        <f>0.063495+(0.016949+0.014096)*Wages!P406+1.22592*BR408</f>
        <v>1.3945497279296863</v>
      </c>
      <c r="CP408" s="39"/>
      <c r="CQ408" s="39">
        <f t="shared" si="247"/>
        <v>1.457672331223911</v>
      </c>
      <c r="CR408" s="39">
        <f t="shared" si="243"/>
        <v>0.57653348360183021</v>
      </c>
      <c r="CS408" s="39">
        <f t="shared" si="243"/>
        <v>2.998653446041275</v>
      </c>
      <c r="CT408" s="39">
        <f t="shared" si="262"/>
        <v>6.3912820231998628</v>
      </c>
      <c r="CU408" s="39">
        <f t="shared" si="262"/>
        <v>2.65962440145961</v>
      </c>
      <c r="CV408" s="39">
        <v>0.25</v>
      </c>
      <c r="CW408" s="39">
        <f t="shared" si="280"/>
        <v>0.21529225806451616</v>
      </c>
      <c r="CX408" s="39"/>
      <c r="CY408" s="39"/>
      <c r="CZ408" s="39">
        <f t="shared" si="265"/>
        <v>0.26889769707519623</v>
      </c>
      <c r="DA408" s="39">
        <v>4.5999999999999996</v>
      </c>
      <c r="DB408" s="39">
        <f>BU408</f>
        <v>4.0594220077329055</v>
      </c>
      <c r="DC408" s="39">
        <f t="shared" si="266"/>
        <v>4.6244867818068522</v>
      </c>
      <c r="DD408" s="39">
        <v>4.2</v>
      </c>
      <c r="DE408" s="39">
        <f t="shared" si="272"/>
        <v>6.7482793273024547E-2</v>
      </c>
      <c r="DF408" s="39">
        <f t="shared" si="256"/>
        <v>0.1117467449334802</v>
      </c>
      <c r="DG408" s="39">
        <f t="shared" si="267"/>
        <v>1.633251612903226</v>
      </c>
      <c r="DH408" s="39">
        <f t="shared" si="268"/>
        <v>7.6389849754385946</v>
      </c>
      <c r="DI408" s="39">
        <f t="shared" si="278"/>
        <v>4.6121071828585665</v>
      </c>
      <c r="DJ408" s="37"/>
      <c r="DK408" s="37"/>
      <c r="DL408" s="37"/>
      <c r="DM408" s="39">
        <f t="shared" si="275"/>
        <v>1.3874251470336985</v>
      </c>
      <c r="DN408" s="39"/>
      <c r="DO408" s="39">
        <f t="shared" si="276"/>
        <v>1.3874251470336985</v>
      </c>
      <c r="DP408" s="37"/>
      <c r="DQ408" s="37">
        <f>DO408/'Conversions, Sources &amp; Comments'!E406</f>
        <v>2.9901923738972553</v>
      </c>
    </row>
    <row r="409" spans="1:121">
      <c r="A409" s="42">
        <f t="shared" si="269"/>
        <v>1657</v>
      </c>
      <c r="B409" s="36"/>
      <c r="C409" s="38">
        <v>46</v>
      </c>
      <c r="D409" s="38">
        <v>5.75</v>
      </c>
      <c r="E409" s="38">
        <v>24</v>
      </c>
      <c r="F409" s="38">
        <v>1.5</v>
      </c>
      <c r="G409" s="38">
        <v>14</v>
      </c>
      <c r="H409" s="38">
        <v>11.75</v>
      </c>
      <c r="I409" s="36"/>
      <c r="J409" s="36"/>
      <c r="K409" s="38">
        <v>3</v>
      </c>
      <c r="L409" s="38">
        <v>6</v>
      </c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8">
        <v>5</v>
      </c>
      <c r="AA409" s="38">
        <v>3.5</v>
      </c>
      <c r="AB409" s="36"/>
      <c r="AC409" s="38">
        <v>3</v>
      </c>
      <c r="AD409" s="38">
        <v>4.5</v>
      </c>
      <c r="AE409" s="38">
        <v>3</v>
      </c>
      <c r="AF409" s="38">
        <v>4.75</v>
      </c>
      <c r="AG409" s="38">
        <v>19</v>
      </c>
      <c r="AH409" s="38">
        <v>4</v>
      </c>
      <c r="AI409" s="36"/>
      <c r="AJ409" s="36"/>
      <c r="AK409" s="36"/>
      <c r="AL409" s="36"/>
      <c r="AM409" s="38">
        <v>38</v>
      </c>
      <c r="AN409" s="38">
        <v>8</v>
      </c>
      <c r="AO409" s="36"/>
      <c r="AP409" s="36"/>
      <c r="AQ409" s="36"/>
      <c r="AR409" s="36"/>
      <c r="AS409" s="36"/>
      <c r="AT409" s="36"/>
      <c r="AU409" s="36"/>
      <c r="AV409" s="36"/>
      <c r="AW409" s="38">
        <v>4</v>
      </c>
      <c r="AX409" s="38">
        <v>25</v>
      </c>
      <c r="AY409" s="36"/>
      <c r="AZ409" s="38">
        <v>120</v>
      </c>
      <c r="BA409" s="36"/>
      <c r="BB409" s="36"/>
      <c r="BC409" s="36"/>
      <c r="BD409" s="38">
        <v>6.5</v>
      </c>
      <c r="BE409" s="36"/>
      <c r="BF409" s="38">
        <v>7.5</v>
      </c>
      <c r="BG409" s="59">
        <v>29.19</v>
      </c>
      <c r="BH409" s="59">
        <v>3.5</v>
      </c>
      <c r="BI409" s="59">
        <v>0.4172902627633186</v>
      </c>
      <c r="BJ409" s="59"/>
      <c r="BK409" s="38">
        <v>6.5319999999999991</v>
      </c>
      <c r="BL409" s="59">
        <v>2.6</v>
      </c>
      <c r="BM409" s="36"/>
      <c r="BN409" s="38">
        <v>62</v>
      </c>
      <c r="BO409" s="36"/>
      <c r="BP409" s="39">
        <f t="shared" si="263"/>
        <v>0.46399193548387102</v>
      </c>
      <c r="BQ409" s="37"/>
      <c r="BR409" s="39">
        <f t="shared" si="264"/>
        <v>0.91801287678120591</v>
      </c>
      <c r="BS409" s="39">
        <f t="shared" si="245"/>
        <v>1.917989909505146</v>
      </c>
      <c r="BT409" s="39">
        <f t="shared" si="254"/>
        <v>30.445665057996788</v>
      </c>
      <c r="BU409" s="37"/>
      <c r="BV409" s="39">
        <f t="shared" si="273"/>
        <v>0.57653348360183021</v>
      </c>
      <c r="BW409" s="39">
        <f t="shared" si="259"/>
        <v>3.0687973862995501</v>
      </c>
      <c r="BX409" s="39">
        <f t="shared" si="274"/>
        <v>0.28394092488359773</v>
      </c>
      <c r="BY409" s="39">
        <f t="shared" si="257"/>
        <v>5.412993744603412</v>
      </c>
      <c r="BZ409" s="37"/>
      <c r="CA409" s="39">
        <f t="shared" si="260"/>
        <v>6.6817948424362203</v>
      </c>
      <c r="CB409" s="39">
        <f t="shared" si="261"/>
        <v>2.65962440145961</v>
      </c>
      <c r="CC409" s="37"/>
      <c r="CD409" s="39">
        <f t="shared" si="279"/>
        <v>0.21529225806451616</v>
      </c>
      <c r="CE409" s="37"/>
      <c r="CF409" s="37"/>
      <c r="CG409" s="37"/>
      <c r="CH409" s="39">
        <f>BP409*12*AW409/(12*0.453592)</f>
        <v>4.0917118069443115</v>
      </c>
      <c r="CI409" s="37"/>
      <c r="CJ409" s="39">
        <f t="shared" si="277"/>
        <v>0</v>
      </c>
      <c r="CK409" s="39">
        <f t="shared" si="270"/>
        <v>6.665983237945107E-2</v>
      </c>
      <c r="CL409" s="39">
        <f t="shared" si="258"/>
        <v>1.0764612903225808</v>
      </c>
      <c r="CM409" s="39">
        <f t="shared" si="271"/>
        <v>0.23554711088145255</v>
      </c>
      <c r="CN409" s="37"/>
      <c r="CO409" s="39">
        <f>0.063495+(0.016949+0.014096)*Wages!P407+1.22592*BR409</f>
        <v>1.6210442350165191</v>
      </c>
      <c r="CP409" s="39"/>
      <c r="CQ409" s="39">
        <f t="shared" si="247"/>
        <v>1.917989909505146</v>
      </c>
      <c r="CR409" s="39">
        <f t="shared" si="243"/>
        <v>0.57653348360183021</v>
      </c>
      <c r="CS409" s="39">
        <f t="shared" si="243"/>
        <v>3.0687973862995501</v>
      </c>
      <c r="CT409" s="39">
        <f t="shared" si="262"/>
        <v>6.6817948424362203</v>
      </c>
      <c r="CU409" s="39">
        <f t="shared" si="262"/>
        <v>2.65962440145961</v>
      </c>
      <c r="CV409" s="39">
        <v>0.25</v>
      </c>
      <c r="CW409" s="39">
        <f t="shared" si="280"/>
        <v>0.21529225806451616</v>
      </c>
      <c r="CX409" s="39"/>
      <c r="CY409" s="39"/>
      <c r="CZ409" s="39">
        <f t="shared" si="265"/>
        <v>0.28394092488359773</v>
      </c>
      <c r="DA409" s="39">
        <f>CH409</f>
        <v>4.0917118069443115</v>
      </c>
      <c r="DB409" s="39">
        <v>4.0999999999999996</v>
      </c>
      <c r="DC409" s="39">
        <f t="shared" si="266"/>
        <v>5.412993744603412</v>
      </c>
      <c r="DD409" s="39">
        <v>4.2</v>
      </c>
      <c r="DE409" s="39">
        <f t="shared" si="272"/>
        <v>6.665983237945107E-2</v>
      </c>
      <c r="DF409" s="39">
        <f t="shared" si="256"/>
        <v>0.11293620886442075</v>
      </c>
      <c r="DG409" s="39">
        <f t="shared" si="267"/>
        <v>1.0764612903225808</v>
      </c>
      <c r="DH409" s="39">
        <f t="shared" si="268"/>
        <v>7.5458266220795878</v>
      </c>
      <c r="DI409" s="39">
        <f t="shared" si="278"/>
        <v>4.6611997550216993</v>
      </c>
      <c r="DJ409" s="37"/>
      <c r="DK409" s="37"/>
      <c r="DL409" s="37"/>
      <c r="DM409" s="39">
        <f t="shared" si="275"/>
        <v>1.6051065782141882</v>
      </c>
      <c r="DN409" s="39"/>
      <c r="DO409" s="39">
        <f t="shared" si="276"/>
        <v>1.6051065782141882</v>
      </c>
      <c r="DP409" s="37"/>
      <c r="DQ409" s="37">
        <f>DO409/'Conversions, Sources &amp; Comments'!E407</f>
        <v>3.4593415433833199</v>
      </c>
    </row>
    <row r="410" spans="1:121">
      <c r="A410" s="42">
        <f t="shared" si="269"/>
        <v>1658</v>
      </c>
      <c r="B410" s="36"/>
      <c r="C410" s="38">
        <v>57</v>
      </c>
      <c r="D410" s="38">
        <v>10.75</v>
      </c>
      <c r="E410" s="36"/>
      <c r="F410" s="36"/>
      <c r="G410" s="38">
        <v>18</v>
      </c>
      <c r="H410" s="38">
        <v>4.5</v>
      </c>
      <c r="I410" s="36"/>
      <c r="J410" s="36"/>
      <c r="K410" s="38">
        <v>3</v>
      </c>
      <c r="L410" s="38">
        <v>6</v>
      </c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8">
        <v>5</v>
      </c>
      <c r="AA410" s="38">
        <v>2.5</v>
      </c>
      <c r="AB410" s="36"/>
      <c r="AC410" s="38">
        <v>3</v>
      </c>
      <c r="AD410" s="38">
        <v>3</v>
      </c>
      <c r="AE410" s="38">
        <v>3</v>
      </c>
      <c r="AF410" s="38">
        <v>4.75</v>
      </c>
      <c r="AG410" s="38">
        <v>13</v>
      </c>
      <c r="AH410" s="38">
        <v>0</v>
      </c>
      <c r="AI410" s="36"/>
      <c r="AJ410" s="36"/>
      <c r="AK410" s="36"/>
      <c r="AL410" s="36"/>
      <c r="AM410" s="38">
        <v>38</v>
      </c>
      <c r="AN410" s="38">
        <v>8</v>
      </c>
      <c r="AO410" s="36"/>
      <c r="AP410" s="36"/>
      <c r="AQ410" s="36"/>
      <c r="AR410" s="36"/>
      <c r="AS410" s="36"/>
      <c r="AT410" s="36"/>
      <c r="AU410" s="36"/>
      <c r="AV410" s="36"/>
      <c r="AW410" s="36"/>
      <c r="AX410" s="38">
        <v>16</v>
      </c>
      <c r="AY410" s="38">
        <v>10.5</v>
      </c>
      <c r="AZ410" s="38">
        <v>120</v>
      </c>
      <c r="BA410" s="36"/>
      <c r="BB410" s="36"/>
      <c r="BC410" s="36"/>
      <c r="BD410" s="38">
        <v>6.5</v>
      </c>
      <c r="BE410" s="36"/>
      <c r="BF410" s="38">
        <v>7.3</v>
      </c>
      <c r="BG410" s="59">
        <v>29.19</v>
      </c>
      <c r="BH410" s="59">
        <v>3.5</v>
      </c>
      <c r="BI410" s="59">
        <v>0.48223278710065709</v>
      </c>
      <c r="BJ410" s="59"/>
      <c r="BK410" s="38">
        <v>6.9863999999999997</v>
      </c>
      <c r="BL410" s="59">
        <v>2.6</v>
      </c>
      <c r="BM410" s="38"/>
      <c r="BN410" s="38">
        <v>62</v>
      </c>
      <c r="BO410" s="36"/>
      <c r="BP410" s="39">
        <f t="shared" si="263"/>
        <v>0.46399193548387102</v>
      </c>
      <c r="BQ410" s="37"/>
      <c r="BR410" s="39">
        <f t="shared" si="264"/>
        <v>1.1435041616203367</v>
      </c>
      <c r="BS410" s="39">
        <f t="shared" si="245"/>
        <v>1.866843511918342</v>
      </c>
      <c r="BT410" s="39">
        <f t="shared" si="254"/>
        <v>30.445665057996788</v>
      </c>
      <c r="BU410" s="39">
        <f>$BP410*12*AY410/(12*(45/36)*0.9144)</f>
        <v>4.2623931081195501</v>
      </c>
      <c r="BV410" s="39">
        <f t="shared" si="273"/>
        <v>0.57653348360183021</v>
      </c>
      <c r="BW410" s="39">
        <f t="shared" si="259"/>
        <v>3.0687973862995501</v>
      </c>
      <c r="BX410" s="39">
        <f t="shared" si="274"/>
        <v>0.32813040657078074</v>
      </c>
      <c r="BY410" s="39">
        <f t="shared" si="257"/>
        <v>5.327749748625406</v>
      </c>
      <c r="BZ410" s="37"/>
      <c r="CA410" s="39">
        <f t="shared" si="260"/>
        <v>7.1466153532143926</v>
      </c>
      <c r="CB410" s="39">
        <f t="shared" si="261"/>
        <v>2.65962440145961</v>
      </c>
      <c r="CC410" s="37"/>
      <c r="CD410" s="39">
        <f t="shared" si="279"/>
        <v>0.21529225806451616</v>
      </c>
      <c r="CE410" s="37"/>
      <c r="CF410" s="37"/>
      <c r="CG410" s="37"/>
      <c r="CH410" s="37"/>
      <c r="CI410" s="37"/>
      <c r="CJ410" s="39">
        <f t="shared" si="277"/>
        <v>0</v>
      </c>
      <c r="CK410" s="39">
        <f t="shared" si="270"/>
        <v>6.4190949698730668E-2</v>
      </c>
      <c r="CL410" s="39">
        <f t="shared" si="258"/>
        <v>0.72382741935483874</v>
      </c>
      <c r="CM410" s="39">
        <f t="shared" si="271"/>
        <v>0.22682314381176916</v>
      </c>
      <c r="CN410" s="37"/>
      <c r="CO410" s="39">
        <f>0.063495+(0.016949+0.014096)*Wages!P408+1.22592*BR410</f>
        <v>1.8974785109265064</v>
      </c>
      <c r="CP410" s="39"/>
      <c r="CQ410" s="39">
        <f t="shared" si="247"/>
        <v>1.866843511918342</v>
      </c>
      <c r="CR410" s="39">
        <f t="shared" si="243"/>
        <v>0.57653348360183021</v>
      </c>
      <c r="CS410" s="39">
        <f t="shared" si="243"/>
        <v>3.0687973862995501</v>
      </c>
      <c r="CT410" s="39">
        <f t="shared" si="262"/>
        <v>7.1466153532143926</v>
      </c>
      <c r="CU410" s="39">
        <f t="shared" si="262"/>
        <v>2.65962440145961</v>
      </c>
      <c r="CV410" s="39">
        <v>0.25</v>
      </c>
      <c r="CW410" s="39">
        <f t="shared" si="280"/>
        <v>0.21529225806451616</v>
      </c>
      <c r="CX410" s="39"/>
      <c r="CY410" s="39"/>
      <c r="CZ410" s="39">
        <f t="shared" si="265"/>
        <v>0.32813040657078074</v>
      </c>
      <c r="DA410" s="39">
        <v>4.5999999999999996</v>
      </c>
      <c r="DB410" s="39">
        <f>BU410</f>
        <v>4.2623931081195501</v>
      </c>
      <c r="DC410" s="39">
        <f t="shared" si="266"/>
        <v>5.327749748625406</v>
      </c>
      <c r="DD410" s="39">
        <v>4.2</v>
      </c>
      <c r="DE410" s="39">
        <f t="shared" si="272"/>
        <v>6.4190949698730668E-2</v>
      </c>
      <c r="DF410" s="39">
        <f t="shared" si="256"/>
        <v>0.1141256727953613</v>
      </c>
      <c r="DG410" s="39">
        <f t="shared" si="267"/>
        <v>0.72382741935483874</v>
      </c>
      <c r="DH410" s="39">
        <f t="shared" si="268"/>
        <v>7.2663515620025656</v>
      </c>
      <c r="DI410" s="39">
        <f t="shared" si="278"/>
        <v>4.710292327184832</v>
      </c>
      <c r="DJ410" s="37"/>
      <c r="DK410" s="37"/>
      <c r="DL410" s="37"/>
      <c r="DM410" s="39">
        <f t="shared" si="275"/>
        <v>1.60912060167324</v>
      </c>
      <c r="DN410" s="39"/>
      <c r="DO410" s="39">
        <f t="shared" si="276"/>
        <v>1.60912060167324</v>
      </c>
      <c r="DP410" s="37"/>
      <c r="DQ410" s="37">
        <f>DO410/'Conversions, Sources &amp; Comments'!E408</f>
        <v>3.4679926063697182</v>
      </c>
    </row>
    <row r="411" spans="1:121">
      <c r="A411" s="42">
        <f t="shared" si="269"/>
        <v>1659</v>
      </c>
      <c r="B411" s="36"/>
      <c r="C411" s="38">
        <v>52</v>
      </c>
      <c r="D411" s="38">
        <v>1</v>
      </c>
      <c r="E411" s="36"/>
      <c r="F411" s="36"/>
      <c r="G411" s="38">
        <v>18</v>
      </c>
      <c r="H411" s="38">
        <v>1.5</v>
      </c>
      <c r="I411" s="36"/>
      <c r="J411" s="36"/>
      <c r="K411" s="38">
        <v>3</v>
      </c>
      <c r="L411" s="38">
        <v>6</v>
      </c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8">
        <v>4</v>
      </c>
      <c r="AA411" s="38">
        <v>11</v>
      </c>
      <c r="AB411" s="36"/>
      <c r="AC411" s="36"/>
      <c r="AD411" s="36"/>
      <c r="AE411" s="38">
        <v>3</v>
      </c>
      <c r="AF411" s="38">
        <v>4.75</v>
      </c>
      <c r="AG411" s="38">
        <v>12</v>
      </c>
      <c r="AH411" s="38">
        <v>0</v>
      </c>
      <c r="AI411" s="38">
        <v>18</v>
      </c>
      <c r="AJ411" s="38">
        <v>9</v>
      </c>
      <c r="AK411" s="36"/>
      <c r="AL411" s="36"/>
      <c r="AM411" s="38">
        <v>38</v>
      </c>
      <c r="AN411" s="38">
        <v>8</v>
      </c>
      <c r="AO411" s="36"/>
      <c r="AP411" s="36"/>
      <c r="AQ411" s="36"/>
      <c r="AR411" s="36"/>
      <c r="AS411" s="36"/>
      <c r="AT411" s="38">
        <v>4</v>
      </c>
      <c r="AU411" s="38">
        <v>1.67</v>
      </c>
      <c r="AV411" s="36"/>
      <c r="AW411" s="36"/>
      <c r="AX411" s="36"/>
      <c r="AY411" s="38">
        <v>10</v>
      </c>
      <c r="AZ411" s="38">
        <v>120</v>
      </c>
      <c r="BA411" s="36"/>
      <c r="BB411" s="36"/>
      <c r="BC411" s="36"/>
      <c r="BD411" s="38">
        <v>6.5</v>
      </c>
      <c r="BE411" s="36"/>
      <c r="BF411" s="38">
        <v>7.4</v>
      </c>
      <c r="BG411" s="59">
        <v>29.19</v>
      </c>
      <c r="BH411" s="59">
        <v>3.5</v>
      </c>
      <c r="BI411" s="59">
        <v>0.40632223119552235</v>
      </c>
      <c r="BJ411" s="59">
        <v>10</v>
      </c>
      <c r="BK411" s="38">
        <v>5.6231999999999998</v>
      </c>
      <c r="BL411" s="59">
        <v>2.6</v>
      </c>
      <c r="BM411" s="38"/>
      <c r="BN411" s="38">
        <v>62</v>
      </c>
      <c r="BO411" s="36"/>
      <c r="BP411" s="39">
        <f t="shared" si="263"/>
        <v>0.46399193548387102</v>
      </c>
      <c r="BQ411" s="37"/>
      <c r="BR411" s="39">
        <f t="shared" si="264"/>
        <v>1.0287011169668376</v>
      </c>
      <c r="BS411" s="39">
        <f t="shared" si="245"/>
        <v>1.892416710711744</v>
      </c>
      <c r="BT411" s="39">
        <f t="shared" si="254"/>
        <v>30.445665057996788</v>
      </c>
      <c r="BU411" s="39">
        <f>$BP411*12*AY411/(12*(45/36)*0.9144)</f>
        <v>4.0594220077329055</v>
      </c>
      <c r="BV411" s="39">
        <f t="shared" si="273"/>
        <v>0.57653348360183021</v>
      </c>
      <c r="BW411" s="39">
        <f t="shared" si="259"/>
        <v>3.0687973862995501</v>
      </c>
      <c r="BX411" s="39">
        <f t="shared" si="274"/>
        <v>0.27647783910035978</v>
      </c>
      <c r="BY411" s="39">
        <f t="shared" si="257"/>
        <v>5.0293957627023831</v>
      </c>
      <c r="BZ411" s="39">
        <f t="shared" ref="BZ411:BZ442" si="281">$BP411*12*$BJ411/(14*0.45359)</f>
        <v>8.7679925322844312</v>
      </c>
      <c r="CA411" s="39">
        <f t="shared" si="260"/>
        <v>5.7521538208798768</v>
      </c>
      <c r="CB411" s="39">
        <f t="shared" si="261"/>
        <v>2.65962440145961</v>
      </c>
      <c r="CC411" s="37"/>
      <c r="CD411" s="39">
        <f t="shared" si="279"/>
        <v>0.21529225806451616</v>
      </c>
      <c r="CE411" s="37"/>
      <c r="CF411" s="39">
        <f t="shared" ref="CF411:CF416" si="282">$BP411*12*$AU411</f>
        <v>9.2983983870967748</v>
      </c>
      <c r="CG411" s="37"/>
      <c r="CH411" s="37"/>
      <c r="CI411" s="39">
        <f t="shared" ref="CI411:CI418" si="283">BP411*12*AT411/(12*0.453592)</f>
        <v>4.0917118069443115</v>
      </c>
      <c r="CJ411" s="39">
        <f t="shared" si="277"/>
        <v>0</v>
      </c>
      <c r="CK411" s="37"/>
      <c r="CL411" s="39">
        <f t="shared" si="258"/>
        <v>0.66814838709677427</v>
      </c>
      <c r="CM411" s="37"/>
      <c r="CN411" s="37"/>
      <c r="CO411" s="39">
        <f>0.063495+(0.016949+0.014096)*Wages!P409+1.22592*BR411</f>
        <v>1.7567391624248887</v>
      </c>
      <c r="CP411" s="39"/>
      <c r="CQ411" s="39">
        <f t="shared" si="247"/>
        <v>1.892416710711744</v>
      </c>
      <c r="CR411" s="39">
        <f t="shared" ref="CR411:CS474" si="284">BV411</f>
        <v>0.57653348360183021</v>
      </c>
      <c r="CS411" s="39">
        <f t="shared" si="284"/>
        <v>3.0687973862995501</v>
      </c>
      <c r="CT411" s="39">
        <f t="shared" si="262"/>
        <v>5.7521538208798768</v>
      </c>
      <c r="CU411" s="39">
        <f t="shared" si="262"/>
        <v>2.65962440145961</v>
      </c>
      <c r="CV411" s="39">
        <v>0.25</v>
      </c>
      <c r="CW411" s="39">
        <f t="shared" si="280"/>
        <v>0.21529225806451616</v>
      </c>
      <c r="CX411" s="39">
        <f t="shared" ref="CX411:CX418" si="285">CI411</f>
        <v>4.0917118069443115</v>
      </c>
      <c r="CY411" s="39">
        <f t="shared" ref="CY411:CY458" si="286">BZ411</f>
        <v>8.7679925322844312</v>
      </c>
      <c r="CZ411" s="39">
        <f t="shared" si="265"/>
        <v>0.27647783910035978</v>
      </c>
      <c r="DA411" s="39">
        <v>4.5999999999999996</v>
      </c>
      <c r="DB411" s="39">
        <f>BU411</f>
        <v>4.0594220077329055</v>
      </c>
      <c r="DC411" s="39">
        <f t="shared" si="266"/>
        <v>5.0293957627023831</v>
      </c>
      <c r="DD411" s="39">
        <v>4.2</v>
      </c>
      <c r="DE411" s="39">
        <v>6.4190949698730682E-2</v>
      </c>
      <c r="DF411" s="39">
        <f t="shared" si="256"/>
        <v>0.11531513672630185</v>
      </c>
      <c r="DG411" s="39">
        <f t="shared" si="267"/>
        <v>0.66814838709677427</v>
      </c>
      <c r="DH411" s="39">
        <f t="shared" si="268"/>
        <v>7.2663515620025674</v>
      </c>
      <c r="DI411" s="39">
        <f t="shared" si="278"/>
        <v>4.7593848993479648</v>
      </c>
      <c r="DJ411" s="37"/>
      <c r="DK411" s="37"/>
      <c r="DL411" s="37"/>
      <c r="DM411" s="39">
        <f t="shared" si="275"/>
        <v>1.5758878609278728</v>
      </c>
      <c r="DN411" s="39"/>
      <c r="DO411" s="39">
        <f t="shared" si="276"/>
        <v>1.5758878609278728</v>
      </c>
      <c r="DP411" s="37"/>
      <c r="DQ411" s="37">
        <f>DO411/'Conversions, Sources &amp; Comments'!E409</f>
        <v>3.3963690754333222</v>
      </c>
    </row>
    <row r="412" spans="1:121">
      <c r="A412" s="42">
        <f t="shared" si="269"/>
        <v>1660</v>
      </c>
      <c r="B412" s="36"/>
      <c r="C412" s="38">
        <v>51</v>
      </c>
      <c r="D412" s="38">
        <v>7.75</v>
      </c>
      <c r="E412" s="36"/>
      <c r="F412" s="36"/>
      <c r="G412" s="38">
        <v>14</v>
      </c>
      <c r="H412" s="38">
        <v>7.5</v>
      </c>
      <c r="I412" s="36"/>
      <c r="J412" s="36"/>
      <c r="K412" s="38">
        <v>3</v>
      </c>
      <c r="L412" s="38">
        <v>6</v>
      </c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8">
        <v>5</v>
      </c>
      <c r="AA412" s="38">
        <v>8.25</v>
      </c>
      <c r="AB412" s="36"/>
      <c r="AC412" s="36"/>
      <c r="AD412" s="36"/>
      <c r="AE412" s="38">
        <v>3</v>
      </c>
      <c r="AF412" s="38">
        <v>4.75</v>
      </c>
      <c r="AG412" s="38">
        <v>31</v>
      </c>
      <c r="AH412" s="38">
        <v>3</v>
      </c>
      <c r="AI412" s="36"/>
      <c r="AJ412" s="36"/>
      <c r="AK412" s="36"/>
      <c r="AL412" s="36"/>
      <c r="AM412" s="38">
        <v>38</v>
      </c>
      <c r="AN412" s="38">
        <v>8</v>
      </c>
      <c r="AO412" s="36"/>
      <c r="AP412" s="36"/>
      <c r="AQ412" s="36"/>
      <c r="AR412" s="36"/>
      <c r="AS412" s="36"/>
      <c r="AT412" s="38">
        <v>4</v>
      </c>
      <c r="AU412" s="38">
        <v>1.67</v>
      </c>
      <c r="AV412" s="36"/>
      <c r="AW412" s="36"/>
      <c r="AX412" s="38">
        <v>13.6</v>
      </c>
      <c r="AY412" s="36"/>
      <c r="AZ412" s="38">
        <v>120</v>
      </c>
      <c r="BA412" s="36"/>
      <c r="BB412" s="36"/>
      <c r="BC412" s="36"/>
      <c r="BD412" s="38">
        <v>6.67</v>
      </c>
      <c r="BE412" s="36"/>
      <c r="BF412" s="38">
        <v>7.5</v>
      </c>
      <c r="BG412" s="59">
        <v>22.88</v>
      </c>
      <c r="BH412" s="59">
        <v>3.5</v>
      </c>
      <c r="BI412" s="59">
        <v>0.42080850204684078</v>
      </c>
      <c r="BJ412" s="59">
        <v>10</v>
      </c>
      <c r="BK412" s="38">
        <v>5.5095999999999989</v>
      </c>
      <c r="BL412" s="59">
        <v>2.2000000000000002</v>
      </c>
      <c r="BM412" s="36"/>
      <c r="BN412" s="38">
        <v>62</v>
      </c>
      <c r="BO412" s="36"/>
      <c r="BP412" s="39">
        <f t="shared" si="263"/>
        <v>0.46399193548387102</v>
      </c>
      <c r="BQ412" s="37"/>
      <c r="BR412" s="39">
        <f t="shared" si="264"/>
        <v>1.0200600275843161</v>
      </c>
      <c r="BS412" s="39">
        <f t="shared" si="245"/>
        <v>1.917989909505146</v>
      </c>
      <c r="BT412" s="39">
        <f t="shared" si="254"/>
        <v>30.445665057996788</v>
      </c>
      <c r="BU412" s="37"/>
      <c r="BV412" s="39">
        <f t="shared" si="273"/>
        <v>0.45190428587906389</v>
      </c>
      <c r="BW412" s="39">
        <f t="shared" si="259"/>
        <v>3.0687973862995501</v>
      </c>
      <c r="BX412" s="39">
        <f t="shared" si="274"/>
        <v>0.28633487510306815</v>
      </c>
      <c r="BY412" s="39">
        <f t="shared" si="257"/>
        <v>5.8179027254989428</v>
      </c>
      <c r="BZ412" s="39">
        <f t="shared" si="281"/>
        <v>8.7679925322844312</v>
      </c>
      <c r="CA412" s="39">
        <f t="shared" si="260"/>
        <v>5.635948693185334</v>
      </c>
      <c r="CB412" s="39">
        <f t="shared" si="261"/>
        <v>2.2504514166196703</v>
      </c>
      <c r="CC412" s="37"/>
      <c r="CD412" s="39">
        <f t="shared" si="279"/>
        <v>0.21529225806451616</v>
      </c>
      <c r="CE412" s="37"/>
      <c r="CF412" s="39">
        <f t="shared" si="282"/>
        <v>9.2983983870967748</v>
      </c>
      <c r="CG412" s="37"/>
      <c r="CH412" s="37"/>
      <c r="CI412" s="39">
        <f t="shared" si="283"/>
        <v>4.0917118069443115</v>
      </c>
      <c r="CJ412" s="39">
        <f t="shared" si="277"/>
        <v>0</v>
      </c>
      <c r="CK412" s="37"/>
      <c r="CL412" s="39">
        <f t="shared" si="258"/>
        <v>1.7399697580645164</v>
      </c>
      <c r="CM412" s="37"/>
      <c r="CN412" s="37"/>
      <c r="CO412" s="39">
        <f>0.063495+(0.016949+0.014096)*Wages!P410+1.22592*BR412</f>
        <v>1.8325736559516486</v>
      </c>
      <c r="CP412" s="39"/>
      <c r="CQ412" s="39">
        <f t="shared" si="247"/>
        <v>1.917989909505146</v>
      </c>
      <c r="CR412" s="39">
        <f t="shared" si="284"/>
        <v>0.45190428587906389</v>
      </c>
      <c r="CS412" s="39">
        <f t="shared" si="284"/>
        <v>3.0687973862995501</v>
      </c>
      <c r="CT412" s="39">
        <f t="shared" si="262"/>
        <v>5.635948693185334</v>
      </c>
      <c r="CU412" s="39">
        <f t="shared" si="262"/>
        <v>2.2504514166196703</v>
      </c>
      <c r="CV412" s="39">
        <v>0.25</v>
      </c>
      <c r="CW412" s="39">
        <f t="shared" si="280"/>
        <v>0.21529225806451616</v>
      </c>
      <c r="CX412" s="39">
        <f t="shared" si="285"/>
        <v>4.0917118069443115</v>
      </c>
      <c r="CY412" s="39">
        <f t="shared" si="286"/>
        <v>8.7679925322844312</v>
      </c>
      <c r="CZ412" s="39">
        <f t="shared" si="265"/>
        <v>0.28633487510306815</v>
      </c>
      <c r="DA412" s="39">
        <v>4.5999999999999996</v>
      </c>
      <c r="DB412" s="39">
        <v>4.0999999999999996</v>
      </c>
      <c r="DC412" s="39">
        <f t="shared" si="266"/>
        <v>5.8179027254989428</v>
      </c>
      <c r="DD412" s="39">
        <v>4.2</v>
      </c>
      <c r="DE412" s="39">
        <v>6.4190949698730682E-2</v>
      </c>
      <c r="DF412" s="39">
        <f t="shared" si="256"/>
        <v>0.11650460065724241</v>
      </c>
      <c r="DG412" s="39">
        <f t="shared" si="267"/>
        <v>1.7399697580645164</v>
      </c>
      <c r="DH412" s="39">
        <f t="shared" si="268"/>
        <v>7.2663515620025674</v>
      </c>
      <c r="DI412" s="39">
        <f t="shared" si="278"/>
        <v>4.8084774715110985</v>
      </c>
      <c r="DJ412" s="37"/>
      <c r="DK412" s="37"/>
      <c r="DL412" s="37"/>
      <c r="DM412" s="39">
        <f t="shared" si="275"/>
        <v>1.5746553343635221</v>
      </c>
      <c r="DN412" s="39"/>
      <c r="DO412" s="39">
        <f t="shared" si="276"/>
        <v>1.5746553343635221</v>
      </c>
      <c r="DP412" s="37"/>
      <c r="DQ412" s="37">
        <f>DO412/'Conversions, Sources &amp; Comments'!E410</f>
        <v>3.3937127220140213</v>
      </c>
    </row>
    <row r="413" spans="1:121">
      <c r="A413" s="42">
        <f t="shared" si="269"/>
        <v>1661</v>
      </c>
      <c r="B413" s="36"/>
      <c r="C413" s="38">
        <v>70</v>
      </c>
      <c r="D413" s="38">
        <v>9.75</v>
      </c>
      <c r="E413" s="36"/>
      <c r="F413" s="36"/>
      <c r="G413" s="38">
        <v>21</v>
      </c>
      <c r="H413" s="38">
        <v>8.25</v>
      </c>
      <c r="I413" s="36"/>
      <c r="J413" s="36"/>
      <c r="K413" s="38">
        <v>3</v>
      </c>
      <c r="L413" s="38">
        <v>6</v>
      </c>
      <c r="M413" s="36"/>
      <c r="N413" s="36"/>
      <c r="O413" s="36"/>
      <c r="P413" s="36"/>
      <c r="Q413" s="38">
        <v>4</v>
      </c>
      <c r="R413" s="38">
        <v>0</v>
      </c>
      <c r="S413" s="36"/>
      <c r="T413" s="36"/>
      <c r="U413" s="36"/>
      <c r="V413" s="36"/>
      <c r="W413" s="36"/>
      <c r="X413" s="36"/>
      <c r="Y413" s="36"/>
      <c r="Z413" s="38">
        <v>5</v>
      </c>
      <c r="AA413" s="38">
        <v>7.25</v>
      </c>
      <c r="AB413" s="36"/>
      <c r="AC413" s="38">
        <v>3</v>
      </c>
      <c r="AD413" s="38">
        <v>3</v>
      </c>
      <c r="AE413" s="38">
        <v>3</v>
      </c>
      <c r="AF413" s="38">
        <v>4.75</v>
      </c>
      <c r="AG413" s="38">
        <v>13</v>
      </c>
      <c r="AH413" s="38">
        <v>3</v>
      </c>
      <c r="AI413" s="36"/>
      <c r="AJ413" s="36"/>
      <c r="AK413" s="36"/>
      <c r="AL413" s="36"/>
      <c r="AM413" s="38">
        <v>38</v>
      </c>
      <c r="AN413" s="38">
        <v>8</v>
      </c>
      <c r="AO413" s="36"/>
      <c r="AP413" s="36"/>
      <c r="AQ413" s="36"/>
      <c r="AR413" s="36"/>
      <c r="AS413" s="36"/>
      <c r="AT413" s="38">
        <v>4</v>
      </c>
      <c r="AU413" s="38">
        <v>1.67</v>
      </c>
      <c r="AV413" s="36"/>
      <c r="AW413" s="36"/>
      <c r="AX413" s="38">
        <v>27.6</v>
      </c>
      <c r="AY413" s="38">
        <v>10.5</v>
      </c>
      <c r="AZ413" s="38">
        <v>120</v>
      </c>
      <c r="BA413" s="36"/>
      <c r="BB413" s="36"/>
      <c r="BC413" s="36"/>
      <c r="BD413" s="38">
        <v>6.5</v>
      </c>
      <c r="BE413" s="36"/>
      <c r="BF413" s="38">
        <v>9.6999999999999993</v>
      </c>
      <c r="BG413" s="59">
        <v>22.88</v>
      </c>
      <c r="BH413" s="59">
        <v>3.5</v>
      </c>
      <c r="BI413" s="59">
        <v>0.49641976941713833</v>
      </c>
      <c r="BJ413" s="59">
        <v>10</v>
      </c>
      <c r="BK413" s="38">
        <v>5.2255999999999991</v>
      </c>
      <c r="BL413" s="59">
        <v>2.2000000000000002</v>
      </c>
      <c r="BM413" s="38"/>
      <c r="BN413" s="38">
        <v>62</v>
      </c>
      <c r="BO413" s="36"/>
      <c r="BP413" s="39">
        <f t="shared" si="263"/>
        <v>0.46399193548387102</v>
      </c>
      <c r="BQ413" s="37"/>
      <c r="BR413" s="39">
        <f t="shared" si="264"/>
        <v>1.3986220386281125</v>
      </c>
      <c r="BS413" s="39">
        <f t="shared" si="245"/>
        <v>2.4806002829599887</v>
      </c>
      <c r="BT413" s="39">
        <f t="shared" si="254"/>
        <v>30.445665057996788</v>
      </c>
      <c r="BU413" s="39">
        <f>$BP413*12*AY413/(12*(45/36)*0.9144)</f>
        <v>4.2623931081195501</v>
      </c>
      <c r="BV413" s="39">
        <f t="shared" si="273"/>
        <v>0.45190428587906389</v>
      </c>
      <c r="BW413" s="39">
        <f t="shared" si="259"/>
        <v>3.0687973862995501</v>
      </c>
      <c r="BX413" s="39">
        <f t="shared" si="274"/>
        <v>0.33778379472696141</v>
      </c>
      <c r="BY413" s="39">
        <f t="shared" si="257"/>
        <v>5.7326587295209359</v>
      </c>
      <c r="BZ413" s="39">
        <f t="shared" si="281"/>
        <v>8.7679925322844312</v>
      </c>
      <c r="CA413" s="39">
        <f t="shared" si="260"/>
        <v>5.3454358739489756</v>
      </c>
      <c r="CB413" s="39">
        <f t="shared" si="261"/>
        <v>2.2504514166196703</v>
      </c>
      <c r="CC413" s="37"/>
      <c r="CD413" s="39">
        <f t="shared" si="279"/>
        <v>0.21529225806451616</v>
      </c>
      <c r="CE413" s="37"/>
      <c r="CF413" s="39">
        <f t="shared" si="282"/>
        <v>9.2983983870967748</v>
      </c>
      <c r="CG413" s="37"/>
      <c r="CH413" s="37"/>
      <c r="CI413" s="39">
        <f t="shared" si="283"/>
        <v>4.0917118069443115</v>
      </c>
      <c r="CJ413" s="39">
        <f t="shared" si="277"/>
        <v>0</v>
      </c>
      <c r="CK413" s="39">
        <f t="shared" ref="CK413:CK427" si="287">BP413*(12*AC413+AD413)/(35.238*8)</f>
        <v>6.4190949698730668E-2</v>
      </c>
      <c r="CL413" s="39">
        <f t="shared" si="258"/>
        <v>0.73774717741935492</v>
      </c>
      <c r="CM413" s="39">
        <f t="shared" ref="CM413:CM427" si="288">BP413*(12*$AC413+$AD413)/(35.238*8)/0.283</f>
        <v>0.22682314381176916</v>
      </c>
      <c r="CN413" s="37"/>
      <c r="CO413" s="39">
        <f>0.063495+(0.016949+0.014096)*Wages!P411+1.22592*BR413</f>
        <v>2.2966603965304593</v>
      </c>
      <c r="CP413" s="39"/>
      <c r="CQ413" s="39">
        <f t="shared" si="247"/>
        <v>2.4806002829599887</v>
      </c>
      <c r="CR413" s="39">
        <f t="shared" si="284"/>
        <v>0.45190428587906389</v>
      </c>
      <c r="CS413" s="39">
        <f t="shared" si="284"/>
        <v>3.0687973862995501</v>
      </c>
      <c r="CT413" s="39">
        <f t="shared" si="262"/>
        <v>5.3454358739489756</v>
      </c>
      <c r="CU413" s="39">
        <f t="shared" si="262"/>
        <v>2.2504514166196703</v>
      </c>
      <c r="CV413" s="39">
        <v>0.25</v>
      </c>
      <c r="CW413" s="39">
        <f t="shared" si="280"/>
        <v>0.21529225806451616</v>
      </c>
      <c r="CX413" s="39">
        <f t="shared" si="285"/>
        <v>4.0917118069443115</v>
      </c>
      <c r="CY413" s="39">
        <f t="shared" si="286"/>
        <v>8.7679925322844312</v>
      </c>
      <c r="CZ413" s="39">
        <f t="shared" si="265"/>
        <v>0.33778379472696141</v>
      </c>
      <c r="DA413" s="39">
        <v>4.5999999999999996</v>
      </c>
      <c r="DB413" s="39">
        <f>BU413</f>
        <v>4.2623931081195501</v>
      </c>
      <c r="DC413" s="39">
        <f t="shared" si="266"/>
        <v>5.7326587295209359</v>
      </c>
      <c r="DD413" s="39">
        <v>4.2</v>
      </c>
      <c r="DE413" s="39">
        <f t="shared" ref="DE413:DE427" si="289">CK413</f>
        <v>6.4190949698730668E-2</v>
      </c>
      <c r="DF413" s="39">
        <f t="shared" si="256"/>
        <v>0.11769406458818296</v>
      </c>
      <c r="DG413" s="39">
        <f t="shared" si="267"/>
        <v>0.73774717741935492</v>
      </c>
      <c r="DH413" s="39">
        <f t="shared" si="268"/>
        <v>7.2663515620025656</v>
      </c>
      <c r="DI413" s="39">
        <f t="shared" si="278"/>
        <v>4.8575700436742322</v>
      </c>
      <c r="DJ413" s="37"/>
      <c r="DK413" s="37"/>
      <c r="DL413" s="37"/>
      <c r="DM413" s="39">
        <f t="shared" si="275"/>
        <v>1.8418011601551085</v>
      </c>
      <c r="DN413" s="39"/>
      <c r="DO413" s="39">
        <f t="shared" si="276"/>
        <v>1.8418011601551085</v>
      </c>
      <c r="DP413" s="37"/>
      <c r="DQ413" s="37">
        <f>DO413/'Conversions, Sources &amp; Comments'!E411</f>
        <v>3.969468043090874</v>
      </c>
    </row>
    <row r="414" spans="1:121">
      <c r="A414" s="42">
        <f t="shared" si="269"/>
        <v>1662</v>
      </c>
      <c r="B414" s="36"/>
      <c r="C414" s="38">
        <v>45</v>
      </c>
      <c r="D414" s="38">
        <v>8.75</v>
      </c>
      <c r="E414" s="38">
        <v>18</v>
      </c>
      <c r="F414" s="38">
        <v>0</v>
      </c>
      <c r="G414" s="38">
        <v>16</v>
      </c>
      <c r="H414" s="38">
        <v>3</v>
      </c>
      <c r="I414" s="36"/>
      <c r="J414" s="36"/>
      <c r="K414" s="38">
        <v>3</v>
      </c>
      <c r="L414" s="38">
        <v>6</v>
      </c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8">
        <v>5</v>
      </c>
      <c r="AA414" s="38">
        <v>7</v>
      </c>
      <c r="AB414" s="36"/>
      <c r="AC414" s="38">
        <v>3</v>
      </c>
      <c r="AD414" s="38">
        <v>3</v>
      </c>
      <c r="AE414" s="38">
        <v>3</v>
      </c>
      <c r="AF414" s="38">
        <v>4.75</v>
      </c>
      <c r="AG414" s="38">
        <v>47</v>
      </c>
      <c r="AH414" s="38">
        <v>0.75</v>
      </c>
      <c r="AI414" s="36"/>
      <c r="AJ414" s="36"/>
      <c r="AK414" s="36"/>
      <c r="AL414" s="36"/>
      <c r="AM414" s="38">
        <v>38</v>
      </c>
      <c r="AN414" s="38">
        <v>8</v>
      </c>
      <c r="AO414" s="36"/>
      <c r="AP414" s="36"/>
      <c r="AQ414" s="36"/>
      <c r="AR414" s="36"/>
      <c r="AS414" s="36"/>
      <c r="AT414" s="38">
        <v>4</v>
      </c>
      <c r="AU414" s="38">
        <v>1.67</v>
      </c>
      <c r="AV414" s="36"/>
      <c r="AW414" s="36"/>
      <c r="AX414" s="38">
        <v>16.3</v>
      </c>
      <c r="AY414" s="36"/>
      <c r="AZ414" s="38">
        <v>120</v>
      </c>
      <c r="BA414" s="36"/>
      <c r="BB414" s="36"/>
      <c r="BC414" s="36"/>
      <c r="BD414" s="38">
        <v>6</v>
      </c>
      <c r="BE414" s="36"/>
      <c r="BF414" s="38">
        <v>6.1</v>
      </c>
      <c r="BG414" s="59">
        <v>22.88</v>
      </c>
      <c r="BH414" s="59">
        <v>3.5</v>
      </c>
      <c r="BI414" s="59">
        <v>0.45932078309058916</v>
      </c>
      <c r="BJ414" s="59">
        <v>10</v>
      </c>
      <c r="BK414" s="38">
        <v>5.2255999999999991</v>
      </c>
      <c r="BL414" s="59">
        <v>2.2000000000000002</v>
      </c>
      <c r="BM414" s="36"/>
      <c r="BN414" s="38">
        <v>62</v>
      </c>
      <c r="BO414" s="36"/>
      <c r="BP414" s="39">
        <f t="shared" si="263"/>
        <v>0.46399193548387102</v>
      </c>
      <c r="BQ414" s="37"/>
      <c r="BR414" s="39">
        <f t="shared" si="264"/>
        <v>0.90319958069688344</v>
      </c>
      <c r="BS414" s="39">
        <f t="shared" si="245"/>
        <v>1.5599651263975187</v>
      </c>
      <c r="BT414" s="39">
        <f t="shared" si="254"/>
        <v>30.445665057996788</v>
      </c>
      <c r="BU414" s="37"/>
      <c r="BV414" s="39">
        <f t="shared" si="273"/>
        <v>0.45190428587906389</v>
      </c>
      <c r="BW414" s="39">
        <f t="shared" si="259"/>
        <v>3.0687973862995501</v>
      </c>
      <c r="BX414" s="39">
        <f t="shared" si="274"/>
        <v>0.31254016593953621</v>
      </c>
      <c r="BY414" s="39">
        <f t="shared" si="257"/>
        <v>5.7113477305264349</v>
      </c>
      <c r="BZ414" s="39">
        <f t="shared" si="281"/>
        <v>8.7679925322844312</v>
      </c>
      <c r="CA414" s="39">
        <f t="shared" si="260"/>
        <v>5.3454358739489756</v>
      </c>
      <c r="CB414" s="39">
        <f t="shared" si="261"/>
        <v>2.2504514166196703</v>
      </c>
      <c r="CC414" s="37"/>
      <c r="CD414" s="39">
        <f t="shared" si="279"/>
        <v>0.21529225806451616</v>
      </c>
      <c r="CE414" s="37"/>
      <c r="CF414" s="39">
        <f t="shared" si="282"/>
        <v>9.2983983870967748</v>
      </c>
      <c r="CG414" s="37"/>
      <c r="CH414" s="37"/>
      <c r="CI414" s="39">
        <f t="shared" si="283"/>
        <v>4.0917118069443115</v>
      </c>
      <c r="CJ414" s="39">
        <f t="shared" si="277"/>
        <v>0</v>
      </c>
      <c r="CK414" s="39">
        <f t="shared" si="287"/>
        <v>6.4190949698730668E-2</v>
      </c>
      <c r="CL414" s="39">
        <f t="shared" si="258"/>
        <v>2.6203944556451613</v>
      </c>
      <c r="CM414" s="39">
        <f t="shared" si="288"/>
        <v>0.22682314381176916</v>
      </c>
      <c r="CN414" s="37"/>
      <c r="CO414" s="39">
        <f>0.063495+(0.016949+0.014096)*Wages!P412+1.22592*BR414</f>
        <v>1.6893120969034072</v>
      </c>
      <c r="CP414" s="39"/>
      <c r="CQ414" s="39">
        <f t="shared" si="247"/>
        <v>1.5599651263975187</v>
      </c>
      <c r="CR414" s="39">
        <f t="shared" si="284"/>
        <v>0.45190428587906389</v>
      </c>
      <c r="CS414" s="39">
        <f t="shared" si="284"/>
        <v>3.0687973862995501</v>
      </c>
      <c r="CT414" s="39">
        <f t="shared" si="262"/>
        <v>5.3454358739489756</v>
      </c>
      <c r="CU414" s="39">
        <f t="shared" si="262"/>
        <v>2.2504514166196703</v>
      </c>
      <c r="CV414" s="39">
        <v>0.25</v>
      </c>
      <c r="CW414" s="39">
        <f t="shared" si="280"/>
        <v>0.21529225806451616</v>
      </c>
      <c r="CX414" s="39">
        <f t="shared" si="285"/>
        <v>4.0917118069443115</v>
      </c>
      <c r="CY414" s="39">
        <f t="shared" si="286"/>
        <v>8.7679925322844312</v>
      </c>
      <c r="CZ414" s="39">
        <f t="shared" si="265"/>
        <v>0.31254016593953621</v>
      </c>
      <c r="DA414" s="39">
        <v>4.5999999999999996</v>
      </c>
      <c r="DB414" s="39">
        <v>4.262393108119551</v>
      </c>
      <c r="DC414" s="39">
        <f t="shared" si="266"/>
        <v>5.7113477305264349</v>
      </c>
      <c r="DD414" s="39">
        <v>4.2</v>
      </c>
      <c r="DE414" s="39">
        <f t="shared" si="289"/>
        <v>6.4190949698730668E-2</v>
      </c>
      <c r="DF414" s="39">
        <f t="shared" si="256"/>
        <v>0.11888352851912351</v>
      </c>
      <c r="DG414" s="39">
        <f t="shared" si="267"/>
        <v>2.6203944556451613</v>
      </c>
      <c r="DH414" s="39">
        <f t="shared" si="268"/>
        <v>7.2663515620025656</v>
      </c>
      <c r="DI414" s="39">
        <f t="shared" si="278"/>
        <v>4.906662615837365</v>
      </c>
      <c r="DJ414" s="37"/>
      <c r="DK414" s="37"/>
      <c r="DL414" s="37"/>
      <c r="DM414" s="39">
        <f t="shared" si="275"/>
        <v>1.4267472023310261</v>
      </c>
      <c r="DN414" s="39"/>
      <c r="DO414" s="39">
        <f t="shared" si="276"/>
        <v>1.4267472023310261</v>
      </c>
      <c r="DP414" s="37"/>
      <c r="DQ414" s="37">
        <f>DO414/'Conversions, Sources &amp; Comments'!E412</f>
        <v>3.0749396556712822</v>
      </c>
    </row>
    <row r="415" spans="1:121">
      <c r="A415" s="42">
        <f t="shared" si="269"/>
        <v>1663</v>
      </c>
      <c r="B415" s="36"/>
      <c r="C415" s="38">
        <v>46</v>
      </c>
      <c r="D415" s="38">
        <v>6.5</v>
      </c>
      <c r="E415" s="38">
        <v>18</v>
      </c>
      <c r="F415" s="38">
        <v>0</v>
      </c>
      <c r="G415" s="38">
        <v>14</v>
      </c>
      <c r="H415" s="38">
        <v>5</v>
      </c>
      <c r="I415" s="36"/>
      <c r="J415" s="36"/>
      <c r="K415" s="38">
        <v>3</v>
      </c>
      <c r="L415" s="38">
        <v>6</v>
      </c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8">
        <v>5</v>
      </c>
      <c r="AA415" s="38">
        <v>8</v>
      </c>
      <c r="AB415" s="36"/>
      <c r="AC415" s="38">
        <v>3</v>
      </c>
      <c r="AD415" s="38">
        <v>1</v>
      </c>
      <c r="AE415" s="38">
        <v>3</v>
      </c>
      <c r="AF415" s="38">
        <v>0.5</v>
      </c>
      <c r="AG415" s="38">
        <v>17</v>
      </c>
      <c r="AH415" s="38">
        <v>6</v>
      </c>
      <c r="AI415" s="38">
        <v>10</v>
      </c>
      <c r="AJ415" s="38">
        <v>0</v>
      </c>
      <c r="AK415" s="36"/>
      <c r="AL415" s="36"/>
      <c r="AM415" s="36"/>
      <c r="AN415" s="36"/>
      <c r="AO415" s="36"/>
      <c r="AP415" s="36"/>
      <c r="AQ415" s="36"/>
      <c r="AR415" s="36"/>
      <c r="AS415" s="36"/>
      <c r="AT415" s="38">
        <v>4</v>
      </c>
      <c r="AU415" s="38">
        <v>1.67</v>
      </c>
      <c r="AV415" s="36"/>
      <c r="AW415" s="36"/>
      <c r="AX415" s="38">
        <v>18</v>
      </c>
      <c r="AY415" s="38">
        <v>10.5</v>
      </c>
      <c r="AZ415" s="38">
        <v>120</v>
      </c>
      <c r="BA415" s="36"/>
      <c r="BB415" s="36"/>
      <c r="BC415" s="36"/>
      <c r="BD415" s="38">
        <v>6.17</v>
      </c>
      <c r="BE415" s="36"/>
      <c r="BF415" s="38">
        <v>6</v>
      </c>
      <c r="BG415" s="59">
        <v>22.88</v>
      </c>
      <c r="BH415" s="59">
        <v>3.5</v>
      </c>
      <c r="BI415" s="59">
        <v>0.45932078309058916</v>
      </c>
      <c r="BJ415" s="59">
        <v>10</v>
      </c>
      <c r="BK415" s="38">
        <v>5.1120000000000001</v>
      </c>
      <c r="BL415" s="59">
        <v>2.2000000000000002</v>
      </c>
      <c r="BM415" s="38"/>
      <c r="BN415" s="38">
        <v>62</v>
      </c>
      <c r="BO415" s="36"/>
      <c r="BP415" s="39">
        <f t="shared" si="263"/>
        <v>0.46399193548387102</v>
      </c>
      <c r="BQ415" s="37"/>
      <c r="BR415" s="39">
        <f t="shared" si="264"/>
        <v>0.91924731812156624</v>
      </c>
      <c r="BS415" s="39">
        <f t="shared" si="245"/>
        <v>1.5343919276041167</v>
      </c>
      <c r="BT415" s="39">
        <f t="shared" si="254"/>
        <v>30.445665057996788</v>
      </c>
      <c r="BU415" s="39">
        <f t="shared" ref="BU415:BU424" si="290">$BP415*12*AY415/(12*(45/36)*0.9144)</f>
        <v>4.2623931081195501</v>
      </c>
      <c r="BV415" s="39">
        <f t="shared" si="273"/>
        <v>0.45190428587906389</v>
      </c>
      <c r="BW415" s="39">
        <f t="shared" si="259"/>
        <v>3.0687973862995501</v>
      </c>
      <c r="BX415" s="39">
        <f t="shared" si="274"/>
        <v>0.31254016593953621</v>
      </c>
      <c r="BY415" s="39">
        <f t="shared" si="257"/>
        <v>5.7965917265044409</v>
      </c>
      <c r="BZ415" s="39">
        <f t="shared" si="281"/>
        <v>8.7679925322844312</v>
      </c>
      <c r="CA415" s="39">
        <f t="shared" si="260"/>
        <v>5.2292307462544336</v>
      </c>
      <c r="CB415" s="39">
        <f t="shared" si="261"/>
        <v>2.2504514166196703</v>
      </c>
      <c r="CC415" s="37"/>
      <c r="CD415" s="37"/>
      <c r="CE415" s="37"/>
      <c r="CF415" s="39">
        <f t="shared" si="282"/>
        <v>9.2983983870967748</v>
      </c>
      <c r="CG415" s="37"/>
      <c r="CH415" s="37"/>
      <c r="CI415" s="39">
        <f t="shared" si="283"/>
        <v>4.0917118069443115</v>
      </c>
      <c r="CJ415" s="39">
        <f t="shared" si="277"/>
        <v>0</v>
      </c>
      <c r="CK415" s="39">
        <f t="shared" si="287"/>
        <v>6.0899106124436782E-2</v>
      </c>
      <c r="CL415" s="39">
        <f t="shared" si="258"/>
        <v>0.97438306451612922</v>
      </c>
      <c r="CM415" s="39">
        <f t="shared" si="288"/>
        <v>0.2151911877188579</v>
      </c>
      <c r="CN415" s="37"/>
      <c r="CO415" s="39">
        <f>0.063495+(0.016949+0.014096)*Wages!P413+1.22592*BR415</f>
        <v>1.7089853391670742</v>
      </c>
      <c r="CP415" s="39"/>
      <c r="CQ415" s="39">
        <f t="shared" si="247"/>
        <v>1.5343919276041167</v>
      </c>
      <c r="CR415" s="39">
        <f t="shared" si="284"/>
        <v>0.45190428587906389</v>
      </c>
      <c r="CS415" s="39">
        <f t="shared" si="284"/>
        <v>3.0687973862995501</v>
      </c>
      <c r="CT415" s="39">
        <f t="shared" si="262"/>
        <v>5.2292307462544336</v>
      </c>
      <c r="CU415" s="39">
        <f t="shared" si="262"/>
        <v>2.2504514166196703</v>
      </c>
      <c r="CV415" s="39">
        <v>0.25</v>
      </c>
      <c r="CW415" s="39">
        <v>0.2</v>
      </c>
      <c r="CX415" s="39">
        <f t="shared" si="285"/>
        <v>4.0917118069443115</v>
      </c>
      <c r="CY415" s="39">
        <f t="shared" si="286"/>
        <v>8.7679925322844312</v>
      </c>
      <c r="CZ415" s="39">
        <f t="shared" si="265"/>
        <v>0.31254016593953621</v>
      </c>
      <c r="DA415" s="39">
        <v>4.5999999999999996</v>
      </c>
      <c r="DB415" s="39">
        <f t="shared" ref="DB415:DB424" si="291">BU415</f>
        <v>4.2623931081195501</v>
      </c>
      <c r="DC415" s="39">
        <f t="shared" si="266"/>
        <v>5.7965917265044409</v>
      </c>
      <c r="DD415" s="39">
        <v>4.2</v>
      </c>
      <c r="DE415" s="39">
        <f t="shared" si="289"/>
        <v>6.0899106124436782E-2</v>
      </c>
      <c r="DF415" s="39">
        <f t="shared" si="256"/>
        <v>0.12007299245006406</v>
      </c>
      <c r="DG415" s="39">
        <f t="shared" si="267"/>
        <v>0.97438306451612922</v>
      </c>
      <c r="DH415" s="39">
        <f t="shared" si="268"/>
        <v>6.8937181485665366</v>
      </c>
      <c r="DI415" s="39">
        <f t="shared" si="278"/>
        <v>4.9557551880004977</v>
      </c>
      <c r="DJ415" s="37"/>
      <c r="DK415" s="37"/>
      <c r="DL415" s="37"/>
      <c r="DM415" s="39">
        <f t="shared" si="275"/>
        <v>1.4101163439502984</v>
      </c>
      <c r="DN415" s="39"/>
      <c r="DO415" s="39">
        <f t="shared" si="276"/>
        <v>1.4101163439502984</v>
      </c>
      <c r="DP415" s="37"/>
      <c r="DQ415" s="37">
        <f>DO415/'Conversions, Sources &amp; Comments'!E413</f>
        <v>3.0390966655051184</v>
      </c>
    </row>
    <row r="416" spans="1:121">
      <c r="A416" s="42">
        <f t="shared" si="269"/>
        <v>1664</v>
      </c>
      <c r="B416" s="36"/>
      <c r="C416" s="38">
        <v>39</v>
      </c>
      <c r="D416" s="38">
        <v>5.25</v>
      </c>
      <c r="E416" s="36"/>
      <c r="F416" s="36"/>
      <c r="G416" s="38">
        <v>13</v>
      </c>
      <c r="H416" s="38">
        <v>8</v>
      </c>
      <c r="I416" s="36"/>
      <c r="J416" s="36"/>
      <c r="K416" s="38">
        <v>3</v>
      </c>
      <c r="L416" s="38">
        <v>6</v>
      </c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8">
        <v>5</v>
      </c>
      <c r="AA416" s="38">
        <v>9</v>
      </c>
      <c r="AB416" s="36"/>
      <c r="AC416" s="38">
        <v>3</v>
      </c>
      <c r="AD416" s="38">
        <v>3.5</v>
      </c>
      <c r="AE416" s="38">
        <v>3</v>
      </c>
      <c r="AF416" s="38">
        <v>0.5</v>
      </c>
      <c r="AG416" s="38">
        <v>25</v>
      </c>
      <c r="AH416" s="38">
        <v>0</v>
      </c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8">
        <v>29.32</v>
      </c>
      <c r="AT416" s="38">
        <v>4</v>
      </c>
      <c r="AU416" s="38">
        <v>1.67</v>
      </c>
      <c r="AV416" s="36"/>
      <c r="AW416" s="36"/>
      <c r="AX416" s="38">
        <v>14.06</v>
      </c>
      <c r="AY416" s="38">
        <v>11.5</v>
      </c>
      <c r="AZ416" s="38">
        <v>120</v>
      </c>
      <c r="BA416" s="36"/>
      <c r="BB416" s="36"/>
      <c r="BC416" s="38">
        <v>9</v>
      </c>
      <c r="BD416" s="38">
        <v>6</v>
      </c>
      <c r="BE416" s="36"/>
      <c r="BF416" s="38">
        <v>5.7</v>
      </c>
      <c r="BG416" s="59">
        <v>22.88</v>
      </c>
      <c r="BH416" s="59">
        <v>3.5</v>
      </c>
      <c r="BI416" s="59">
        <v>0.39572252081650833</v>
      </c>
      <c r="BJ416" s="59">
        <v>10</v>
      </c>
      <c r="BK416" s="38">
        <v>5.68</v>
      </c>
      <c r="BL416" s="59">
        <v>2.2000000000000002</v>
      </c>
      <c r="BM416" s="38"/>
      <c r="BN416" s="38">
        <v>62</v>
      </c>
      <c r="BO416" s="36"/>
      <c r="BP416" s="39">
        <f t="shared" si="263"/>
        <v>0.46399193548387102</v>
      </c>
      <c r="BQ416" s="37"/>
      <c r="BR416" s="39">
        <f t="shared" si="264"/>
        <v>0.77893248576728946</v>
      </c>
      <c r="BS416" s="39">
        <f t="shared" si="245"/>
        <v>1.457672331223911</v>
      </c>
      <c r="BT416" s="39">
        <f t="shared" si="254"/>
        <v>30.445665057996788</v>
      </c>
      <c r="BU416" s="39">
        <f t="shared" si="290"/>
        <v>4.6683353088928401</v>
      </c>
      <c r="BV416" s="39">
        <f t="shared" si="273"/>
        <v>0.45190428587906389</v>
      </c>
      <c r="BW416" s="39">
        <f t="shared" si="259"/>
        <v>3.0687973862995501</v>
      </c>
      <c r="BX416" s="39">
        <f t="shared" si="274"/>
        <v>0.26926537373252402</v>
      </c>
      <c r="BY416" s="39">
        <f t="shared" si="257"/>
        <v>5.8818357224824469</v>
      </c>
      <c r="BZ416" s="39">
        <f t="shared" si="281"/>
        <v>8.7679925322844312</v>
      </c>
      <c r="CA416" s="39">
        <f t="shared" si="260"/>
        <v>5.8102563847271487</v>
      </c>
      <c r="CB416" s="39">
        <f t="shared" si="261"/>
        <v>2.2504514166196703</v>
      </c>
      <c r="CC416" s="37"/>
      <c r="CD416" s="37"/>
      <c r="CE416" s="37"/>
      <c r="CF416" s="39">
        <f t="shared" si="282"/>
        <v>9.2983983870967748</v>
      </c>
      <c r="CG416" s="37"/>
      <c r="CH416" s="37"/>
      <c r="CI416" s="39">
        <f t="shared" si="283"/>
        <v>4.0917118069443115</v>
      </c>
      <c r="CJ416" s="39">
        <f t="shared" si="277"/>
        <v>0.12126245638100459</v>
      </c>
      <c r="CK416" s="39">
        <f t="shared" si="287"/>
        <v>6.501391059230413E-2</v>
      </c>
      <c r="CL416" s="39">
        <f t="shared" si="258"/>
        <v>1.391975806451613</v>
      </c>
      <c r="CM416" s="39">
        <f t="shared" si="288"/>
        <v>0.22973113283499694</v>
      </c>
      <c r="CN416" s="37"/>
      <c r="CO416" s="39">
        <f>0.063495+(0.016949+0.014096)*Wages!P414+1.22592*BR416</f>
        <v>1.5369705798873192</v>
      </c>
      <c r="CP416" s="39"/>
      <c r="CQ416" s="39">
        <f t="shared" si="247"/>
        <v>1.457672331223911</v>
      </c>
      <c r="CR416" s="39">
        <f t="shared" si="284"/>
        <v>0.45190428587906389</v>
      </c>
      <c r="CS416" s="39">
        <f t="shared" si="284"/>
        <v>3.0687973862995501</v>
      </c>
      <c r="CT416" s="39">
        <f t="shared" si="262"/>
        <v>5.8102563847271487</v>
      </c>
      <c r="CU416" s="39">
        <f t="shared" si="262"/>
        <v>2.2504514166196703</v>
      </c>
      <c r="CV416" s="39">
        <v>0.25</v>
      </c>
      <c r="CW416" s="39">
        <v>0.2</v>
      </c>
      <c r="CX416" s="39">
        <f t="shared" si="285"/>
        <v>4.0917118069443115</v>
      </c>
      <c r="CY416" s="39">
        <f t="shared" si="286"/>
        <v>8.7679925322844312</v>
      </c>
      <c r="CZ416" s="39">
        <f t="shared" si="265"/>
        <v>0.26926537373252402</v>
      </c>
      <c r="DA416" s="39">
        <v>4.5999999999999996</v>
      </c>
      <c r="DB416" s="39">
        <f t="shared" si="291"/>
        <v>4.6683353088928401</v>
      </c>
      <c r="DC416" s="39">
        <f t="shared" si="266"/>
        <v>5.8818357224824469</v>
      </c>
      <c r="DD416" s="39">
        <v>4.2</v>
      </c>
      <c r="DE416" s="39">
        <f t="shared" si="289"/>
        <v>6.501391059230413E-2</v>
      </c>
      <c r="DF416" s="39">
        <v>0.12126245638100461</v>
      </c>
      <c r="DG416" s="39">
        <f t="shared" si="267"/>
        <v>1.391975806451613</v>
      </c>
      <c r="DH416" s="39">
        <f t="shared" si="268"/>
        <v>7.3595099153615724</v>
      </c>
      <c r="DI416" s="39">
        <f t="shared" si="278"/>
        <v>5.0048477601636314</v>
      </c>
      <c r="DJ416" s="37"/>
      <c r="DK416" s="37"/>
      <c r="DL416" s="37"/>
      <c r="DM416" s="39">
        <f t="shared" si="275"/>
        <v>1.3758011215226766</v>
      </c>
      <c r="DN416" s="39"/>
      <c r="DO416" s="39">
        <f t="shared" si="276"/>
        <v>1.3758011215226766</v>
      </c>
      <c r="DP416" s="37"/>
      <c r="DQ416" s="37">
        <f>DO416/'Conversions, Sources &amp; Comments'!E414</f>
        <v>2.9651401593605957</v>
      </c>
    </row>
    <row r="417" spans="1:121">
      <c r="A417" s="42">
        <f t="shared" si="269"/>
        <v>1665</v>
      </c>
      <c r="B417" s="36"/>
      <c r="C417" s="38">
        <v>35</v>
      </c>
      <c r="D417" s="38">
        <v>7.75</v>
      </c>
      <c r="E417" s="36"/>
      <c r="F417" s="36"/>
      <c r="G417" s="38">
        <v>14</v>
      </c>
      <c r="H417" s="38">
        <v>10</v>
      </c>
      <c r="I417" s="36"/>
      <c r="J417" s="36"/>
      <c r="K417" s="38">
        <v>3</v>
      </c>
      <c r="L417" s="38">
        <v>6</v>
      </c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8">
        <v>5</v>
      </c>
      <c r="AA417" s="38">
        <v>6</v>
      </c>
      <c r="AB417" s="36"/>
      <c r="AC417" s="38">
        <v>3</v>
      </c>
      <c r="AD417" s="38">
        <v>3</v>
      </c>
      <c r="AE417" s="38">
        <v>3</v>
      </c>
      <c r="AF417" s="38">
        <v>0.5</v>
      </c>
      <c r="AG417" s="38">
        <v>22</v>
      </c>
      <c r="AH417" s="38">
        <v>10</v>
      </c>
      <c r="AI417" s="38">
        <v>16</v>
      </c>
      <c r="AJ417" s="38">
        <v>8.5</v>
      </c>
      <c r="AK417" s="36"/>
      <c r="AL417" s="36"/>
      <c r="AM417" s="36"/>
      <c r="AN417" s="36"/>
      <c r="AO417" s="36"/>
      <c r="AP417" s="36"/>
      <c r="AQ417" s="36"/>
      <c r="AR417" s="36"/>
      <c r="AS417" s="36"/>
      <c r="AT417" s="38">
        <v>4</v>
      </c>
      <c r="AU417" s="36"/>
      <c r="AV417" s="36"/>
      <c r="AW417" s="38">
        <v>5</v>
      </c>
      <c r="AX417" s="38">
        <v>17</v>
      </c>
      <c r="AY417" s="38">
        <v>12.5</v>
      </c>
      <c r="AZ417" s="36"/>
      <c r="BA417" s="36"/>
      <c r="BB417" s="36"/>
      <c r="BC417" s="38">
        <v>9.33</v>
      </c>
      <c r="BD417" s="38">
        <v>6</v>
      </c>
      <c r="BE417" s="36"/>
      <c r="BF417" s="38">
        <v>5</v>
      </c>
      <c r="BG417" s="59">
        <v>22.88</v>
      </c>
      <c r="BH417" s="59">
        <v>3.5</v>
      </c>
      <c r="BI417" s="59">
        <v>0.39572252081650833</v>
      </c>
      <c r="BJ417" s="59">
        <v>13</v>
      </c>
      <c r="BK417" s="38">
        <v>5.5095999999999989</v>
      </c>
      <c r="BL417" s="59">
        <v>2.2000000000000002</v>
      </c>
      <c r="BM417" s="38"/>
      <c r="BN417" s="38">
        <v>62</v>
      </c>
      <c r="BO417" s="36"/>
      <c r="BP417" s="39">
        <f t="shared" si="263"/>
        <v>0.46399193548387102</v>
      </c>
      <c r="BQ417" s="37"/>
      <c r="BR417" s="39">
        <f t="shared" si="264"/>
        <v>0.70404304445210364</v>
      </c>
      <c r="BS417" s="39">
        <f t="shared" si="245"/>
        <v>1.2786599396700973</v>
      </c>
      <c r="BT417" s="37"/>
      <c r="BU417" s="39">
        <f t="shared" si="290"/>
        <v>5.074277509666131</v>
      </c>
      <c r="BV417" s="39">
        <f t="shared" si="273"/>
        <v>0.45190428587906389</v>
      </c>
      <c r="BW417" s="39">
        <f t="shared" si="259"/>
        <v>3.0687973862995501</v>
      </c>
      <c r="BX417" s="39">
        <f t="shared" si="274"/>
        <v>0.26926537373252402</v>
      </c>
      <c r="BY417" s="39">
        <f t="shared" si="257"/>
        <v>5.6261037345484288</v>
      </c>
      <c r="BZ417" s="39">
        <f t="shared" si="281"/>
        <v>11.39839029196976</v>
      </c>
      <c r="CA417" s="39">
        <f t="shared" si="260"/>
        <v>5.635948693185334</v>
      </c>
      <c r="CB417" s="39">
        <f t="shared" si="261"/>
        <v>2.2504514166196703</v>
      </c>
      <c r="CC417" s="37"/>
      <c r="CD417" s="37"/>
      <c r="CE417" s="37"/>
      <c r="CF417" s="37"/>
      <c r="CG417" s="37"/>
      <c r="CH417" s="39">
        <f>BP417*12*AW417/(12*0.453592)</f>
        <v>5.1146397586803891</v>
      </c>
      <c r="CI417" s="39">
        <f t="shared" si="283"/>
        <v>4.0917118069443115</v>
      </c>
      <c r="CJ417" s="39">
        <f t="shared" si="277"/>
        <v>0</v>
      </c>
      <c r="CK417" s="39">
        <f t="shared" si="287"/>
        <v>6.4190949698730668E-2</v>
      </c>
      <c r="CL417" s="39">
        <f t="shared" si="258"/>
        <v>1.2713379032258068</v>
      </c>
      <c r="CM417" s="39">
        <f t="shared" si="288"/>
        <v>0.22682314381176916</v>
      </c>
      <c r="CN417" s="37"/>
      <c r="CO417" s="39">
        <f>0.063495+(0.016949+0.014096)*Wages!P415+1.22592*BR417</f>
        <v>1.4451621159902066</v>
      </c>
      <c r="CP417" s="39"/>
      <c r="CQ417" s="39">
        <f t="shared" si="247"/>
        <v>1.2786599396700973</v>
      </c>
      <c r="CR417" s="39">
        <f t="shared" si="284"/>
        <v>0.45190428587906389</v>
      </c>
      <c r="CS417" s="39">
        <f t="shared" si="284"/>
        <v>3.0687973862995501</v>
      </c>
      <c r="CT417" s="39">
        <f t="shared" si="262"/>
        <v>5.635948693185334</v>
      </c>
      <c r="CU417" s="39">
        <f t="shared" si="262"/>
        <v>2.2504514166196703</v>
      </c>
      <c r="CV417" s="39">
        <v>0.25</v>
      </c>
      <c r="CW417" s="39">
        <v>0.2</v>
      </c>
      <c r="CX417" s="39">
        <f t="shared" si="285"/>
        <v>4.0917118069443115</v>
      </c>
      <c r="CY417" s="39">
        <f t="shared" si="286"/>
        <v>11.39839029196976</v>
      </c>
      <c r="CZ417" s="39">
        <f t="shared" si="265"/>
        <v>0.26926537373252402</v>
      </c>
      <c r="DA417" s="39">
        <f>CH417</f>
        <v>5.1146397586803891</v>
      </c>
      <c r="DB417" s="39">
        <f t="shared" si="291"/>
        <v>5.074277509666131</v>
      </c>
      <c r="DC417" s="39">
        <f t="shared" si="266"/>
        <v>5.6261037345484288</v>
      </c>
      <c r="DD417" s="39">
        <v>4.2</v>
      </c>
      <c r="DE417" s="39">
        <f t="shared" si="289"/>
        <v>6.4190949698730668E-2</v>
      </c>
      <c r="DF417" s="39">
        <v>0.16</v>
      </c>
      <c r="DG417" s="39">
        <f t="shared" si="267"/>
        <v>1.2713379032258068</v>
      </c>
      <c r="DH417" s="39">
        <f t="shared" si="268"/>
        <v>7.2663515620025656</v>
      </c>
      <c r="DI417" s="39">
        <f t="shared" si="278"/>
        <v>6.6036567749391226</v>
      </c>
      <c r="DJ417" s="37"/>
      <c r="DK417" s="37"/>
      <c r="DL417" s="37"/>
      <c r="DM417" s="39">
        <f t="shared" si="275"/>
        <v>1.3004825538390481</v>
      </c>
      <c r="DN417" s="39"/>
      <c r="DO417" s="39">
        <f t="shared" si="276"/>
        <v>1.3004825538390481</v>
      </c>
      <c r="DP417" s="37"/>
      <c r="DQ417" s="37">
        <f>DO417/'Conversions, Sources &amp; Comments'!E415</f>
        <v>2.802812838724984</v>
      </c>
    </row>
    <row r="418" spans="1:121">
      <c r="A418" s="42">
        <f t="shared" si="269"/>
        <v>1666</v>
      </c>
      <c r="B418" s="36"/>
      <c r="C418" s="38">
        <v>28</v>
      </c>
      <c r="D418" s="38">
        <v>1.25</v>
      </c>
      <c r="E418" s="36"/>
      <c r="F418" s="36"/>
      <c r="G418" s="38">
        <v>13</v>
      </c>
      <c r="H418" s="38">
        <v>11.5</v>
      </c>
      <c r="I418" s="36"/>
      <c r="J418" s="36"/>
      <c r="K418" s="38">
        <v>3</v>
      </c>
      <c r="L418" s="38">
        <v>6</v>
      </c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8">
        <v>5</v>
      </c>
      <c r="AA418" s="38">
        <v>6</v>
      </c>
      <c r="AB418" s="36"/>
      <c r="AC418" s="38">
        <v>3</v>
      </c>
      <c r="AD418" s="38">
        <v>0</v>
      </c>
      <c r="AE418" s="38">
        <v>3</v>
      </c>
      <c r="AF418" s="38">
        <v>0.5</v>
      </c>
      <c r="AG418" s="38">
        <v>34</v>
      </c>
      <c r="AH418" s="38">
        <v>0</v>
      </c>
      <c r="AI418" s="38">
        <v>15</v>
      </c>
      <c r="AJ418" s="38">
        <v>2.25</v>
      </c>
      <c r="AK418" s="36"/>
      <c r="AL418" s="36"/>
      <c r="AM418" s="36"/>
      <c r="AN418" s="36"/>
      <c r="AO418" s="36"/>
      <c r="AP418" s="36"/>
      <c r="AQ418" s="36"/>
      <c r="AR418" s="36"/>
      <c r="AS418" s="38">
        <v>47.19</v>
      </c>
      <c r="AT418" s="38">
        <v>4</v>
      </c>
      <c r="AU418" s="36"/>
      <c r="AV418" s="36"/>
      <c r="AW418" s="36"/>
      <c r="AX418" s="38">
        <v>18</v>
      </c>
      <c r="AY418" s="38">
        <v>14</v>
      </c>
      <c r="AZ418" s="38">
        <v>120</v>
      </c>
      <c r="BA418" s="36"/>
      <c r="BB418" s="36"/>
      <c r="BC418" s="38">
        <v>8.64</v>
      </c>
      <c r="BD418" s="38">
        <v>6</v>
      </c>
      <c r="BE418" s="36"/>
      <c r="BF418" s="38">
        <v>4.2</v>
      </c>
      <c r="BG418" s="59">
        <v>22.88</v>
      </c>
      <c r="BH418" s="59">
        <v>3.5</v>
      </c>
      <c r="BI418" s="59">
        <v>0.39572252081650833</v>
      </c>
      <c r="BJ418" s="59">
        <v>13</v>
      </c>
      <c r="BK418" s="38">
        <v>4.7144000000000004</v>
      </c>
      <c r="BL418" s="59">
        <v>2.2000000000000002</v>
      </c>
      <c r="BM418" s="38"/>
      <c r="BN418" s="38">
        <v>62</v>
      </c>
      <c r="BO418" s="36"/>
      <c r="BP418" s="39">
        <f t="shared" si="263"/>
        <v>0.46399193548387102</v>
      </c>
      <c r="BQ418" s="37"/>
      <c r="BR418" s="39">
        <f t="shared" si="264"/>
        <v>0.55508712271530558</v>
      </c>
      <c r="BS418" s="39">
        <f t="shared" si="245"/>
        <v>1.0740743493228819</v>
      </c>
      <c r="BT418" s="39">
        <f>BP418*12*AZ418/(24*0.9144)</f>
        <v>30.445665057996788</v>
      </c>
      <c r="BU418" s="39">
        <f t="shared" si="290"/>
        <v>5.6831908108260665</v>
      </c>
      <c r="BV418" s="39">
        <f t="shared" si="273"/>
        <v>0.45190428587906389</v>
      </c>
      <c r="BW418" s="39">
        <f t="shared" si="259"/>
        <v>3.0687973862995501</v>
      </c>
      <c r="BX418" s="39">
        <f t="shared" si="274"/>
        <v>0.26926537373252402</v>
      </c>
      <c r="BY418" s="39">
        <f t="shared" si="257"/>
        <v>5.6261037345484288</v>
      </c>
      <c r="BZ418" s="39">
        <f t="shared" si="281"/>
        <v>11.39839029196976</v>
      </c>
      <c r="CA418" s="39">
        <f t="shared" si="260"/>
        <v>4.8225127993235342</v>
      </c>
      <c r="CB418" s="39">
        <f t="shared" si="261"/>
        <v>2.2504514166196703</v>
      </c>
      <c r="CC418" s="37"/>
      <c r="CD418" s="37"/>
      <c r="CE418" s="37"/>
      <c r="CF418" s="37"/>
      <c r="CG418" s="37"/>
      <c r="CH418" s="37"/>
      <c r="CI418" s="39">
        <f t="shared" si="283"/>
        <v>4.0917118069443115</v>
      </c>
      <c r="CJ418" s="39">
        <f t="shared" si="277"/>
        <v>0.19516969019848585</v>
      </c>
      <c r="CK418" s="39">
        <f t="shared" si="287"/>
        <v>5.9253184337289849E-2</v>
      </c>
      <c r="CL418" s="39">
        <f t="shared" si="258"/>
        <v>1.893087096774194</v>
      </c>
      <c r="CM418" s="39">
        <f t="shared" si="288"/>
        <v>0.20937520967240231</v>
      </c>
      <c r="CN418" s="37"/>
      <c r="CO418" s="39">
        <f>0.063495+(0.016949+0.014096)*Wages!P416+1.22592*BR418</f>
        <v>1.2625540724146314</v>
      </c>
      <c r="CP418" s="39"/>
      <c r="CQ418" s="39">
        <f t="shared" si="247"/>
        <v>1.0740743493228819</v>
      </c>
      <c r="CR418" s="39">
        <f t="shared" si="284"/>
        <v>0.45190428587906389</v>
      </c>
      <c r="CS418" s="39">
        <f t="shared" si="284"/>
        <v>3.0687973862995501</v>
      </c>
      <c r="CT418" s="39">
        <f t="shared" si="262"/>
        <v>4.8225127993235342</v>
      </c>
      <c r="CU418" s="39">
        <f t="shared" si="262"/>
        <v>2.2504514166196703</v>
      </c>
      <c r="CV418" s="39">
        <v>0.25</v>
      </c>
      <c r="CW418" s="39">
        <v>0.2</v>
      </c>
      <c r="CX418" s="39">
        <f t="shared" si="285"/>
        <v>4.0917118069443115</v>
      </c>
      <c r="CY418" s="39">
        <f t="shared" si="286"/>
        <v>11.39839029196976</v>
      </c>
      <c r="CZ418" s="39">
        <f t="shared" si="265"/>
        <v>0.26926537373252402</v>
      </c>
      <c r="DA418" s="39">
        <v>4.5999999999999996</v>
      </c>
      <c r="DB418" s="39">
        <f t="shared" si="291"/>
        <v>5.6831908108260665</v>
      </c>
      <c r="DC418" s="39">
        <f t="shared" si="266"/>
        <v>5.6261037345484288</v>
      </c>
      <c r="DD418" s="39">
        <v>4.2</v>
      </c>
      <c r="DE418" s="39">
        <f t="shared" si="289"/>
        <v>5.9253184337289849E-2</v>
      </c>
      <c r="DF418" s="39">
        <v>0.19516969019848593</v>
      </c>
      <c r="DG418" s="39">
        <f t="shared" si="267"/>
        <v>1.893087096774194</v>
      </c>
      <c r="DH418" s="39">
        <f t="shared" si="268"/>
        <v>6.707401441848523</v>
      </c>
      <c r="DI418" s="39">
        <f t="shared" si="278"/>
        <v>8.0552102933875087</v>
      </c>
      <c r="DJ418" s="37"/>
      <c r="DK418" s="37"/>
      <c r="DL418" s="37"/>
      <c r="DM418" s="39">
        <f t="shared" si="275"/>
        <v>1.1979209127473454</v>
      </c>
      <c r="DN418" s="39"/>
      <c r="DO418" s="39">
        <f t="shared" si="276"/>
        <v>1.1979209127473454</v>
      </c>
      <c r="DP418" s="37"/>
      <c r="DQ418" s="37">
        <f>DO418/'Conversions, Sources &amp; Comments'!E416</f>
        <v>2.5817709773298132</v>
      </c>
    </row>
    <row r="419" spans="1:121">
      <c r="A419" s="42">
        <f t="shared" si="269"/>
        <v>1667</v>
      </c>
      <c r="B419" s="36"/>
      <c r="C419" s="38">
        <v>31</v>
      </c>
      <c r="D419" s="38">
        <v>2.5</v>
      </c>
      <c r="E419" s="36"/>
      <c r="F419" s="36"/>
      <c r="G419" s="38">
        <v>16</v>
      </c>
      <c r="H419" s="38">
        <v>3.5</v>
      </c>
      <c r="I419" s="36"/>
      <c r="J419" s="36"/>
      <c r="K419" s="38">
        <v>3</v>
      </c>
      <c r="L419" s="38">
        <v>6</v>
      </c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8">
        <v>5</v>
      </c>
      <c r="AA419" s="38">
        <v>0.5</v>
      </c>
      <c r="AB419" s="36"/>
      <c r="AC419" s="38">
        <v>3</v>
      </c>
      <c r="AD419" s="38">
        <v>1.5</v>
      </c>
      <c r="AE419" s="38">
        <v>3</v>
      </c>
      <c r="AF419" s="38">
        <v>0.5</v>
      </c>
      <c r="AG419" s="38">
        <v>30</v>
      </c>
      <c r="AH419" s="38">
        <v>6</v>
      </c>
      <c r="AI419" s="38">
        <v>20</v>
      </c>
      <c r="AJ419" s="38">
        <v>0</v>
      </c>
      <c r="AK419" s="36"/>
      <c r="AL419" s="36"/>
      <c r="AM419" s="36"/>
      <c r="AN419" s="36"/>
      <c r="AO419" s="36"/>
      <c r="AP419" s="36"/>
      <c r="AQ419" s="36"/>
      <c r="AR419" s="36"/>
      <c r="AS419" s="38">
        <v>32.54</v>
      </c>
      <c r="AT419" s="36"/>
      <c r="AU419" s="38">
        <v>2</v>
      </c>
      <c r="AV419" s="36"/>
      <c r="AW419" s="36"/>
      <c r="AX419" s="38">
        <v>20</v>
      </c>
      <c r="AY419" s="38">
        <v>12</v>
      </c>
      <c r="AZ419" s="38">
        <v>120</v>
      </c>
      <c r="BA419" s="36"/>
      <c r="BB419" s="36"/>
      <c r="BC419" s="38">
        <v>9</v>
      </c>
      <c r="BD419" s="38">
        <v>6</v>
      </c>
      <c r="BE419" s="36"/>
      <c r="BF419" s="38">
        <v>4.5999999999999996</v>
      </c>
      <c r="BG419" s="59">
        <v>22.88</v>
      </c>
      <c r="BH419" s="59">
        <v>3.5</v>
      </c>
      <c r="BI419" s="59">
        <v>0.37098986326547612</v>
      </c>
      <c r="BJ419" s="59">
        <v>13</v>
      </c>
      <c r="BK419" s="38">
        <v>5.68</v>
      </c>
      <c r="BL419" s="59">
        <v>2.2000000000000002</v>
      </c>
      <c r="BM419" s="38"/>
      <c r="BN419" s="38">
        <v>62</v>
      </c>
      <c r="BO419" s="36"/>
      <c r="BP419" s="39">
        <f t="shared" si="263"/>
        <v>0.46399193548387102</v>
      </c>
      <c r="BQ419" s="37"/>
      <c r="BR419" s="39">
        <f t="shared" si="264"/>
        <v>0.61639770928652915</v>
      </c>
      <c r="BS419" s="39">
        <f t="shared" si="245"/>
        <v>1.1763671444964894</v>
      </c>
      <c r="BT419" s="39">
        <f>BP419*12*AZ419/(24*0.9144)</f>
        <v>30.445665057996788</v>
      </c>
      <c r="BU419" s="39">
        <f t="shared" si="290"/>
        <v>4.8713064092794855</v>
      </c>
      <c r="BV419" s="39">
        <f t="shared" si="273"/>
        <v>0.45190428587906389</v>
      </c>
      <c r="BW419" s="39">
        <f t="shared" si="259"/>
        <v>3.0687973862995501</v>
      </c>
      <c r="BX419" s="39">
        <f t="shared" si="274"/>
        <v>0.25243628787424099</v>
      </c>
      <c r="BY419" s="39">
        <f t="shared" si="257"/>
        <v>5.1572617566693921</v>
      </c>
      <c r="BZ419" s="39">
        <f t="shared" si="281"/>
        <v>11.39839029196976</v>
      </c>
      <c r="CA419" s="39">
        <f t="shared" si="260"/>
        <v>5.8102563847271487</v>
      </c>
      <c r="CB419" s="39">
        <f t="shared" si="261"/>
        <v>2.2504514166196703</v>
      </c>
      <c r="CC419" s="37"/>
      <c r="CD419" s="37"/>
      <c r="CE419" s="37"/>
      <c r="CF419" s="39">
        <f>$BP419*12*$AU419</f>
        <v>11.135806451612904</v>
      </c>
      <c r="CG419" s="37"/>
      <c r="CH419" s="37"/>
      <c r="CI419" s="37"/>
      <c r="CJ419" s="39">
        <f t="shared" si="277"/>
        <v>0.13457982028096482</v>
      </c>
      <c r="CK419" s="39">
        <f t="shared" si="287"/>
        <v>6.1722067018010258E-2</v>
      </c>
      <c r="CL419" s="39">
        <f t="shared" si="258"/>
        <v>1.698210483870968</v>
      </c>
      <c r="CM419" s="39">
        <f t="shared" si="288"/>
        <v>0.21809917674208573</v>
      </c>
      <c r="CN419" s="37"/>
      <c r="CO419" s="39">
        <f>0.063495+(0.016949+0.014096)*Wages!P417+1.22592*BR419</f>
        <v>1.3377159467040256</v>
      </c>
      <c r="CP419" s="39"/>
      <c r="CQ419" s="39">
        <f t="shared" si="247"/>
        <v>1.1763671444964894</v>
      </c>
      <c r="CR419" s="39">
        <f t="shared" si="284"/>
        <v>0.45190428587906389</v>
      </c>
      <c r="CS419" s="39">
        <f t="shared" si="284"/>
        <v>3.0687973862995501</v>
      </c>
      <c r="CT419" s="39">
        <f t="shared" si="262"/>
        <v>5.8102563847271487</v>
      </c>
      <c r="CU419" s="39">
        <f t="shared" si="262"/>
        <v>2.2504514166196703</v>
      </c>
      <c r="CV419" s="39">
        <v>0.25</v>
      </c>
      <c r="CW419" s="39">
        <v>0.2</v>
      </c>
      <c r="CX419" s="39">
        <v>4.0917118069443115</v>
      </c>
      <c r="CY419" s="39">
        <f t="shared" si="286"/>
        <v>11.39839029196976</v>
      </c>
      <c r="CZ419" s="39">
        <f t="shared" si="265"/>
        <v>0.25243628787424099</v>
      </c>
      <c r="DA419" s="39">
        <v>4.5999999999999996</v>
      </c>
      <c r="DB419" s="39">
        <f t="shared" si="291"/>
        <v>4.8713064092794855</v>
      </c>
      <c r="DC419" s="39">
        <f t="shared" si="266"/>
        <v>5.1572617566693921</v>
      </c>
      <c r="DD419" s="39">
        <v>4.2</v>
      </c>
      <c r="DE419" s="39">
        <f t="shared" si="289"/>
        <v>6.1722067018010258E-2</v>
      </c>
      <c r="DF419" s="39">
        <v>0.13457982028096485</v>
      </c>
      <c r="DG419" s="39">
        <f t="shared" si="267"/>
        <v>1.698210483870968</v>
      </c>
      <c r="DH419" s="39">
        <f t="shared" si="268"/>
        <v>6.9868765019255443</v>
      </c>
      <c r="DI419" s="39">
        <f t="shared" si="278"/>
        <v>5.5544933873030189</v>
      </c>
      <c r="DJ419" s="37"/>
      <c r="DK419" s="37"/>
      <c r="DL419" s="37"/>
      <c r="DM419" s="39">
        <f t="shared" si="275"/>
        <v>1.2384359249410555</v>
      </c>
      <c r="DN419" s="39"/>
      <c r="DO419" s="39">
        <f t="shared" si="276"/>
        <v>1.2384359249410555</v>
      </c>
      <c r="DP419" s="37"/>
      <c r="DQ419" s="37">
        <f>DO419/'Conversions, Sources &amp; Comments'!E417</f>
        <v>2.6690893315840944</v>
      </c>
    </row>
    <row r="420" spans="1:121">
      <c r="A420" s="42">
        <f t="shared" si="269"/>
        <v>1668</v>
      </c>
      <c r="B420" s="36"/>
      <c r="C420" s="38">
        <v>37</v>
      </c>
      <c r="D420" s="38">
        <v>10</v>
      </c>
      <c r="E420" s="36"/>
      <c r="F420" s="36"/>
      <c r="G420" s="38">
        <v>12</v>
      </c>
      <c r="H420" s="38">
        <v>6.5</v>
      </c>
      <c r="I420" s="36"/>
      <c r="J420" s="36"/>
      <c r="K420" s="38">
        <v>3</v>
      </c>
      <c r="L420" s="38">
        <v>6</v>
      </c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8">
        <v>4</v>
      </c>
      <c r="AA420" s="38">
        <v>10.5</v>
      </c>
      <c r="AB420" s="36"/>
      <c r="AC420" s="38">
        <v>3</v>
      </c>
      <c r="AD420" s="38">
        <v>0</v>
      </c>
      <c r="AE420" s="38">
        <v>3</v>
      </c>
      <c r="AF420" s="38">
        <v>0.5</v>
      </c>
      <c r="AG420" s="38">
        <v>39</v>
      </c>
      <c r="AH420" s="38">
        <v>0</v>
      </c>
      <c r="AI420" s="38">
        <v>14</v>
      </c>
      <c r="AJ420" s="38">
        <v>0</v>
      </c>
      <c r="AK420" s="36"/>
      <c r="AL420" s="36"/>
      <c r="AM420" s="36"/>
      <c r="AN420" s="36"/>
      <c r="AO420" s="36"/>
      <c r="AP420" s="36"/>
      <c r="AQ420" s="36"/>
      <c r="AR420" s="36"/>
      <c r="AS420" s="38">
        <v>23.32</v>
      </c>
      <c r="AT420" s="36"/>
      <c r="AU420" s="36"/>
      <c r="AV420" s="36"/>
      <c r="AW420" s="38">
        <v>4</v>
      </c>
      <c r="AX420" s="38">
        <v>24.6</v>
      </c>
      <c r="AY420" s="38">
        <v>12</v>
      </c>
      <c r="AZ420" s="38">
        <v>120</v>
      </c>
      <c r="BA420" s="36"/>
      <c r="BB420" s="36"/>
      <c r="BC420" s="38">
        <v>9</v>
      </c>
      <c r="BD420" s="38">
        <v>6</v>
      </c>
      <c r="BE420" s="36"/>
      <c r="BF420" s="38">
        <v>5.9</v>
      </c>
      <c r="BG420" s="59">
        <v>22.88</v>
      </c>
      <c r="BH420" s="59">
        <v>3.5</v>
      </c>
      <c r="BI420" s="59">
        <v>0.38865604723050007</v>
      </c>
      <c r="BJ420" s="59">
        <v>10</v>
      </c>
      <c r="BK420" s="38">
        <v>5.5095999999999989</v>
      </c>
      <c r="BL420" s="59">
        <v>2.2000000000000002</v>
      </c>
      <c r="BM420" s="38"/>
      <c r="BN420" s="38">
        <v>62</v>
      </c>
      <c r="BO420" s="36"/>
      <c r="BP420" s="39">
        <f t="shared" si="263"/>
        <v>0.46399193548387102</v>
      </c>
      <c r="BQ420" s="37"/>
      <c r="BR420" s="39">
        <f t="shared" si="264"/>
        <v>0.74724849136471083</v>
      </c>
      <c r="BS420" s="39">
        <f t="shared" si="245"/>
        <v>1.5088187288107149</v>
      </c>
      <c r="BT420" s="39">
        <f>BP420*12*AZ420/(24*0.9144)</f>
        <v>30.445665057996788</v>
      </c>
      <c r="BU420" s="39">
        <f t="shared" si="290"/>
        <v>4.8713064092794855</v>
      </c>
      <c r="BV420" s="39">
        <f t="shared" si="273"/>
        <v>0.45190428587906389</v>
      </c>
      <c r="BW420" s="39">
        <f t="shared" si="259"/>
        <v>3.0687973862995501</v>
      </c>
      <c r="BX420" s="39">
        <f t="shared" si="274"/>
        <v>0.26445706348730091</v>
      </c>
      <c r="BY420" s="39">
        <f t="shared" si="257"/>
        <v>4.9867737647133801</v>
      </c>
      <c r="BZ420" s="39">
        <f t="shared" si="281"/>
        <v>8.7679925322844312</v>
      </c>
      <c r="CA420" s="39">
        <f t="shared" si="260"/>
        <v>5.635948693185334</v>
      </c>
      <c r="CB420" s="39">
        <f t="shared" si="261"/>
        <v>2.2504514166196703</v>
      </c>
      <c r="CC420" s="37"/>
      <c r="CD420" s="37"/>
      <c r="CE420" s="37"/>
      <c r="CF420" s="37"/>
      <c r="CG420" s="37"/>
      <c r="CH420" s="39">
        <f>BP420*12*AW420/(12*0.453592)</f>
        <v>4.0917118069443115</v>
      </c>
      <c r="CI420" s="37"/>
      <c r="CJ420" s="39">
        <f t="shared" si="277"/>
        <v>9.6447492592258766E-2</v>
      </c>
      <c r="CK420" s="39">
        <f t="shared" si="287"/>
        <v>5.9253184337289849E-2</v>
      </c>
      <c r="CL420" s="39">
        <f t="shared" si="258"/>
        <v>2.1714822580645166</v>
      </c>
      <c r="CM420" s="39">
        <f t="shared" si="288"/>
        <v>0.20937520967240231</v>
      </c>
      <c r="CN420" s="37"/>
      <c r="CO420" s="39">
        <f>0.063495+(0.016949+0.014096)*Wages!P418+1.22592*BR420</f>
        <v>1.4981285374693101</v>
      </c>
      <c r="CP420" s="39"/>
      <c r="CQ420" s="39">
        <f t="shared" si="247"/>
        <v>1.5088187288107149</v>
      </c>
      <c r="CR420" s="39">
        <f t="shared" si="284"/>
        <v>0.45190428587906389</v>
      </c>
      <c r="CS420" s="39">
        <f t="shared" si="284"/>
        <v>3.0687973862995501</v>
      </c>
      <c r="CT420" s="39">
        <f t="shared" si="262"/>
        <v>5.635948693185334</v>
      </c>
      <c r="CU420" s="39">
        <f t="shared" si="262"/>
        <v>2.2504514166196703</v>
      </c>
      <c r="CV420" s="39">
        <v>0.25</v>
      </c>
      <c r="CW420" s="39">
        <v>0.2</v>
      </c>
      <c r="CX420" s="39">
        <v>4.0917118069443115</v>
      </c>
      <c r="CY420" s="39">
        <f t="shared" si="286"/>
        <v>8.7679925322844312</v>
      </c>
      <c r="CZ420" s="39">
        <f t="shared" si="265"/>
        <v>0.26445706348730091</v>
      </c>
      <c r="DA420" s="39">
        <f>CH420</f>
        <v>4.0917118069443115</v>
      </c>
      <c r="DB420" s="39">
        <f t="shared" si="291"/>
        <v>4.8713064092794855</v>
      </c>
      <c r="DC420" s="39">
        <f t="shared" si="266"/>
        <v>4.9867737647133801</v>
      </c>
      <c r="DD420" s="39">
        <v>4.2</v>
      </c>
      <c r="DE420" s="39">
        <f t="shared" si="289"/>
        <v>5.9253184337289849E-2</v>
      </c>
      <c r="DF420" s="39">
        <v>9.6447492592258779E-2</v>
      </c>
      <c r="DG420" s="39">
        <f t="shared" si="267"/>
        <v>2.1714822580645166</v>
      </c>
      <c r="DH420" s="39">
        <f t="shared" si="268"/>
        <v>6.707401441848523</v>
      </c>
      <c r="DI420" s="39">
        <f t="shared" si="278"/>
        <v>3.9806633617672533</v>
      </c>
      <c r="DJ420" s="37"/>
      <c r="DK420" s="37"/>
      <c r="DL420" s="37"/>
      <c r="DM420" s="39">
        <f t="shared" si="275"/>
        <v>1.3797363824487145</v>
      </c>
      <c r="DN420" s="39"/>
      <c r="DO420" s="39">
        <f t="shared" si="276"/>
        <v>1.3797363824487145</v>
      </c>
      <c r="DP420" s="37"/>
      <c r="DQ420" s="37">
        <f>DO420/'Conversions, Sources &amp; Comments'!E418</f>
        <v>2.9736214725582792</v>
      </c>
    </row>
    <row r="421" spans="1:121">
      <c r="A421" s="42">
        <f t="shared" si="269"/>
        <v>1669</v>
      </c>
      <c r="B421" s="36"/>
      <c r="C421" s="38">
        <v>33</v>
      </c>
      <c r="D421" s="38">
        <v>1.5</v>
      </c>
      <c r="E421" s="36"/>
      <c r="F421" s="36"/>
      <c r="G421" s="38">
        <v>13</v>
      </c>
      <c r="H421" s="38">
        <v>9</v>
      </c>
      <c r="I421" s="36"/>
      <c r="J421" s="36"/>
      <c r="K421" s="38">
        <v>3</v>
      </c>
      <c r="L421" s="38">
        <v>6</v>
      </c>
      <c r="M421" s="36"/>
      <c r="N421" s="36"/>
      <c r="O421" s="36"/>
      <c r="P421" s="36"/>
      <c r="Q421" s="36"/>
      <c r="R421" s="36"/>
      <c r="S421" s="36"/>
      <c r="T421" s="36"/>
      <c r="U421" s="36"/>
      <c r="V421" s="38">
        <v>6</v>
      </c>
      <c r="W421" s="36"/>
      <c r="X421" s="36"/>
      <c r="Y421" s="36"/>
      <c r="Z421" s="38">
        <v>5</v>
      </c>
      <c r="AA421" s="38">
        <v>0</v>
      </c>
      <c r="AB421" s="36"/>
      <c r="AC421" s="38">
        <v>3</v>
      </c>
      <c r="AD421" s="38">
        <v>0</v>
      </c>
      <c r="AE421" s="38">
        <v>3</v>
      </c>
      <c r="AF421" s="38">
        <v>0.5</v>
      </c>
      <c r="AG421" s="38">
        <v>20</v>
      </c>
      <c r="AH421" s="38">
        <v>0</v>
      </c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8">
        <v>4</v>
      </c>
      <c r="AU421" s="38">
        <v>1.83</v>
      </c>
      <c r="AV421" s="36"/>
      <c r="AW421" s="36"/>
      <c r="AX421" s="36"/>
      <c r="AY421" s="38">
        <v>12</v>
      </c>
      <c r="AZ421" s="36"/>
      <c r="BA421" s="36"/>
      <c r="BB421" s="36"/>
      <c r="BC421" s="36"/>
      <c r="BD421" s="38">
        <v>6</v>
      </c>
      <c r="BE421" s="36"/>
      <c r="BF421" s="38">
        <v>5.4</v>
      </c>
      <c r="BG421" s="59">
        <v>22.88</v>
      </c>
      <c r="BH421" s="59">
        <v>3.5</v>
      </c>
      <c r="BI421" s="59">
        <v>0.38865604723050007</v>
      </c>
      <c r="BJ421" s="59">
        <v>10</v>
      </c>
      <c r="BK421" s="38">
        <v>5.1688000000000001</v>
      </c>
      <c r="BL421" s="59">
        <v>2.2000000000000002</v>
      </c>
      <c r="BM421" s="38"/>
      <c r="BN421" s="38">
        <v>62</v>
      </c>
      <c r="BO421" s="36"/>
      <c r="BP421" s="39">
        <f t="shared" si="263"/>
        <v>0.46399193548387102</v>
      </c>
      <c r="BQ421" s="37"/>
      <c r="BR421" s="39">
        <f t="shared" si="264"/>
        <v>0.65425391039090874</v>
      </c>
      <c r="BS421" s="39">
        <f t="shared" si="245"/>
        <v>1.3809527348437054</v>
      </c>
      <c r="BT421" s="37"/>
      <c r="BU421" s="39">
        <f t="shared" si="290"/>
        <v>4.8713064092794855</v>
      </c>
      <c r="BV421" s="39">
        <f t="shared" si="273"/>
        <v>0.45190428587906389</v>
      </c>
      <c r="BW421" s="39">
        <f t="shared" si="259"/>
        <v>3.0687973862995501</v>
      </c>
      <c r="BX421" s="39">
        <f t="shared" si="274"/>
        <v>0.26445706348730091</v>
      </c>
      <c r="BY421" s="39">
        <f t="shared" si="257"/>
        <v>5.1146397586803891</v>
      </c>
      <c r="BZ421" s="39">
        <f t="shared" si="281"/>
        <v>8.7679925322844312</v>
      </c>
      <c r="CA421" s="39">
        <f t="shared" si="260"/>
        <v>5.2873333101017055</v>
      </c>
      <c r="CB421" s="39">
        <f t="shared" si="261"/>
        <v>2.2504514166196703</v>
      </c>
      <c r="CC421" s="39">
        <f t="shared" ref="CC421:CC434" si="292">BP421*12*V421/120</f>
        <v>0.27839516129032255</v>
      </c>
      <c r="CD421" s="37"/>
      <c r="CE421" s="37"/>
      <c r="CF421" s="39">
        <f>$BP421*12*$AU421</f>
        <v>10.189262903225808</v>
      </c>
      <c r="CG421" s="37"/>
      <c r="CH421" s="37"/>
      <c r="CI421" s="39">
        <f t="shared" ref="CI421:CI452" si="293">BP421*12*AT421/(12*0.453592)</f>
        <v>4.0917118069443115</v>
      </c>
      <c r="CJ421" s="39">
        <f t="shared" si="277"/>
        <v>0</v>
      </c>
      <c r="CK421" s="39">
        <f t="shared" si="287"/>
        <v>5.9253184337289849E-2</v>
      </c>
      <c r="CL421" s="39">
        <f t="shared" si="258"/>
        <v>1.1135806451612904</v>
      </c>
      <c r="CM421" s="39">
        <f t="shared" si="288"/>
        <v>0.20937520967240231</v>
      </c>
      <c r="CN421" s="37"/>
      <c r="CO421" s="39">
        <f>0.063495+(0.016949+0.014096)*Wages!P419+1.22592*BR421</f>
        <v>1.3841246207619067</v>
      </c>
      <c r="CP421" s="39"/>
      <c r="CQ421" s="39">
        <f t="shared" si="247"/>
        <v>1.3809527348437054</v>
      </c>
      <c r="CR421" s="39">
        <f t="shared" si="284"/>
        <v>0.45190428587906389</v>
      </c>
      <c r="CS421" s="39">
        <f t="shared" si="284"/>
        <v>3.0687973862995501</v>
      </c>
      <c r="CT421" s="39">
        <f t="shared" si="262"/>
        <v>5.2873333101017055</v>
      </c>
      <c r="CU421" s="39">
        <f t="shared" si="262"/>
        <v>2.2504514166196703</v>
      </c>
      <c r="CV421" s="39">
        <f t="shared" si="262"/>
        <v>0.27839516129032255</v>
      </c>
      <c r="CW421" s="39">
        <v>0.2</v>
      </c>
      <c r="CX421" s="39">
        <f t="shared" ref="CX421:CX484" si="294">CI421</f>
        <v>4.0917118069443115</v>
      </c>
      <c r="CY421" s="39">
        <f t="shared" si="286"/>
        <v>8.7679925322844312</v>
      </c>
      <c r="CZ421" s="39">
        <f t="shared" si="265"/>
        <v>0.26445706348730091</v>
      </c>
      <c r="DA421" s="39">
        <v>4.0917118069443115</v>
      </c>
      <c r="DB421" s="39">
        <f t="shared" si="291"/>
        <v>4.8713064092794855</v>
      </c>
      <c r="DC421" s="39">
        <f t="shared" si="266"/>
        <v>5.1146397586803891</v>
      </c>
      <c r="DD421" s="39">
        <v>4.2</v>
      </c>
      <c r="DE421" s="39">
        <f t="shared" si="289"/>
        <v>5.9253184337289849E-2</v>
      </c>
      <c r="DF421" s="39">
        <v>0.13</v>
      </c>
      <c r="DG421" s="39">
        <f t="shared" si="267"/>
        <v>1.1135806451612904</v>
      </c>
      <c r="DH421" s="39">
        <f t="shared" si="268"/>
        <v>6.707401441848523</v>
      </c>
      <c r="DI421" s="39">
        <f t="shared" si="278"/>
        <v>5.3654711296380375</v>
      </c>
      <c r="DJ421" s="37"/>
      <c r="DK421" s="37"/>
      <c r="DL421" s="37"/>
      <c r="DM421" s="39">
        <f t="shared" si="275"/>
        <v>1.3236373613560488</v>
      </c>
      <c r="DN421" s="39"/>
      <c r="DO421" s="39">
        <f t="shared" si="276"/>
        <v>1.3236373613560488</v>
      </c>
      <c r="DP421" s="37"/>
      <c r="DQ421" s="37">
        <f>DO421/'Conversions, Sources &amp; Comments'!E419</f>
        <v>2.8527163084757112</v>
      </c>
    </row>
    <row r="422" spans="1:121">
      <c r="A422" s="42">
        <f t="shared" si="269"/>
        <v>1670</v>
      </c>
      <c r="B422" s="36"/>
      <c r="C422" s="38">
        <v>35</v>
      </c>
      <c r="D422" s="38">
        <v>8.75</v>
      </c>
      <c r="E422" s="36"/>
      <c r="F422" s="36"/>
      <c r="G422" s="38">
        <v>15</v>
      </c>
      <c r="H422" s="38">
        <v>6.75</v>
      </c>
      <c r="I422" s="36"/>
      <c r="J422" s="36"/>
      <c r="K422" s="38">
        <v>3</v>
      </c>
      <c r="L422" s="38">
        <v>6</v>
      </c>
      <c r="M422" s="36"/>
      <c r="N422" s="36"/>
      <c r="O422" s="36"/>
      <c r="P422" s="36"/>
      <c r="Q422" s="36"/>
      <c r="R422" s="36"/>
      <c r="S422" s="36"/>
      <c r="T422" s="36"/>
      <c r="U422" s="36"/>
      <c r="V422" s="38">
        <v>6</v>
      </c>
      <c r="W422" s="36"/>
      <c r="X422" s="36"/>
      <c r="Y422" s="36"/>
      <c r="Z422" s="38">
        <v>5</v>
      </c>
      <c r="AA422" s="38">
        <v>5</v>
      </c>
      <c r="AB422" s="36"/>
      <c r="AC422" s="38">
        <v>3</v>
      </c>
      <c r="AD422" s="38">
        <v>0</v>
      </c>
      <c r="AE422" s="38">
        <v>3</v>
      </c>
      <c r="AF422" s="38">
        <v>0.5</v>
      </c>
      <c r="AG422" s="38">
        <v>22</v>
      </c>
      <c r="AH422" s="38">
        <v>6.75</v>
      </c>
      <c r="AI422" s="38">
        <v>20</v>
      </c>
      <c r="AJ422" s="38">
        <v>0</v>
      </c>
      <c r="AK422" s="36"/>
      <c r="AL422" s="36"/>
      <c r="AM422" s="36"/>
      <c r="AN422" s="36"/>
      <c r="AO422" s="36"/>
      <c r="AP422" s="36"/>
      <c r="AQ422" s="36"/>
      <c r="AR422" s="36"/>
      <c r="AS422" s="36"/>
      <c r="AT422" s="38">
        <v>4</v>
      </c>
      <c r="AU422" s="38">
        <v>2</v>
      </c>
      <c r="AV422" s="36"/>
      <c r="AW422" s="38">
        <v>4</v>
      </c>
      <c r="AX422" s="38">
        <v>20.3</v>
      </c>
      <c r="AY422" s="38">
        <v>12</v>
      </c>
      <c r="AZ422" s="38">
        <v>120</v>
      </c>
      <c r="BA422" s="36"/>
      <c r="BB422" s="36"/>
      <c r="BC422" s="36"/>
      <c r="BD422" s="38">
        <v>6.13</v>
      </c>
      <c r="BE422" s="36"/>
      <c r="BF422" s="38">
        <v>5.4</v>
      </c>
      <c r="BG422" s="59">
        <v>28.02</v>
      </c>
      <c r="BH422" s="59">
        <v>3.5</v>
      </c>
      <c r="BI422" s="59">
        <v>0.38865604723050007</v>
      </c>
      <c r="BJ422" s="59">
        <v>10</v>
      </c>
      <c r="BK422" s="38">
        <v>5.4527999999999999</v>
      </c>
      <c r="BL422" s="59">
        <v>2.13</v>
      </c>
      <c r="BM422" s="38"/>
      <c r="BN422" s="38">
        <v>62</v>
      </c>
      <c r="BO422" s="36"/>
      <c r="BP422" s="39">
        <f t="shared" si="263"/>
        <v>0.46399193548387102</v>
      </c>
      <c r="BQ422" s="37"/>
      <c r="BR422" s="39">
        <f t="shared" si="264"/>
        <v>0.70568896623925059</v>
      </c>
      <c r="BS422" s="39">
        <f t="shared" si="245"/>
        <v>1.3809527348437054</v>
      </c>
      <c r="BT422" s="39">
        <f t="shared" ref="BT422:BT441" si="295">BP422*12*AZ422/(24*0.9144)</f>
        <v>30.445665057996788</v>
      </c>
      <c r="BU422" s="39">
        <f t="shared" si="290"/>
        <v>4.8713064092794855</v>
      </c>
      <c r="BV422" s="39">
        <f t="shared" si="273"/>
        <v>0.5534247417102871</v>
      </c>
      <c r="BW422" s="39">
        <f t="shared" si="259"/>
        <v>3.0687973862995501</v>
      </c>
      <c r="BX422" s="39">
        <f t="shared" si="274"/>
        <v>0.26445706348730091</v>
      </c>
      <c r="BY422" s="39">
        <f t="shared" si="257"/>
        <v>5.5408597385704219</v>
      </c>
      <c r="BZ422" s="39">
        <f t="shared" si="281"/>
        <v>8.7679925322844312</v>
      </c>
      <c r="CA422" s="39">
        <f t="shared" si="260"/>
        <v>5.5778461293380621</v>
      </c>
      <c r="CB422" s="39">
        <f t="shared" si="261"/>
        <v>2.1788461442726805</v>
      </c>
      <c r="CC422" s="39">
        <f t="shared" si="292"/>
        <v>0.27839516129032255</v>
      </c>
      <c r="CD422" s="37"/>
      <c r="CE422" s="37"/>
      <c r="CF422" s="39">
        <f>$BP422*12*$AU422</f>
        <v>11.135806451612904</v>
      </c>
      <c r="CG422" s="37"/>
      <c r="CH422" s="39">
        <f>BP422*12*AW422/(12*0.453592)</f>
        <v>4.0917118069443115</v>
      </c>
      <c r="CI422" s="39">
        <f t="shared" si="293"/>
        <v>4.0917118069443115</v>
      </c>
      <c r="CJ422" s="39">
        <f t="shared" si="277"/>
        <v>0</v>
      </c>
      <c r="CK422" s="39">
        <f t="shared" si="287"/>
        <v>5.9253184337289849E-2</v>
      </c>
      <c r="CL422" s="39">
        <f t="shared" si="258"/>
        <v>1.2562581653225808</v>
      </c>
      <c r="CM422" s="39">
        <f t="shared" si="288"/>
        <v>0.20937520967240231</v>
      </c>
      <c r="CN422" s="37"/>
      <c r="CO422" s="39">
        <f>0.063495+(0.016949+0.014096)*Wages!P420+1.22592*BR422</f>
        <v>1.3607521066049251</v>
      </c>
      <c r="CP422" s="39"/>
      <c r="CQ422" s="39">
        <f t="shared" si="247"/>
        <v>1.3809527348437054</v>
      </c>
      <c r="CR422" s="39">
        <f t="shared" si="284"/>
        <v>0.5534247417102871</v>
      </c>
      <c r="CS422" s="39">
        <f t="shared" si="284"/>
        <v>3.0687973862995501</v>
      </c>
      <c r="CT422" s="39">
        <f t="shared" si="262"/>
        <v>5.5778461293380621</v>
      </c>
      <c r="CU422" s="39">
        <f t="shared" si="262"/>
        <v>2.1788461442726805</v>
      </c>
      <c r="CV422" s="39">
        <f t="shared" si="262"/>
        <v>0.27839516129032255</v>
      </c>
      <c r="CW422" s="39">
        <v>0.2</v>
      </c>
      <c r="CX422" s="39">
        <f t="shared" si="294"/>
        <v>4.0917118069443115</v>
      </c>
      <c r="CY422" s="39">
        <f t="shared" si="286"/>
        <v>8.7679925322844312</v>
      </c>
      <c r="CZ422" s="39">
        <f t="shared" si="265"/>
        <v>0.26445706348730091</v>
      </c>
      <c r="DA422" s="39">
        <f>CH422</f>
        <v>4.0917118069443115</v>
      </c>
      <c r="DB422" s="39">
        <f t="shared" si="291"/>
        <v>4.8713064092794855</v>
      </c>
      <c r="DC422" s="39">
        <f t="shared" si="266"/>
        <v>5.5408597385704219</v>
      </c>
      <c r="DD422" s="39">
        <v>4.2</v>
      </c>
      <c r="DE422" s="39">
        <f t="shared" si="289"/>
        <v>5.9253184337289849E-2</v>
      </c>
      <c r="DF422" s="39">
        <v>0.17</v>
      </c>
      <c r="DG422" s="39">
        <f t="shared" si="267"/>
        <v>1.2562581653225808</v>
      </c>
      <c r="DH422" s="39">
        <f t="shared" si="268"/>
        <v>6.707401441848523</v>
      </c>
      <c r="DI422" s="39">
        <f t="shared" si="278"/>
        <v>7.016385323372818</v>
      </c>
      <c r="DJ422" s="37"/>
      <c r="DK422" s="37"/>
      <c r="DL422" s="37"/>
      <c r="DM422" s="39">
        <f t="shared" si="275"/>
        <v>1.341775656064522</v>
      </c>
      <c r="DN422" s="39"/>
      <c r="DO422" s="39">
        <f t="shared" si="276"/>
        <v>1.341775656064522</v>
      </c>
      <c r="DP422" s="37"/>
      <c r="DQ422" s="37">
        <f>DO422/'Conversions, Sources &amp; Comments'!E420</f>
        <v>2.8918081402972229</v>
      </c>
    </row>
    <row r="423" spans="1:121">
      <c r="A423" s="42">
        <f t="shared" si="269"/>
        <v>1671</v>
      </c>
      <c r="B423" s="36"/>
      <c r="C423" s="38">
        <v>34</v>
      </c>
      <c r="D423" s="38">
        <v>0.5</v>
      </c>
      <c r="E423" s="38">
        <v>18</v>
      </c>
      <c r="F423" s="38">
        <v>8</v>
      </c>
      <c r="G423" s="38">
        <v>12</v>
      </c>
      <c r="H423" s="38">
        <v>0.75</v>
      </c>
      <c r="I423" s="36"/>
      <c r="J423" s="36"/>
      <c r="K423" s="38">
        <v>3</v>
      </c>
      <c r="L423" s="38">
        <v>6</v>
      </c>
      <c r="M423" s="36"/>
      <c r="N423" s="36"/>
      <c r="O423" s="36"/>
      <c r="P423" s="36"/>
      <c r="Q423" s="36"/>
      <c r="R423" s="36"/>
      <c r="S423" s="36"/>
      <c r="T423" s="36"/>
      <c r="U423" s="36"/>
      <c r="V423" s="38">
        <v>6</v>
      </c>
      <c r="W423" s="36"/>
      <c r="X423" s="36"/>
      <c r="Y423" s="36"/>
      <c r="Z423" s="38">
        <v>4</v>
      </c>
      <c r="AA423" s="38">
        <v>8.5</v>
      </c>
      <c r="AB423" s="36"/>
      <c r="AC423" s="38">
        <v>2</v>
      </c>
      <c r="AD423" s="38">
        <v>10</v>
      </c>
      <c r="AE423" s="38">
        <v>3</v>
      </c>
      <c r="AF423" s="38">
        <v>0.5</v>
      </c>
      <c r="AG423" s="38">
        <v>21</v>
      </c>
      <c r="AH423" s="38">
        <v>0</v>
      </c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8">
        <v>4</v>
      </c>
      <c r="AU423" s="36"/>
      <c r="AV423" s="36"/>
      <c r="AW423" s="36"/>
      <c r="AX423" s="38">
        <v>17.899999999999999</v>
      </c>
      <c r="AY423" s="38">
        <v>12</v>
      </c>
      <c r="AZ423" s="38">
        <v>120</v>
      </c>
      <c r="BA423" s="36"/>
      <c r="BB423" s="36"/>
      <c r="BC423" s="36"/>
      <c r="BD423" s="38">
        <v>6</v>
      </c>
      <c r="BE423" s="36"/>
      <c r="BF423" s="38">
        <v>5.4</v>
      </c>
      <c r="BG423" s="59">
        <v>28.02</v>
      </c>
      <c r="BH423" s="59">
        <v>3.5</v>
      </c>
      <c r="BI423" s="59">
        <v>0.40278899440251825</v>
      </c>
      <c r="BJ423" s="59">
        <v>10</v>
      </c>
      <c r="BK423" s="38">
        <v>5.9072000000000005</v>
      </c>
      <c r="BL423" s="59">
        <v>2.13</v>
      </c>
      <c r="BM423" s="38"/>
      <c r="BN423" s="38">
        <v>62</v>
      </c>
      <c r="BO423" s="36"/>
      <c r="BP423" s="39">
        <f t="shared" si="263"/>
        <v>0.46399193548387102</v>
      </c>
      <c r="BQ423" s="37"/>
      <c r="BR423" s="39">
        <f t="shared" si="264"/>
        <v>0.67235905004952512</v>
      </c>
      <c r="BS423" s="39">
        <f t="shared" si="245"/>
        <v>1.3809527348437054</v>
      </c>
      <c r="BT423" s="39">
        <f t="shared" si="295"/>
        <v>30.445665057996788</v>
      </c>
      <c r="BU423" s="39">
        <f t="shared" si="290"/>
        <v>4.8713064092794855</v>
      </c>
      <c r="BV423" s="39">
        <f t="shared" si="273"/>
        <v>0.5534247417102871</v>
      </c>
      <c r="BW423" s="39">
        <f t="shared" si="259"/>
        <v>3.0687973862995501</v>
      </c>
      <c r="BX423" s="39">
        <f t="shared" si="274"/>
        <v>0.27407368397774823</v>
      </c>
      <c r="BY423" s="39">
        <f t="shared" si="257"/>
        <v>4.8162857727573662</v>
      </c>
      <c r="BZ423" s="39">
        <f t="shared" si="281"/>
        <v>8.7679925322844312</v>
      </c>
      <c r="CA423" s="39">
        <f t="shared" si="260"/>
        <v>6.0426666401162352</v>
      </c>
      <c r="CB423" s="39">
        <f t="shared" si="261"/>
        <v>2.1788461442726805</v>
      </c>
      <c r="CC423" s="39">
        <f t="shared" si="292"/>
        <v>0.27839516129032255</v>
      </c>
      <c r="CD423" s="37"/>
      <c r="CE423" s="37"/>
      <c r="CF423" s="37"/>
      <c r="CG423" s="37"/>
      <c r="CH423" s="37"/>
      <c r="CI423" s="39">
        <f t="shared" si="293"/>
        <v>4.0917118069443115</v>
      </c>
      <c r="CJ423" s="39">
        <f t="shared" si="277"/>
        <v>0</v>
      </c>
      <c r="CK423" s="39">
        <f t="shared" si="287"/>
        <v>5.5961340762995963E-2</v>
      </c>
      <c r="CL423" s="39">
        <f t="shared" si="258"/>
        <v>1.1692596774193549</v>
      </c>
      <c r="CM423" s="39">
        <f t="shared" si="288"/>
        <v>0.19774325357949105</v>
      </c>
      <c r="CN423" s="37"/>
      <c r="CO423" s="39">
        <f>0.063495+(0.016949+0.014096)*Wages!P421+1.22592*BR423</f>
        <v>1.3198922957496171</v>
      </c>
      <c r="CP423" s="39"/>
      <c r="CQ423" s="39">
        <f t="shared" si="247"/>
        <v>1.3809527348437054</v>
      </c>
      <c r="CR423" s="39">
        <f t="shared" si="284"/>
        <v>0.5534247417102871</v>
      </c>
      <c r="CS423" s="39">
        <f t="shared" si="284"/>
        <v>3.0687973862995501</v>
      </c>
      <c r="CT423" s="39">
        <f t="shared" si="262"/>
        <v>6.0426666401162352</v>
      </c>
      <c r="CU423" s="39">
        <f t="shared" si="262"/>
        <v>2.1788461442726805</v>
      </c>
      <c r="CV423" s="39">
        <f t="shared" si="262"/>
        <v>0.27839516129032255</v>
      </c>
      <c r="CW423" s="39">
        <v>0.2</v>
      </c>
      <c r="CX423" s="39">
        <f t="shared" si="294"/>
        <v>4.0917118069443115</v>
      </c>
      <c r="CY423" s="39">
        <f t="shared" si="286"/>
        <v>8.7679925322844312</v>
      </c>
      <c r="CZ423" s="39">
        <f t="shared" si="265"/>
        <v>0.27407368397774823</v>
      </c>
      <c r="DA423" s="39">
        <v>4.0917118069443115</v>
      </c>
      <c r="DB423" s="39">
        <f t="shared" si="291"/>
        <v>4.8713064092794855</v>
      </c>
      <c r="DC423" s="39">
        <f t="shared" si="266"/>
        <v>4.8162857727573662</v>
      </c>
      <c r="DD423" s="39">
        <v>4.2</v>
      </c>
      <c r="DE423" s="39">
        <f t="shared" si="289"/>
        <v>5.5961340762995963E-2</v>
      </c>
      <c r="DF423" s="39">
        <v>0.21</v>
      </c>
      <c r="DG423" s="39">
        <f t="shared" si="267"/>
        <v>1.1692596774193549</v>
      </c>
      <c r="DH423" s="39">
        <f t="shared" si="268"/>
        <v>6.3347680284124941</v>
      </c>
      <c r="DI423" s="39">
        <f t="shared" si="278"/>
        <v>8.6672995171075993</v>
      </c>
      <c r="DJ423" s="37"/>
      <c r="DK423" s="37"/>
      <c r="DL423" s="37"/>
      <c r="DM423" s="39">
        <f t="shared" si="275"/>
        <v>1.3427885110265014</v>
      </c>
      <c r="DN423" s="39"/>
      <c r="DO423" s="39">
        <f t="shared" si="276"/>
        <v>1.3427885110265014</v>
      </c>
      <c r="DP423" s="37"/>
      <c r="DQ423" s="37">
        <f>DO423/'Conversions, Sources &amp; Comments'!E421</f>
        <v>2.89399105531044</v>
      </c>
    </row>
    <row r="424" spans="1:121">
      <c r="A424" s="42">
        <f t="shared" si="269"/>
        <v>1672</v>
      </c>
      <c r="B424" s="36"/>
      <c r="C424" s="38">
        <v>35</v>
      </c>
      <c r="D424" s="38">
        <v>8.25</v>
      </c>
      <c r="E424" s="36"/>
      <c r="F424" s="36"/>
      <c r="G424" s="38">
        <v>13</v>
      </c>
      <c r="H424" s="38">
        <v>10.75</v>
      </c>
      <c r="I424" s="36"/>
      <c r="J424" s="36"/>
      <c r="K424" s="38">
        <v>3</v>
      </c>
      <c r="L424" s="38">
        <v>6</v>
      </c>
      <c r="M424" s="36"/>
      <c r="N424" s="36"/>
      <c r="O424" s="36"/>
      <c r="P424" s="36"/>
      <c r="Q424" s="38">
        <v>3</v>
      </c>
      <c r="R424" s="38">
        <v>0</v>
      </c>
      <c r="S424" s="36"/>
      <c r="T424" s="36"/>
      <c r="U424" s="36"/>
      <c r="V424" s="38">
        <v>6</v>
      </c>
      <c r="W424" s="36"/>
      <c r="X424" s="36"/>
      <c r="Y424" s="36"/>
      <c r="Z424" s="38">
        <v>4</v>
      </c>
      <c r="AA424" s="38">
        <v>6</v>
      </c>
      <c r="AB424" s="36"/>
      <c r="AC424" s="38">
        <v>2</v>
      </c>
      <c r="AD424" s="38">
        <v>10.5</v>
      </c>
      <c r="AE424" s="38">
        <v>3</v>
      </c>
      <c r="AF424" s="38">
        <v>0.5</v>
      </c>
      <c r="AG424" s="38">
        <v>21</v>
      </c>
      <c r="AH424" s="38">
        <v>0</v>
      </c>
      <c r="AI424" s="38">
        <v>20</v>
      </c>
      <c r="AJ424" s="38">
        <v>0</v>
      </c>
      <c r="AK424" s="36"/>
      <c r="AL424" s="36"/>
      <c r="AM424" s="36"/>
      <c r="AN424" s="36"/>
      <c r="AO424" s="36"/>
      <c r="AP424" s="36"/>
      <c r="AQ424" s="36"/>
      <c r="AR424" s="36"/>
      <c r="AS424" s="38">
        <v>61.13</v>
      </c>
      <c r="AT424" s="38">
        <v>4</v>
      </c>
      <c r="AU424" s="36"/>
      <c r="AV424" s="36"/>
      <c r="AW424" s="36"/>
      <c r="AX424" s="36"/>
      <c r="AY424" s="38">
        <v>12</v>
      </c>
      <c r="AZ424" s="38">
        <v>120</v>
      </c>
      <c r="BA424" s="36"/>
      <c r="BB424" s="36"/>
      <c r="BC424" s="38">
        <v>9</v>
      </c>
      <c r="BD424" s="38">
        <v>6</v>
      </c>
      <c r="BE424" s="36"/>
      <c r="BF424" s="38">
        <v>5.6</v>
      </c>
      <c r="BG424" s="59">
        <v>28.02</v>
      </c>
      <c r="BH424" s="59">
        <v>3.5</v>
      </c>
      <c r="BI424" s="59">
        <v>0.44165459912556693</v>
      </c>
      <c r="BJ424" s="59">
        <v>10</v>
      </c>
      <c r="BK424" s="38">
        <v>5.4527999999999999</v>
      </c>
      <c r="BL424" s="59">
        <v>2.13</v>
      </c>
      <c r="BM424" s="38"/>
      <c r="BN424" s="38">
        <v>62</v>
      </c>
      <c r="BO424" s="36"/>
      <c r="BP424" s="39">
        <f t="shared" si="263"/>
        <v>0.46399193548387102</v>
      </c>
      <c r="BQ424" s="37"/>
      <c r="BR424" s="39">
        <f t="shared" si="264"/>
        <v>0.70486600534567712</v>
      </c>
      <c r="BS424" s="39">
        <f t="shared" si="245"/>
        <v>1.432099132430509</v>
      </c>
      <c r="BT424" s="39">
        <f t="shared" si="295"/>
        <v>30.445665057996788</v>
      </c>
      <c r="BU424" s="39">
        <f t="shared" si="290"/>
        <v>4.8713064092794855</v>
      </c>
      <c r="BV424" s="39">
        <f t="shared" si="273"/>
        <v>0.5534247417102871</v>
      </c>
      <c r="BW424" s="39">
        <f t="shared" si="259"/>
        <v>3.0687973862995501</v>
      </c>
      <c r="BX424" s="39">
        <f t="shared" si="274"/>
        <v>0.30051939032647745</v>
      </c>
      <c r="BY424" s="39">
        <f t="shared" si="257"/>
        <v>4.6031757828123503</v>
      </c>
      <c r="BZ424" s="39">
        <f t="shared" si="281"/>
        <v>8.7679925322844312</v>
      </c>
      <c r="CA424" s="39">
        <f t="shared" si="260"/>
        <v>5.5778461293380621</v>
      </c>
      <c r="CB424" s="39">
        <f t="shared" si="261"/>
        <v>2.1788461442726805</v>
      </c>
      <c r="CC424" s="39">
        <f t="shared" si="292"/>
        <v>0.27839516129032255</v>
      </c>
      <c r="CD424" s="37"/>
      <c r="CE424" s="37"/>
      <c r="CF424" s="37"/>
      <c r="CG424" s="37"/>
      <c r="CH424" s="37"/>
      <c r="CI424" s="39">
        <f t="shared" si="293"/>
        <v>4.0917118069443115</v>
      </c>
      <c r="CJ424" s="39">
        <f t="shared" si="277"/>
        <v>0.25282312273433871</v>
      </c>
      <c r="CK424" s="39">
        <f t="shared" si="287"/>
        <v>5.6784301656569433E-2</v>
      </c>
      <c r="CL424" s="39">
        <f t="shared" si="258"/>
        <v>1.1692596774193549</v>
      </c>
      <c r="CM424" s="39">
        <f t="shared" si="288"/>
        <v>0.20065124260271885</v>
      </c>
      <c r="CN424" s="37"/>
      <c r="CO424" s="39">
        <f>0.063495+(0.016949+0.014096)*Wages!P422+1.22592*BR424</f>
        <v>1.3597432223862755</v>
      </c>
      <c r="CP424" s="39"/>
      <c r="CQ424" s="39">
        <f t="shared" si="247"/>
        <v>1.432099132430509</v>
      </c>
      <c r="CR424" s="39">
        <f t="shared" si="284"/>
        <v>0.5534247417102871</v>
      </c>
      <c r="CS424" s="39">
        <f t="shared" si="284"/>
        <v>3.0687973862995501</v>
      </c>
      <c r="CT424" s="39">
        <f t="shared" si="262"/>
        <v>5.5778461293380621</v>
      </c>
      <c r="CU424" s="39">
        <f t="shared" si="262"/>
        <v>2.1788461442726805</v>
      </c>
      <c r="CV424" s="39">
        <f t="shared" si="262"/>
        <v>0.27839516129032255</v>
      </c>
      <c r="CW424" s="39">
        <v>0.2</v>
      </c>
      <c r="CX424" s="39">
        <f t="shared" si="294"/>
        <v>4.0917118069443115</v>
      </c>
      <c r="CY424" s="39">
        <f t="shared" si="286"/>
        <v>8.7679925322844312</v>
      </c>
      <c r="CZ424" s="39">
        <f t="shared" si="265"/>
        <v>0.30051939032647745</v>
      </c>
      <c r="DA424" s="39">
        <v>4.0917118069443115</v>
      </c>
      <c r="DB424" s="39">
        <f t="shared" si="291"/>
        <v>4.8713064092794855</v>
      </c>
      <c r="DC424" s="39">
        <f t="shared" si="266"/>
        <v>4.6031757828123503</v>
      </c>
      <c r="DD424" s="39">
        <v>4.2</v>
      </c>
      <c r="DE424" s="39">
        <f t="shared" si="289"/>
        <v>5.6784301656569433E-2</v>
      </c>
      <c r="DF424" s="39">
        <v>0.25282312273433877</v>
      </c>
      <c r="DG424" s="39">
        <f t="shared" si="267"/>
        <v>1.1692596774193549</v>
      </c>
      <c r="DH424" s="39">
        <f t="shared" si="268"/>
        <v>6.4279263817715009</v>
      </c>
      <c r="DI424" s="39">
        <f t="shared" si="278"/>
        <v>10.434732045661759</v>
      </c>
      <c r="DJ424" s="37"/>
      <c r="DK424" s="37"/>
      <c r="DL424" s="37"/>
      <c r="DM424" s="39">
        <f t="shared" si="275"/>
        <v>1.3707866755258324</v>
      </c>
      <c r="DN424" s="39"/>
      <c r="DO424" s="39">
        <f t="shared" si="276"/>
        <v>1.3707866755258324</v>
      </c>
      <c r="DP424" s="37"/>
      <c r="DQ424" s="37">
        <f>DO424/'Conversions, Sources &amp; Comments'!E422</f>
        <v>2.9543329758443244</v>
      </c>
    </row>
    <row r="425" spans="1:121">
      <c r="A425" s="42">
        <f t="shared" si="269"/>
        <v>1673</v>
      </c>
      <c r="B425" s="36"/>
      <c r="C425" s="38">
        <v>54</v>
      </c>
      <c r="D425" s="38">
        <v>11.25</v>
      </c>
      <c r="E425" s="36"/>
      <c r="F425" s="36"/>
      <c r="G425" s="38">
        <v>15</v>
      </c>
      <c r="H425" s="38">
        <v>1.75</v>
      </c>
      <c r="I425" s="36"/>
      <c r="J425" s="36"/>
      <c r="K425" s="38">
        <v>3</v>
      </c>
      <c r="L425" s="38">
        <v>6</v>
      </c>
      <c r="M425" s="36"/>
      <c r="N425" s="36"/>
      <c r="O425" s="36"/>
      <c r="P425" s="36"/>
      <c r="Q425" s="38">
        <v>3</v>
      </c>
      <c r="R425" s="38">
        <v>0</v>
      </c>
      <c r="S425" s="36"/>
      <c r="T425" s="36"/>
      <c r="U425" s="36"/>
      <c r="V425" s="38">
        <v>6</v>
      </c>
      <c r="W425" s="36"/>
      <c r="X425" s="36"/>
      <c r="Y425" s="36"/>
      <c r="Z425" s="38">
        <v>4</v>
      </c>
      <c r="AA425" s="38">
        <v>9</v>
      </c>
      <c r="AB425" s="36"/>
      <c r="AC425" s="38">
        <v>2</v>
      </c>
      <c r="AD425" s="38">
        <v>10.5</v>
      </c>
      <c r="AE425" s="38">
        <v>2</v>
      </c>
      <c r="AF425" s="38">
        <v>7.25</v>
      </c>
      <c r="AG425" s="38">
        <v>22</v>
      </c>
      <c r="AH425" s="38">
        <v>6</v>
      </c>
      <c r="AI425" s="38">
        <v>19</v>
      </c>
      <c r="AJ425" s="38">
        <v>0</v>
      </c>
      <c r="AK425" s="36"/>
      <c r="AL425" s="36"/>
      <c r="AM425" s="36"/>
      <c r="AN425" s="36"/>
      <c r="AO425" s="36"/>
      <c r="AP425" s="36"/>
      <c r="AQ425" s="36"/>
      <c r="AR425" s="36"/>
      <c r="AS425" s="36"/>
      <c r="AT425" s="38">
        <v>4</v>
      </c>
      <c r="AU425" s="36"/>
      <c r="AV425" s="36"/>
      <c r="AW425" s="36"/>
      <c r="AX425" s="38">
        <v>17</v>
      </c>
      <c r="AY425" s="36"/>
      <c r="AZ425" s="38">
        <v>120</v>
      </c>
      <c r="BA425" s="36"/>
      <c r="BB425" s="36"/>
      <c r="BC425" s="36"/>
      <c r="BD425" s="38">
        <v>5.63</v>
      </c>
      <c r="BE425" s="36"/>
      <c r="BF425" s="38">
        <v>7.6</v>
      </c>
      <c r="BG425" s="59">
        <v>28.02</v>
      </c>
      <c r="BH425" s="59">
        <v>3.5</v>
      </c>
      <c r="BI425" s="59">
        <v>0.44165459912556693</v>
      </c>
      <c r="BJ425" s="59">
        <v>10</v>
      </c>
      <c r="BK425" s="38">
        <v>5.8503999999999996</v>
      </c>
      <c r="BL425" s="59">
        <v>2.13</v>
      </c>
      <c r="BM425" s="36"/>
      <c r="BN425" s="38">
        <v>62</v>
      </c>
      <c r="BO425" s="36"/>
      <c r="BP425" s="39">
        <f t="shared" si="263"/>
        <v>0.46399193548387102</v>
      </c>
      <c r="BQ425" s="37"/>
      <c r="BR425" s="39">
        <f t="shared" si="264"/>
        <v>1.0850739381766203</v>
      </c>
      <c r="BS425" s="39">
        <f t="shared" ref="BS425:BS488" si="296">BP425*(BF425/4)/0.453592</f>
        <v>1.9435631082985478</v>
      </c>
      <c r="BT425" s="39">
        <f t="shared" si="295"/>
        <v>30.445665057996788</v>
      </c>
      <c r="BU425" s="37"/>
      <c r="BV425" s="39">
        <f t="shared" si="273"/>
        <v>0.5534247417102871</v>
      </c>
      <c r="BW425" s="39">
        <f t="shared" si="259"/>
        <v>3.0687973862995501</v>
      </c>
      <c r="BX425" s="39">
        <f t="shared" si="274"/>
        <v>0.30051939032647745</v>
      </c>
      <c r="BY425" s="39">
        <f t="shared" ref="BY425:BY454" si="297">$BP425*(12*Z425+AA425)/(12*0.453592)</f>
        <v>4.8589077707463693</v>
      </c>
      <c r="BZ425" s="39">
        <f t="shared" si="281"/>
        <v>8.7679925322844312</v>
      </c>
      <c r="CA425" s="39">
        <f t="shared" si="260"/>
        <v>5.9845640762689634</v>
      </c>
      <c r="CB425" s="39">
        <f t="shared" si="261"/>
        <v>2.1788461442726805</v>
      </c>
      <c r="CC425" s="39">
        <f t="shared" si="292"/>
        <v>0.27839516129032255</v>
      </c>
      <c r="CD425" s="37"/>
      <c r="CE425" s="37"/>
      <c r="CF425" s="37"/>
      <c r="CG425" s="37"/>
      <c r="CH425" s="37"/>
      <c r="CI425" s="39">
        <f t="shared" si="293"/>
        <v>4.0917118069443115</v>
      </c>
      <c r="CJ425" s="39">
        <f t="shared" si="277"/>
        <v>0</v>
      </c>
      <c r="CK425" s="39">
        <f t="shared" si="287"/>
        <v>5.6784301656569433E-2</v>
      </c>
      <c r="CL425" s="39">
        <f t="shared" si="258"/>
        <v>1.2527782258064517</v>
      </c>
      <c r="CM425" s="39">
        <f t="shared" si="288"/>
        <v>0.20065124260271885</v>
      </c>
      <c r="CN425" s="37"/>
      <c r="CO425" s="39">
        <f>0.063495+(0.016949+0.014096)*Wages!P423+1.22592*BR425</f>
        <v>1.8258477314023853</v>
      </c>
      <c r="CP425" s="39"/>
      <c r="CQ425" s="39">
        <f t="shared" ref="CQ425:CQ488" si="298">BS425</f>
        <v>1.9435631082985478</v>
      </c>
      <c r="CR425" s="39">
        <f t="shared" si="284"/>
        <v>0.5534247417102871</v>
      </c>
      <c r="CS425" s="39">
        <f t="shared" si="284"/>
        <v>3.0687973862995501</v>
      </c>
      <c r="CT425" s="39">
        <f t="shared" si="262"/>
        <v>5.9845640762689634</v>
      </c>
      <c r="CU425" s="39">
        <f t="shared" si="262"/>
        <v>2.1788461442726805</v>
      </c>
      <c r="CV425" s="39">
        <f t="shared" si="262"/>
        <v>0.27839516129032255</v>
      </c>
      <c r="CW425" s="39">
        <v>0.2</v>
      </c>
      <c r="CX425" s="39">
        <f t="shared" si="294"/>
        <v>4.0917118069443115</v>
      </c>
      <c r="CY425" s="39">
        <f t="shared" si="286"/>
        <v>8.7679925322844312</v>
      </c>
      <c r="CZ425" s="39">
        <f t="shared" si="265"/>
        <v>0.30051939032647745</v>
      </c>
      <c r="DA425" s="39">
        <v>4.0917118069443115</v>
      </c>
      <c r="DB425" s="39">
        <f t="shared" ref="DB425:DB441" si="299">DB$424*BT425/BT$424</f>
        <v>4.8713064092794864</v>
      </c>
      <c r="DC425" s="39">
        <f t="shared" si="266"/>
        <v>4.8589077707463693</v>
      </c>
      <c r="DD425" s="39">
        <v>4.2</v>
      </c>
      <c r="DE425" s="39">
        <f t="shared" si="289"/>
        <v>5.6784301656569433E-2</v>
      </c>
      <c r="DF425" s="39">
        <v>0.18</v>
      </c>
      <c r="DG425" s="39">
        <f t="shared" si="267"/>
        <v>1.2527782258064517</v>
      </c>
      <c r="DH425" s="39">
        <f t="shared" si="268"/>
        <v>6.4279263817715009</v>
      </c>
      <c r="DI425" s="39">
        <f t="shared" si="278"/>
        <v>7.4291138718065133</v>
      </c>
      <c r="DJ425" s="37"/>
      <c r="DK425" s="37"/>
      <c r="DL425" s="37"/>
      <c r="DM425" s="39">
        <f t="shared" si="275"/>
        <v>1.6018461608909393</v>
      </c>
      <c r="DN425" s="39"/>
      <c r="DO425" s="39">
        <f t="shared" si="276"/>
        <v>1.6018461608909393</v>
      </c>
      <c r="DP425" s="37"/>
      <c r="DQ425" s="37">
        <f>DO425/'Conversions, Sources &amp; Comments'!E423</f>
        <v>3.4523146597805936</v>
      </c>
    </row>
    <row r="426" spans="1:121">
      <c r="A426" s="42">
        <f t="shared" si="269"/>
        <v>1674</v>
      </c>
      <c r="B426" s="36"/>
      <c r="C426" s="38">
        <v>51</v>
      </c>
      <c r="D426" s="38">
        <v>8.75</v>
      </c>
      <c r="E426" s="36"/>
      <c r="F426" s="36"/>
      <c r="G426" s="38">
        <v>16</v>
      </c>
      <c r="H426" s="38">
        <v>9.5</v>
      </c>
      <c r="I426" s="36"/>
      <c r="J426" s="36"/>
      <c r="K426" s="38">
        <v>3</v>
      </c>
      <c r="L426" s="38">
        <v>6</v>
      </c>
      <c r="M426" s="36"/>
      <c r="N426" s="36"/>
      <c r="O426" s="36"/>
      <c r="P426" s="36"/>
      <c r="Q426" s="38">
        <v>3</v>
      </c>
      <c r="R426" s="38">
        <v>0</v>
      </c>
      <c r="S426" s="36"/>
      <c r="T426" s="36"/>
      <c r="U426" s="36"/>
      <c r="V426" s="38">
        <v>6</v>
      </c>
      <c r="W426" s="36"/>
      <c r="X426" s="36"/>
      <c r="Y426" s="36"/>
      <c r="Z426" s="38">
        <v>5</v>
      </c>
      <c r="AA426" s="38">
        <v>4</v>
      </c>
      <c r="AB426" s="36"/>
      <c r="AC426" s="38">
        <v>2</v>
      </c>
      <c r="AD426" s="38">
        <v>7</v>
      </c>
      <c r="AE426" s="38">
        <v>2</v>
      </c>
      <c r="AF426" s="38">
        <v>7.25</v>
      </c>
      <c r="AG426" s="38">
        <v>22</v>
      </c>
      <c r="AH426" s="38">
        <v>4</v>
      </c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8">
        <v>27.47</v>
      </c>
      <c r="AT426" s="38">
        <v>4</v>
      </c>
      <c r="AU426" s="38">
        <v>1.67</v>
      </c>
      <c r="AV426" s="36"/>
      <c r="AW426" s="38">
        <v>4</v>
      </c>
      <c r="AX426" s="38">
        <v>24</v>
      </c>
      <c r="AY426" s="36"/>
      <c r="AZ426" s="38">
        <v>120</v>
      </c>
      <c r="BA426" s="36"/>
      <c r="BB426" s="36"/>
      <c r="BC426" s="38">
        <v>9.25</v>
      </c>
      <c r="BD426" s="38">
        <v>5.75</v>
      </c>
      <c r="BE426" s="36"/>
      <c r="BF426" s="38">
        <v>7.4</v>
      </c>
      <c r="BG426" s="59">
        <v>28.02</v>
      </c>
      <c r="BH426" s="59">
        <v>3.5</v>
      </c>
      <c r="BI426" s="59">
        <v>0.44165459912556693</v>
      </c>
      <c r="BJ426" s="59">
        <v>10</v>
      </c>
      <c r="BK426" s="38">
        <v>5.6231999999999998</v>
      </c>
      <c r="BL426" s="59">
        <v>2.13</v>
      </c>
      <c r="BM426" s="36"/>
      <c r="BN426" s="38">
        <v>62</v>
      </c>
      <c r="BO426" s="36"/>
      <c r="BP426" s="39">
        <f t="shared" si="263"/>
        <v>0.46399193548387102</v>
      </c>
      <c r="BQ426" s="37"/>
      <c r="BR426" s="39">
        <f t="shared" si="264"/>
        <v>1.0217059493714631</v>
      </c>
      <c r="BS426" s="39">
        <f t="shared" si="296"/>
        <v>1.892416710711744</v>
      </c>
      <c r="BT426" s="39">
        <f t="shared" si="295"/>
        <v>30.445665057996788</v>
      </c>
      <c r="BU426" s="37"/>
      <c r="BV426" s="39">
        <f t="shared" si="273"/>
        <v>0.5534247417102871</v>
      </c>
      <c r="BW426" s="39">
        <f t="shared" si="259"/>
        <v>3.0687973862995501</v>
      </c>
      <c r="BX426" s="39">
        <f t="shared" si="274"/>
        <v>0.30051939032647745</v>
      </c>
      <c r="BY426" s="39">
        <f t="shared" si="297"/>
        <v>5.455615742592415</v>
      </c>
      <c r="BZ426" s="39">
        <f t="shared" si="281"/>
        <v>8.7679925322844312</v>
      </c>
      <c r="CA426" s="39">
        <f t="shared" si="260"/>
        <v>5.7521538208798768</v>
      </c>
      <c r="CB426" s="39">
        <f t="shared" si="261"/>
        <v>2.1788461442726805</v>
      </c>
      <c r="CC426" s="39">
        <f t="shared" si="292"/>
        <v>0.27839516129032255</v>
      </c>
      <c r="CD426" s="37"/>
      <c r="CE426" s="37"/>
      <c r="CF426" s="39">
        <f>$BP426*12*$AU426</f>
        <v>9.2983983870967748</v>
      </c>
      <c r="CG426" s="37"/>
      <c r="CH426" s="39">
        <f>BP426*12*AW426/(12*0.453592)</f>
        <v>4.0917118069443115</v>
      </c>
      <c r="CI426" s="39">
        <f t="shared" si="293"/>
        <v>4.0917118069443115</v>
      </c>
      <c r="CJ426" s="39">
        <f t="shared" si="277"/>
        <v>0.1136111758794746</v>
      </c>
      <c r="CK426" s="39">
        <f t="shared" si="287"/>
        <v>5.1023575401555145E-2</v>
      </c>
      <c r="CL426" s="39">
        <f t="shared" si="258"/>
        <v>1.2434983870967742</v>
      </c>
      <c r="CM426" s="39">
        <f t="shared" si="288"/>
        <v>0.1802953194401242</v>
      </c>
      <c r="CN426" s="37"/>
      <c r="CO426" s="39">
        <f>0.063495+(0.016949+0.014096)*Wages!P424+1.22592*BR426</f>
        <v>1.748163646566367</v>
      </c>
      <c r="CP426" s="39"/>
      <c r="CQ426" s="39">
        <f t="shared" si="298"/>
        <v>1.892416710711744</v>
      </c>
      <c r="CR426" s="39">
        <f t="shared" si="284"/>
        <v>0.5534247417102871</v>
      </c>
      <c r="CS426" s="39">
        <f t="shared" si="284"/>
        <v>3.0687973862995501</v>
      </c>
      <c r="CT426" s="39">
        <f t="shared" si="262"/>
        <v>5.7521538208798768</v>
      </c>
      <c r="CU426" s="39">
        <f t="shared" si="262"/>
        <v>2.1788461442726805</v>
      </c>
      <c r="CV426" s="39">
        <f t="shared" si="262"/>
        <v>0.27839516129032255</v>
      </c>
      <c r="CW426" s="39">
        <v>0.2</v>
      </c>
      <c r="CX426" s="39">
        <f t="shared" si="294"/>
        <v>4.0917118069443115</v>
      </c>
      <c r="CY426" s="39">
        <f t="shared" si="286"/>
        <v>8.7679925322844312</v>
      </c>
      <c r="CZ426" s="39">
        <f t="shared" si="265"/>
        <v>0.30051939032647745</v>
      </c>
      <c r="DA426" s="39">
        <f>CH426</f>
        <v>4.0917118069443115</v>
      </c>
      <c r="DB426" s="39">
        <f t="shared" si="299"/>
        <v>4.8713064092794864</v>
      </c>
      <c r="DC426" s="39">
        <f t="shared" si="266"/>
        <v>5.455615742592415</v>
      </c>
      <c r="DD426" s="39">
        <v>4.2</v>
      </c>
      <c r="DE426" s="39">
        <f t="shared" si="289"/>
        <v>5.1023575401555145E-2</v>
      </c>
      <c r="DF426" s="39">
        <v>0.11361117587947464</v>
      </c>
      <c r="DG426" s="39">
        <f t="shared" si="267"/>
        <v>1.2434983870967742</v>
      </c>
      <c r="DH426" s="39">
        <f t="shared" si="268"/>
        <v>5.7758179082584498</v>
      </c>
      <c r="DI426" s="39">
        <f t="shared" si="278"/>
        <v>4.6890575706580808</v>
      </c>
      <c r="DJ426" s="37"/>
      <c r="DK426" s="37"/>
      <c r="DL426" s="37"/>
      <c r="DM426" s="39">
        <f t="shared" si="275"/>
        <v>1.5723780537853089</v>
      </c>
      <c r="DN426" s="39"/>
      <c r="DO426" s="39">
        <f t="shared" si="276"/>
        <v>1.5723780537853089</v>
      </c>
      <c r="DP426" s="37"/>
      <c r="DQ426" s="37">
        <f>DO426/'Conversions, Sources &amp; Comments'!E424</f>
        <v>3.3888047044299694</v>
      </c>
    </row>
    <row r="427" spans="1:121">
      <c r="A427" s="42">
        <f t="shared" si="269"/>
        <v>1675</v>
      </c>
      <c r="B427" s="36"/>
      <c r="C427" s="38">
        <v>35</v>
      </c>
      <c r="D427" s="38">
        <v>7.75</v>
      </c>
      <c r="E427" s="36"/>
      <c r="F427" s="36"/>
      <c r="G427" s="38">
        <v>15</v>
      </c>
      <c r="H427" s="38">
        <v>10.75</v>
      </c>
      <c r="I427" s="36"/>
      <c r="J427" s="36"/>
      <c r="K427" s="38">
        <v>3</v>
      </c>
      <c r="L427" s="38">
        <v>6</v>
      </c>
      <c r="M427" s="36"/>
      <c r="N427" s="36"/>
      <c r="O427" s="36"/>
      <c r="P427" s="36"/>
      <c r="Q427" s="38">
        <v>3</v>
      </c>
      <c r="R427" s="38">
        <v>0</v>
      </c>
      <c r="S427" s="36"/>
      <c r="T427" s="36"/>
      <c r="U427" s="36"/>
      <c r="V427" s="38">
        <v>6</v>
      </c>
      <c r="W427" s="36"/>
      <c r="X427" s="36"/>
      <c r="Y427" s="36"/>
      <c r="Z427" s="38">
        <v>5</v>
      </c>
      <c r="AA427" s="38">
        <v>3.75</v>
      </c>
      <c r="AB427" s="36"/>
      <c r="AC427" s="38">
        <v>2</v>
      </c>
      <c r="AD427" s="38">
        <v>6</v>
      </c>
      <c r="AE427" s="38">
        <v>2</v>
      </c>
      <c r="AF427" s="38">
        <v>7.25</v>
      </c>
      <c r="AG427" s="38">
        <v>36</v>
      </c>
      <c r="AH427" s="38">
        <v>2</v>
      </c>
      <c r="AI427" s="38">
        <v>20</v>
      </c>
      <c r="AJ427" s="38">
        <v>0</v>
      </c>
      <c r="AK427" s="36"/>
      <c r="AL427" s="36"/>
      <c r="AM427" s="36"/>
      <c r="AN427" s="36"/>
      <c r="AO427" s="36"/>
      <c r="AP427" s="36"/>
      <c r="AQ427" s="36"/>
      <c r="AR427" s="36"/>
      <c r="AS427" s="36"/>
      <c r="AT427" s="38">
        <v>4</v>
      </c>
      <c r="AU427" s="36"/>
      <c r="AV427" s="36"/>
      <c r="AW427" s="36"/>
      <c r="AX427" s="38">
        <v>13</v>
      </c>
      <c r="AY427" s="36"/>
      <c r="AZ427" s="38">
        <v>120</v>
      </c>
      <c r="BA427" s="36"/>
      <c r="BB427" s="36"/>
      <c r="BC427" s="38">
        <v>9</v>
      </c>
      <c r="BD427" s="38">
        <v>5.75</v>
      </c>
      <c r="BE427" s="36"/>
      <c r="BF427" s="38">
        <v>5.4</v>
      </c>
      <c r="BG427" s="59">
        <v>28.02</v>
      </c>
      <c r="BH427" s="59">
        <v>3.5</v>
      </c>
      <c r="BI427" s="59">
        <v>0.44165459912556693</v>
      </c>
      <c r="BJ427" s="59">
        <v>10</v>
      </c>
      <c r="BK427" s="38">
        <v>4.7144000000000004</v>
      </c>
      <c r="BL427" s="59">
        <v>2.13</v>
      </c>
      <c r="BM427" s="36"/>
      <c r="BN427" s="38">
        <v>62</v>
      </c>
      <c r="BO427" s="36"/>
      <c r="BP427" s="39">
        <f t="shared" si="263"/>
        <v>0.46399193548387102</v>
      </c>
      <c r="BQ427" s="37"/>
      <c r="BR427" s="39">
        <f t="shared" si="264"/>
        <v>0.70404304445210364</v>
      </c>
      <c r="BS427" s="39">
        <f t="shared" si="296"/>
        <v>1.3809527348437054</v>
      </c>
      <c r="BT427" s="39">
        <f t="shared" si="295"/>
        <v>30.445665057996788</v>
      </c>
      <c r="BU427" s="37"/>
      <c r="BV427" s="39">
        <f t="shared" si="273"/>
        <v>0.5534247417102871</v>
      </c>
      <c r="BW427" s="39">
        <f t="shared" si="259"/>
        <v>3.0687973862995501</v>
      </c>
      <c r="BX427" s="39">
        <f t="shared" si="274"/>
        <v>0.30051939032647745</v>
      </c>
      <c r="BY427" s="39">
        <f t="shared" si="297"/>
        <v>5.434304743597913</v>
      </c>
      <c r="BZ427" s="39">
        <f t="shared" si="281"/>
        <v>8.7679925322844312</v>
      </c>
      <c r="CA427" s="39">
        <f t="shared" si="260"/>
        <v>4.8225127993235342</v>
      </c>
      <c r="CB427" s="39">
        <f t="shared" si="261"/>
        <v>2.1788461442726805</v>
      </c>
      <c r="CC427" s="39">
        <f t="shared" si="292"/>
        <v>0.27839516129032255</v>
      </c>
      <c r="CD427" s="37"/>
      <c r="CE427" s="37"/>
      <c r="CF427" s="37"/>
      <c r="CG427" s="37"/>
      <c r="CH427" s="37"/>
      <c r="CI427" s="39">
        <f t="shared" si="293"/>
        <v>4.0917118069443115</v>
      </c>
      <c r="CJ427" s="39">
        <f t="shared" si="277"/>
        <v>0</v>
      </c>
      <c r="CK427" s="39">
        <f t="shared" si="287"/>
        <v>4.9377653614408205E-2</v>
      </c>
      <c r="CL427" s="39">
        <f t="shared" si="258"/>
        <v>2.0137250000000004</v>
      </c>
      <c r="CM427" s="39">
        <f t="shared" si="288"/>
        <v>0.17447934139366858</v>
      </c>
      <c r="CN427" s="37"/>
      <c r="CO427" s="39">
        <f>0.063495+(0.016949+0.014096)*Wages!P425+1.22592*BR427</f>
        <v>1.358734338167626</v>
      </c>
      <c r="CP427" s="39"/>
      <c r="CQ427" s="39">
        <f t="shared" si="298"/>
        <v>1.3809527348437054</v>
      </c>
      <c r="CR427" s="39">
        <f t="shared" si="284"/>
        <v>0.5534247417102871</v>
      </c>
      <c r="CS427" s="39">
        <f t="shared" si="284"/>
        <v>3.0687973862995501</v>
      </c>
      <c r="CT427" s="39">
        <f t="shared" si="262"/>
        <v>4.8225127993235342</v>
      </c>
      <c r="CU427" s="39">
        <f t="shared" si="262"/>
        <v>2.1788461442726805</v>
      </c>
      <c r="CV427" s="39">
        <f t="shared" si="262"/>
        <v>0.27839516129032255</v>
      </c>
      <c r="CW427" s="39">
        <v>0.2</v>
      </c>
      <c r="CX427" s="39">
        <f t="shared" si="294"/>
        <v>4.0917118069443115</v>
      </c>
      <c r="CY427" s="39">
        <f t="shared" si="286"/>
        <v>8.7679925322844312</v>
      </c>
      <c r="CZ427" s="39">
        <f t="shared" si="265"/>
        <v>0.30051939032647745</v>
      </c>
      <c r="DA427" s="39">
        <v>4.3</v>
      </c>
      <c r="DB427" s="39">
        <f t="shared" si="299"/>
        <v>4.8713064092794864</v>
      </c>
      <c r="DC427" s="39">
        <f t="shared" si="266"/>
        <v>5.434304743597913</v>
      </c>
      <c r="DD427" s="39">
        <v>4.2</v>
      </c>
      <c r="DE427" s="39">
        <f t="shared" si="289"/>
        <v>4.9377653614408205E-2</v>
      </c>
      <c r="DF427" s="39">
        <v>0.11</v>
      </c>
      <c r="DG427" s="39">
        <f t="shared" si="267"/>
        <v>2.0137250000000004</v>
      </c>
      <c r="DH427" s="39">
        <f t="shared" si="268"/>
        <v>5.5895012015404353</v>
      </c>
      <c r="DI427" s="39">
        <f t="shared" si="278"/>
        <v>4.5400140327706469</v>
      </c>
      <c r="DJ427" s="37"/>
      <c r="DK427" s="37"/>
      <c r="DL427" s="37"/>
      <c r="DM427" s="39">
        <f t="shared" si="275"/>
        <v>1.3352936287217763</v>
      </c>
      <c r="DN427" s="39"/>
      <c r="DO427" s="39">
        <f t="shared" si="276"/>
        <v>1.3352936287217763</v>
      </c>
      <c r="DP427" s="37"/>
      <c r="DQ427" s="37">
        <f>DO427/'Conversions, Sources &amp; Comments'!E425</f>
        <v>2.8778380109759318</v>
      </c>
    </row>
    <row r="428" spans="1:121">
      <c r="A428" s="42">
        <f t="shared" si="269"/>
        <v>1676</v>
      </c>
      <c r="B428" s="36"/>
      <c r="C428" s="38">
        <v>30</v>
      </c>
      <c r="D428" s="38">
        <v>9.5</v>
      </c>
      <c r="E428" s="36"/>
      <c r="F428" s="36"/>
      <c r="G428" s="38">
        <v>14</v>
      </c>
      <c r="H428" s="38">
        <v>6.25</v>
      </c>
      <c r="I428" s="36"/>
      <c r="J428" s="36"/>
      <c r="K428" s="38">
        <v>3</v>
      </c>
      <c r="L428" s="38">
        <v>6</v>
      </c>
      <c r="M428" s="36"/>
      <c r="N428" s="36"/>
      <c r="O428" s="36"/>
      <c r="P428" s="36"/>
      <c r="Q428" s="38">
        <v>3</v>
      </c>
      <c r="R428" s="38">
        <v>0</v>
      </c>
      <c r="S428" s="36"/>
      <c r="T428" s="36"/>
      <c r="U428" s="36"/>
      <c r="V428" s="38">
        <v>6</v>
      </c>
      <c r="W428" s="36"/>
      <c r="X428" s="36"/>
      <c r="Y428" s="36"/>
      <c r="Z428" s="38">
        <v>5</v>
      </c>
      <c r="AA428" s="38">
        <v>9.25</v>
      </c>
      <c r="AB428" s="36"/>
      <c r="AC428" s="36"/>
      <c r="AD428" s="36"/>
      <c r="AE428" s="38">
        <v>2</v>
      </c>
      <c r="AF428" s="38">
        <v>7.25</v>
      </c>
      <c r="AG428" s="36"/>
      <c r="AH428" s="36"/>
      <c r="AI428" s="38">
        <v>20</v>
      </c>
      <c r="AJ428" s="38">
        <v>0</v>
      </c>
      <c r="AK428" s="36"/>
      <c r="AL428" s="36"/>
      <c r="AM428" s="36"/>
      <c r="AN428" s="36"/>
      <c r="AO428" s="36"/>
      <c r="AP428" s="36"/>
      <c r="AQ428" s="36"/>
      <c r="AR428" s="36"/>
      <c r="AS428" s="38">
        <v>26</v>
      </c>
      <c r="AT428" s="38">
        <v>6</v>
      </c>
      <c r="AU428" s="36"/>
      <c r="AV428" s="36"/>
      <c r="AW428" s="36"/>
      <c r="AX428" s="38">
        <v>12.6</v>
      </c>
      <c r="AY428" s="36"/>
      <c r="AZ428" s="38">
        <v>120</v>
      </c>
      <c r="BA428" s="36"/>
      <c r="BB428" s="36"/>
      <c r="BC428" s="36"/>
      <c r="BD428" s="38">
        <v>5.75</v>
      </c>
      <c r="BE428" s="36"/>
      <c r="BF428" s="38">
        <v>5.0999999999999996</v>
      </c>
      <c r="BG428" s="59">
        <v>28.02</v>
      </c>
      <c r="BH428" s="59">
        <v>3.5</v>
      </c>
      <c r="BI428" s="59">
        <v>0.44165459912556693</v>
      </c>
      <c r="BJ428" s="59">
        <v>10</v>
      </c>
      <c r="BK428" s="38">
        <v>5.3391999999999999</v>
      </c>
      <c r="BL428" s="59">
        <v>2.13</v>
      </c>
      <c r="BM428" s="36"/>
      <c r="BN428" s="38">
        <v>62</v>
      </c>
      <c r="BO428" s="36"/>
      <c r="BP428" s="39">
        <f t="shared" si="263"/>
        <v>0.46399193548387102</v>
      </c>
      <c r="BQ428" s="37"/>
      <c r="BR428" s="39">
        <f t="shared" si="264"/>
        <v>0.60816810035079438</v>
      </c>
      <c r="BS428" s="39">
        <f t="shared" si="296"/>
        <v>1.3042331384634991</v>
      </c>
      <c r="BT428" s="39">
        <f t="shared" si="295"/>
        <v>30.445665057996788</v>
      </c>
      <c r="BU428" s="37"/>
      <c r="BV428" s="39">
        <f t="shared" si="273"/>
        <v>0.5534247417102871</v>
      </c>
      <c r="BW428" s="39">
        <f t="shared" si="259"/>
        <v>3.0687973862995501</v>
      </c>
      <c r="BX428" s="39">
        <f t="shared" si="274"/>
        <v>0.30051939032647745</v>
      </c>
      <c r="BY428" s="39">
        <f t="shared" si="297"/>
        <v>5.9031467214769489</v>
      </c>
      <c r="BZ428" s="39">
        <f t="shared" si="281"/>
        <v>8.7679925322844312</v>
      </c>
      <c r="CA428" s="39">
        <f t="shared" si="260"/>
        <v>5.4616410016435202</v>
      </c>
      <c r="CB428" s="39">
        <f t="shared" si="261"/>
        <v>2.1788461442726805</v>
      </c>
      <c r="CC428" s="39">
        <f t="shared" si="292"/>
        <v>0.27839516129032255</v>
      </c>
      <c r="CD428" s="37"/>
      <c r="CE428" s="37"/>
      <c r="CF428" s="37"/>
      <c r="CG428" s="37"/>
      <c r="CH428" s="37"/>
      <c r="CI428" s="39">
        <f t="shared" si="293"/>
        <v>6.1375677104164659</v>
      </c>
      <c r="CJ428" s="39">
        <f t="shared" si="277"/>
        <v>0.10753150975123189</v>
      </c>
      <c r="CK428" s="37"/>
      <c r="CL428" s="37"/>
      <c r="CM428" s="37"/>
      <c r="CN428" s="37"/>
      <c r="CO428" s="39">
        <f>0.063495+(0.016949+0.014096)*Wages!P426+1.22592*BR428</f>
        <v>1.2411993266949488</v>
      </c>
      <c r="CP428" s="39"/>
      <c r="CQ428" s="39">
        <f t="shared" si="298"/>
        <v>1.3042331384634991</v>
      </c>
      <c r="CR428" s="39">
        <f t="shared" si="284"/>
        <v>0.5534247417102871</v>
      </c>
      <c r="CS428" s="39">
        <f t="shared" si="284"/>
        <v>3.0687973862995501</v>
      </c>
      <c r="CT428" s="39">
        <f t="shared" si="262"/>
        <v>5.4616410016435202</v>
      </c>
      <c r="CU428" s="39">
        <f t="shared" si="262"/>
        <v>2.1788461442726805</v>
      </c>
      <c r="CV428" s="39">
        <f t="shared" si="262"/>
        <v>0.27839516129032255</v>
      </c>
      <c r="CW428" s="39">
        <v>0.2</v>
      </c>
      <c r="CX428" s="39">
        <f t="shared" si="294"/>
        <v>6.1375677104164659</v>
      </c>
      <c r="CY428" s="39">
        <f t="shared" si="286"/>
        <v>8.7679925322844312</v>
      </c>
      <c r="CZ428" s="39">
        <f t="shared" si="265"/>
        <v>0.30051939032647745</v>
      </c>
      <c r="DA428" s="39">
        <v>4.3</v>
      </c>
      <c r="DB428" s="39">
        <f t="shared" si="299"/>
        <v>4.8713064092794864</v>
      </c>
      <c r="DC428" s="39">
        <f t="shared" si="266"/>
        <v>5.9031467214769489</v>
      </c>
      <c r="DD428" s="39">
        <v>4.2</v>
      </c>
      <c r="DE428" s="39">
        <v>0.05</v>
      </c>
      <c r="DF428" s="39">
        <v>0.10753150975123192</v>
      </c>
      <c r="DG428" s="39">
        <f t="shared" si="267"/>
        <v>0</v>
      </c>
      <c r="DH428" s="39">
        <f t="shared" si="268"/>
        <v>5.6599501924383064</v>
      </c>
      <c r="DI428" s="39">
        <f t="shared" si="278"/>
        <v>4.4381323930509691</v>
      </c>
      <c r="DJ428" s="37"/>
      <c r="DK428" s="37"/>
      <c r="DL428" s="37"/>
      <c r="DM428" s="39">
        <f t="shared" si="275"/>
        <v>1.3134370507374187</v>
      </c>
      <c r="DN428" s="39"/>
      <c r="DO428" s="39">
        <f t="shared" si="276"/>
        <v>1.3134370507374187</v>
      </c>
      <c r="DP428" s="37"/>
      <c r="DQ428" s="37">
        <f>DO428/'Conversions, Sources &amp; Comments'!E426</f>
        <v>2.8307324983304056</v>
      </c>
    </row>
    <row r="429" spans="1:121">
      <c r="A429" s="42">
        <f t="shared" si="269"/>
        <v>1677</v>
      </c>
      <c r="B429" s="36"/>
      <c r="C429" s="38">
        <v>46</v>
      </c>
      <c r="D429" s="38">
        <v>11</v>
      </c>
      <c r="E429" s="36"/>
      <c r="F429" s="36"/>
      <c r="G429" s="38">
        <v>15</v>
      </c>
      <c r="H429" s="38">
        <v>7.5</v>
      </c>
      <c r="I429" s="36"/>
      <c r="J429" s="36"/>
      <c r="K429" s="38">
        <v>3</v>
      </c>
      <c r="L429" s="38">
        <v>6</v>
      </c>
      <c r="M429" s="36"/>
      <c r="N429" s="36"/>
      <c r="O429" s="36"/>
      <c r="P429" s="36"/>
      <c r="Q429" s="38">
        <v>3</v>
      </c>
      <c r="R429" s="38">
        <v>6</v>
      </c>
      <c r="S429" s="36"/>
      <c r="T429" s="36"/>
      <c r="U429" s="36"/>
      <c r="V429" s="38">
        <v>6</v>
      </c>
      <c r="W429" s="36"/>
      <c r="X429" s="36"/>
      <c r="Y429" s="36"/>
      <c r="Z429" s="38">
        <v>5</v>
      </c>
      <c r="AA429" s="38">
        <v>6.25</v>
      </c>
      <c r="AB429" s="36"/>
      <c r="AC429" s="36"/>
      <c r="AD429" s="36"/>
      <c r="AE429" s="38">
        <v>2</v>
      </c>
      <c r="AF429" s="38">
        <v>7.25</v>
      </c>
      <c r="AG429" s="38">
        <v>14</v>
      </c>
      <c r="AH429" s="38">
        <v>0</v>
      </c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8">
        <v>24.36</v>
      </c>
      <c r="AT429" s="38">
        <v>6</v>
      </c>
      <c r="AU429" s="36"/>
      <c r="AV429" s="36"/>
      <c r="AW429" s="36"/>
      <c r="AX429" s="38">
        <v>14</v>
      </c>
      <c r="AY429" s="36"/>
      <c r="AZ429" s="38">
        <v>120</v>
      </c>
      <c r="BA429" s="36"/>
      <c r="BB429" s="36"/>
      <c r="BC429" s="36"/>
      <c r="BD429" s="38">
        <v>5.75</v>
      </c>
      <c r="BE429" s="36"/>
      <c r="BF429" s="38">
        <v>6.9</v>
      </c>
      <c r="BG429" s="59">
        <v>28.02</v>
      </c>
      <c r="BH429" s="59">
        <v>3.5</v>
      </c>
      <c r="BI429" s="59">
        <v>0.44165459912556693</v>
      </c>
      <c r="BJ429" s="59">
        <v>10</v>
      </c>
      <c r="BK429" s="38">
        <v>5.1688000000000001</v>
      </c>
      <c r="BL429" s="59">
        <v>2.13</v>
      </c>
      <c r="BM429" s="36"/>
      <c r="BN429" s="38">
        <v>62</v>
      </c>
      <c r="BO429" s="36"/>
      <c r="BP429" s="39">
        <f t="shared" si="263"/>
        <v>0.46399193548387102</v>
      </c>
      <c r="BQ429" s="37"/>
      <c r="BR429" s="39">
        <f t="shared" si="264"/>
        <v>0.92665396616372742</v>
      </c>
      <c r="BS429" s="39">
        <f t="shared" si="296"/>
        <v>1.7645507167447343</v>
      </c>
      <c r="BT429" s="39">
        <f t="shared" si="295"/>
        <v>30.445665057996788</v>
      </c>
      <c r="BU429" s="37"/>
      <c r="BV429" s="39">
        <f t="shared" si="273"/>
        <v>0.5534247417102871</v>
      </c>
      <c r="BW429" s="39">
        <f t="shared" si="259"/>
        <v>3.0687973862995501</v>
      </c>
      <c r="BX429" s="39">
        <f t="shared" si="274"/>
        <v>0.30051939032647745</v>
      </c>
      <c r="BY429" s="39">
        <f t="shared" si="297"/>
        <v>5.6474147335429299</v>
      </c>
      <c r="BZ429" s="39">
        <f t="shared" si="281"/>
        <v>8.7679925322844312</v>
      </c>
      <c r="CA429" s="39">
        <f t="shared" si="260"/>
        <v>5.2873333101017055</v>
      </c>
      <c r="CB429" s="39">
        <f t="shared" si="261"/>
        <v>2.1788461442726805</v>
      </c>
      <c r="CC429" s="39">
        <f t="shared" si="292"/>
        <v>0.27839516129032255</v>
      </c>
      <c r="CD429" s="37"/>
      <c r="CE429" s="37"/>
      <c r="CF429" s="37"/>
      <c r="CG429" s="37"/>
      <c r="CH429" s="37"/>
      <c r="CI429" s="39">
        <f t="shared" si="293"/>
        <v>6.1375677104164659</v>
      </c>
      <c r="CJ429" s="39">
        <f t="shared" si="277"/>
        <v>0.10074875298230804</v>
      </c>
      <c r="CK429" s="37"/>
      <c r="CL429" s="39">
        <f t="shared" ref="CL429:CL435" si="300">BP429*(12*AG429+AH429)/100</f>
        <v>0.77950645161290322</v>
      </c>
      <c r="CM429" s="37"/>
      <c r="CN429" s="37"/>
      <c r="CO429" s="39">
        <f>0.063495+(0.016949+0.014096)*Wages!P427+1.22592*BR429</f>
        <v>1.6316375193123398</v>
      </c>
      <c r="CP429" s="39"/>
      <c r="CQ429" s="39">
        <f t="shared" si="298"/>
        <v>1.7645507167447343</v>
      </c>
      <c r="CR429" s="39">
        <f t="shared" si="284"/>
        <v>0.5534247417102871</v>
      </c>
      <c r="CS429" s="39">
        <f t="shared" si="284"/>
        <v>3.0687973862995501</v>
      </c>
      <c r="CT429" s="39">
        <f t="shared" si="262"/>
        <v>5.2873333101017055</v>
      </c>
      <c r="CU429" s="39">
        <f t="shared" si="262"/>
        <v>2.1788461442726805</v>
      </c>
      <c r="CV429" s="39">
        <f t="shared" si="262"/>
        <v>0.27839516129032255</v>
      </c>
      <c r="CW429" s="39">
        <v>0.2</v>
      </c>
      <c r="CX429" s="39">
        <f t="shared" si="294"/>
        <v>6.1375677104164659</v>
      </c>
      <c r="CY429" s="39">
        <f t="shared" si="286"/>
        <v>8.7679925322844312</v>
      </c>
      <c r="CZ429" s="39">
        <f t="shared" si="265"/>
        <v>0.30051939032647745</v>
      </c>
      <c r="DA429" s="39">
        <v>4.3</v>
      </c>
      <c r="DB429" s="39">
        <f t="shared" si="299"/>
        <v>4.8713064092794864</v>
      </c>
      <c r="DC429" s="39">
        <f t="shared" si="266"/>
        <v>5.6474147335429299</v>
      </c>
      <c r="DD429" s="39">
        <v>4.2</v>
      </c>
      <c r="DE429" s="39">
        <v>0.05</v>
      </c>
      <c r="DF429" s="39">
        <v>0.10074875298230805</v>
      </c>
      <c r="DG429" s="39">
        <f t="shared" si="267"/>
        <v>0.77950645161290322</v>
      </c>
      <c r="DH429" s="39">
        <f t="shared" si="268"/>
        <v>5.6599501924383064</v>
      </c>
      <c r="DI429" s="39">
        <f t="shared" si="278"/>
        <v>4.1581886574892915</v>
      </c>
      <c r="DJ429" s="37"/>
      <c r="DK429" s="37"/>
      <c r="DL429" s="37"/>
      <c r="DM429" s="39">
        <f t="shared" si="275"/>
        <v>1.511573357461298</v>
      </c>
      <c r="DN429" s="39"/>
      <c r="DO429" s="39">
        <f t="shared" si="276"/>
        <v>1.511573357461298</v>
      </c>
      <c r="DP429" s="37"/>
      <c r="DQ429" s="37">
        <f>DO429/'Conversions, Sources &amp; Comments'!E427</f>
        <v>3.257757822633196</v>
      </c>
    </row>
    <row r="430" spans="1:121">
      <c r="A430" s="42">
        <f t="shared" si="269"/>
        <v>1678</v>
      </c>
      <c r="B430" s="36"/>
      <c r="C430" s="38">
        <v>53</v>
      </c>
      <c r="D430" s="38">
        <v>0.5</v>
      </c>
      <c r="E430" s="36"/>
      <c r="F430" s="36"/>
      <c r="G430" s="38">
        <v>14</v>
      </c>
      <c r="H430" s="38">
        <v>3.25</v>
      </c>
      <c r="I430" s="36"/>
      <c r="J430" s="36"/>
      <c r="K430" s="38">
        <v>3</v>
      </c>
      <c r="L430" s="38">
        <v>6</v>
      </c>
      <c r="M430" s="36"/>
      <c r="N430" s="36"/>
      <c r="O430" s="36"/>
      <c r="P430" s="36"/>
      <c r="Q430" s="38">
        <v>3</v>
      </c>
      <c r="R430" s="38">
        <v>0</v>
      </c>
      <c r="S430" s="36"/>
      <c r="T430" s="36"/>
      <c r="U430" s="36"/>
      <c r="V430" s="38">
        <v>6</v>
      </c>
      <c r="W430" s="36"/>
      <c r="X430" s="36"/>
      <c r="Y430" s="36"/>
      <c r="Z430" s="38">
        <v>5</v>
      </c>
      <c r="AA430" s="38">
        <v>3</v>
      </c>
      <c r="AB430" s="36"/>
      <c r="AC430" s="38">
        <v>2</v>
      </c>
      <c r="AD430" s="38">
        <v>6.75</v>
      </c>
      <c r="AE430" s="38">
        <v>2</v>
      </c>
      <c r="AF430" s="38">
        <v>7.25</v>
      </c>
      <c r="AG430" s="38">
        <v>20</v>
      </c>
      <c r="AH430" s="38">
        <v>0</v>
      </c>
      <c r="AI430" s="38">
        <v>20</v>
      </c>
      <c r="AJ430" s="38">
        <v>0</v>
      </c>
      <c r="AK430" s="36"/>
      <c r="AL430" s="36"/>
      <c r="AM430" s="36"/>
      <c r="AN430" s="36"/>
      <c r="AO430" s="36"/>
      <c r="AP430" s="36"/>
      <c r="AQ430" s="36"/>
      <c r="AR430" s="36"/>
      <c r="AS430" s="38">
        <v>26.4</v>
      </c>
      <c r="AT430" s="38">
        <v>6</v>
      </c>
      <c r="AU430" s="36"/>
      <c r="AV430" s="36"/>
      <c r="AW430" s="36"/>
      <c r="AX430" s="38">
        <v>14.6</v>
      </c>
      <c r="AY430" s="36"/>
      <c r="AZ430" s="38">
        <v>120</v>
      </c>
      <c r="BA430" s="36"/>
      <c r="BB430" s="36"/>
      <c r="BC430" s="38">
        <v>9</v>
      </c>
      <c r="BD430" s="38">
        <v>5.75</v>
      </c>
      <c r="BE430" s="36"/>
      <c r="BF430" s="38">
        <v>7.5</v>
      </c>
      <c r="BG430" s="59">
        <v>28.02</v>
      </c>
      <c r="BH430" s="59">
        <v>3.5</v>
      </c>
      <c r="BI430" s="59">
        <v>0.44165459912556693</v>
      </c>
      <c r="BJ430" s="59">
        <v>10</v>
      </c>
      <c r="BK430" s="38">
        <v>5.6231999999999998</v>
      </c>
      <c r="BL430" s="59">
        <v>2.13</v>
      </c>
      <c r="BM430" s="36"/>
      <c r="BN430" s="38">
        <v>62</v>
      </c>
      <c r="BO430" s="36"/>
      <c r="BP430" s="39">
        <f t="shared" si="263"/>
        <v>0.46399193548387102</v>
      </c>
      <c r="BQ430" s="37"/>
      <c r="BR430" s="39">
        <f t="shared" si="264"/>
        <v>1.0476292175190276</v>
      </c>
      <c r="BS430" s="39">
        <f t="shared" si="296"/>
        <v>1.917989909505146</v>
      </c>
      <c r="BT430" s="39">
        <f t="shared" si="295"/>
        <v>30.445665057996788</v>
      </c>
      <c r="BU430" s="37"/>
      <c r="BV430" s="39">
        <f t="shared" si="273"/>
        <v>0.5534247417102871</v>
      </c>
      <c r="BW430" s="39">
        <f t="shared" si="259"/>
        <v>3.0687973862995501</v>
      </c>
      <c r="BX430" s="39">
        <f t="shared" si="274"/>
        <v>0.30051939032647745</v>
      </c>
      <c r="BY430" s="39">
        <f t="shared" si="297"/>
        <v>5.370371746614409</v>
      </c>
      <c r="BZ430" s="39">
        <f t="shared" si="281"/>
        <v>8.7679925322844312</v>
      </c>
      <c r="CA430" s="39">
        <f t="shared" si="260"/>
        <v>5.7521538208798768</v>
      </c>
      <c r="CB430" s="39">
        <f t="shared" si="261"/>
        <v>2.1788461442726805</v>
      </c>
      <c r="CC430" s="39">
        <f t="shared" si="292"/>
        <v>0.27839516129032255</v>
      </c>
      <c r="CD430" s="37"/>
      <c r="CE430" s="37"/>
      <c r="CF430" s="37"/>
      <c r="CG430" s="37"/>
      <c r="CH430" s="37"/>
      <c r="CI430" s="39">
        <f t="shared" si="293"/>
        <v>6.1375677104164659</v>
      </c>
      <c r="CJ430" s="39">
        <f t="shared" si="277"/>
        <v>0.10918584067048159</v>
      </c>
      <c r="CK430" s="39">
        <f t="shared" ref="CK430:CK444" si="301">BP430*(12*AC430+AD430)/(35.238*8)</f>
        <v>5.0612094954768413E-2</v>
      </c>
      <c r="CL430" s="39">
        <f t="shared" si="300"/>
        <v>1.1135806451612904</v>
      </c>
      <c r="CM430" s="39">
        <f t="shared" ref="CM430:CM444" si="302">BP430*(12*$AC430+$AD430)/(35.238*8)/0.283</f>
        <v>0.17884132492851032</v>
      </c>
      <c r="CN430" s="37"/>
      <c r="CO430" s="39">
        <f>0.063495+(0.016949+0.014096)*Wages!P428+1.22592*BR430</f>
        <v>1.7799434994538292</v>
      </c>
      <c r="CP430" s="39"/>
      <c r="CQ430" s="39">
        <f t="shared" si="298"/>
        <v>1.917989909505146</v>
      </c>
      <c r="CR430" s="39">
        <f t="shared" si="284"/>
        <v>0.5534247417102871</v>
      </c>
      <c r="CS430" s="39">
        <f t="shared" si="284"/>
        <v>3.0687973862995501</v>
      </c>
      <c r="CT430" s="39">
        <f t="shared" si="262"/>
        <v>5.7521538208798768</v>
      </c>
      <c r="CU430" s="39">
        <f t="shared" si="262"/>
        <v>2.1788461442726805</v>
      </c>
      <c r="CV430" s="39">
        <f t="shared" si="262"/>
        <v>0.27839516129032255</v>
      </c>
      <c r="CW430" s="39">
        <v>0.2</v>
      </c>
      <c r="CX430" s="39">
        <f t="shared" si="294"/>
        <v>6.1375677104164659</v>
      </c>
      <c r="CY430" s="39">
        <f t="shared" si="286"/>
        <v>8.7679925322844312</v>
      </c>
      <c r="CZ430" s="39">
        <f t="shared" si="265"/>
        <v>0.30051939032647745</v>
      </c>
      <c r="DA430" s="39">
        <v>4.3</v>
      </c>
      <c r="DB430" s="39">
        <f t="shared" si="299"/>
        <v>4.8713064092794864</v>
      </c>
      <c r="DC430" s="39">
        <f t="shared" si="266"/>
        <v>5.370371746614409</v>
      </c>
      <c r="DD430" s="39">
        <v>4.2</v>
      </c>
      <c r="DE430" s="39">
        <f t="shared" ref="DE430:DE444" si="303">CK430</f>
        <v>5.0612094954768413E-2</v>
      </c>
      <c r="DF430" s="39">
        <v>0.10918584067048163</v>
      </c>
      <c r="DG430" s="39">
        <f t="shared" si="267"/>
        <v>1.1135806451612904</v>
      </c>
      <c r="DH430" s="39">
        <f t="shared" si="268"/>
        <v>5.7292387315789473</v>
      </c>
      <c r="DI430" s="39">
        <f t="shared" si="278"/>
        <v>4.5064113529440606</v>
      </c>
      <c r="DJ430" s="37"/>
      <c r="DK430" s="37"/>
      <c r="DL430" s="37"/>
      <c r="DM430" s="39">
        <f t="shared" si="275"/>
        <v>1.5838057618244124</v>
      </c>
      <c r="DN430" s="39"/>
      <c r="DO430" s="39">
        <f t="shared" si="276"/>
        <v>1.5838057618244124</v>
      </c>
      <c r="DP430" s="37"/>
      <c r="DQ430" s="37">
        <f>DO430/'Conversions, Sources &amp; Comments'!E428</f>
        <v>3.4134338136130546</v>
      </c>
    </row>
    <row r="431" spans="1:121">
      <c r="A431" s="42">
        <f t="shared" si="269"/>
        <v>1679</v>
      </c>
      <c r="B431" s="36"/>
      <c r="C431" s="38">
        <v>38</v>
      </c>
      <c r="D431" s="38">
        <v>5.75</v>
      </c>
      <c r="E431" s="36"/>
      <c r="F431" s="36"/>
      <c r="G431" s="38">
        <v>11</v>
      </c>
      <c r="H431" s="38">
        <v>7.25</v>
      </c>
      <c r="I431" s="36"/>
      <c r="J431" s="36"/>
      <c r="K431" s="38">
        <v>3</v>
      </c>
      <c r="L431" s="38">
        <v>6</v>
      </c>
      <c r="M431" s="36"/>
      <c r="N431" s="36"/>
      <c r="O431" s="36"/>
      <c r="P431" s="36"/>
      <c r="Q431" s="38">
        <v>2</v>
      </c>
      <c r="R431" s="38">
        <v>5</v>
      </c>
      <c r="S431" s="38">
        <v>3</v>
      </c>
      <c r="T431" s="38">
        <v>4</v>
      </c>
      <c r="U431" s="36"/>
      <c r="V431" s="38">
        <v>6</v>
      </c>
      <c r="W431" s="36"/>
      <c r="X431" s="36"/>
      <c r="Y431" s="36"/>
      <c r="Z431" s="38">
        <v>5</v>
      </c>
      <c r="AA431" s="38">
        <v>4</v>
      </c>
      <c r="AB431" s="36"/>
      <c r="AC431" s="38">
        <v>2</v>
      </c>
      <c r="AD431" s="38">
        <v>6.5</v>
      </c>
      <c r="AE431" s="38">
        <v>2</v>
      </c>
      <c r="AF431" s="38">
        <v>7.25</v>
      </c>
      <c r="AG431" s="38">
        <v>20</v>
      </c>
      <c r="AH431" s="38">
        <v>0</v>
      </c>
      <c r="AI431" s="38">
        <v>20</v>
      </c>
      <c r="AJ431" s="38">
        <v>0</v>
      </c>
      <c r="AK431" s="36"/>
      <c r="AL431" s="36"/>
      <c r="AM431" s="36"/>
      <c r="AN431" s="36"/>
      <c r="AO431" s="36"/>
      <c r="AP431" s="36"/>
      <c r="AQ431" s="36"/>
      <c r="AR431" s="36"/>
      <c r="AS431" s="38">
        <v>22.81</v>
      </c>
      <c r="AT431" s="38">
        <v>6</v>
      </c>
      <c r="AU431" s="36"/>
      <c r="AV431" s="36"/>
      <c r="AW431" s="36"/>
      <c r="AX431" s="38">
        <v>14</v>
      </c>
      <c r="AY431" s="36"/>
      <c r="AZ431" s="38">
        <v>120</v>
      </c>
      <c r="BA431" s="36"/>
      <c r="BB431" s="36"/>
      <c r="BC431" s="38">
        <v>8.5500000000000007</v>
      </c>
      <c r="BD431" s="38">
        <v>5.75</v>
      </c>
      <c r="BE431" s="36"/>
      <c r="BF431" s="38">
        <v>5.9</v>
      </c>
      <c r="BG431" s="59">
        <v>28.02</v>
      </c>
      <c r="BH431" s="59">
        <v>3.5</v>
      </c>
      <c r="BI431" s="59">
        <v>0.44165459912556693</v>
      </c>
      <c r="BJ431" s="59">
        <v>10</v>
      </c>
      <c r="BK431" s="38">
        <v>5.3391999999999999</v>
      </c>
      <c r="BL431" s="59">
        <v>2.13</v>
      </c>
      <c r="BM431" s="36"/>
      <c r="BN431" s="38">
        <v>62</v>
      </c>
      <c r="BO431" s="36"/>
      <c r="BP431" s="39">
        <f t="shared" si="263"/>
        <v>0.46399193548387102</v>
      </c>
      <c r="BQ431" s="37"/>
      <c r="BR431" s="39">
        <f t="shared" si="264"/>
        <v>0.76000438521509961</v>
      </c>
      <c r="BS431" s="39">
        <f t="shared" si="296"/>
        <v>1.5088187288107149</v>
      </c>
      <c r="BT431" s="39">
        <f t="shared" si="295"/>
        <v>30.445665057996788</v>
      </c>
      <c r="BU431" s="37"/>
      <c r="BV431" s="39">
        <f t="shared" si="273"/>
        <v>0.5534247417102871</v>
      </c>
      <c r="BW431" s="39">
        <f t="shared" si="259"/>
        <v>3.0687973862995501</v>
      </c>
      <c r="BX431" s="39">
        <f t="shared" si="274"/>
        <v>0.30051939032647745</v>
      </c>
      <c r="BY431" s="39">
        <f t="shared" si="297"/>
        <v>5.455615742592415</v>
      </c>
      <c r="BZ431" s="39">
        <f t="shared" si="281"/>
        <v>8.7679925322844312</v>
      </c>
      <c r="CA431" s="39">
        <f t="shared" si="260"/>
        <v>5.4616410016435202</v>
      </c>
      <c r="CB431" s="39">
        <f t="shared" si="261"/>
        <v>2.1788461442726805</v>
      </c>
      <c r="CC431" s="39">
        <f t="shared" si="292"/>
        <v>0.27839516129032255</v>
      </c>
      <c r="CD431" s="37"/>
      <c r="CE431" s="37"/>
      <c r="CF431" s="37"/>
      <c r="CG431" s="37"/>
      <c r="CH431" s="37"/>
      <c r="CI431" s="39">
        <f t="shared" si="293"/>
        <v>6.1375677104164659</v>
      </c>
      <c r="CJ431" s="39">
        <f t="shared" si="277"/>
        <v>9.4338220670215356E-2</v>
      </c>
      <c r="CK431" s="39">
        <f t="shared" si="301"/>
        <v>5.0200614507981675E-2</v>
      </c>
      <c r="CL431" s="39">
        <f t="shared" si="300"/>
        <v>1.1135806451612904</v>
      </c>
      <c r="CM431" s="39">
        <f t="shared" si="302"/>
        <v>0.17738733041689639</v>
      </c>
      <c r="CN431" s="37"/>
      <c r="CO431" s="39">
        <f>0.063495+(0.016949+0.014096)*Wages!P429+1.22592*BR431</f>
        <v>1.4273384650357981</v>
      </c>
      <c r="CP431" s="39"/>
      <c r="CQ431" s="39">
        <f t="shared" si="298"/>
        <v>1.5088187288107149</v>
      </c>
      <c r="CR431" s="39">
        <f t="shared" si="284"/>
        <v>0.5534247417102871</v>
      </c>
      <c r="CS431" s="39">
        <f t="shared" si="284"/>
        <v>3.0687973862995501</v>
      </c>
      <c r="CT431" s="39">
        <f t="shared" si="262"/>
        <v>5.4616410016435202</v>
      </c>
      <c r="CU431" s="39">
        <f t="shared" si="262"/>
        <v>2.1788461442726805</v>
      </c>
      <c r="CV431" s="39">
        <f t="shared" si="262"/>
        <v>0.27839516129032255</v>
      </c>
      <c r="CW431" s="39">
        <v>0.2</v>
      </c>
      <c r="CX431" s="39">
        <f t="shared" si="294"/>
        <v>6.1375677104164659</v>
      </c>
      <c r="CY431" s="39">
        <f t="shared" si="286"/>
        <v>8.7679925322844312</v>
      </c>
      <c r="CZ431" s="39">
        <f t="shared" si="265"/>
        <v>0.30051939032647745</v>
      </c>
      <c r="DA431" s="39">
        <v>4.3</v>
      </c>
      <c r="DB431" s="39">
        <f t="shared" si="299"/>
        <v>4.8713064092794864</v>
      </c>
      <c r="DC431" s="39">
        <f t="shared" si="266"/>
        <v>5.455615742592415</v>
      </c>
      <c r="DD431" s="39">
        <v>4.2</v>
      </c>
      <c r="DE431" s="39">
        <f t="shared" si="303"/>
        <v>5.0200614507981675E-2</v>
      </c>
      <c r="DF431" s="39">
        <v>9.4338220670215384E-2</v>
      </c>
      <c r="DG431" s="39">
        <f t="shared" si="267"/>
        <v>1.1135806451612904</v>
      </c>
      <c r="DH431" s="39">
        <f t="shared" si="268"/>
        <v>5.682659554899443</v>
      </c>
      <c r="DI431" s="39">
        <f t="shared" si="278"/>
        <v>3.893607687903561</v>
      </c>
      <c r="DJ431" s="37"/>
      <c r="DK431" s="37"/>
      <c r="DL431" s="37"/>
      <c r="DM431" s="39">
        <f t="shared" si="275"/>
        <v>1.4006500106970403</v>
      </c>
      <c r="DN431" s="39"/>
      <c r="DO431" s="39">
        <f t="shared" si="276"/>
        <v>1.4006500106970403</v>
      </c>
      <c r="DP431" s="37"/>
      <c r="DQ431" s="37">
        <f>DO431/'Conversions, Sources &amp; Comments'!E429</f>
        <v>3.0186947306236722</v>
      </c>
    </row>
    <row r="432" spans="1:121">
      <c r="A432" s="42">
        <f t="shared" si="269"/>
        <v>1680</v>
      </c>
      <c r="B432" s="36"/>
      <c r="C432" s="38">
        <v>39</v>
      </c>
      <c r="D432" s="38">
        <v>7.75</v>
      </c>
      <c r="E432" s="36"/>
      <c r="F432" s="36"/>
      <c r="G432" s="38">
        <v>12</v>
      </c>
      <c r="H432" s="38">
        <v>2.75</v>
      </c>
      <c r="I432" s="36"/>
      <c r="J432" s="36"/>
      <c r="K432" s="38">
        <v>3</v>
      </c>
      <c r="L432" s="38">
        <v>6</v>
      </c>
      <c r="M432" s="36"/>
      <c r="N432" s="36"/>
      <c r="O432" s="36"/>
      <c r="P432" s="36"/>
      <c r="Q432" s="38">
        <v>3</v>
      </c>
      <c r="R432" s="38">
        <v>3.25</v>
      </c>
      <c r="S432" s="36"/>
      <c r="T432" s="36"/>
      <c r="U432" s="36"/>
      <c r="V432" s="38">
        <v>6</v>
      </c>
      <c r="W432" s="36"/>
      <c r="X432" s="36"/>
      <c r="Y432" s="36"/>
      <c r="Z432" s="38">
        <v>4</v>
      </c>
      <c r="AA432" s="38">
        <v>10</v>
      </c>
      <c r="AB432" s="36"/>
      <c r="AC432" s="38">
        <v>2</v>
      </c>
      <c r="AD432" s="38">
        <v>8</v>
      </c>
      <c r="AE432" s="38">
        <v>2</v>
      </c>
      <c r="AF432" s="38">
        <v>7.25</v>
      </c>
      <c r="AG432" s="38">
        <v>25</v>
      </c>
      <c r="AH432" s="38">
        <v>0</v>
      </c>
      <c r="AI432" s="38">
        <v>20</v>
      </c>
      <c r="AJ432" s="38">
        <v>0</v>
      </c>
      <c r="AK432" s="36"/>
      <c r="AL432" s="36"/>
      <c r="AM432" s="36"/>
      <c r="AN432" s="36"/>
      <c r="AO432" s="36"/>
      <c r="AP432" s="36"/>
      <c r="AQ432" s="36"/>
      <c r="AR432" s="36"/>
      <c r="AS432" s="36"/>
      <c r="AT432" s="38">
        <v>6</v>
      </c>
      <c r="AU432" s="36"/>
      <c r="AV432" s="36"/>
      <c r="AW432" s="36"/>
      <c r="AX432" s="38">
        <v>12.8</v>
      </c>
      <c r="AY432" s="36"/>
      <c r="AZ432" s="38">
        <v>120</v>
      </c>
      <c r="BA432" s="36"/>
      <c r="BB432" s="36"/>
      <c r="BC432" s="36"/>
      <c r="BD432" s="38">
        <v>5.75</v>
      </c>
      <c r="BE432" s="36"/>
      <c r="BF432" s="38">
        <v>6.2</v>
      </c>
      <c r="BG432" s="59">
        <v>28.91</v>
      </c>
      <c r="BH432" s="59">
        <v>3.5</v>
      </c>
      <c r="BI432" s="59">
        <v>0.44165459912556693</v>
      </c>
      <c r="BJ432" s="59">
        <v>10</v>
      </c>
      <c r="BK432" s="38">
        <v>5.1688000000000001</v>
      </c>
      <c r="BL432" s="59">
        <v>2.02</v>
      </c>
      <c r="BM432" s="36"/>
      <c r="BN432" s="38">
        <v>62</v>
      </c>
      <c r="BO432" s="36"/>
      <c r="BP432" s="39">
        <f t="shared" si="263"/>
        <v>0.46399193548387102</v>
      </c>
      <c r="BQ432" s="37"/>
      <c r="BR432" s="39">
        <f t="shared" si="264"/>
        <v>0.78304729023515685</v>
      </c>
      <c r="BS432" s="39">
        <f t="shared" si="296"/>
        <v>1.5855383251909207</v>
      </c>
      <c r="BT432" s="39">
        <f t="shared" si="295"/>
        <v>30.445665057996788</v>
      </c>
      <c r="BU432" s="37"/>
      <c r="BV432" s="39">
        <f t="shared" si="273"/>
        <v>0.57100318639701642</v>
      </c>
      <c r="BW432" s="39">
        <f t="shared" si="259"/>
        <v>3.0687973862995501</v>
      </c>
      <c r="BX432" s="39">
        <f t="shared" si="274"/>
        <v>0.30051939032647745</v>
      </c>
      <c r="BY432" s="39">
        <f t="shared" si="297"/>
        <v>4.9441517667243762</v>
      </c>
      <c r="BZ432" s="39">
        <f t="shared" si="281"/>
        <v>8.7679925322844312</v>
      </c>
      <c r="CA432" s="39">
        <f t="shared" si="260"/>
        <v>5.2873333101017055</v>
      </c>
      <c r="CB432" s="39">
        <f t="shared" si="261"/>
        <v>2.0663235734416969</v>
      </c>
      <c r="CC432" s="39">
        <f t="shared" si="292"/>
        <v>0.27839516129032255</v>
      </c>
      <c r="CD432" s="37"/>
      <c r="CE432" s="37"/>
      <c r="CF432" s="37"/>
      <c r="CG432" s="37"/>
      <c r="CH432" s="37"/>
      <c r="CI432" s="39">
        <f t="shared" si="293"/>
        <v>6.1375677104164659</v>
      </c>
      <c r="CJ432" s="39">
        <f t="shared" si="277"/>
        <v>0</v>
      </c>
      <c r="CK432" s="39">
        <f t="shared" si="301"/>
        <v>5.2669497188702084E-2</v>
      </c>
      <c r="CL432" s="39">
        <f t="shared" si="300"/>
        <v>1.391975806451613</v>
      </c>
      <c r="CM432" s="39">
        <f t="shared" si="302"/>
        <v>0.18611129748657981</v>
      </c>
      <c r="CN432" s="37"/>
      <c r="CO432" s="39">
        <f>0.063495+(0.016949+0.014096)*Wages!P430+1.22592*BR432</f>
        <v>1.4555872231579867</v>
      </c>
      <c r="CP432" s="39"/>
      <c r="CQ432" s="39">
        <f t="shared" si="298"/>
        <v>1.5855383251909207</v>
      </c>
      <c r="CR432" s="39">
        <f t="shared" si="284"/>
        <v>0.57100318639701642</v>
      </c>
      <c r="CS432" s="39">
        <f t="shared" si="284"/>
        <v>3.0687973862995501</v>
      </c>
      <c r="CT432" s="39">
        <f t="shared" si="262"/>
        <v>5.2873333101017055</v>
      </c>
      <c r="CU432" s="39">
        <f t="shared" si="262"/>
        <v>2.0663235734416969</v>
      </c>
      <c r="CV432" s="39">
        <f t="shared" si="262"/>
        <v>0.27839516129032255</v>
      </c>
      <c r="CW432" s="39">
        <v>0.2</v>
      </c>
      <c r="CX432" s="39">
        <f t="shared" si="294"/>
        <v>6.1375677104164659</v>
      </c>
      <c r="CY432" s="39">
        <f t="shared" si="286"/>
        <v>8.7679925322844312</v>
      </c>
      <c r="CZ432" s="39">
        <f t="shared" si="265"/>
        <v>0.30051939032647745</v>
      </c>
      <c r="DA432" s="39">
        <v>4.3</v>
      </c>
      <c r="DB432" s="39">
        <f t="shared" si="299"/>
        <v>4.8713064092794864</v>
      </c>
      <c r="DC432" s="39">
        <f t="shared" si="266"/>
        <v>4.9441517667243762</v>
      </c>
      <c r="DD432" s="39">
        <v>4.2</v>
      </c>
      <c r="DE432" s="39">
        <f t="shared" si="303"/>
        <v>5.2669497188702084E-2</v>
      </c>
      <c r="DF432" s="39">
        <v>0.09</v>
      </c>
      <c r="DG432" s="39">
        <f t="shared" si="267"/>
        <v>1.391975806451613</v>
      </c>
      <c r="DH432" s="39">
        <f t="shared" si="268"/>
        <v>5.9621346149764642</v>
      </c>
      <c r="DI432" s="39">
        <f t="shared" si="278"/>
        <v>3.7145569359032566</v>
      </c>
      <c r="DJ432" s="37"/>
      <c r="DK432" s="37"/>
      <c r="DL432" s="37"/>
      <c r="DM432" s="39">
        <f t="shared" si="275"/>
        <v>1.4330750273666442</v>
      </c>
      <c r="DN432" s="39"/>
      <c r="DO432" s="39">
        <f t="shared" si="276"/>
        <v>1.4330750273666442</v>
      </c>
      <c r="DP432" s="37"/>
      <c r="DQ432" s="37">
        <f>DO432/'Conversions, Sources &amp; Comments'!E430</f>
        <v>3.0885774466579274</v>
      </c>
    </row>
    <row r="433" spans="1:121">
      <c r="A433" s="42">
        <f t="shared" si="269"/>
        <v>1681</v>
      </c>
      <c r="B433" s="36"/>
      <c r="C433" s="38">
        <v>36</v>
      </c>
      <c r="D433" s="38">
        <v>0.75</v>
      </c>
      <c r="E433" s="38">
        <v>24</v>
      </c>
      <c r="F433" s="38">
        <v>0</v>
      </c>
      <c r="G433" s="38">
        <v>16</v>
      </c>
      <c r="H433" s="38">
        <v>3.5</v>
      </c>
      <c r="I433" s="36"/>
      <c r="J433" s="36"/>
      <c r="K433" s="38">
        <v>3</v>
      </c>
      <c r="L433" s="38">
        <v>6</v>
      </c>
      <c r="M433" s="36"/>
      <c r="N433" s="36"/>
      <c r="O433" s="36"/>
      <c r="P433" s="36"/>
      <c r="Q433" s="38">
        <v>3</v>
      </c>
      <c r="R433" s="38">
        <v>6</v>
      </c>
      <c r="S433" s="36"/>
      <c r="T433" s="36"/>
      <c r="U433" s="36"/>
      <c r="V433" s="38">
        <v>6</v>
      </c>
      <c r="W433" s="36"/>
      <c r="X433" s="36"/>
      <c r="Y433" s="36"/>
      <c r="Z433" s="38">
        <v>4</v>
      </c>
      <c r="AA433" s="38">
        <v>8</v>
      </c>
      <c r="AB433" s="36"/>
      <c r="AC433" s="38">
        <v>2</v>
      </c>
      <c r="AD433" s="38">
        <v>6</v>
      </c>
      <c r="AE433" s="38">
        <v>2</v>
      </c>
      <c r="AF433" s="38">
        <v>7.25</v>
      </c>
      <c r="AG433" s="38">
        <v>14</v>
      </c>
      <c r="AH433" s="38">
        <v>0</v>
      </c>
      <c r="AI433" s="38">
        <v>20</v>
      </c>
      <c r="AJ433" s="38">
        <v>0</v>
      </c>
      <c r="AK433" s="36"/>
      <c r="AL433" s="36"/>
      <c r="AM433" s="36"/>
      <c r="AN433" s="36"/>
      <c r="AO433" s="36"/>
      <c r="AP433" s="36"/>
      <c r="AQ433" s="36"/>
      <c r="AR433" s="36"/>
      <c r="AS433" s="36"/>
      <c r="AT433" s="38">
        <v>6</v>
      </c>
      <c r="AU433" s="38">
        <v>2</v>
      </c>
      <c r="AV433" s="36"/>
      <c r="AW433" s="36"/>
      <c r="AX433" s="38">
        <v>12</v>
      </c>
      <c r="AY433" s="36"/>
      <c r="AZ433" s="38">
        <v>120</v>
      </c>
      <c r="BA433" s="36"/>
      <c r="BB433" s="36"/>
      <c r="BC433" s="36"/>
      <c r="BD433" s="38">
        <v>5.75</v>
      </c>
      <c r="BE433" s="36"/>
      <c r="BF433" s="38">
        <v>5.6</v>
      </c>
      <c r="BG433" s="59">
        <v>28.91</v>
      </c>
      <c r="BH433" s="59">
        <v>3.5</v>
      </c>
      <c r="BI433" s="59">
        <v>0.44165459912556693</v>
      </c>
      <c r="BJ433" s="59">
        <v>10</v>
      </c>
      <c r="BK433" s="38">
        <v>5.1688000000000001</v>
      </c>
      <c r="BL433" s="59">
        <v>2.02</v>
      </c>
      <c r="BM433" s="36"/>
      <c r="BN433" s="38">
        <v>62</v>
      </c>
      <c r="BO433" s="36"/>
      <c r="BP433" s="39">
        <f t="shared" si="263"/>
        <v>0.46399193548387102</v>
      </c>
      <c r="BQ433" s="37"/>
      <c r="BR433" s="39">
        <f t="shared" si="264"/>
        <v>0.71227265338783829</v>
      </c>
      <c r="BS433" s="39">
        <f t="shared" si="296"/>
        <v>1.432099132430509</v>
      </c>
      <c r="BT433" s="39">
        <f t="shared" si="295"/>
        <v>30.445665057996788</v>
      </c>
      <c r="BU433" s="37"/>
      <c r="BV433" s="39">
        <f t="shared" si="273"/>
        <v>0.57100318639701642</v>
      </c>
      <c r="BW433" s="39">
        <f t="shared" si="259"/>
        <v>3.0687973862995501</v>
      </c>
      <c r="BX433" s="39">
        <f t="shared" si="274"/>
        <v>0.30051939032647745</v>
      </c>
      <c r="BY433" s="39">
        <f t="shared" si="297"/>
        <v>4.7736637747683632</v>
      </c>
      <c r="BZ433" s="39">
        <f t="shared" si="281"/>
        <v>8.7679925322844312</v>
      </c>
      <c r="CA433" s="39">
        <f t="shared" si="260"/>
        <v>5.2873333101017055</v>
      </c>
      <c r="CB433" s="39">
        <f t="shared" si="261"/>
        <v>2.0663235734416969</v>
      </c>
      <c r="CC433" s="39">
        <f t="shared" si="292"/>
        <v>0.27839516129032255</v>
      </c>
      <c r="CD433" s="37"/>
      <c r="CE433" s="37"/>
      <c r="CF433" s="39">
        <f t="shared" ref="CF433:CF447" si="304">$BP433*12*$AU433</f>
        <v>11.135806451612904</v>
      </c>
      <c r="CG433" s="37"/>
      <c r="CH433" s="37"/>
      <c r="CI433" s="39">
        <f t="shared" si="293"/>
        <v>6.1375677104164659</v>
      </c>
      <c r="CJ433" s="39">
        <f t="shared" si="277"/>
        <v>0</v>
      </c>
      <c r="CK433" s="39">
        <f t="shared" si="301"/>
        <v>4.9377653614408205E-2</v>
      </c>
      <c r="CL433" s="39">
        <f t="shared" si="300"/>
        <v>0.77950645161290322</v>
      </c>
      <c r="CM433" s="39">
        <f t="shared" si="302"/>
        <v>0.17447934139366858</v>
      </c>
      <c r="CN433" s="37"/>
      <c r="CO433" s="39">
        <f>0.063495+(0.016949+0.014096)*Wages!P431+1.22592*BR433</f>
        <v>1.3688231803541218</v>
      </c>
      <c r="CP433" s="39"/>
      <c r="CQ433" s="39">
        <f t="shared" si="298"/>
        <v>1.432099132430509</v>
      </c>
      <c r="CR433" s="39">
        <f t="shared" si="284"/>
        <v>0.57100318639701642</v>
      </c>
      <c r="CS433" s="39">
        <f t="shared" si="284"/>
        <v>3.0687973862995501</v>
      </c>
      <c r="CT433" s="39">
        <f t="shared" si="262"/>
        <v>5.2873333101017055</v>
      </c>
      <c r="CU433" s="39">
        <f t="shared" si="262"/>
        <v>2.0663235734416969</v>
      </c>
      <c r="CV433" s="39">
        <f t="shared" si="262"/>
        <v>0.27839516129032255</v>
      </c>
      <c r="CW433" s="39">
        <v>0.2</v>
      </c>
      <c r="CX433" s="39">
        <f t="shared" si="294"/>
        <v>6.1375677104164659</v>
      </c>
      <c r="CY433" s="39">
        <f t="shared" si="286"/>
        <v>8.7679925322844312</v>
      </c>
      <c r="CZ433" s="39">
        <f t="shared" si="265"/>
        <v>0.30051939032647745</v>
      </c>
      <c r="DA433" s="39">
        <v>4.3</v>
      </c>
      <c r="DB433" s="39">
        <f t="shared" si="299"/>
        <v>4.8713064092794864</v>
      </c>
      <c r="DC433" s="39">
        <f t="shared" si="266"/>
        <v>4.7736637747683632</v>
      </c>
      <c r="DD433" s="39">
        <v>4.2</v>
      </c>
      <c r="DE433" s="39">
        <f t="shared" si="303"/>
        <v>4.9377653614408205E-2</v>
      </c>
      <c r="DF433" s="39">
        <v>0.09</v>
      </c>
      <c r="DG433" s="39">
        <f t="shared" si="267"/>
        <v>0.77950645161290322</v>
      </c>
      <c r="DH433" s="39">
        <f t="shared" si="268"/>
        <v>5.5895012015404353</v>
      </c>
      <c r="DI433" s="39">
        <f t="shared" si="278"/>
        <v>3.7145569359032566</v>
      </c>
      <c r="DJ433" s="37"/>
      <c r="DK433" s="37"/>
      <c r="DL433" s="37"/>
      <c r="DM433" s="39">
        <f t="shared" si="275"/>
        <v>1.3602081590716586</v>
      </c>
      <c r="DN433" s="39"/>
      <c r="DO433" s="39">
        <f t="shared" si="276"/>
        <v>1.3602081590716586</v>
      </c>
      <c r="DP433" s="37"/>
      <c r="DQ433" s="37">
        <f>DO433/'Conversions, Sources &amp; Comments'!E431</f>
        <v>2.9315340527485123</v>
      </c>
    </row>
    <row r="434" spans="1:121">
      <c r="A434" s="42">
        <f t="shared" si="269"/>
        <v>1682</v>
      </c>
      <c r="B434" s="36"/>
      <c r="C434" s="38">
        <v>34</v>
      </c>
      <c r="D434" s="38">
        <v>5.75</v>
      </c>
      <c r="E434" s="38">
        <v>19</v>
      </c>
      <c r="F434" s="38">
        <v>0</v>
      </c>
      <c r="G434" s="38">
        <v>15</v>
      </c>
      <c r="H434" s="38">
        <v>2.25</v>
      </c>
      <c r="I434" s="36"/>
      <c r="J434" s="36"/>
      <c r="K434" s="38">
        <v>3</v>
      </c>
      <c r="L434" s="38">
        <v>6</v>
      </c>
      <c r="M434" s="36"/>
      <c r="N434" s="36"/>
      <c r="O434" s="36"/>
      <c r="P434" s="36"/>
      <c r="Q434" s="38">
        <v>3</v>
      </c>
      <c r="R434" s="38">
        <v>0</v>
      </c>
      <c r="S434" s="36"/>
      <c r="T434" s="36"/>
      <c r="U434" s="36"/>
      <c r="V434" s="38">
        <v>6</v>
      </c>
      <c r="W434" s="36"/>
      <c r="X434" s="36"/>
      <c r="Y434" s="36"/>
      <c r="Z434" s="38">
        <v>4</v>
      </c>
      <c r="AA434" s="38">
        <v>4.5</v>
      </c>
      <c r="AB434" s="36"/>
      <c r="AC434" s="38">
        <v>2</v>
      </c>
      <c r="AD434" s="38">
        <v>7</v>
      </c>
      <c r="AE434" s="38">
        <v>2</v>
      </c>
      <c r="AF434" s="38">
        <v>7.25</v>
      </c>
      <c r="AG434" s="38">
        <v>20</v>
      </c>
      <c r="AH434" s="38">
        <v>0</v>
      </c>
      <c r="AI434" s="38">
        <v>20</v>
      </c>
      <c r="AJ434" s="38">
        <v>0</v>
      </c>
      <c r="AK434" s="36"/>
      <c r="AL434" s="36"/>
      <c r="AM434" s="36"/>
      <c r="AN434" s="36"/>
      <c r="AO434" s="36"/>
      <c r="AP434" s="36"/>
      <c r="AQ434" s="36"/>
      <c r="AR434" s="36"/>
      <c r="AS434" s="38">
        <v>21</v>
      </c>
      <c r="AT434" s="38">
        <v>6</v>
      </c>
      <c r="AU434" s="38">
        <v>2</v>
      </c>
      <c r="AV434" s="36"/>
      <c r="AW434" s="36"/>
      <c r="AX434" s="38">
        <v>12</v>
      </c>
      <c r="AY434" s="36"/>
      <c r="AZ434" s="38">
        <v>120</v>
      </c>
      <c r="BA434" s="36"/>
      <c r="BB434" s="36"/>
      <c r="BC434" s="36"/>
      <c r="BD434" s="38">
        <v>5.75</v>
      </c>
      <c r="BE434" s="36"/>
      <c r="BF434" s="38">
        <v>5.8</v>
      </c>
      <c r="BG434" s="59">
        <v>28.91</v>
      </c>
      <c r="BH434" s="59">
        <v>3.5</v>
      </c>
      <c r="BI434" s="59">
        <v>0.44165459912556693</v>
      </c>
      <c r="BJ434" s="59">
        <v>10</v>
      </c>
      <c r="BK434" s="38">
        <v>5.1688000000000001</v>
      </c>
      <c r="BL434" s="59">
        <v>2.02</v>
      </c>
      <c r="BM434" s="36"/>
      <c r="BN434" s="38">
        <v>62</v>
      </c>
      <c r="BO434" s="36"/>
      <c r="BP434" s="39">
        <f t="shared" si="263"/>
        <v>0.46399193548387102</v>
      </c>
      <c r="BQ434" s="37"/>
      <c r="BR434" s="39">
        <f t="shared" si="264"/>
        <v>0.68100013943204651</v>
      </c>
      <c r="BS434" s="39">
        <f t="shared" si="296"/>
        <v>1.4832455300173129</v>
      </c>
      <c r="BT434" s="39">
        <f t="shared" si="295"/>
        <v>30.445665057996788</v>
      </c>
      <c r="BU434" s="37"/>
      <c r="BV434" s="39">
        <f t="shared" si="273"/>
        <v>0.57100318639701642</v>
      </c>
      <c r="BW434" s="39">
        <f t="shared" si="259"/>
        <v>3.0687973862995501</v>
      </c>
      <c r="BX434" s="39">
        <f t="shared" si="274"/>
        <v>0.30051939032647745</v>
      </c>
      <c r="BY434" s="39">
        <f t="shared" si="297"/>
        <v>4.4753097888453404</v>
      </c>
      <c r="BZ434" s="39">
        <f t="shared" si="281"/>
        <v>8.7679925322844312</v>
      </c>
      <c r="CA434" s="39">
        <f t="shared" si="260"/>
        <v>5.2873333101017055</v>
      </c>
      <c r="CB434" s="39">
        <f t="shared" si="261"/>
        <v>2.0663235734416969</v>
      </c>
      <c r="CC434" s="39">
        <f t="shared" si="292"/>
        <v>0.27839516129032255</v>
      </c>
      <c r="CD434" s="37"/>
      <c r="CE434" s="37"/>
      <c r="CF434" s="39">
        <f t="shared" si="304"/>
        <v>11.135806451612904</v>
      </c>
      <c r="CG434" s="37"/>
      <c r="CH434" s="37"/>
      <c r="CI434" s="39">
        <f t="shared" si="293"/>
        <v>6.1375677104164659</v>
      </c>
      <c r="CJ434" s="39">
        <f t="shared" si="277"/>
        <v>8.6852373260610377E-2</v>
      </c>
      <c r="CK434" s="39">
        <f t="shared" si="301"/>
        <v>5.1023575401555145E-2</v>
      </c>
      <c r="CL434" s="39">
        <f t="shared" si="300"/>
        <v>1.1135806451612904</v>
      </c>
      <c r="CM434" s="39">
        <f t="shared" si="302"/>
        <v>0.1802953194401242</v>
      </c>
      <c r="CN434" s="37"/>
      <c r="CO434" s="39">
        <f>0.063495+(0.016949+0.014096)*Wages!P432+1.22592*BR434</f>
        <v>1.3304855800454376</v>
      </c>
      <c r="CP434" s="39"/>
      <c r="CQ434" s="39">
        <f t="shared" si="298"/>
        <v>1.4832455300173129</v>
      </c>
      <c r="CR434" s="39">
        <f t="shared" si="284"/>
        <v>0.57100318639701642</v>
      </c>
      <c r="CS434" s="39">
        <f t="shared" si="284"/>
        <v>3.0687973862995501</v>
      </c>
      <c r="CT434" s="39">
        <f t="shared" si="262"/>
        <v>5.2873333101017055</v>
      </c>
      <c r="CU434" s="39">
        <f t="shared" si="262"/>
        <v>2.0663235734416969</v>
      </c>
      <c r="CV434" s="39">
        <f t="shared" si="262"/>
        <v>0.27839516129032255</v>
      </c>
      <c r="CW434" s="39">
        <v>0.2</v>
      </c>
      <c r="CX434" s="39">
        <f t="shared" si="294"/>
        <v>6.1375677104164659</v>
      </c>
      <c r="CY434" s="39">
        <f t="shared" si="286"/>
        <v>8.7679925322844312</v>
      </c>
      <c r="CZ434" s="39">
        <f t="shared" si="265"/>
        <v>0.30051939032647745</v>
      </c>
      <c r="DA434" s="39">
        <v>4.3</v>
      </c>
      <c r="DB434" s="39">
        <f t="shared" si="299"/>
        <v>4.8713064092794864</v>
      </c>
      <c r="DC434" s="39">
        <f t="shared" si="266"/>
        <v>4.4753097888453404</v>
      </c>
      <c r="DD434" s="39">
        <v>4.2</v>
      </c>
      <c r="DE434" s="39">
        <f t="shared" si="303"/>
        <v>5.1023575401555145E-2</v>
      </c>
      <c r="DF434" s="39">
        <v>8.6852373260610391E-2</v>
      </c>
      <c r="DG434" s="39">
        <f t="shared" si="267"/>
        <v>1.1135806451612904</v>
      </c>
      <c r="DH434" s="39">
        <f t="shared" si="268"/>
        <v>5.7758179082584498</v>
      </c>
      <c r="DI434" s="39">
        <f t="shared" si="278"/>
        <v>3.5846453943873207</v>
      </c>
      <c r="DJ434" s="37"/>
      <c r="DK434" s="37"/>
      <c r="DL434" s="37"/>
      <c r="DM434" s="39">
        <f t="shared" si="275"/>
        <v>1.3830197695466702</v>
      </c>
      <c r="DN434" s="39"/>
      <c r="DO434" s="39">
        <f t="shared" si="276"/>
        <v>1.3830197695466702</v>
      </c>
      <c r="DP434" s="37"/>
      <c r="DQ434" s="37">
        <f>DO434/'Conversions, Sources &amp; Comments'!E432</f>
        <v>2.9806978608462167</v>
      </c>
    </row>
    <row r="435" spans="1:121">
      <c r="A435" s="42">
        <f t="shared" si="269"/>
        <v>1683</v>
      </c>
      <c r="B435" s="36"/>
      <c r="C435" s="38">
        <v>37</v>
      </c>
      <c r="D435" s="38">
        <v>4.5</v>
      </c>
      <c r="E435" s="36"/>
      <c r="F435" s="36"/>
      <c r="G435" s="38">
        <v>15</v>
      </c>
      <c r="H435" s="38">
        <v>5</v>
      </c>
      <c r="I435" s="38">
        <v>18</v>
      </c>
      <c r="J435" s="38">
        <v>3</v>
      </c>
      <c r="K435" s="38">
        <v>3</v>
      </c>
      <c r="L435" s="38">
        <v>6</v>
      </c>
      <c r="M435" s="36"/>
      <c r="N435" s="36"/>
      <c r="O435" s="36"/>
      <c r="P435" s="36"/>
      <c r="Q435" s="38">
        <v>3</v>
      </c>
      <c r="R435" s="38">
        <v>11</v>
      </c>
      <c r="S435" s="36"/>
      <c r="T435" s="36"/>
      <c r="U435" s="36"/>
      <c r="V435" s="36"/>
      <c r="W435" s="36"/>
      <c r="X435" s="36"/>
      <c r="Y435" s="36"/>
      <c r="Z435" s="38">
        <v>4</v>
      </c>
      <c r="AA435" s="38">
        <v>7.5</v>
      </c>
      <c r="AB435" s="36"/>
      <c r="AC435" s="38">
        <v>2</v>
      </c>
      <c r="AD435" s="38">
        <v>6.5</v>
      </c>
      <c r="AE435" s="38">
        <v>2</v>
      </c>
      <c r="AF435" s="38">
        <v>5.5</v>
      </c>
      <c r="AG435" s="38">
        <v>20</v>
      </c>
      <c r="AH435" s="38">
        <v>0</v>
      </c>
      <c r="AI435" s="38">
        <v>20</v>
      </c>
      <c r="AJ435" s="38">
        <v>0</v>
      </c>
      <c r="AK435" s="36"/>
      <c r="AL435" s="36"/>
      <c r="AM435" s="38">
        <v>0</v>
      </c>
      <c r="AN435" s="38">
        <v>419.53</v>
      </c>
      <c r="AO435" s="36"/>
      <c r="AP435" s="36"/>
      <c r="AQ435" s="36"/>
      <c r="AR435" s="36"/>
      <c r="AS435" s="36"/>
      <c r="AT435" s="38">
        <v>6</v>
      </c>
      <c r="AU435" s="38">
        <v>2</v>
      </c>
      <c r="AV435" s="36"/>
      <c r="AW435" s="36"/>
      <c r="AX435" s="38">
        <v>13</v>
      </c>
      <c r="AY435" s="36"/>
      <c r="AZ435" s="38">
        <v>120</v>
      </c>
      <c r="BA435" s="36"/>
      <c r="BB435" s="36"/>
      <c r="BC435" s="36"/>
      <c r="BD435" s="38">
        <v>5.75</v>
      </c>
      <c r="BE435" s="36"/>
      <c r="BF435" s="38">
        <v>5.6</v>
      </c>
      <c r="BG435" s="59">
        <v>28.91</v>
      </c>
      <c r="BH435" s="59">
        <v>3.5</v>
      </c>
      <c r="BI435" s="59">
        <v>0.44751977220195432</v>
      </c>
      <c r="BJ435" s="59">
        <v>10</v>
      </c>
      <c r="BK435" s="38">
        <v>4.9415999999999993</v>
      </c>
      <c r="BL435" s="59">
        <v>2.02</v>
      </c>
      <c r="BM435" s="36"/>
      <c r="BN435" s="38">
        <v>62</v>
      </c>
      <c r="BO435" s="36"/>
      <c r="BP435" s="39">
        <f t="shared" si="263"/>
        <v>0.46399193548387102</v>
      </c>
      <c r="BQ435" s="37"/>
      <c r="BR435" s="39">
        <f t="shared" si="264"/>
        <v>0.7381959215354027</v>
      </c>
      <c r="BS435" s="39">
        <f t="shared" si="296"/>
        <v>1.432099132430509</v>
      </c>
      <c r="BT435" s="39">
        <f t="shared" si="295"/>
        <v>30.445665057996788</v>
      </c>
      <c r="BU435" s="37"/>
      <c r="BV435" s="39">
        <f t="shared" si="273"/>
        <v>0.57100318639701642</v>
      </c>
      <c r="BW435" s="39">
        <f t="shared" si="259"/>
        <v>3.0687973862995501</v>
      </c>
      <c r="BX435" s="39">
        <f t="shared" si="274"/>
        <v>0.30451028783001294</v>
      </c>
      <c r="BY435" s="39">
        <f t="shared" si="297"/>
        <v>4.7310417767793602</v>
      </c>
      <c r="BZ435" s="39">
        <f t="shared" si="281"/>
        <v>8.7679925322844312</v>
      </c>
      <c r="CA435" s="39">
        <f t="shared" si="260"/>
        <v>5.054923054712618</v>
      </c>
      <c r="CB435" s="39">
        <f t="shared" si="261"/>
        <v>2.0663235734416969</v>
      </c>
      <c r="CC435" s="37"/>
      <c r="CD435" s="39">
        <f t="shared" ref="CD435:CD454" si="305">BP435*(12*AM435+AN435)/1000</f>
        <v>0.19465853669354841</v>
      </c>
      <c r="CE435" s="37"/>
      <c r="CF435" s="39">
        <f t="shared" si="304"/>
        <v>11.135806451612904</v>
      </c>
      <c r="CG435" s="37"/>
      <c r="CH435" s="37"/>
      <c r="CI435" s="39">
        <f t="shared" si="293"/>
        <v>6.1375677104164659</v>
      </c>
      <c r="CJ435" s="39">
        <f t="shared" si="277"/>
        <v>0</v>
      </c>
      <c r="CK435" s="39">
        <f t="shared" si="301"/>
        <v>5.0200614507981675E-2</v>
      </c>
      <c r="CL435" s="39">
        <f t="shared" si="300"/>
        <v>1.1135806451612904</v>
      </c>
      <c r="CM435" s="39">
        <f t="shared" si="302"/>
        <v>0.17738733041689639</v>
      </c>
      <c r="CN435" s="37"/>
      <c r="CO435" s="39">
        <f>0.063495+(0.016949+0.014096)*Wages!P433+1.22592*BR435</f>
        <v>1.400603033241584</v>
      </c>
      <c r="CP435" s="39"/>
      <c r="CQ435" s="39">
        <f t="shared" si="298"/>
        <v>1.432099132430509</v>
      </c>
      <c r="CR435" s="39">
        <f t="shared" si="284"/>
        <v>0.57100318639701642</v>
      </c>
      <c r="CS435" s="39">
        <f t="shared" si="284"/>
        <v>3.0687973862995501</v>
      </c>
      <c r="CT435" s="39">
        <f t="shared" si="262"/>
        <v>5.054923054712618</v>
      </c>
      <c r="CU435" s="39">
        <f t="shared" si="262"/>
        <v>2.0663235734416969</v>
      </c>
      <c r="CV435" s="39">
        <v>0.278395</v>
      </c>
      <c r="CW435" s="39">
        <f t="shared" ref="CW435:CW454" si="306">CD435</f>
        <v>0.19465853669354841</v>
      </c>
      <c r="CX435" s="39">
        <f t="shared" si="294"/>
        <v>6.1375677104164659</v>
      </c>
      <c r="CY435" s="39">
        <f t="shared" si="286"/>
        <v>8.7679925322844312</v>
      </c>
      <c r="CZ435" s="39">
        <f t="shared" si="265"/>
        <v>0.30451028783001294</v>
      </c>
      <c r="DA435" s="39">
        <v>4.3</v>
      </c>
      <c r="DB435" s="39">
        <f t="shared" si="299"/>
        <v>4.8713064092794864</v>
      </c>
      <c r="DC435" s="39">
        <f t="shared" si="266"/>
        <v>4.7310417767793602</v>
      </c>
      <c r="DD435" s="39">
        <v>4.2</v>
      </c>
      <c r="DE435" s="39">
        <f t="shared" si="303"/>
        <v>5.0200614507981675E-2</v>
      </c>
      <c r="DF435" s="39">
        <v>8.5000000000000006E-2</v>
      </c>
      <c r="DG435" s="39">
        <f t="shared" si="267"/>
        <v>1.1135806451612904</v>
      </c>
      <c r="DH435" s="39">
        <f t="shared" si="268"/>
        <v>5.682659554899443</v>
      </c>
      <c r="DI435" s="39">
        <f t="shared" si="278"/>
        <v>3.508192661686409</v>
      </c>
      <c r="DJ435" s="37"/>
      <c r="DK435" s="37"/>
      <c r="DL435" s="37"/>
      <c r="DM435" s="39">
        <f t="shared" si="275"/>
        <v>1.3599015208550218</v>
      </c>
      <c r="DN435" s="39"/>
      <c r="DO435" s="39">
        <f t="shared" si="276"/>
        <v>1.3599015208550218</v>
      </c>
      <c r="DP435" s="37"/>
      <c r="DQ435" s="37">
        <f>DO435/'Conversions, Sources &amp; Comments'!E433</f>
        <v>2.9308731830368071</v>
      </c>
    </row>
    <row r="436" spans="1:121">
      <c r="A436" s="42">
        <f t="shared" si="269"/>
        <v>1684</v>
      </c>
      <c r="B436" s="36"/>
      <c r="C436" s="38">
        <v>45</v>
      </c>
      <c r="D436" s="38">
        <v>10.75</v>
      </c>
      <c r="E436" s="36"/>
      <c r="F436" s="36"/>
      <c r="G436" s="38">
        <v>16</v>
      </c>
      <c r="H436" s="38">
        <v>8.75</v>
      </c>
      <c r="I436" s="36"/>
      <c r="J436" s="36"/>
      <c r="K436" s="38">
        <v>3</v>
      </c>
      <c r="L436" s="38">
        <v>6</v>
      </c>
      <c r="M436" s="36"/>
      <c r="N436" s="36"/>
      <c r="O436" s="36"/>
      <c r="P436" s="36"/>
      <c r="Q436" s="38">
        <v>4</v>
      </c>
      <c r="R436" s="38">
        <v>9</v>
      </c>
      <c r="S436" s="36"/>
      <c r="T436" s="36"/>
      <c r="U436" s="36"/>
      <c r="V436" s="38">
        <v>6</v>
      </c>
      <c r="W436" s="36"/>
      <c r="X436" s="36"/>
      <c r="Y436" s="36"/>
      <c r="Z436" s="38">
        <v>5</v>
      </c>
      <c r="AA436" s="38">
        <v>4</v>
      </c>
      <c r="AB436" s="36"/>
      <c r="AC436" s="38">
        <v>2</v>
      </c>
      <c r="AD436" s="38">
        <v>6.5</v>
      </c>
      <c r="AE436" s="38">
        <v>2</v>
      </c>
      <c r="AF436" s="38">
        <v>5.5</v>
      </c>
      <c r="AG436" s="36"/>
      <c r="AH436" s="36"/>
      <c r="AI436" s="38">
        <v>20</v>
      </c>
      <c r="AJ436" s="38">
        <v>0</v>
      </c>
      <c r="AK436" s="36"/>
      <c r="AL436" s="36"/>
      <c r="AM436" s="38">
        <v>0</v>
      </c>
      <c r="AN436" s="38">
        <v>419.53</v>
      </c>
      <c r="AO436" s="36"/>
      <c r="AP436" s="36"/>
      <c r="AQ436" s="36"/>
      <c r="AR436" s="36"/>
      <c r="AS436" s="36"/>
      <c r="AT436" s="38">
        <v>7</v>
      </c>
      <c r="AU436" s="38">
        <v>2</v>
      </c>
      <c r="AV436" s="36"/>
      <c r="AW436" s="36"/>
      <c r="AX436" s="36"/>
      <c r="AY436" s="36"/>
      <c r="AZ436" s="38">
        <v>120</v>
      </c>
      <c r="BA436" s="36"/>
      <c r="BB436" s="36"/>
      <c r="BC436" s="36"/>
      <c r="BD436" s="38">
        <v>5.75</v>
      </c>
      <c r="BE436" s="36"/>
      <c r="BF436" s="38">
        <v>6.6</v>
      </c>
      <c r="BG436" s="59">
        <v>28.91</v>
      </c>
      <c r="BH436" s="59">
        <v>3.5</v>
      </c>
      <c r="BI436" s="59">
        <v>0.44751977220195432</v>
      </c>
      <c r="BJ436" s="59">
        <v>10</v>
      </c>
      <c r="BK436" s="38">
        <v>5.9639999999999995</v>
      </c>
      <c r="BL436" s="59">
        <v>2.02</v>
      </c>
      <c r="BM436" s="36"/>
      <c r="BN436" s="38">
        <v>62</v>
      </c>
      <c r="BO436" s="36"/>
      <c r="BP436" s="39">
        <f t="shared" si="263"/>
        <v>0.46399193548387102</v>
      </c>
      <c r="BQ436" s="37"/>
      <c r="BR436" s="39">
        <f t="shared" si="264"/>
        <v>0.90649142427117735</v>
      </c>
      <c r="BS436" s="39">
        <f t="shared" si="296"/>
        <v>1.6878311203645284</v>
      </c>
      <c r="BT436" s="39">
        <f t="shared" si="295"/>
        <v>30.445665057996788</v>
      </c>
      <c r="BU436" s="37"/>
      <c r="BV436" s="39">
        <f t="shared" si="273"/>
        <v>0.57100318639701642</v>
      </c>
      <c r="BW436" s="39">
        <f t="shared" si="259"/>
        <v>3.0687973862995501</v>
      </c>
      <c r="BX436" s="39">
        <f t="shared" si="274"/>
        <v>0.30451028783001294</v>
      </c>
      <c r="BY436" s="39">
        <f t="shared" si="297"/>
        <v>5.455615742592415</v>
      </c>
      <c r="BZ436" s="39">
        <f t="shared" si="281"/>
        <v>8.7679925322844312</v>
      </c>
      <c r="CA436" s="39">
        <f t="shared" si="260"/>
        <v>6.1007692039635053</v>
      </c>
      <c r="CB436" s="39">
        <f t="shared" si="261"/>
        <v>2.0663235734416969</v>
      </c>
      <c r="CC436" s="39">
        <f>BP436*12*V436/120</f>
        <v>0.27839516129032255</v>
      </c>
      <c r="CD436" s="39">
        <f t="shared" si="305"/>
        <v>0.19465853669354841</v>
      </c>
      <c r="CE436" s="37"/>
      <c r="CF436" s="39">
        <f t="shared" si="304"/>
        <v>11.135806451612904</v>
      </c>
      <c r="CG436" s="37"/>
      <c r="CH436" s="37"/>
      <c r="CI436" s="39">
        <f t="shared" si="293"/>
        <v>7.1604956621525444</v>
      </c>
      <c r="CJ436" s="39">
        <f t="shared" si="277"/>
        <v>0</v>
      </c>
      <c r="CK436" s="39">
        <f t="shared" si="301"/>
        <v>5.0200614507981675E-2</v>
      </c>
      <c r="CL436" s="37"/>
      <c r="CM436" s="39">
        <f t="shared" si="302"/>
        <v>0.17738733041689639</v>
      </c>
      <c r="CN436" s="37"/>
      <c r="CO436" s="39">
        <f>0.063495+(0.016949+0.014096)*Wages!P434+1.22592*BR436</f>
        <v>1.6069198559554247</v>
      </c>
      <c r="CP436" s="39"/>
      <c r="CQ436" s="39">
        <f t="shared" si="298"/>
        <v>1.6878311203645284</v>
      </c>
      <c r="CR436" s="39">
        <f t="shared" si="284"/>
        <v>0.57100318639701642</v>
      </c>
      <c r="CS436" s="39">
        <f t="shared" si="284"/>
        <v>3.0687973862995501</v>
      </c>
      <c r="CT436" s="39">
        <f t="shared" si="262"/>
        <v>6.1007692039635053</v>
      </c>
      <c r="CU436" s="39">
        <f t="shared" si="262"/>
        <v>2.0663235734416969</v>
      </c>
      <c r="CV436" s="39">
        <f>CC436</f>
        <v>0.27839516129032255</v>
      </c>
      <c r="CW436" s="39">
        <f t="shared" si="306"/>
        <v>0.19465853669354841</v>
      </c>
      <c r="CX436" s="39">
        <f t="shared" si="294"/>
        <v>7.1604956621525444</v>
      </c>
      <c r="CY436" s="39">
        <f t="shared" si="286"/>
        <v>8.7679925322844312</v>
      </c>
      <c r="CZ436" s="39">
        <f t="shared" si="265"/>
        <v>0.30451028783001294</v>
      </c>
      <c r="DA436" s="39">
        <v>4.3</v>
      </c>
      <c r="DB436" s="39">
        <f t="shared" si="299"/>
        <v>4.8713064092794864</v>
      </c>
      <c r="DC436" s="39">
        <f t="shared" si="266"/>
        <v>5.455615742592415</v>
      </c>
      <c r="DD436" s="39">
        <v>4.2</v>
      </c>
      <c r="DE436" s="39">
        <f t="shared" si="303"/>
        <v>5.0200614507981675E-2</v>
      </c>
      <c r="DF436" s="39">
        <v>8.5000000000000006E-2</v>
      </c>
      <c r="DG436" s="39">
        <f t="shared" si="267"/>
        <v>0</v>
      </c>
      <c r="DH436" s="39">
        <f t="shared" si="268"/>
        <v>5.682659554899443</v>
      </c>
      <c r="DI436" s="39">
        <f t="shared" si="278"/>
        <v>3.508192661686409</v>
      </c>
      <c r="DJ436" s="37"/>
      <c r="DK436" s="37"/>
      <c r="DL436" s="37"/>
      <c r="DM436" s="39">
        <f t="shared" si="275"/>
        <v>1.4897296511391296</v>
      </c>
      <c r="DN436" s="39"/>
      <c r="DO436" s="39">
        <f t="shared" si="276"/>
        <v>1.4897296511391296</v>
      </c>
      <c r="DP436" s="37"/>
      <c r="DQ436" s="37">
        <f>DO436/'Conversions, Sources &amp; Comments'!E434</f>
        <v>3.2106800511210922</v>
      </c>
    </row>
    <row r="437" spans="1:121">
      <c r="A437" s="42">
        <f t="shared" si="269"/>
        <v>1685</v>
      </c>
      <c r="B437" s="36"/>
      <c r="C437" s="38">
        <v>28</v>
      </c>
      <c r="D437" s="38">
        <v>1.75</v>
      </c>
      <c r="E437" s="38">
        <v>28</v>
      </c>
      <c r="F437" s="38">
        <v>0</v>
      </c>
      <c r="G437" s="38">
        <v>14</v>
      </c>
      <c r="H437" s="38">
        <v>10.25</v>
      </c>
      <c r="I437" s="36"/>
      <c r="J437" s="36"/>
      <c r="K437" s="38">
        <v>3</v>
      </c>
      <c r="L437" s="38">
        <v>6</v>
      </c>
      <c r="M437" s="36"/>
      <c r="N437" s="36"/>
      <c r="O437" s="36"/>
      <c r="P437" s="36"/>
      <c r="Q437" s="38">
        <v>4</v>
      </c>
      <c r="R437" s="38">
        <v>10.75</v>
      </c>
      <c r="S437" s="36"/>
      <c r="T437" s="36"/>
      <c r="U437" s="36"/>
      <c r="V437" s="38">
        <v>7</v>
      </c>
      <c r="W437" s="36"/>
      <c r="X437" s="36"/>
      <c r="Y437" s="36"/>
      <c r="Z437" s="38">
        <v>5</v>
      </c>
      <c r="AA437" s="38">
        <v>0</v>
      </c>
      <c r="AB437" s="36"/>
      <c r="AC437" s="38">
        <v>2</v>
      </c>
      <c r="AD437" s="38">
        <v>7.5</v>
      </c>
      <c r="AE437" s="38">
        <v>2</v>
      </c>
      <c r="AF437" s="38">
        <v>5.5</v>
      </c>
      <c r="AG437" s="36"/>
      <c r="AH437" s="36"/>
      <c r="AI437" s="36"/>
      <c r="AJ437" s="36"/>
      <c r="AK437" s="36"/>
      <c r="AL437" s="36"/>
      <c r="AM437" s="38">
        <v>0</v>
      </c>
      <c r="AN437" s="38">
        <v>419.53</v>
      </c>
      <c r="AO437" s="36"/>
      <c r="AP437" s="36"/>
      <c r="AQ437" s="36"/>
      <c r="AR437" s="36"/>
      <c r="AS437" s="38">
        <v>20.53</v>
      </c>
      <c r="AT437" s="38">
        <v>6</v>
      </c>
      <c r="AU437" s="38">
        <v>2</v>
      </c>
      <c r="AV437" s="36"/>
      <c r="AW437" s="36"/>
      <c r="AX437" s="36"/>
      <c r="AY437" s="36"/>
      <c r="AZ437" s="38">
        <v>120</v>
      </c>
      <c r="BA437" s="36"/>
      <c r="BB437" s="36"/>
      <c r="BC437" s="38">
        <v>8.94</v>
      </c>
      <c r="BD437" s="38">
        <v>5.75</v>
      </c>
      <c r="BE437" s="36"/>
      <c r="BF437" s="38">
        <v>4.8</v>
      </c>
      <c r="BG437" s="59">
        <v>28.91</v>
      </c>
      <c r="BH437" s="59">
        <v>3.5</v>
      </c>
      <c r="BI437" s="59">
        <v>0.44751977220195432</v>
      </c>
      <c r="BJ437" s="59">
        <v>10</v>
      </c>
      <c r="BK437" s="38">
        <v>4.8847999999999994</v>
      </c>
      <c r="BL437" s="59">
        <v>2.02</v>
      </c>
      <c r="BM437" s="36"/>
      <c r="BN437" s="38">
        <v>62</v>
      </c>
      <c r="BO437" s="36"/>
      <c r="BP437" s="39">
        <f t="shared" si="263"/>
        <v>0.46399193548387102</v>
      </c>
      <c r="BQ437" s="37"/>
      <c r="BR437" s="39">
        <f t="shared" si="264"/>
        <v>0.55591008360887906</v>
      </c>
      <c r="BS437" s="39">
        <f t="shared" si="296"/>
        <v>1.2275135420832934</v>
      </c>
      <c r="BT437" s="39">
        <f t="shared" si="295"/>
        <v>30.445665057996788</v>
      </c>
      <c r="BU437" s="37"/>
      <c r="BV437" s="39">
        <f t="shared" si="273"/>
        <v>0.57100318639701642</v>
      </c>
      <c r="BW437" s="39">
        <f t="shared" si="259"/>
        <v>3.0687973862995501</v>
      </c>
      <c r="BX437" s="39">
        <f t="shared" si="274"/>
        <v>0.30451028783001294</v>
      </c>
      <c r="BY437" s="39">
        <f t="shared" si="297"/>
        <v>5.1146397586803891</v>
      </c>
      <c r="BZ437" s="39">
        <f t="shared" si="281"/>
        <v>8.7679925322844312</v>
      </c>
      <c r="CA437" s="39">
        <f t="shared" si="260"/>
        <v>4.9968204908653471</v>
      </c>
      <c r="CB437" s="39">
        <f t="shared" si="261"/>
        <v>2.0663235734416969</v>
      </c>
      <c r="CC437" s="39">
        <f>BP437*12*V437/120</f>
        <v>0.32479435483870966</v>
      </c>
      <c r="CD437" s="39">
        <f t="shared" si="305"/>
        <v>0.19465853669354841</v>
      </c>
      <c r="CE437" s="37"/>
      <c r="CF437" s="39">
        <f t="shared" si="304"/>
        <v>11.135806451612904</v>
      </c>
      <c r="CG437" s="37"/>
      <c r="CH437" s="37"/>
      <c r="CI437" s="39">
        <f t="shared" si="293"/>
        <v>6.1375677104164659</v>
      </c>
      <c r="CJ437" s="39">
        <f t="shared" si="277"/>
        <v>8.4908534430491955E-2</v>
      </c>
      <c r="CK437" s="39">
        <f t="shared" si="301"/>
        <v>5.1846536295128615E-2</v>
      </c>
      <c r="CL437" s="37"/>
      <c r="CM437" s="39">
        <f t="shared" si="302"/>
        <v>0.183203308463352</v>
      </c>
      <c r="CN437" s="37"/>
      <c r="CO437" s="39">
        <f>0.063495+(0.016949+0.014096)*Wages!P435+1.22592*BR437</f>
        <v>1.1771351788107003</v>
      </c>
      <c r="CP437" s="39"/>
      <c r="CQ437" s="39">
        <f t="shared" si="298"/>
        <v>1.2275135420832934</v>
      </c>
      <c r="CR437" s="39">
        <f t="shared" si="284"/>
        <v>0.57100318639701642</v>
      </c>
      <c r="CS437" s="39">
        <f t="shared" si="284"/>
        <v>3.0687973862995501</v>
      </c>
      <c r="CT437" s="39">
        <f t="shared" si="262"/>
        <v>4.9968204908653471</v>
      </c>
      <c r="CU437" s="39">
        <f t="shared" si="262"/>
        <v>2.0663235734416969</v>
      </c>
      <c r="CV437" s="39">
        <f>CC437</f>
        <v>0.32479435483870966</v>
      </c>
      <c r="CW437" s="39">
        <f t="shared" si="306"/>
        <v>0.19465853669354841</v>
      </c>
      <c r="CX437" s="39">
        <f t="shared" si="294"/>
        <v>6.1375677104164659</v>
      </c>
      <c r="CY437" s="39">
        <f t="shared" si="286"/>
        <v>8.7679925322844312</v>
      </c>
      <c r="CZ437" s="39">
        <f t="shared" si="265"/>
        <v>0.30451028783001294</v>
      </c>
      <c r="DA437" s="39">
        <v>4.3</v>
      </c>
      <c r="DB437" s="39">
        <f t="shared" si="299"/>
        <v>4.8713064092794864</v>
      </c>
      <c r="DC437" s="39">
        <f t="shared" si="266"/>
        <v>5.1146397586803891</v>
      </c>
      <c r="DD437" s="39">
        <v>4.2</v>
      </c>
      <c r="DE437" s="39">
        <f t="shared" si="303"/>
        <v>5.1846536295128615E-2</v>
      </c>
      <c r="DF437" s="39">
        <v>8.4908534430491969E-2</v>
      </c>
      <c r="DG437" s="39">
        <f t="shared" si="267"/>
        <v>0</v>
      </c>
      <c r="DH437" s="39">
        <f t="shared" si="268"/>
        <v>5.8689762616174574</v>
      </c>
      <c r="DI437" s="39">
        <f t="shared" si="278"/>
        <v>3.5044176165129377</v>
      </c>
      <c r="DJ437" s="37"/>
      <c r="DK437" s="37"/>
      <c r="DL437" s="37"/>
      <c r="DM437" s="39">
        <f t="shared" si="275"/>
        <v>1.2798940249601125</v>
      </c>
      <c r="DN437" s="39"/>
      <c r="DO437" s="39">
        <f t="shared" si="276"/>
        <v>1.2798940249601125</v>
      </c>
      <c r="DP437" s="37"/>
      <c r="DQ437" s="37">
        <f>DO437/'Conversions, Sources &amp; Comments'!E435</f>
        <v>2.7584402380299631</v>
      </c>
    </row>
    <row r="438" spans="1:121">
      <c r="A438" s="42">
        <f t="shared" si="269"/>
        <v>1686</v>
      </c>
      <c r="B438" s="36"/>
      <c r="C438" s="38">
        <v>32</v>
      </c>
      <c r="D438" s="38">
        <v>4</v>
      </c>
      <c r="E438" s="38">
        <v>24</v>
      </c>
      <c r="F438" s="38">
        <v>0</v>
      </c>
      <c r="G438" s="38">
        <v>14</v>
      </c>
      <c r="H438" s="38">
        <v>9</v>
      </c>
      <c r="I438" s="36"/>
      <c r="J438" s="36"/>
      <c r="K438" s="38">
        <v>3</v>
      </c>
      <c r="L438" s="38">
        <v>6</v>
      </c>
      <c r="M438" s="36"/>
      <c r="N438" s="36"/>
      <c r="O438" s="36"/>
      <c r="P438" s="36"/>
      <c r="Q438" s="36"/>
      <c r="R438" s="36"/>
      <c r="S438" s="36"/>
      <c r="T438" s="36"/>
      <c r="U438" s="36"/>
      <c r="V438" s="38">
        <v>7</v>
      </c>
      <c r="W438" s="36"/>
      <c r="X438" s="36"/>
      <c r="Y438" s="36"/>
      <c r="Z438" s="38">
        <v>4</v>
      </c>
      <c r="AA438" s="38">
        <v>9</v>
      </c>
      <c r="AB438" s="36"/>
      <c r="AC438" s="38">
        <v>2</v>
      </c>
      <c r="AD438" s="38">
        <v>6</v>
      </c>
      <c r="AE438" s="38">
        <v>2</v>
      </c>
      <c r="AF438" s="38">
        <v>5.5</v>
      </c>
      <c r="AG438" s="38">
        <v>36</v>
      </c>
      <c r="AH438" s="38">
        <v>4</v>
      </c>
      <c r="AI438" s="38">
        <v>20</v>
      </c>
      <c r="AJ438" s="38">
        <v>0</v>
      </c>
      <c r="AK438" s="36"/>
      <c r="AL438" s="36"/>
      <c r="AM438" s="38">
        <v>0</v>
      </c>
      <c r="AN438" s="38">
        <v>419.53</v>
      </c>
      <c r="AO438" s="36"/>
      <c r="AP438" s="36"/>
      <c r="AQ438" s="36"/>
      <c r="AR438" s="36"/>
      <c r="AS438" s="36"/>
      <c r="AT438" s="38">
        <v>3</v>
      </c>
      <c r="AU438" s="38">
        <v>2</v>
      </c>
      <c r="AV438" s="36"/>
      <c r="AW438" s="36"/>
      <c r="AX438" s="38">
        <v>13</v>
      </c>
      <c r="AY438" s="36"/>
      <c r="AZ438" s="38">
        <v>120</v>
      </c>
      <c r="BA438" s="36"/>
      <c r="BB438" s="36"/>
      <c r="BC438" s="36"/>
      <c r="BD438" s="38">
        <v>5.75</v>
      </c>
      <c r="BE438" s="36"/>
      <c r="BF438" s="38">
        <v>5.2</v>
      </c>
      <c r="BG438" s="59">
        <v>28.91</v>
      </c>
      <c r="BH438" s="59">
        <v>3.5</v>
      </c>
      <c r="BI438" s="59">
        <v>0.44751977220195432</v>
      </c>
      <c r="BJ438" s="59">
        <v>7</v>
      </c>
      <c r="BK438" s="38">
        <v>5.2255999999999991</v>
      </c>
      <c r="BL438" s="59">
        <v>2.02</v>
      </c>
      <c r="BM438" s="36"/>
      <c r="BN438" s="38">
        <v>62</v>
      </c>
      <c r="BO438" s="36"/>
      <c r="BP438" s="39">
        <f t="shared" si="263"/>
        <v>0.46399193548387102</v>
      </c>
      <c r="BQ438" s="37"/>
      <c r="BR438" s="39">
        <f t="shared" si="264"/>
        <v>0.6386176534130128</v>
      </c>
      <c r="BS438" s="39">
        <f t="shared" si="296"/>
        <v>1.3298063372569013</v>
      </c>
      <c r="BT438" s="39">
        <f t="shared" si="295"/>
        <v>30.445665057996788</v>
      </c>
      <c r="BU438" s="37"/>
      <c r="BV438" s="39">
        <f t="shared" si="273"/>
        <v>0.57100318639701642</v>
      </c>
      <c r="BW438" s="39">
        <f t="shared" si="259"/>
        <v>3.0687973862995501</v>
      </c>
      <c r="BX438" s="39">
        <f t="shared" si="274"/>
        <v>0.30451028783001294</v>
      </c>
      <c r="BY438" s="39">
        <f t="shared" si="297"/>
        <v>4.8589077707463693</v>
      </c>
      <c r="BZ438" s="39">
        <f t="shared" si="281"/>
        <v>6.1375947725991002</v>
      </c>
      <c r="CA438" s="39">
        <f t="shared" si="260"/>
        <v>5.3454358739489756</v>
      </c>
      <c r="CB438" s="39">
        <f t="shared" si="261"/>
        <v>2.0663235734416969</v>
      </c>
      <c r="CC438" s="39">
        <f>BP438*12*V438/120</f>
        <v>0.32479435483870966</v>
      </c>
      <c r="CD438" s="39">
        <f t="shared" si="305"/>
        <v>0.19465853669354841</v>
      </c>
      <c r="CE438" s="37"/>
      <c r="CF438" s="39">
        <f t="shared" si="304"/>
        <v>11.135806451612904</v>
      </c>
      <c r="CG438" s="37"/>
      <c r="CH438" s="37"/>
      <c r="CI438" s="39">
        <f t="shared" si="293"/>
        <v>3.0687838552082329</v>
      </c>
      <c r="CJ438" s="39">
        <f t="shared" si="277"/>
        <v>0</v>
      </c>
      <c r="CK438" s="39">
        <f t="shared" si="301"/>
        <v>4.9377653614408205E-2</v>
      </c>
      <c r="CL438" s="39">
        <f t="shared" ref="CL438:CL444" si="307">BP438*(12*AG438+AH438)/100</f>
        <v>2.0230048387096775</v>
      </c>
      <c r="CM438" s="39">
        <f t="shared" si="302"/>
        <v>0.17447934139366858</v>
      </c>
      <c r="CN438" s="37"/>
      <c r="CO438" s="39">
        <f>0.063495+(0.016949+0.014096)*Wages!P436+1.22592*BR438</f>
        <v>1.2785280427849837</v>
      </c>
      <c r="CP438" s="39"/>
      <c r="CQ438" s="39">
        <f t="shared" si="298"/>
        <v>1.3298063372569013</v>
      </c>
      <c r="CR438" s="39">
        <f t="shared" si="284"/>
        <v>0.57100318639701642</v>
      </c>
      <c r="CS438" s="39">
        <f t="shared" si="284"/>
        <v>3.0687973862995501</v>
      </c>
      <c r="CT438" s="39">
        <f t="shared" si="262"/>
        <v>5.3454358739489756</v>
      </c>
      <c r="CU438" s="39">
        <f t="shared" si="262"/>
        <v>2.0663235734416969</v>
      </c>
      <c r="CV438" s="39">
        <f>CC438</f>
        <v>0.32479435483870966</v>
      </c>
      <c r="CW438" s="39">
        <f t="shared" si="306"/>
        <v>0.19465853669354841</v>
      </c>
      <c r="CX438" s="39">
        <f t="shared" si="294"/>
        <v>3.0687838552082329</v>
      </c>
      <c r="CY438" s="39">
        <f t="shared" si="286"/>
        <v>6.1375947725991002</v>
      </c>
      <c r="CZ438" s="39">
        <f t="shared" si="265"/>
        <v>0.30451028783001294</v>
      </c>
      <c r="DA438" s="39">
        <v>4.3</v>
      </c>
      <c r="DB438" s="39">
        <f t="shared" si="299"/>
        <v>4.8713064092794864</v>
      </c>
      <c r="DC438" s="39">
        <f t="shared" si="266"/>
        <v>4.8589077707463693</v>
      </c>
      <c r="DD438" s="39">
        <v>4.2</v>
      </c>
      <c r="DE438" s="39">
        <f t="shared" si="303"/>
        <v>4.9377653614408205E-2</v>
      </c>
      <c r="DF438" s="39">
        <v>0.09</v>
      </c>
      <c r="DG438" s="39">
        <f t="shared" si="267"/>
        <v>2.0230048387096775</v>
      </c>
      <c r="DH438" s="39">
        <f t="shared" si="268"/>
        <v>5.5895012015404353</v>
      </c>
      <c r="DI438" s="39">
        <f t="shared" si="278"/>
        <v>3.7145569359032566</v>
      </c>
      <c r="DJ438" s="37"/>
      <c r="DK438" s="37"/>
      <c r="DL438" s="37"/>
      <c r="DM438" s="39">
        <f t="shared" si="275"/>
        <v>1.3241646149730912</v>
      </c>
      <c r="DN438" s="39"/>
      <c r="DO438" s="39">
        <f t="shared" si="276"/>
        <v>1.3241646149730912</v>
      </c>
      <c r="DP438" s="37"/>
      <c r="DQ438" s="37">
        <f>DO438/'Conversions, Sources &amp; Comments'!E436</f>
        <v>2.8538526506763411</v>
      </c>
    </row>
    <row r="439" spans="1:121">
      <c r="A439" s="42">
        <f t="shared" si="269"/>
        <v>1687</v>
      </c>
      <c r="B439" s="36"/>
      <c r="C439" s="38">
        <v>27</v>
      </c>
      <c r="D439" s="38">
        <v>4</v>
      </c>
      <c r="E439" s="36"/>
      <c r="F439" s="36"/>
      <c r="G439" s="38">
        <v>13</v>
      </c>
      <c r="H439" s="38">
        <v>2.5</v>
      </c>
      <c r="I439" s="36"/>
      <c r="J439" s="36"/>
      <c r="K439" s="38">
        <v>3</v>
      </c>
      <c r="L439" s="38">
        <v>6</v>
      </c>
      <c r="M439" s="36"/>
      <c r="N439" s="36"/>
      <c r="O439" s="36"/>
      <c r="P439" s="36"/>
      <c r="Q439" s="38">
        <v>3</v>
      </c>
      <c r="R439" s="38">
        <v>3</v>
      </c>
      <c r="S439" s="36"/>
      <c r="T439" s="36"/>
      <c r="U439" s="36"/>
      <c r="V439" s="38">
        <v>7</v>
      </c>
      <c r="W439" s="36"/>
      <c r="X439" s="36"/>
      <c r="Y439" s="36"/>
      <c r="Z439" s="38">
        <v>4</v>
      </c>
      <c r="AA439" s="38">
        <v>5.75</v>
      </c>
      <c r="AB439" s="36"/>
      <c r="AC439" s="38">
        <v>2</v>
      </c>
      <c r="AD439" s="38">
        <v>6</v>
      </c>
      <c r="AE439" s="38">
        <v>2</v>
      </c>
      <c r="AF439" s="38">
        <v>5.5</v>
      </c>
      <c r="AG439" s="38">
        <v>37</v>
      </c>
      <c r="AH439" s="38">
        <v>7</v>
      </c>
      <c r="AI439" s="38">
        <v>20</v>
      </c>
      <c r="AJ439" s="38">
        <v>0</v>
      </c>
      <c r="AK439" s="36"/>
      <c r="AL439" s="36"/>
      <c r="AM439" s="38">
        <v>0</v>
      </c>
      <c r="AN439" s="38">
        <v>419.53</v>
      </c>
      <c r="AO439" s="36"/>
      <c r="AP439" s="36"/>
      <c r="AQ439" s="36"/>
      <c r="AR439" s="36"/>
      <c r="AS439" s="36"/>
      <c r="AT439" s="38">
        <v>3</v>
      </c>
      <c r="AU439" s="38">
        <v>2</v>
      </c>
      <c r="AV439" s="36"/>
      <c r="AW439" s="36"/>
      <c r="AX439" s="38">
        <v>12.9</v>
      </c>
      <c r="AY439" s="36"/>
      <c r="AZ439" s="38">
        <v>120</v>
      </c>
      <c r="BA439" s="36"/>
      <c r="BB439" s="36"/>
      <c r="BC439" s="36"/>
      <c r="BD439" s="38">
        <v>5.75</v>
      </c>
      <c r="BE439" s="36"/>
      <c r="BF439" s="38">
        <v>4.5</v>
      </c>
      <c r="BG439" s="59">
        <v>28.91</v>
      </c>
      <c r="BH439" s="59">
        <v>3.5</v>
      </c>
      <c r="BI439" s="59">
        <v>0.47112179397922571</v>
      </c>
      <c r="BJ439" s="59">
        <v>7</v>
      </c>
      <c r="BK439" s="38">
        <v>5.2824</v>
      </c>
      <c r="BL439" s="59">
        <v>2.02</v>
      </c>
      <c r="BM439" s="36"/>
      <c r="BN439" s="38">
        <v>62</v>
      </c>
      <c r="BO439" s="36"/>
      <c r="BP439" s="39">
        <f t="shared" si="263"/>
        <v>0.46399193548387102</v>
      </c>
      <c r="BQ439" s="37"/>
      <c r="BR439" s="39">
        <f t="shared" si="264"/>
        <v>0.53986234618419637</v>
      </c>
      <c r="BS439" s="39">
        <f t="shared" si="296"/>
        <v>1.1507939457030876</v>
      </c>
      <c r="BT439" s="39">
        <f t="shared" si="295"/>
        <v>30.445665057996788</v>
      </c>
      <c r="BU439" s="37"/>
      <c r="BV439" s="39">
        <f t="shared" si="273"/>
        <v>0.57100318639701642</v>
      </c>
      <c r="BW439" s="39">
        <f t="shared" si="259"/>
        <v>3.0687973862995501</v>
      </c>
      <c r="BX439" s="39">
        <f t="shared" si="274"/>
        <v>0.32057004404906064</v>
      </c>
      <c r="BY439" s="39">
        <f t="shared" si="297"/>
        <v>4.5818647838178483</v>
      </c>
      <c r="BZ439" s="39">
        <f t="shared" si="281"/>
        <v>6.1375947725991002</v>
      </c>
      <c r="CA439" s="39">
        <f t="shared" si="260"/>
        <v>5.4035384377962483</v>
      </c>
      <c r="CB439" s="39">
        <f t="shared" si="261"/>
        <v>2.0663235734416969</v>
      </c>
      <c r="CC439" s="39">
        <f>BP439*12*V439/120</f>
        <v>0.32479435483870966</v>
      </c>
      <c r="CD439" s="39">
        <f t="shared" si="305"/>
        <v>0.19465853669354841</v>
      </c>
      <c r="CE439" s="37"/>
      <c r="CF439" s="39">
        <f t="shared" si="304"/>
        <v>11.135806451612904</v>
      </c>
      <c r="CG439" s="37"/>
      <c r="CH439" s="37"/>
      <c r="CI439" s="39">
        <f t="shared" si="293"/>
        <v>3.0687838552082329</v>
      </c>
      <c r="CJ439" s="39">
        <f t="shared" si="277"/>
        <v>0</v>
      </c>
      <c r="CK439" s="39">
        <f t="shared" si="301"/>
        <v>4.9377653614408205E-2</v>
      </c>
      <c r="CL439" s="39">
        <f t="shared" si="307"/>
        <v>2.0926036290322583</v>
      </c>
      <c r="CM439" s="39">
        <f t="shared" si="302"/>
        <v>0.17447934139366858</v>
      </c>
      <c r="CN439" s="37"/>
      <c r="CO439" s="39">
        <f>0.063495+(0.016949+0.014096)*Wages!P437+1.22592*BR439</f>
        <v>1.1574619365470331</v>
      </c>
      <c r="CP439" s="39"/>
      <c r="CQ439" s="39">
        <f t="shared" si="298"/>
        <v>1.1507939457030876</v>
      </c>
      <c r="CR439" s="39">
        <f t="shared" si="284"/>
        <v>0.57100318639701642</v>
      </c>
      <c r="CS439" s="39">
        <f t="shared" si="284"/>
        <v>3.0687973862995501</v>
      </c>
      <c r="CT439" s="39">
        <f t="shared" si="262"/>
        <v>5.4035384377962483</v>
      </c>
      <c r="CU439" s="39">
        <f t="shared" si="262"/>
        <v>2.0663235734416969</v>
      </c>
      <c r="CV439" s="39">
        <f>CC439</f>
        <v>0.32479435483870966</v>
      </c>
      <c r="CW439" s="39">
        <f t="shared" si="306"/>
        <v>0.19465853669354841</v>
      </c>
      <c r="CX439" s="39">
        <f t="shared" si="294"/>
        <v>3.0687838552082329</v>
      </c>
      <c r="CY439" s="39">
        <f t="shared" si="286"/>
        <v>6.1375947725991002</v>
      </c>
      <c r="CZ439" s="39">
        <f t="shared" si="265"/>
        <v>0.32057004404906064</v>
      </c>
      <c r="DA439" s="39">
        <v>4.3</v>
      </c>
      <c r="DB439" s="39">
        <f t="shared" si="299"/>
        <v>4.8713064092794864</v>
      </c>
      <c r="DC439" s="39">
        <f t="shared" si="266"/>
        <v>4.5818647838178483</v>
      </c>
      <c r="DD439" s="39">
        <v>4.2</v>
      </c>
      <c r="DE439" s="39">
        <f t="shared" si="303"/>
        <v>4.9377653614408205E-2</v>
      </c>
      <c r="DF439" s="39">
        <v>0.1</v>
      </c>
      <c r="DG439" s="39">
        <f t="shared" si="267"/>
        <v>2.0926036290322583</v>
      </c>
      <c r="DH439" s="39">
        <f t="shared" si="268"/>
        <v>5.5895012015404353</v>
      </c>
      <c r="DI439" s="39">
        <f t="shared" si="278"/>
        <v>4.1272854843369515</v>
      </c>
      <c r="DJ439" s="37"/>
      <c r="DK439" s="37"/>
      <c r="DL439" s="37"/>
      <c r="DM439" s="39">
        <f t="shared" si="275"/>
        <v>1.2516756964372278</v>
      </c>
      <c r="DN439" s="39"/>
      <c r="DO439" s="39">
        <f t="shared" si="276"/>
        <v>1.2516756964372278</v>
      </c>
      <c r="DP439" s="37"/>
      <c r="DQ439" s="37">
        <f>DO439/'Conversions, Sources &amp; Comments'!E437</f>
        <v>2.6976238178190011</v>
      </c>
    </row>
    <row r="440" spans="1:121">
      <c r="A440" s="42">
        <f t="shared" si="269"/>
        <v>1688</v>
      </c>
      <c r="B440" s="36"/>
      <c r="C440" s="38">
        <v>26</v>
      </c>
      <c r="D440" s="38">
        <v>9.5</v>
      </c>
      <c r="E440" s="36"/>
      <c r="F440" s="36"/>
      <c r="G440" s="38">
        <v>11</v>
      </c>
      <c r="H440" s="38">
        <v>9.25</v>
      </c>
      <c r="I440" s="36"/>
      <c r="J440" s="36"/>
      <c r="K440" s="38">
        <v>3</v>
      </c>
      <c r="L440" s="38">
        <v>6</v>
      </c>
      <c r="M440" s="36"/>
      <c r="N440" s="36"/>
      <c r="O440" s="36"/>
      <c r="P440" s="36"/>
      <c r="Q440" s="38">
        <v>3</v>
      </c>
      <c r="R440" s="38">
        <v>7.5</v>
      </c>
      <c r="S440" s="36"/>
      <c r="T440" s="36"/>
      <c r="U440" s="36"/>
      <c r="V440" s="38">
        <v>7</v>
      </c>
      <c r="W440" s="36"/>
      <c r="X440" s="36"/>
      <c r="Y440" s="36"/>
      <c r="Z440" s="38">
        <v>4</v>
      </c>
      <c r="AA440" s="38">
        <v>7.75</v>
      </c>
      <c r="AB440" s="36"/>
      <c r="AC440" s="38">
        <v>2</v>
      </c>
      <c r="AD440" s="38">
        <v>2</v>
      </c>
      <c r="AE440" s="38">
        <v>2</v>
      </c>
      <c r="AF440" s="38">
        <v>5.5</v>
      </c>
      <c r="AG440" s="38">
        <v>23</v>
      </c>
      <c r="AH440" s="38">
        <v>4</v>
      </c>
      <c r="AI440" s="38">
        <v>20</v>
      </c>
      <c r="AJ440" s="38">
        <v>0</v>
      </c>
      <c r="AK440" s="36"/>
      <c r="AL440" s="36"/>
      <c r="AM440" s="38">
        <v>0</v>
      </c>
      <c r="AN440" s="38">
        <v>419.53</v>
      </c>
      <c r="AO440" s="36"/>
      <c r="AP440" s="36"/>
      <c r="AQ440" s="36"/>
      <c r="AR440" s="36"/>
      <c r="AS440" s="36"/>
      <c r="AT440" s="38">
        <v>6</v>
      </c>
      <c r="AU440" s="38">
        <v>2</v>
      </c>
      <c r="AV440" s="36"/>
      <c r="AW440" s="36"/>
      <c r="AX440" s="38">
        <v>18.600000000000001</v>
      </c>
      <c r="AY440" s="36"/>
      <c r="AZ440" s="38">
        <v>120</v>
      </c>
      <c r="BA440" s="36"/>
      <c r="BB440" s="36"/>
      <c r="BC440" s="38">
        <v>9.33</v>
      </c>
      <c r="BD440" s="38">
        <v>5.75</v>
      </c>
      <c r="BE440" s="36"/>
      <c r="BF440" s="38">
        <v>4.4000000000000004</v>
      </c>
      <c r="BG440" s="59">
        <v>28.91</v>
      </c>
      <c r="BH440" s="59">
        <v>3.5</v>
      </c>
      <c r="BI440" s="59">
        <v>0.45458624578796425</v>
      </c>
      <c r="BJ440" s="59">
        <v>10</v>
      </c>
      <c r="BK440" s="38">
        <v>5.5663999999999998</v>
      </c>
      <c r="BL440" s="59">
        <v>2.02</v>
      </c>
      <c r="BM440" s="36"/>
      <c r="BN440" s="38">
        <v>62</v>
      </c>
      <c r="BO440" s="36"/>
      <c r="BP440" s="39">
        <f t="shared" si="263"/>
        <v>0.46399193548387102</v>
      </c>
      <c r="BQ440" s="37"/>
      <c r="BR440" s="39">
        <f t="shared" si="264"/>
        <v>0.52916385456774129</v>
      </c>
      <c r="BS440" s="39">
        <f t="shared" si="296"/>
        <v>1.1252207469096858</v>
      </c>
      <c r="BT440" s="39">
        <f t="shared" si="295"/>
        <v>30.445665057996788</v>
      </c>
      <c r="BU440" s="37"/>
      <c r="BV440" s="39">
        <f t="shared" si="273"/>
        <v>0.57100318639701642</v>
      </c>
      <c r="BW440" s="39">
        <f t="shared" si="259"/>
        <v>3.0687973862995501</v>
      </c>
      <c r="BX440" s="39">
        <f t="shared" si="274"/>
        <v>0.30931859807523721</v>
      </c>
      <c r="BY440" s="39">
        <f t="shared" si="297"/>
        <v>4.7523527757738622</v>
      </c>
      <c r="BZ440" s="39">
        <f t="shared" si="281"/>
        <v>8.7679925322844312</v>
      </c>
      <c r="CA440" s="39">
        <f t="shared" si="260"/>
        <v>5.6940512570326058</v>
      </c>
      <c r="CB440" s="39">
        <f t="shared" si="261"/>
        <v>2.0663235734416969</v>
      </c>
      <c r="CC440" s="39">
        <f>BP440*12*V440/120</f>
        <v>0.32479435483870966</v>
      </c>
      <c r="CD440" s="39">
        <f t="shared" si="305"/>
        <v>0.19465853669354841</v>
      </c>
      <c r="CE440" s="37"/>
      <c r="CF440" s="39">
        <f t="shared" si="304"/>
        <v>11.135806451612904</v>
      </c>
      <c r="CG440" s="37"/>
      <c r="CH440" s="37"/>
      <c r="CI440" s="39">
        <f t="shared" si="293"/>
        <v>6.1375677104164659</v>
      </c>
      <c r="CJ440" s="39">
        <f t="shared" si="277"/>
        <v>0</v>
      </c>
      <c r="CK440" s="39">
        <f t="shared" si="301"/>
        <v>4.2793966465820441E-2</v>
      </c>
      <c r="CL440" s="39">
        <f t="shared" si="307"/>
        <v>1.2991774193548389</v>
      </c>
      <c r="CM440" s="39">
        <f t="shared" si="302"/>
        <v>0.15121542920784609</v>
      </c>
      <c r="CN440" s="37"/>
      <c r="CO440" s="39">
        <f>0.063495+(0.016949+0.014096)*Wages!P438+1.22592*BR440</f>
        <v>1.1443464417045885</v>
      </c>
      <c r="CP440" s="39"/>
      <c r="CQ440" s="39">
        <f t="shared" si="298"/>
        <v>1.1252207469096858</v>
      </c>
      <c r="CR440" s="39">
        <f t="shared" si="284"/>
        <v>0.57100318639701642</v>
      </c>
      <c r="CS440" s="39">
        <f t="shared" si="284"/>
        <v>3.0687973862995501</v>
      </c>
      <c r="CT440" s="39">
        <f t="shared" si="262"/>
        <v>5.6940512570326058</v>
      </c>
      <c r="CU440" s="39">
        <f t="shared" si="262"/>
        <v>2.0663235734416969</v>
      </c>
      <c r="CV440" s="39">
        <f>CC440</f>
        <v>0.32479435483870966</v>
      </c>
      <c r="CW440" s="39">
        <f t="shared" si="306"/>
        <v>0.19465853669354841</v>
      </c>
      <c r="CX440" s="39">
        <f t="shared" si="294"/>
        <v>6.1375677104164659</v>
      </c>
      <c r="CY440" s="39">
        <f t="shared" si="286"/>
        <v>8.7679925322844312</v>
      </c>
      <c r="CZ440" s="39">
        <f t="shared" si="265"/>
        <v>0.30931859807523721</v>
      </c>
      <c r="DA440" s="39">
        <v>4.3</v>
      </c>
      <c r="DB440" s="39">
        <f t="shared" si="299"/>
        <v>4.8713064092794864</v>
      </c>
      <c r="DC440" s="39">
        <f t="shared" si="266"/>
        <v>4.7523527757738622</v>
      </c>
      <c r="DD440" s="39">
        <v>4.2</v>
      </c>
      <c r="DE440" s="39">
        <f t="shared" si="303"/>
        <v>4.2793966465820441E-2</v>
      </c>
      <c r="DF440" s="39">
        <v>0.11</v>
      </c>
      <c r="DG440" s="39">
        <f t="shared" si="267"/>
        <v>1.2991774193548389</v>
      </c>
      <c r="DH440" s="39">
        <f t="shared" si="268"/>
        <v>4.8442343746683765</v>
      </c>
      <c r="DI440" s="39">
        <f t="shared" si="278"/>
        <v>4.5400140327706469</v>
      </c>
      <c r="DJ440" s="37"/>
      <c r="DK440" s="37"/>
      <c r="DL440" s="37"/>
      <c r="DM440" s="39">
        <f t="shared" si="275"/>
        <v>1.2312502671869539</v>
      </c>
      <c r="DN440" s="39"/>
      <c r="DO440" s="39">
        <f t="shared" si="276"/>
        <v>1.2312502671869539</v>
      </c>
      <c r="DP440" s="37"/>
      <c r="DQ440" s="37">
        <f>DO440/'Conversions, Sources &amp; Comments'!E438</f>
        <v>2.6536027310538328</v>
      </c>
    </row>
    <row r="441" spans="1:121">
      <c r="A441" s="42">
        <f t="shared" si="269"/>
        <v>1689</v>
      </c>
      <c r="B441" s="36"/>
      <c r="C441" s="38">
        <v>29</v>
      </c>
      <c r="D441" s="38">
        <v>11.75</v>
      </c>
      <c r="E441" s="36"/>
      <c r="F441" s="36"/>
      <c r="G441" s="38">
        <v>12</v>
      </c>
      <c r="H441" s="38">
        <v>1.75</v>
      </c>
      <c r="I441" s="36"/>
      <c r="J441" s="36"/>
      <c r="K441" s="38">
        <v>3</v>
      </c>
      <c r="L441" s="38">
        <v>6</v>
      </c>
      <c r="M441" s="36"/>
      <c r="N441" s="36"/>
      <c r="O441" s="36"/>
      <c r="P441" s="36"/>
      <c r="Q441" s="38">
        <v>3</v>
      </c>
      <c r="R441" s="38">
        <v>4</v>
      </c>
      <c r="S441" s="36"/>
      <c r="T441" s="36"/>
      <c r="U441" s="36"/>
      <c r="V441" s="36"/>
      <c r="W441" s="36"/>
      <c r="X441" s="36"/>
      <c r="Y441" s="36"/>
      <c r="Z441" s="38">
        <v>4</v>
      </c>
      <c r="AA441" s="38">
        <v>10.5</v>
      </c>
      <c r="AB441" s="36"/>
      <c r="AC441" s="38">
        <v>2</v>
      </c>
      <c r="AD441" s="38">
        <v>6.5</v>
      </c>
      <c r="AE441" s="38">
        <v>2</v>
      </c>
      <c r="AF441" s="38">
        <v>5.5</v>
      </c>
      <c r="AG441" s="38">
        <v>35</v>
      </c>
      <c r="AH441" s="38">
        <v>9</v>
      </c>
      <c r="AI441" s="38">
        <v>20</v>
      </c>
      <c r="AJ441" s="38">
        <v>0</v>
      </c>
      <c r="AK441" s="36"/>
      <c r="AL441" s="36"/>
      <c r="AM441" s="38">
        <v>0</v>
      </c>
      <c r="AN441" s="38">
        <v>419.53</v>
      </c>
      <c r="AO441" s="36"/>
      <c r="AP441" s="36"/>
      <c r="AQ441" s="36"/>
      <c r="AR441" s="36"/>
      <c r="AS441" s="36"/>
      <c r="AT441" s="38">
        <v>6</v>
      </c>
      <c r="AU441" s="38">
        <v>3</v>
      </c>
      <c r="AV441" s="36"/>
      <c r="AW441" s="38">
        <v>4.5</v>
      </c>
      <c r="AX441" s="38">
        <v>14.6</v>
      </c>
      <c r="AY441" s="36"/>
      <c r="AZ441" s="38">
        <v>120</v>
      </c>
      <c r="BA441" s="36"/>
      <c r="BB441" s="36"/>
      <c r="BC441" s="38">
        <v>8.5</v>
      </c>
      <c r="BD441" s="38">
        <v>5.75</v>
      </c>
      <c r="BE441" s="36"/>
      <c r="BF441" s="38">
        <v>5.3</v>
      </c>
      <c r="BG441" s="59">
        <v>28.91</v>
      </c>
      <c r="BH441" s="59">
        <v>3.5</v>
      </c>
      <c r="BI441" s="59">
        <v>0.43105488874655457</v>
      </c>
      <c r="BJ441" s="59">
        <v>10</v>
      </c>
      <c r="BK441" s="38">
        <v>5.2824</v>
      </c>
      <c r="BL441" s="59">
        <v>2.02</v>
      </c>
      <c r="BM441" s="36"/>
      <c r="BN441" s="38">
        <v>62</v>
      </c>
      <c r="BO441" s="36"/>
      <c r="BP441" s="39">
        <f t="shared" si="263"/>
        <v>0.46399193548387102</v>
      </c>
      <c r="BQ441" s="37"/>
      <c r="BR441" s="39">
        <f t="shared" si="264"/>
        <v>0.5921203629261117</v>
      </c>
      <c r="BS441" s="39">
        <f t="shared" si="296"/>
        <v>1.3553795360503031</v>
      </c>
      <c r="BT441" s="39">
        <f t="shared" si="295"/>
        <v>30.445665057996788</v>
      </c>
      <c r="BU441" s="37"/>
      <c r="BV441" s="39">
        <f t="shared" si="273"/>
        <v>0.57100318639701642</v>
      </c>
      <c r="BW441" s="39">
        <f t="shared" si="259"/>
        <v>3.0687973862995501</v>
      </c>
      <c r="BX441" s="39">
        <f t="shared" si="274"/>
        <v>0.29330692495864286</v>
      </c>
      <c r="BY441" s="39">
        <f t="shared" si="297"/>
        <v>4.9867737647133801</v>
      </c>
      <c r="BZ441" s="39">
        <f t="shared" si="281"/>
        <v>8.7679925322844312</v>
      </c>
      <c r="CA441" s="39">
        <f t="shared" si="260"/>
        <v>5.4035384377962483</v>
      </c>
      <c r="CB441" s="39">
        <f t="shared" si="261"/>
        <v>2.0663235734416969</v>
      </c>
      <c r="CC441" s="37"/>
      <c r="CD441" s="39">
        <f t="shared" si="305"/>
        <v>0.19465853669354841</v>
      </c>
      <c r="CE441" s="37"/>
      <c r="CF441" s="39">
        <f t="shared" si="304"/>
        <v>16.703709677419354</v>
      </c>
      <c r="CG441" s="37"/>
      <c r="CH441" s="39">
        <f>BP441*12*AW441/(12*0.453592)</f>
        <v>4.6031757828123503</v>
      </c>
      <c r="CI441" s="39">
        <f t="shared" si="293"/>
        <v>6.1375677104164659</v>
      </c>
      <c r="CJ441" s="39">
        <f t="shared" si="277"/>
        <v>0</v>
      </c>
      <c r="CK441" s="39">
        <f t="shared" si="301"/>
        <v>5.0200614507981675E-2</v>
      </c>
      <c r="CL441" s="39">
        <f t="shared" si="307"/>
        <v>1.9905254032258066</v>
      </c>
      <c r="CM441" s="39">
        <f t="shared" si="302"/>
        <v>0.17738733041689639</v>
      </c>
      <c r="CN441" s="37"/>
      <c r="CO441" s="39">
        <f>0.063495+(0.016949+0.014096)*Wages!P439+1.22592*BR441</f>
        <v>1.2215260844312819</v>
      </c>
      <c r="CP441" s="39"/>
      <c r="CQ441" s="39">
        <f t="shared" si="298"/>
        <v>1.3553795360503031</v>
      </c>
      <c r="CR441" s="39">
        <f t="shared" si="284"/>
        <v>0.57100318639701642</v>
      </c>
      <c r="CS441" s="39">
        <f t="shared" si="284"/>
        <v>3.0687973862995501</v>
      </c>
      <c r="CT441" s="39">
        <f t="shared" si="262"/>
        <v>5.4035384377962483</v>
      </c>
      <c r="CU441" s="39">
        <f t="shared" si="262"/>
        <v>2.0663235734416969</v>
      </c>
      <c r="CV441" s="39">
        <v>0.32479400000000003</v>
      </c>
      <c r="CW441" s="39">
        <f t="shared" si="306"/>
        <v>0.19465853669354841</v>
      </c>
      <c r="CX441" s="39">
        <f t="shared" si="294"/>
        <v>6.1375677104164659</v>
      </c>
      <c r="CY441" s="39">
        <f t="shared" si="286"/>
        <v>8.7679925322844312</v>
      </c>
      <c r="CZ441" s="39">
        <f t="shared" si="265"/>
        <v>0.29330692495864286</v>
      </c>
      <c r="DA441" s="39">
        <f>CH441</f>
        <v>4.6031757828123503</v>
      </c>
      <c r="DB441" s="39">
        <f t="shared" si="299"/>
        <v>4.8713064092794864</v>
      </c>
      <c r="DC441" s="39">
        <f t="shared" si="266"/>
        <v>4.9867737647133801</v>
      </c>
      <c r="DD441" s="39">
        <v>4.2</v>
      </c>
      <c r="DE441" s="39">
        <f t="shared" si="303"/>
        <v>5.0200614507981675E-2</v>
      </c>
      <c r="DF441" s="39">
        <v>0.13</v>
      </c>
      <c r="DG441" s="39">
        <f t="shared" si="267"/>
        <v>1.9905254032258066</v>
      </c>
      <c r="DH441" s="39">
        <f t="shared" si="268"/>
        <v>5.682659554899443</v>
      </c>
      <c r="DI441" s="39">
        <f t="shared" si="278"/>
        <v>5.3654711296380375</v>
      </c>
      <c r="DJ441" s="37"/>
      <c r="DK441" s="37"/>
      <c r="DL441" s="37"/>
      <c r="DM441" s="39">
        <f t="shared" si="275"/>
        <v>1.33502009705733</v>
      </c>
      <c r="DN441" s="39"/>
      <c r="DO441" s="39">
        <f t="shared" si="276"/>
        <v>1.33502009705733</v>
      </c>
      <c r="DP441" s="37"/>
      <c r="DQ441" s="37">
        <f>DO441/'Conversions, Sources &amp; Comments'!E439</f>
        <v>2.8772484928323441</v>
      </c>
    </row>
    <row r="442" spans="1:121">
      <c r="A442" s="42">
        <f t="shared" si="269"/>
        <v>1690</v>
      </c>
      <c r="B442" s="36"/>
      <c r="C442" s="38">
        <v>28</v>
      </c>
      <c r="D442" s="38">
        <v>10.25</v>
      </c>
      <c r="E442" s="36"/>
      <c r="F442" s="36"/>
      <c r="G442" s="38">
        <v>12</v>
      </c>
      <c r="H442" s="38">
        <v>0.75</v>
      </c>
      <c r="I442" s="36"/>
      <c r="J442" s="36"/>
      <c r="K442" s="38">
        <v>3</v>
      </c>
      <c r="L442" s="38">
        <v>3</v>
      </c>
      <c r="M442" s="36"/>
      <c r="N442" s="36"/>
      <c r="O442" s="36"/>
      <c r="P442" s="36"/>
      <c r="Q442" s="38">
        <v>3</v>
      </c>
      <c r="R442" s="38">
        <v>9.75</v>
      </c>
      <c r="S442" s="36"/>
      <c r="T442" s="36"/>
      <c r="U442" s="36"/>
      <c r="V442" s="38">
        <v>7</v>
      </c>
      <c r="W442" s="36"/>
      <c r="X442" s="36"/>
      <c r="Y442" s="36"/>
      <c r="Z442" s="38">
        <v>4</v>
      </c>
      <c r="AA442" s="38">
        <v>6.75</v>
      </c>
      <c r="AB442" s="36"/>
      <c r="AC442" s="38">
        <v>2</v>
      </c>
      <c r="AD442" s="38">
        <v>4.5</v>
      </c>
      <c r="AE442" s="38">
        <v>2</v>
      </c>
      <c r="AF442" s="38">
        <v>5.5</v>
      </c>
      <c r="AG442" s="38">
        <v>35</v>
      </c>
      <c r="AH442" s="38">
        <v>1</v>
      </c>
      <c r="AI442" s="38">
        <v>20</v>
      </c>
      <c r="AJ442" s="38">
        <v>0</v>
      </c>
      <c r="AK442" s="36"/>
      <c r="AL442" s="36"/>
      <c r="AM442" s="38">
        <v>0</v>
      </c>
      <c r="AN442" s="38">
        <v>419.53</v>
      </c>
      <c r="AO442" s="36"/>
      <c r="AP442" s="36"/>
      <c r="AQ442" s="36"/>
      <c r="AR442" s="36"/>
      <c r="AS442" s="36"/>
      <c r="AT442" s="38">
        <v>6</v>
      </c>
      <c r="AU442" s="38">
        <v>3</v>
      </c>
      <c r="AV442" s="36"/>
      <c r="AW442" s="38">
        <v>4.5</v>
      </c>
      <c r="AX442" s="38">
        <v>12.3</v>
      </c>
      <c r="AY442" s="36"/>
      <c r="AZ442" s="36"/>
      <c r="BA442" s="36"/>
      <c r="BB442" s="36"/>
      <c r="BC442" s="38">
        <v>8.5</v>
      </c>
      <c r="BD442" s="38">
        <v>5.75</v>
      </c>
      <c r="BE442" s="36"/>
      <c r="BF442" s="38">
        <v>5</v>
      </c>
      <c r="BG442" s="59">
        <v>22.49</v>
      </c>
      <c r="BH442" s="59">
        <v>3.25</v>
      </c>
      <c r="BI442" s="59">
        <v>0.46638725667659908</v>
      </c>
      <c r="BJ442" s="59">
        <v>10</v>
      </c>
      <c r="BK442" s="38">
        <v>5.3959999999999999</v>
      </c>
      <c r="BL442" s="59">
        <v>2.38</v>
      </c>
      <c r="BM442" s="36"/>
      <c r="BN442" s="38">
        <v>62</v>
      </c>
      <c r="BO442" s="36"/>
      <c r="BP442" s="39">
        <f t="shared" si="263"/>
        <v>0.46399193548387102</v>
      </c>
      <c r="BQ442" s="37"/>
      <c r="BR442" s="39">
        <f t="shared" si="264"/>
        <v>0.56990041879962805</v>
      </c>
      <c r="BS442" s="39">
        <f t="shared" si="296"/>
        <v>1.2786599396700973</v>
      </c>
      <c r="BT442" s="37"/>
      <c r="BU442" s="37"/>
      <c r="BV442" s="39">
        <f t="shared" si="273"/>
        <v>0.44420137191521614</v>
      </c>
      <c r="BW442" s="39">
        <f t="shared" si="259"/>
        <v>2.8495975729924399</v>
      </c>
      <c r="BX442" s="39">
        <f t="shared" si="274"/>
        <v>0.31734847618476048</v>
      </c>
      <c r="BY442" s="39">
        <f t="shared" si="297"/>
        <v>4.6671087797958553</v>
      </c>
      <c r="BZ442" s="39">
        <f t="shared" si="281"/>
        <v>8.7679925322844312</v>
      </c>
      <c r="CA442" s="39">
        <f t="shared" si="260"/>
        <v>5.5197435654907911</v>
      </c>
      <c r="CB442" s="39">
        <f t="shared" si="261"/>
        <v>2.4345792597976428</v>
      </c>
      <c r="CC442" s="39">
        <f t="shared" ref="CC442:CC447" si="308">BP442*12*V442/120</f>
        <v>0.32479435483870966</v>
      </c>
      <c r="CD442" s="39">
        <f t="shared" si="305"/>
        <v>0.19465853669354841</v>
      </c>
      <c r="CE442" s="37"/>
      <c r="CF442" s="39">
        <f t="shared" si="304"/>
        <v>16.703709677419354</v>
      </c>
      <c r="CG442" s="37"/>
      <c r="CH442" s="39">
        <f>BP442*12*AW442/(12*0.453592)</f>
        <v>4.6031757828123503</v>
      </c>
      <c r="CI442" s="39">
        <f t="shared" si="293"/>
        <v>6.1375677104164659</v>
      </c>
      <c r="CJ442" s="39">
        <f t="shared" si="277"/>
        <v>0</v>
      </c>
      <c r="CK442" s="39">
        <f t="shared" si="301"/>
        <v>4.6908770933687796E-2</v>
      </c>
      <c r="CL442" s="39">
        <f t="shared" si="307"/>
        <v>1.9534060483870972</v>
      </c>
      <c r="CM442" s="39">
        <f t="shared" si="302"/>
        <v>0.16575537432398516</v>
      </c>
      <c r="CN442" s="37"/>
      <c r="CO442" s="39">
        <f>0.063495+(0.016949+0.014096)*Wages!P440+1.22592*BR442</f>
        <v>1.1942862105277432</v>
      </c>
      <c r="CP442" s="39"/>
      <c r="CQ442" s="39">
        <f t="shared" si="298"/>
        <v>1.2786599396700973</v>
      </c>
      <c r="CR442" s="39">
        <f t="shared" si="284"/>
        <v>0.44420137191521614</v>
      </c>
      <c r="CS442" s="39">
        <f t="shared" si="284"/>
        <v>2.8495975729924399</v>
      </c>
      <c r="CT442" s="39">
        <f t="shared" si="262"/>
        <v>5.5197435654907911</v>
      </c>
      <c r="CU442" s="39">
        <f t="shared" si="262"/>
        <v>2.4345792597976428</v>
      </c>
      <c r="CV442" s="39">
        <f t="shared" si="262"/>
        <v>0.32479435483870966</v>
      </c>
      <c r="CW442" s="39">
        <f t="shared" si="306"/>
        <v>0.19465853669354841</v>
      </c>
      <c r="CX442" s="39">
        <f t="shared" si="294"/>
        <v>6.1375677104164659</v>
      </c>
      <c r="CY442" s="39">
        <f t="shared" si="286"/>
        <v>8.7679925322844312</v>
      </c>
      <c r="CZ442" s="39">
        <f t="shared" si="265"/>
        <v>0.31734847618476048</v>
      </c>
      <c r="DA442" s="39">
        <f>CH442</f>
        <v>4.6031757828123503</v>
      </c>
      <c r="DB442" s="39">
        <v>4.8713064092794855</v>
      </c>
      <c r="DC442" s="39">
        <f t="shared" si="266"/>
        <v>4.6671087797958553</v>
      </c>
      <c r="DD442" s="39">
        <v>4.2</v>
      </c>
      <c r="DE442" s="39">
        <f t="shared" si="303"/>
        <v>4.6908770933687796E-2</v>
      </c>
      <c r="DF442" s="39">
        <v>0.14000000000000001</v>
      </c>
      <c r="DG442" s="39">
        <f t="shared" si="267"/>
        <v>1.9534060483870972</v>
      </c>
      <c r="DH442" s="39">
        <f t="shared" si="268"/>
        <v>5.310026141463414</v>
      </c>
      <c r="DI442" s="39">
        <f t="shared" si="278"/>
        <v>5.7781996780717328</v>
      </c>
      <c r="DJ442" s="37"/>
      <c r="DK442" s="37"/>
      <c r="DL442" s="37"/>
      <c r="DM442" s="39">
        <f t="shared" si="275"/>
        <v>1.2818616391967181</v>
      </c>
      <c r="DN442" s="39"/>
      <c r="DO442" s="39">
        <f t="shared" si="276"/>
        <v>1.2818616391967181</v>
      </c>
      <c r="DP442" s="37"/>
      <c r="DQ442" s="37">
        <f>DO442/'Conversions, Sources &amp; Comments'!E440</f>
        <v>2.7626808596574786</v>
      </c>
    </row>
    <row r="443" spans="1:121">
      <c r="A443" s="42">
        <f t="shared" si="269"/>
        <v>1691</v>
      </c>
      <c r="B443" s="36"/>
      <c r="C443" s="38">
        <v>38</v>
      </c>
      <c r="D443" s="38">
        <v>1.5</v>
      </c>
      <c r="E443" s="36"/>
      <c r="F443" s="36"/>
      <c r="G443" s="38">
        <v>14</v>
      </c>
      <c r="H443" s="38">
        <v>8</v>
      </c>
      <c r="I443" s="36"/>
      <c r="J443" s="36"/>
      <c r="K443" s="38">
        <v>3</v>
      </c>
      <c r="L443" s="38">
        <v>0</v>
      </c>
      <c r="M443" s="36"/>
      <c r="N443" s="36"/>
      <c r="O443" s="36"/>
      <c r="P443" s="36"/>
      <c r="Q443" s="38">
        <v>3</v>
      </c>
      <c r="R443" s="38">
        <v>9</v>
      </c>
      <c r="S443" s="36"/>
      <c r="T443" s="36"/>
      <c r="U443" s="36"/>
      <c r="V443" s="38">
        <v>7</v>
      </c>
      <c r="W443" s="36"/>
      <c r="X443" s="36"/>
      <c r="Y443" s="36"/>
      <c r="Z443" s="38">
        <v>4</v>
      </c>
      <c r="AA443" s="38">
        <v>5</v>
      </c>
      <c r="AB443" s="36"/>
      <c r="AC443" s="38">
        <v>2</v>
      </c>
      <c r="AD443" s="38">
        <v>4</v>
      </c>
      <c r="AE443" s="38">
        <v>2</v>
      </c>
      <c r="AF443" s="38">
        <v>5.5</v>
      </c>
      <c r="AG443" s="38">
        <v>32</v>
      </c>
      <c r="AH443" s="38">
        <v>6</v>
      </c>
      <c r="AI443" s="38">
        <v>20</v>
      </c>
      <c r="AJ443" s="38">
        <v>0</v>
      </c>
      <c r="AK443" s="36"/>
      <c r="AL443" s="36"/>
      <c r="AM443" s="38">
        <v>0</v>
      </c>
      <c r="AN443" s="38">
        <v>419.53</v>
      </c>
      <c r="AO443" s="36"/>
      <c r="AP443" s="36"/>
      <c r="AQ443" s="36"/>
      <c r="AR443" s="36"/>
      <c r="AS443" s="38">
        <v>36.270000000000003</v>
      </c>
      <c r="AT443" s="38">
        <v>6</v>
      </c>
      <c r="AU443" s="38">
        <v>3</v>
      </c>
      <c r="AV443" s="36"/>
      <c r="AW443" s="36"/>
      <c r="AX443" s="36"/>
      <c r="AY443" s="36"/>
      <c r="AZ443" s="38">
        <v>120</v>
      </c>
      <c r="BA443" s="36"/>
      <c r="BB443" s="36"/>
      <c r="BC443" s="38">
        <v>8.5</v>
      </c>
      <c r="BD443" s="38">
        <v>5.75</v>
      </c>
      <c r="BE443" s="36"/>
      <c r="BF443" s="38">
        <v>6.4</v>
      </c>
      <c r="BG443" s="59">
        <v>22.49</v>
      </c>
      <c r="BH443" s="59">
        <v>3</v>
      </c>
      <c r="BI443" s="59">
        <v>0.46638725667659908</v>
      </c>
      <c r="BJ443" s="59">
        <v>10</v>
      </c>
      <c r="BK443" s="38">
        <v>5.5095999999999989</v>
      </c>
      <c r="BL443" s="59">
        <v>2.38</v>
      </c>
      <c r="BM443" s="36"/>
      <c r="BN443" s="38">
        <v>62</v>
      </c>
      <c r="BO443" s="36"/>
      <c r="BP443" s="39">
        <f t="shared" si="263"/>
        <v>0.46399193548387102</v>
      </c>
      <c r="BQ443" s="37"/>
      <c r="BR443" s="39">
        <f t="shared" si="264"/>
        <v>0.75300921761972517</v>
      </c>
      <c r="BS443" s="39">
        <f t="shared" si="296"/>
        <v>1.6366847227777246</v>
      </c>
      <c r="BT443" s="39">
        <f t="shared" ref="BT443:BT474" si="309">BP443*12*AZ443/(24*0.9144)</f>
        <v>30.445665057996788</v>
      </c>
      <c r="BU443" s="37"/>
      <c r="BV443" s="39">
        <f t="shared" si="273"/>
        <v>0.44420137191521614</v>
      </c>
      <c r="BW443" s="39">
        <f t="shared" si="259"/>
        <v>2.6303977596853287</v>
      </c>
      <c r="BX443" s="39">
        <f t="shared" si="274"/>
        <v>0.31734847618476048</v>
      </c>
      <c r="BY443" s="39">
        <f t="shared" si="297"/>
        <v>4.5179317868343434</v>
      </c>
      <c r="BZ443" s="39">
        <f t="shared" ref="BZ443:BZ474" si="310">$BP443*12*$BJ443/(14*0.45359)</f>
        <v>8.7679925322844312</v>
      </c>
      <c r="CA443" s="39">
        <f t="shared" si="260"/>
        <v>5.635948693185334</v>
      </c>
      <c r="CB443" s="39">
        <f t="shared" si="261"/>
        <v>2.4345792597976428</v>
      </c>
      <c r="CC443" s="39">
        <f t="shared" si="308"/>
        <v>0.32479435483870966</v>
      </c>
      <c r="CD443" s="39">
        <f t="shared" si="305"/>
        <v>0.19465853669354841</v>
      </c>
      <c r="CE443" s="37"/>
      <c r="CF443" s="39">
        <f t="shared" si="304"/>
        <v>16.703709677419354</v>
      </c>
      <c r="CG443" s="37"/>
      <c r="CH443" s="37"/>
      <c r="CI443" s="39">
        <f t="shared" si="293"/>
        <v>6.1375677104164659</v>
      </c>
      <c r="CJ443" s="39">
        <f t="shared" si="277"/>
        <v>0.15000645610296851</v>
      </c>
      <c r="CK443" s="39">
        <f t="shared" si="301"/>
        <v>4.6085810040114326E-2</v>
      </c>
      <c r="CL443" s="39">
        <f t="shared" si="307"/>
        <v>1.8095685483870969</v>
      </c>
      <c r="CM443" s="39">
        <f t="shared" si="302"/>
        <v>0.16284738530075735</v>
      </c>
      <c r="CN443" s="37"/>
      <c r="CO443" s="39">
        <f>0.063495+(0.016949+0.014096)*Wages!P441+1.22592*BR443</f>
        <v>1.4187629491772766</v>
      </c>
      <c r="CP443" s="39"/>
      <c r="CQ443" s="39">
        <f t="shared" si="298"/>
        <v>1.6366847227777246</v>
      </c>
      <c r="CR443" s="39">
        <f t="shared" si="284"/>
        <v>0.44420137191521614</v>
      </c>
      <c r="CS443" s="39">
        <f t="shared" si="284"/>
        <v>2.6303977596853287</v>
      </c>
      <c r="CT443" s="39">
        <f t="shared" si="262"/>
        <v>5.635948693185334</v>
      </c>
      <c r="CU443" s="39">
        <f t="shared" si="262"/>
        <v>2.4345792597976428</v>
      </c>
      <c r="CV443" s="39">
        <f t="shared" si="262"/>
        <v>0.32479435483870966</v>
      </c>
      <c r="CW443" s="39">
        <f t="shared" si="306"/>
        <v>0.19465853669354841</v>
      </c>
      <c r="CX443" s="39">
        <f t="shared" si="294"/>
        <v>6.1375677104164659</v>
      </c>
      <c r="CY443" s="39">
        <f t="shared" si="286"/>
        <v>8.7679925322844312</v>
      </c>
      <c r="CZ443" s="39">
        <f t="shared" si="265"/>
        <v>0.31734847618476048</v>
      </c>
      <c r="DA443" s="39">
        <v>5.5</v>
      </c>
      <c r="DB443" s="39">
        <f t="shared" ref="DB443:DB474" si="311">DB$424*BT443/BT$424</f>
        <v>4.8713064092794864</v>
      </c>
      <c r="DC443" s="39">
        <f t="shared" si="266"/>
        <v>4.5179317868343434</v>
      </c>
      <c r="DD443" s="39">
        <v>4.2</v>
      </c>
      <c r="DE443" s="39">
        <f t="shared" si="303"/>
        <v>4.6085810040114326E-2</v>
      </c>
      <c r="DF443" s="39">
        <v>0.15000645610296851</v>
      </c>
      <c r="DG443" s="39">
        <f t="shared" si="267"/>
        <v>1.8095685483870969</v>
      </c>
      <c r="DH443" s="39">
        <f t="shared" si="268"/>
        <v>5.2168677881044063</v>
      </c>
      <c r="DI443" s="39">
        <f t="shared" si="278"/>
        <v>6.1911946883061013</v>
      </c>
      <c r="DJ443" s="37"/>
      <c r="DK443" s="37"/>
      <c r="DL443" s="37"/>
      <c r="DM443" s="39">
        <f t="shared" si="275"/>
        <v>1.430195854415536</v>
      </c>
      <c r="DN443" s="39"/>
      <c r="DO443" s="39">
        <f t="shared" si="276"/>
        <v>1.430195854415536</v>
      </c>
      <c r="DP443" s="37"/>
      <c r="DQ443" s="37">
        <f>DO443/'Conversions, Sources &amp; Comments'!E441</f>
        <v>3.0823722246897791</v>
      </c>
    </row>
    <row r="444" spans="1:121">
      <c r="A444" s="42">
        <f t="shared" si="269"/>
        <v>1692</v>
      </c>
      <c r="B444" s="36"/>
      <c r="C444" s="38">
        <v>49</v>
      </c>
      <c r="D444" s="38">
        <v>10.5</v>
      </c>
      <c r="E444" s="36"/>
      <c r="F444" s="36"/>
      <c r="G444" s="38">
        <v>17</v>
      </c>
      <c r="H444" s="38">
        <v>8</v>
      </c>
      <c r="I444" s="36"/>
      <c r="J444" s="36"/>
      <c r="K444" s="38">
        <v>3</v>
      </c>
      <c r="L444" s="38">
        <v>3</v>
      </c>
      <c r="M444" s="36"/>
      <c r="N444" s="36"/>
      <c r="O444" s="36"/>
      <c r="P444" s="36"/>
      <c r="Q444" s="38">
        <v>4</v>
      </c>
      <c r="R444" s="38">
        <v>0</v>
      </c>
      <c r="S444" s="36"/>
      <c r="T444" s="36"/>
      <c r="U444" s="36"/>
      <c r="V444" s="38">
        <v>7</v>
      </c>
      <c r="W444" s="36"/>
      <c r="X444" s="36"/>
      <c r="Y444" s="36"/>
      <c r="Z444" s="38">
        <v>4</v>
      </c>
      <c r="AA444" s="38">
        <v>9.75</v>
      </c>
      <c r="AB444" s="36"/>
      <c r="AC444" s="38">
        <v>2</v>
      </c>
      <c r="AD444" s="38">
        <v>4.5</v>
      </c>
      <c r="AE444" s="38">
        <v>2</v>
      </c>
      <c r="AF444" s="38">
        <v>5.5</v>
      </c>
      <c r="AG444" s="38">
        <v>18</v>
      </c>
      <c r="AH444" s="38">
        <v>0</v>
      </c>
      <c r="AI444" s="38">
        <v>20</v>
      </c>
      <c r="AJ444" s="38">
        <v>0</v>
      </c>
      <c r="AK444" s="36"/>
      <c r="AL444" s="36"/>
      <c r="AM444" s="38">
        <v>0</v>
      </c>
      <c r="AN444" s="38">
        <v>419.53</v>
      </c>
      <c r="AO444" s="36"/>
      <c r="AP444" s="36"/>
      <c r="AQ444" s="36"/>
      <c r="AR444" s="36"/>
      <c r="AS444" s="38">
        <v>31.92</v>
      </c>
      <c r="AT444" s="38">
        <v>6</v>
      </c>
      <c r="AU444" s="38">
        <v>3</v>
      </c>
      <c r="AV444" s="36"/>
      <c r="AW444" s="36"/>
      <c r="AX444" s="36"/>
      <c r="AY444" s="36"/>
      <c r="AZ444" s="38">
        <v>120</v>
      </c>
      <c r="BA444" s="36"/>
      <c r="BB444" s="36"/>
      <c r="BC444" s="38">
        <v>8.5</v>
      </c>
      <c r="BD444" s="38">
        <v>5.75</v>
      </c>
      <c r="BE444" s="36"/>
      <c r="BF444" s="38">
        <v>7.8</v>
      </c>
      <c r="BG444" s="59">
        <v>22.49</v>
      </c>
      <c r="BH444" s="59">
        <v>3.25</v>
      </c>
      <c r="BI444" s="59">
        <v>0.47345373026260901</v>
      </c>
      <c r="BJ444" s="59">
        <v>10</v>
      </c>
      <c r="BK444" s="38">
        <v>5.7367999999999997</v>
      </c>
      <c r="BL444" s="59">
        <v>2.38</v>
      </c>
      <c r="BM444" s="36"/>
      <c r="BN444" s="38">
        <v>62</v>
      </c>
      <c r="BO444" s="36"/>
      <c r="BP444" s="39">
        <f t="shared" si="263"/>
        <v>0.46399193548387102</v>
      </c>
      <c r="BQ444" s="37"/>
      <c r="BR444" s="39">
        <f t="shared" si="264"/>
        <v>0.98508418960744359</v>
      </c>
      <c r="BS444" s="39">
        <f t="shared" si="296"/>
        <v>1.9947095058853517</v>
      </c>
      <c r="BT444" s="39">
        <f t="shared" si="309"/>
        <v>30.445665057996788</v>
      </c>
      <c r="BU444" s="37"/>
      <c r="BV444" s="39">
        <f t="shared" si="273"/>
        <v>0.44420137191521614</v>
      </c>
      <c r="BW444" s="39">
        <f t="shared" si="259"/>
        <v>2.8495975729924399</v>
      </c>
      <c r="BX444" s="39">
        <f t="shared" si="274"/>
        <v>0.32215678642998469</v>
      </c>
      <c r="BY444" s="39">
        <f t="shared" si="297"/>
        <v>4.9228407677298751</v>
      </c>
      <c r="BZ444" s="39">
        <f t="shared" si="310"/>
        <v>8.7679925322844312</v>
      </c>
      <c r="CA444" s="39">
        <f t="shared" si="260"/>
        <v>5.8683589485744196</v>
      </c>
      <c r="CB444" s="39">
        <f t="shared" si="261"/>
        <v>2.4345792597976428</v>
      </c>
      <c r="CC444" s="39">
        <f t="shared" si="308"/>
        <v>0.32479435483870966</v>
      </c>
      <c r="CD444" s="39">
        <f t="shared" si="305"/>
        <v>0.19465853669354841</v>
      </c>
      <c r="CE444" s="37"/>
      <c r="CF444" s="39">
        <f t="shared" si="304"/>
        <v>16.703709677419354</v>
      </c>
      <c r="CG444" s="37"/>
      <c r="CH444" s="37"/>
      <c r="CI444" s="39">
        <f t="shared" si="293"/>
        <v>6.1375677104164659</v>
      </c>
      <c r="CJ444" s="39">
        <f t="shared" si="277"/>
        <v>0.13201560735612777</v>
      </c>
      <c r="CK444" s="39">
        <f t="shared" si="301"/>
        <v>4.6908770933687796E-2</v>
      </c>
      <c r="CL444" s="39">
        <f t="shared" si="307"/>
        <v>1.0022225806451615</v>
      </c>
      <c r="CM444" s="39">
        <f t="shared" si="302"/>
        <v>0.16575537432398516</v>
      </c>
      <c r="CN444" s="37"/>
      <c r="CO444" s="39">
        <f>0.063495+(0.016949+0.014096)*Wages!P442+1.22592*BR444</f>
        <v>1.7032682988364605</v>
      </c>
      <c r="CP444" s="39"/>
      <c r="CQ444" s="39">
        <f t="shared" si="298"/>
        <v>1.9947095058853517</v>
      </c>
      <c r="CR444" s="39">
        <f t="shared" si="284"/>
        <v>0.44420137191521614</v>
      </c>
      <c r="CS444" s="39">
        <f t="shared" si="284"/>
        <v>2.8495975729924399</v>
      </c>
      <c r="CT444" s="39">
        <f t="shared" si="262"/>
        <v>5.8683589485744196</v>
      </c>
      <c r="CU444" s="39">
        <f t="shared" si="262"/>
        <v>2.4345792597976428</v>
      </c>
      <c r="CV444" s="39">
        <f t="shared" si="262"/>
        <v>0.32479435483870966</v>
      </c>
      <c r="CW444" s="39">
        <f t="shared" si="306"/>
        <v>0.19465853669354841</v>
      </c>
      <c r="CX444" s="39">
        <f t="shared" si="294"/>
        <v>6.1375677104164659</v>
      </c>
      <c r="CY444" s="39">
        <f t="shared" si="286"/>
        <v>8.7679925322844312</v>
      </c>
      <c r="CZ444" s="39">
        <f t="shared" si="265"/>
        <v>0.32215678642998469</v>
      </c>
      <c r="DA444" s="39">
        <v>5.5</v>
      </c>
      <c r="DB444" s="39">
        <f t="shared" si="311"/>
        <v>4.8713064092794864</v>
      </c>
      <c r="DC444" s="39">
        <f t="shared" si="266"/>
        <v>4.9228407677298751</v>
      </c>
      <c r="DD444" s="39">
        <v>4.2</v>
      </c>
      <c r="DE444" s="39">
        <f t="shared" si="303"/>
        <v>4.6908770933687796E-2</v>
      </c>
      <c r="DF444" s="39">
        <v>0.1320156073561278</v>
      </c>
      <c r="DG444" s="39">
        <f t="shared" si="267"/>
        <v>1.0022225806451615</v>
      </c>
      <c r="DH444" s="39">
        <f t="shared" si="268"/>
        <v>5.310026141463414</v>
      </c>
      <c r="DI444" s="39">
        <f t="shared" si="278"/>
        <v>5.4486609994687276</v>
      </c>
      <c r="DJ444" s="37"/>
      <c r="DK444" s="37"/>
      <c r="DL444" s="37"/>
      <c r="DM444" s="39">
        <f t="shared" si="275"/>
        <v>1.6096659433344709</v>
      </c>
      <c r="DN444" s="39"/>
      <c r="DO444" s="39">
        <f t="shared" si="276"/>
        <v>1.6096659433344709</v>
      </c>
      <c r="DP444" s="37"/>
      <c r="DQ444" s="37">
        <f>DO444/'Conversions, Sources &amp; Comments'!E442</f>
        <v>3.4691679321017532</v>
      </c>
    </row>
    <row r="445" spans="1:121">
      <c r="A445" s="42">
        <f t="shared" si="269"/>
        <v>1693</v>
      </c>
      <c r="B445" s="36"/>
      <c r="C445" s="38">
        <v>63</v>
      </c>
      <c r="D445" s="38">
        <v>5.25</v>
      </c>
      <c r="E445" s="36"/>
      <c r="F445" s="36"/>
      <c r="G445" s="38">
        <v>17</v>
      </c>
      <c r="H445" s="38">
        <v>0</v>
      </c>
      <c r="I445" s="36"/>
      <c r="J445" s="36"/>
      <c r="K445" s="38">
        <v>3</v>
      </c>
      <c r="L445" s="38">
        <v>6</v>
      </c>
      <c r="M445" s="36"/>
      <c r="N445" s="36"/>
      <c r="O445" s="36"/>
      <c r="P445" s="36"/>
      <c r="Q445" s="38">
        <v>4</v>
      </c>
      <c r="R445" s="38">
        <v>6</v>
      </c>
      <c r="S445" s="36"/>
      <c r="T445" s="36"/>
      <c r="U445" s="36"/>
      <c r="V445" s="38">
        <v>9</v>
      </c>
      <c r="W445" s="36"/>
      <c r="X445" s="36"/>
      <c r="Y445" s="36"/>
      <c r="Z445" s="38">
        <v>5</v>
      </c>
      <c r="AA445" s="38">
        <v>9.5</v>
      </c>
      <c r="AB445" s="36"/>
      <c r="AC445" s="36"/>
      <c r="AD445" s="36"/>
      <c r="AE445" s="38">
        <v>2</v>
      </c>
      <c r="AF445" s="38">
        <v>7.5</v>
      </c>
      <c r="AG445" s="36"/>
      <c r="AH445" s="36"/>
      <c r="AI445" s="38">
        <v>20</v>
      </c>
      <c r="AJ445" s="38">
        <v>0</v>
      </c>
      <c r="AK445" s="36"/>
      <c r="AL445" s="36"/>
      <c r="AM445" s="38">
        <v>0</v>
      </c>
      <c r="AN445" s="38">
        <v>492.1875</v>
      </c>
      <c r="AO445" s="36"/>
      <c r="AP445" s="36"/>
      <c r="AQ445" s="36"/>
      <c r="AR445" s="36"/>
      <c r="AS445" s="38">
        <v>33.08</v>
      </c>
      <c r="AT445" s="38">
        <v>6</v>
      </c>
      <c r="AU445" s="38">
        <v>3</v>
      </c>
      <c r="AV445" s="36"/>
      <c r="AW445" s="36"/>
      <c r="AX445" s="36"/>
      <c r="AY445" s="36"/>
      <c r="AZ445" s="38">
        <v>120</v>
      </c>
      <c r="BA445" s="36"/>
      <c r="BB445" s="36"/>
      <c r="BC445" s="38">
        <v>8.5</v>
      </c>
      <c r="BD445" s="38">
        <v>5.75</v>
      </c>
      <c r="BE445" s="36"/>
      <c r="BF445" s="38">
        <v>8.5</v>
      </c>
      <c r="BG445" s="59">
        <v>22.49</v>
      </c>
      <c r="BH445" s="59">
        <v>3.5</v>
      </c>
      <c r="BI445" s="59">
        <v>0.47345373026260901</v>
      </c>
      <c r="BJ445" s="59">
        <v>10</v>
      </c>
      <c r="BK445" s="38">
        <v>6.0207999999999995</v>
      </c>
      <c r="BL445" s="59">
        <v>2.38</v>
      </c>
      <c r="BM445" s="36"/>
      <c r="BN445" s="38">
        <v>62</v>
      </c>
      <c r="BO445" s="36"/>
      <c r="BP445" s="39">
        <f t="shared" si="263"/>
        <v>0.46399193548387102</v>
      </c>
      <c r="BQ445" s="37"/>
      <c r="BR445" s="39">
        <f t="shared" si="264"/>
        <v>1.2529579604656083</v>
      </c>
      <c r="BS445" s="39">
        <f t="shared" si="296"/>
        <v>2.1737218974391652</v>
      </c>
      <c r="BT445" s="39">
        <f t="shared" si="309"/>
        <v>30.445665057996788</v>
      </c>
      <c r="BU445" s="37"/>
      <c r="BV445" s="39">
        <f t="shared" si="273"/>
        <v>0.44420137191521614</v>
      </c>
      <c r="BW445" s="39">
        <f t="shared" si="259"/>
        <v>3.0687973862995501</v>
      </c>
      <c r="BX445" s="39">
        <f t="shared" si="274"/>
        <v>0.32215678642998469</v>
      </c>
      <c r="BY445" s="39">
        <f t="shared" si="297"/>
        <v>5.9244577204714508</v>
      </c>
      <c r="BZ445" s="39">
        <f t="shared" si="310"/>
        <v>8.7679925322844312</v>
      </c>
      <c r="CA445" s="39">
        <f t="shared" si="260"/>
        <v>6.1588717678107772</v>
      </c>
      <c r="CB445" s="39">
        <f t="shared" si="261"/>
        <v>2.4345792597976428</v>
      </c>
      <c r="CC445" s="39">
        <f t="shared" si="308"/>
        <v>0.4175927419354839</v>
      </c>
      <c r="CD445" s="39">
        <f t="shared" si="305"/>
        <v>0.22837103074596776</v>
      </c>
      <c r="CE445" s="37"/>
      <c r="CF445" s="39">
        <f t="shared" si="304"/>
        <v>16.703709677419354</v>
      </c>
      <c r="CG445" s="37"/>
      <c r="CH445" s="37"/>
      <c r="CI445" s="39">
        <f t="shared" si="293"/>
        <v>6.1375677104164659</v>
      </c>
      <c r="CJ445" s="39">
        <f t="shared" si="277"/>
        <v>0.13681316702195195</v>
      </c>
      <c r="CK445" s="37"/>
      <c r="CL445" s="37"/>
      <c r="CM445" s="37"/>
      <c r="CN445" s="37"/>
      <c r="CO445" s="39">
        <f>0.063495+(0.016949+0.014096)*Wages!P443+1.22592*BR445</f>
        <v>2.0316601120069016</v>
      </c>
      <c r="CP445" s="39"/>
      <c r="CQ445" s="39">
        <f t="shared" si="298"/>
        <v>2.1737218974391652</v>
      </c>
      <c r="CR445" s="39">
        <f t="shared" si="284"/>
        <v>0.44420137191521614</v>
      </c>
      <c r="CS445" s="39">
        <f t="shared" si="284"/>
        <v>3.0687973862995501</v>
      </c>
      <c r="CT445" s="39">
        <f t="shared" si="262"/>
        <v>6.1588717678107772</v>
      </c>
      <c r="CU445" s="39">
        <f t="shared" si="262"/>
        <v>2.4345792597976428</v>
      </c>
      <c r="CV445" s="39">
        <f t="shared" si="262"/>
        <v>0.4175927419354839</v>
      </c>
      <c r="CW445" s="39">
        <f t="shared" si="306"/>
        <v>0.22837103074596776</v>
      </c>
      <c r="CX445" s="39">
        <f t="shared" si="294"/>
        <v>6.1375677104164659</v>
      </c>
      <c r="CY445" s="39">
        <f t="shared" si="286"/>
        <v>8.7679925322844312</v>
      </c>
      <c r="CZ445" s="39">
        <f t="shared" si="265"/>
        <v>0.32215678642998469</v>
      </c>
      <c r="DA445" s="39">
        <v>5.5</v>
      </c>
      <c r="DB445" s="39">
        <f t="shared" si="311"/>
        <v>4.8713064092794864</v>
      </c>
      <c r="DC445" s="39">
        <f t="shared" si="266"/>
        <v>5.9244577204714508</v>
      </c>
      <c r="DD445" s="39">
        <v>4.2</v>
      </c>
      <c r="DE445" s="39">
        <v>4.9000000000000002E-2</v>
      </c>
      <c r="DF445" s="39">
        <v>0.13681316702195198</v>
      </c>
      <c r="DG445" s="39">
        <f t="shared" si="267"/>
        <v>0</v>
      </c>
      <c r="DH445" s="39">
        <f t="shared" si="268"/>
        <v>5.5467511885895409</v>
      </c>
      <c r="DI445" s="39">
        <f t="shared" si="278"/>
        <v>5.6466699831586933</v>
      </c>
      <c r="DJ445" s="37"/>
      <c r="DK445" s="37"/>
      <c r="DL445" s="37"/>
      <c r="DM445" s="39">
        <f t="shared" si="275"/>
        <v>1.7263292698539299</v>
      </c>
      <c r="DN445" s="39"/>
      <c r="DO445" s="39">
        <f t="shared" si="276"/>
        <v>1.7263292698539299</v>
      </c>
      <c r="DP445" s="37"/>
      <c r="DQ445" s="37">
        <f>DO445/'Conversions, Sources &amp; Comments'!E443</f>
        <v>3.7206018851462117</v>
      </c>
    </row>
    <row r="446" spans="1:121">
      <c r="A446" s="42">
        <f t="shared" si="269"/>
        <v>1694</v>
      </c>
      <c r="B446" s="36"/>
      <c r="C446" s="38">
        <v>36</v>
      </c>
      <c r="D446" s="38">
        <v>8.25</v>
      </c>
      <c r="E446" s="36"/>
      <c r="F446" s="36"/>
      <c r="G446" s="38">
        <v>13</v>
      </c>
      <c r="H446" s="38">
        <v>8.5</v>
      </c>
      <c r="I446" s="36"/>
      <c r="J446" s="36"/>
      <c r="K446" s="38">
        <v>3</v>
      </c>
      <c r="L446" s="38">
        <v>6</v>
      </c>
      <c r="M446" s="36"/>
      <c r="N446" s="36"/>
      <c r="O446" s="36"/>
      <c r="P446" s="36"/>
      <c r="Q446" s="38">
        <v>3</v>
      </c>
      <c r="R446" s="38">
        <v>9</v>
      </c>
      <c r="S446" s="36"/>
      <c r="T446" s="36"/>
      <c r="U446" s="36"/>
      <c r="V446" s="38">
        <v>9</v>
      </c>
      <c r="W446" s="36"/>
      <c r="X446" s="36"/>
      <c r="Y446" s="36"/>
      <c r="Z446" s="38">
        <v>6</v>
      </c>
      <c r="AA446" s="38">
        <v>5</v>
      </c>
      <c r="AB446" s="36"/>
      <c r="AC446" s="36"/>
      <c r="AD446" s="36"/>
      <c r="AE446" s="38">
        <v>2</v>
      </c>
      <c r="AF446" s="38">
        <v>7.5</v>
      </c>
      <c r="AG446" s="36"/>
      <c r="AH446" s="36"/>
      <c r="AI446" s="38">
        <v>20</v>
      </c>
      <c r="AJ446" s="38">
        <v>0</v>
      </c>
      <c r="AK446" s="36"/>
      <c r="AL446" s="36"/>
      <c r="AM446" s="38">
        <v>0</v>
      </c>
      <c r="AN446" s="38">
        <v>492.1875</v>
      </c>
      <c r="AO446" s="36"/>
      <c r="AP446" s="36"/>
      <c r="AQ446" s="36"/>
      <c r="AR446" s="36"/>
      <c r="AS446" s="38">
        <v>28.58</v>
      </c>
      <c r="AT446" s="38">
        <v>6</v>
      </c>
      <c r="AU446" s="38">
        <v>3</v>
      </c>
      <c r="AV446" s="36"/>
      <c r="AW446" s="36"/>
      <c r="AX446" s="36"/>
      <c r="AY446" s="36"/>
      <c r="AZ446" s="38">
        <v>120</v>
      </c>
      <c r="BA446" s="36"/>
      <c r="BB446" s="36"/>
      <c r="BC446" s="38">
        <v>8.5</v>
      </c>
      <c r="BD446" s="38">
        <v>5.75</v>
      </c>
      <c r="BE446" s="36"/>
      <c r="BF446" s="38">
        <v>5.6</v>
      </c>
      <c r="BG446" s="59">
        <v>22.49</v>
      </c>
      <c r="BH446" s="59">
        <v>3.5</v>
      </c>
      <c r="BI446" s="59">
        <v>0.47345373026260901</v>
      </c>
      <c r="BJ446" s="59">
        <v>10</v>
      </c>
      <c r="BK446" s="38">
        <v>5.9072000000000005</v>
      </c>
      <c r="BL446" s="59">
        <v>2.38</v>
      </c>
      <c r="BM446" s="36"/>
      <c r="BN446" s="38">
        <v>62</v>
      </c>
      <c r="BO446" s="36"/>
      <c r="BP446" s="39">
        <f t="shared" si="263"/>
        <v>0.46399193548387102</v>
      </c>
      <c r="BQ446" s="37"/>
      <c r="BR446" s="39">
        <f t="shared" si="264"/>
        <v>0.72461706679144033</v>
      </c>
      <c r="BS446" s="39">
        <f t="shared" si="296"/>
        <v>1.432099132430509</v>
      </c>
      <c r="BT446" s="39">
        <f t="shared" si="309"/>
        <v>30.445665057996788</v>
      </c>
      <c r="BU446" s="37"/>
      <c r="BV446" s="39">
        <f t="shared" si="273"/>
        <v>0.44420137191521614</v>
      </c>
      <c r="BW446" s="39">
        <f t="shared" si="259"/>
        <v>3.0687973862995501</v>
      </c>
      <c r="BX446" s="39">
        <f t="shared" si="274"/>
        <v>0.32215678642998469</v>
      </c>
      <c r="BY446" s="39">
        <f t="shared" si="297"/>
        <v>6.5637876903064996</v>
      </c>
      <c r="BZ446" s="39">
        <f t="shared" si="310"/>
        <v>8.7679925322844312</v>
      </c>
      <c r="CA446" s="39">
        <f t="shared" si="260"/>
        <v>6.0426666401162352</v>
      </c>
      <c r="CB446" s="39">
        <f t="shared" si="261"/>
        <v>2.4345792597976428</v>
      </c>
      <c r="CC446" s="39">
        <f t="shared" si="308"/>
        <v>0.4175927419354839</v>
      </c>
      <c r="CD446" s="39">
        <f t="shared" si="305"/>
        <v>0.22837103074596776</v>
      </c>
      <c r="CE446" s="37"/>
      <c r="CF446" s="39">
        <f t="shared" si="304"/>
        <v>16.703709677419354</v>
      </c>
      <c r="CG446" s="37"/>
      <c r="CH446" s="37"/>
      <c r="CI446" s="39">
        <f t="shared" si="293"/>
        <v>6.1375677104164659</v>
      </c>
      <c r="CJ446" s="39">
        <f t="shared" si="277"/>
        <v>0.11820194418039259</v>
      </c>
      <c r="CK446" s="37"/>
      <c r="CL446" s="37"/>
      <c r="CM446" s="37"/>
      <c r="CN446" s="37"/>
      <c r="CO446" s="39">
        <f>0.063495+(0.016949+0.014096)*Wages!P444+1.22592*BR446</f>
        <v>1.3839564436338656</v>
      </c>
      <c r="CP446" s="39"/>
      <c r="CQ446" s="39">
        <f t="shared" si="298"/>
        <v>1.432099132430509</v>
      </c>
      <c r="CR446" s="39">
        <f t="shared" si="284"/>
        <v>0.44420137191521614</v>
      </c>
      <c r="CS446" s="39">
        <f t="shared" si="284"/>
        <v>3.0687973862995501</v>
      </c>
      <c r="CT446" s="39">
        <f t="shared" si="262"/>
        <v>6.0426666401162352</v>
      </c>
      <c r="CU446" s="39">
        <f t="shared" si="262"/>
        <v>2.4345792597976428</v>
      </c>
      <c r="CV446" s="39">
        <f t="shared" si="262"/>
        <v>0.4175927419354839</v>
      </c>
      <c r="CW446" s="39">
        <f t="shared" si="306"/>
        <v>0.22837103074596776</v>
      </c>
      <c r="CX446" s="39">
        <f t="shared" si="294"/>
        <v>6.1375677104164659</v>
      </c>
      <c r="CY446" s="39">
        <f t="shared" si="286"/>
        <v>8.7679925322844312</v>
      </c>
      <c r="CZ446" s="39">
        <f t="shared" si="265"/>
        <v>0.32215678642998469</v>
      </c>
      <c r="DA446" s="39">
        <v>5.5</v>
      </c>
      <c r="DB446" s="39">
        <f t="shared" si="311"/>
        <v>4.8713064092794864</v>
      </c>
      <c r="DC446" s="39">
        <f t="shared" si="266"/>
        <v>6.5637876903064996</v>
      </c>
      <c r="DD446" s="39">
        <v>4.2</v>
      </c>
      <c r="DE446" s="39">
        <v>4.9000000000000002E-2</v>
      </c>
      <c r="DF446" s="39">
        <v>0.11820194418039261</v>
      </c>
      <c r="DG446" s="39">
        <f t="shared" si="267"/>
        <v>0</v>
      </c>
      <c r="DH446" s="39">
        <f t="shared" si="268"/>
        <v>5.5467511885895409</v>
      </c>
      <c r="DI446" s="39">
        <f t="shared" si="278"/>
        <v>4.8785316843614099</v>
      </c>
      <c r="DJ446" s="37"/>
      <c r="DK446" s="37"/>
      <c r="DL446" s="37"/>
      <c r="DM446" s="39">
        <f t="shared" si="275"/>
        <v>1.4035580681750237</v>
      </c>
      <c r="DN446" s="39"/>
      <c r="DO446" s="39">
        <f t="shared" si="276"/>
        <v>1.4035580681750237</v>
      </c>
      <c r="DP446" s="37"/>
      <c r="DQ446" s="37">
        <f>DO446/'Conversions, Sources &amp; Comments'!E444</f>
        <v>3.0249622048092975</v>
      </c>
    </row>
    <row r="447" spans="1:121">
      <c r="A447" s="42">
        <f t="shared" si="269"/>
        <v>1695</v>
      </c>
      <c r="B447" s="36"/>
      <c r="C447" s="38">
        <v>49</v>
      </c>
      <c r="D447" s="38">
        <v>11.5</v>
      </c>
      <c r="E447" s="36"/>
      <c r="F447" s="36"/>
      <c r="G447" s="38">
        <v>16</v>
      </c>
      <c r="H447" s="38">
        <v>1</v>
      </c>
      <c r="I447" s="36"/>
      <c r="J447" s="36"/>
      <c r="K447" s="38">
        <v>3</v>
      </c>
      <c r="L447" s="38">
        <v>6</v>
      </c>
      <c r="M447" s="36"/>
      <c r="N447" s="36"/>
      <c r="O447" s="36"/>
      <c r="P447" s="36"/>
      <c r="Q447" s="38">
        <v>3</v>
      </c>
      <c r="R447" s="38">
        <v>9.75</v>
      </c>
      <c r="S447" s="36"/>
      <c r="T447" s="36"/>
      <c r="U447" s="36"/>
      <c r="V447" s="38">
        <v>9</v>
      </c>
      <c r="W447" s="36"/>
      <c r="X447" s="36"/>
      <c r="Y447" s="36"/>
      <c r="Z447" s="38">
        <v>5</v>
      </c>
      <c r="AA447" s="38">
        <v>11</v>
      </c>
      <c r="AB447" s="36"/>
      <c r="AC447" s="36"/>
      <c r="AD447" s="36"/>
      <c r="AE447" s="38">
        <v>2</v>
      </c>
      <c r="AF447" s="38">
        <v>7.5</v>
      </c>
      <c r="AG447" s="36"/>
      <c r="AH447" s="36"/>
      <c r="AI447" s="38">
        <v>20</v>
      </c>
      <c r="AJ447" s="38">
        <v>0</v>
      </c>
      <c r="AK447" s="36"/>
      <c r="AL447" s="36"/>
      <c r="AM447" s="38">
        <v>0</v>
      </c>
      <c r="AN447" s="38">
        <v>492.1875</v>
      </c>
      <c r="AO447" s="36"/>
      <c r="AP447" s="36"/>
      <c r="AQ447" s="36"/>
      <c r="AR447" s="36"/>
      <c r="AS447" s="38">
        <v>34.4</v>
      </c>
      <c r="AT447" s="38">
        <v>8</v>
      </c>
      <c r="AU447" s="38">
        <v>3</v>
      </c>
      <c r="AV447" s="36"/>
      <c r="AW447" s="36"/>
      <c r="AX447" s="36"/>
      <c r="AY447" s="36"/>
      <c r="AZ447" s="38">
        <v>120</v>
      </c>
      <c r="BA447" s="36"/>
      <c r="BB447" s="36"/>
      <c r="BC447" s="38">
        <v>8.5</v>
      </c>
      <c r="BD447" s="38">
        <v>5.75</v>
      </c>
      <c r="BE447" s="36"/>
      <c r="BF447" s="38">
        <v>7.1</v>
      </c>
      <c r="BG447" s="59">
        <v>22.49</v>
      </c>
      <c r="BH447" s="59">
        <v>3.5</v>
      </c>
      <c r="BI447" s="59">
        <v>0.4946531510206354</v>
      </c>
      <c r="BJ447" s="59">
        <v>16</v>
      </c>
      <c r="BK447" s="38">
        <v>5.9639999999999995</v>
      </c>
      <c r="BL447" s="59">
        <v>2.38</v>
      </c>
      <c r="BM447" s="36"/>
      <c r="BN447" s="38">
        <v>62</v>
      </c>
      <c r="BO447" s="36"/>
      <c r="BP447" s="39">
        <f t="shared" si="263"/>
        <v>0.46399193548387102</v>
      </c>
      <c r="BQ447" s="37"/>
      <c r="BR447" s="39">
        <f t="shared" si="264"/>
        <v>0.98673011139459055</v>
      </c>
      <c r="BS447" s="39">
        <f t="shared" si="296"/>
        <v>1.8156971143315381</v>
      </c>
      <c r="BT447" s="39">
        <f t="shared" si="309"/>
        <v>30.445665057996788</v>
      </c>
      <c r="BU447" s="37"/>
      <c r="BV447" s="39">
        <f t="shared" si="273"/>
        <v>0.44420137191521614</v>
      </c>
      <c r="BW447" s="39">
        <f t="shared" si="259"/>
        <v>3.0687973862995501</v>
      </c>
      <c r="BX447" s="39">
        <f t="shared" si="274"/>
        <v>0.33658171716565499</v>
      </c>
      <c r="BY447" s="39">
        <f t="shared" si="297"/>
        <v>6.0523237144384598</v>
      </c>
      <c r="BZ447" s="39">
        <f t="shared" si="310"/>
        <v>14.028788051655088</v>
      </c>
      <c r="CA447" s="39">
        <f t="shared" si="260"/>
        <v>6.1007692039635053</v>
      </c>
      <c r="CB447" s="39">
        <f t="shared" si="261"/>
        <v>2.4345792597976428</v>
      </c>
      <c r="CC447" s="39">
        <f t="shared" si="308"/>
        <v>0.4175927419354839</v>
      </c>
      <c r="CD447" s="39">
        <f t="shared" si="305"/>
        <v>0.22837103074596776</v>
      </c>
      <c r="CE447" s="37"/>
      <c r="CF447" s="39">
        <f t="shared" si="304"/>
        <v>16.703709677419354</v>
      </c>
      <c r="CG447" s="37"/>
      <c r="CH447" s="37"/>
      <c r="CI447" s="39">
        <f t="shared" si="293"/>
        <v>8.1834236138886229</v>
      </c>
      <c r="CJ447" s="39">
        <f t="shared" si="277"/>
        <v>0.14227245905547603</v>
      </c>
      <c r="CK447" s="37"/>
      <c r="CL447" s="37"/>
      <c r="CM447" s="37"/>
      <c r="CN447" s="37"/>
      <c r="CO447" s="39">
        <f>0.063495+(0.016949+0.014096)*Wages!P445+1.22592*BR447</f>
        <v>1.7052860672737595</v>
      </c>
      <c r="CP447" s="39"/>
      <c r="CQ447" s="39">
        <f t="shared" si="298"/>
        <v>1.8156971143315381</v>
      </c>
      <c r="CR447" s="39">
        <f t="shared" si="284"/>
        <v>0.44420137191521614</v>
      </c>
      <c r="CS447" s="39">
        <f t="shared" si="284"/>
        <v>3.0687973862995501</v>
      </c>
      <c r="CT447" s="39">
        <f t="shared" si="262"/>
        <v>6.1007692039635053</v>
      </c>
      <c r="CU447" s="39">
        <f t="shared" si="262"/>
        <v>2.4345792597976428</v>
      </c>
      <c r="CV447" s="39">
        <f t="shared" si="262"/>
        <v>0.4175927419354839</v>
      </c>
      <c r="CW447" s="39">
        <f t="shared" si="306"/>
        <v>0.22837103074596776</v>
      </c>
      <c r="CX447" s="39">
        <f t="shared" si="294"/>
        <v>8.1834236138886229</v>
      </c>
      <c r="CY447" s="39">
        <f t="shared" si="286"/>
        <v>14.028788051655088</v>
      </c>
      <c r="CZ447" s="39">
        <f t="shared" si="265"/>
        <v>0.33658171716565499</v>
      </c>
      <c r="DA447" s="39">
        <v>5.5</v>
      </c>
      <c r="DB447" s="39">
        <f t="shared" si="311"/>
        <v>4.8713064092794864</v>
      </c>
      <c r="DC447" s="39">
        <f t="shared" si="266"/>
        <v>6.0523237144384598</v>
      </c>
      <c r="DD447" s="39">
        <v>4.2</v>
      </c>
      <c r="DE447" s="39">
        <v>4.9000000000000002E-2</v>
      </c>
      <c r="DF447" s="39">
        <v>0.14227245905547606</v>
      </c>
      <c r="DG447" s="39">
        <f t="shared" si="267"/>
        <v>0</v>
      </c>
      <c r="DH447" s="39">
        <f t="shared" si="268"/>
        <v>5.5467511885895409</v>
      </c>
      <c r="DI447" s="39">
        <f t="shared" si="278"/>
        <v>5.8719905508058963</v>
      </c>
      <c r="DJ447" s="37"/>
      <c r="DK447" s="37"/>
      <c r="DL447" s="37"/>
      <c r="DM447" s="39">
        <f t="shared" si="275"/>
        <v>1.5756783883751788</v>
      </c>
      <c r="DN447" s="39"/>
      <c r="DO447" s="39">
        <f t="shared" si="276"/>
        <v>1.5756783883751788</v>
      </c>
      <c r="DP447" s="37"/>
      <c r="DQ447" s="37">
        <f>DO447/'Conversions, Sources &amp; Comments'!E445</f>
        <v>3.3959176181197908</v>
      </c>
    </row>
    <row r="448" spans="1:121">
      <c r="A448" s="42">
        <f t="shared" si="269"/>
        <v>1696</v>
      </c>
      <c r="B448" s="36"/>
      <c r="C448" s="38">
        <v>51</v>
      </c>
      <c r="D448" s="38">
        <v>4</v>
      </c>
      <c r="E448" s="38">
        <v>20</v>
      </c>
      <c r="F448" s="38">
        <v>0</v>
      </c>
      <c r="G448" s="38">
        <v>14</v>
      </c>
      <c r="H448" s="38">
        <v>9.75</v>
      </c>
      <c r="I448" s="36"/>
      <c r="J448" s="36"/>
      <c r="K448" s="38">
        <v>3</v>
      </c>
      <c r="L448" s="38">
        <v>6</v>
      </c>
      <c r="M448" s="36"/>
      <c r="N448" s="36"/>
      <c r="O448" s="36"/>
      <c r="P448" s="36"/>
      <c r="Q448" s="38">
        <v>4</v>
      </c>
      <c r="R448" s="38">
        <v>0</v>
      </c>
      <c r="S448" s="36"/>
      <c r="T448" s="36"/>
      <c r="U448" s="36"/>
      <c r="V448" s="36"/>
      <c r="W448" s="36"/>
      <c r="X448" s="36"/>
      <c r="Y448" s="36"/>
      <c r="Z448" s="38">
        <v>5</v>
      </c>
      <c r="AA448" s="38">
        <v>7</v>
      </c>
      <c r="AB448" s="36"/>
      <c r="AC448" s="36"/>
      <c r="AD448" s="36"/>
      <c r="AE448" s="38">
        <v>2</v>
      </c>
      <c r="AF448" s="38">
        <v>7.5</v>
      </c>
      <c r="AG448" s="36"/>
      <c r="AH448" s="36"/>
      <c r="AI448" s="38">
        <v>20</v>
      </c>
      <c r="AJ448" s="38">
        <v>0</v>
      </c>
      <c r="AK448" s="36"/>
      <c r="AL448" s="36"/>
      <c r="AM448" s="38">
        <v>0</v>
      </c>
      <c r="AN448" s="38">
        <v>492.1875</v>
      </c>
      <c r="AO448" s="38">
        <v>3.5</v>
      </c>
      <c r="AP448" s="36"/>
      <c r="AQ448" s="36"/>
      <c r="AR448" s="36"/>
      <c r="AS448" s="38">
        <v>27.35</v>
      </c>
      <c r="AT448" s="38">
        <v>8</v>
      </c>
      <c r="AU448" s="36"/>
      <c r="AV448" s="36"/>
      <c r="AW448" s="38">
        <v>6</v>
      </c>
      <c r="AX448" s="38">
        <v>17</v>
      </c>
      <c r="AY448" s="36"/>
      <c r="AZ448" s="38">
        <v>120</v>
      </c>
      <c r="BA448" s="36"/>
      <c r="BB448" s="36"/>
      <c r="BC448" s="38">
        <v>8.5</v>
      </c>
      <c r="BD448" s="38">
        <v>5.75</v>
      </c>
      <c r="BE448" s="36"/>
      <c r="BF448" s="38">
        <v>7.1</v>
      </c>
      <c r="BG448" s="59">
        <v>22.49</v>
      </c>
      <c r="BH448" s="59">
        <v>3.5</v>
      </c>
      <c r="BI448" s="59">
        <v>0.48688003007602498</v>
      </c>
      <c r="BJ448" s="59">
        <v>16</v>
      </c>
      <c r="BK448" s="38">
        <v>5.9072000000000005</v>
      </c>
      <c r="BL448" s="59">
        <v>2.38</v>
      </c>
      <c r="BM448" s="36"/>
      <c r="BN448" s="38">
        <v>62</v>
      </c>
      <c r="BO448" s="36"/>
      <c r="BP448" s="39">
        <f t="shared" si="263"/>
        <v>0.46399193548387102</v>
      </c>
      <c r="BQ448" s="37"/>
      <c r="BR448" s="39">
        <f t="shared" si="264"/>
        <v>1.0138878208825153</v>
      </c>
      <c r="BS448" s="39">
        <f t="shared" si="296"/>
        <v>1.8156971143315381</v>
      </c>
      <c r="BT448" s="39">
        <f t="shared" si="309"/>
        <v>30.445665057996788</v>
      </c>
      <c r="BU448" s="37"/>
      <c r="BV448" s="39">
        <f t="shared" si="273"/>
        <v>0.44420137191521614</v>
      </c>
      <c r="BW448" s="39">
        <f t="shared" si="259"/>
        <v>3.0687973862995501</v>
      </c>
      <c r="BX448" s="39">
        <f t="shared" si="274"/>
        <v>0.33129257589590871</v>
      </c>
      <c r="BY448" s="39">
        <f t="shared" si="297"/>
        <v>5.7113477305264349</v>
      </c>
      <c r="BZ448" s="39">
        <f t="shared" si="310"/>
        <v>14.028788051655088</v>
      </c>
      <c r="CA448" s="39">
        <f t="shared" si="260"/>
        <v>6.0426666401162352</v>
      </c>
      <c r="CB448" s="39">
        <f t="shared" si="261"/>
        <v>2.4345792597976428</v>
      </c>
      <c r="CC448" s="37"/>
      <c r="CD448" s="39">
        <f t="shared" si="305"/>
        <v>0.22837103074596776</v>
      </c>
      <c r="CE448" s="37"/>
      <c r="CF448" s="37"/>
      <c r="CG448" s="39">
        <f>BP448*(12*AO448+AP448)/4.55</f>
        <v>4.2830024813895786</v>
      </c>
      <c r="CH448" s="39">
        <f>BP448*12*AW448/(12*0.453592)</f>
        <v>6.1375677104164659</v>
      </c>
      <c r="CI448" s="39">
        <f t="shared" si="293"/>
        <v>8.1834236138886229</v>
      </c>
      <c r="CJ448" s="39">
        <f t="shared" si="277"/>
        <v>0.1131148766036997</v>
      </c>
      <c r="CK448" s="37"/>
      <c r="CL448" s="37"/>
      <c r="CM448" s="37"/>
      <c r="CN448" s="37"/>
      <c r="CO448" s="39">
        <f>0.063495+(0.016949+0.014096)*Wages!P446+1.22592*BR448</f>
        <v>1.7385792464891963</v>
      </c>
      <c r="CP448" s="39"/>
      <c r="CQ448" s="39">
        <f t="shared" si="298"/>
        <v>1.8156971143315381</v>
      </c>
      <c r="CR448" s="39">
        <f t="shared" si="284"/>
        <v>0.44420137191521614</v>
      </c>
      <c r="CS448" s="39">
        <f t="shared" si="284"/>
        <v>3.0687973862995501</v>
      </c>
      <c r="CT448" s="39">
        <f t="shared" si="262"/>
        <v>6.0426666401162352</v>
      </c>
      <c r="CU448" s="39">
        <f t="shared" si="262"/>
        <v>2.4345792597976428</v>
      </c>
      <c r="CV448" s="39">
        <v>0.41759200000000002</v>
      </c>
      <c r="CW448" s="39">
        <f t="shared" si="306"/>
        <v>0.22837103074596776</v>
      </c>
      <c r="CX448" s="39">
        <f t="shared" si="294"/>
        <v>8.1834236138886229</v>
      </c>
      <c r="CY448" s="39">
        <f t="shared" si="286"/>
        <v>14.028788051655088</v>
      </c>
      <c r="CZ448" s="39">
        <f t="shared" si="265"/>
        <v>0.33129257589590871</v>
      </c>
      <c r="DA448" s="39">
        <f>CH448</f>
        <v>6.1375677104164659</v>
      </c>
      <c r="DB448" s="39">
        <f t="shared" si="311"/>
        <v>4.8713064092794864</v>
      </c>
      <c r="DC448" s="39">
        <f t="shared" si="266"/>
        <v>5.7113477305264349</v>
      </c>
      <c r="DD448" s="39">
        <f>CG448</f>
        <v>4.2830024813895786</v>
      </c>
      <c r="DE448" s="39">
        <v>4.9000000000000002E-2</v>
      </c>
      <c r="DF448" s="39">
        <v>0.11311487660369972</v>
      </c>
      <c r="DG448" s="39">
        <f t="shared" si="267"/>
        <v>0</v>
      </c>
      <c r="DH448" s="39">
        <f t="shared" si="268"/>
        <v>5.5467511885895409</v>
      </c>
      <c r="DI448" s="39">
        <f t="shared" si="278"/>
        <v>4.6685738826901533</v>
      </c>
      <c r="DJ448" s="37"/>
      <c r="DK448" s="37"/>
      <c r="DL448" s="37"/>
      <c r="DM448" s="39">
        <f t="shared" si="275"/>
        <v>1.5750087051893307</v>
      </c>
      <c r="DN448" s="39"/>
      <c r="DO448" s="39">
        <f t="shared" si="276"/>
        <v>1.5750087051893307</v>
      </c>
      <c r="DP448" s="37"/>
      <c r="DQ448" s="37">
        <f>DO448/'Conversions, Sources &amp; Comments'!E446</f>
        <v>3.3944743103063697</v>
      </c>
    </row>
    <row r="449" spans="1:121">
      <c r="A449" s="42">
        <f t="shared" si="269"/>
        <v>1697</v>
      </c>
      <c r="B449" s="36"/>
      <c r="C449" s="38">
        <v>62</v>
      </c>
      <c r="D449" s="38">
        <v>5.25</v>
      </c>
      <c r="E449" s="36"/>
      <c r="F449" s="36"/>
      <c r="G449" s="38">
        <v>16</v>
      </c>
      <c r="H449" s="38">
        <v>10.75</v>
      </c>
      <c r="I449" s="36"/>
      <c r="J449" s="36"/>
      <c r="K449" s="38">
        <v>3</v>
      </c>
      <c r="L449" s="38">
        <v>6</v>
      </c>
      <c r="M449" s="36"/>
      <c r="N449" s="36"/>
      <c r="O449" s="36"/>
      <c r="P449" s="36"/>
      <c r="Q449" s="38">
        <v>4</v>
      </c>
      <c r="R449" s="38">
        <v>9</v>
      </c>
      <c r="S449" s="36"/>
      <c r="T449" s="36"/>
      <c r="U449" s="36"/>
      <c r="V449" s="36"/>
      <c r="W449" s="36"/>
      <c r="X449" s="36"/>
      <c r="Y449" s="36"/>
      <c r="Z449" s="38">
        <v>5</v>
      </c>
      <c r="AA449" s="38">
        <v>5.75</v>
      </c>
      <c r="AB449" s="36"/>
      <c r="AC449" s="36"/>
      <c r="AD449" s="36"/>
      <c r="AE449" s="38">
        <v>2</v>
      </c>
      <c r="AF449" s="38">
        <v>7.5</v>
      </c>
      <c r="AG449" s="38">
        <v>20</v>
      </c>
      <c r="AH449" s="38">
        <v>4</v>
      </c>
      <c r="AI449" s="38">
        <v>20</v>
      </c>
      <c r="AJ449" s="38">
        <v>0</v>
      </c>
      <c r="AK449" s="36"/>
      <c r="AL449" s="36"/>
      <c r="AM449" s="38">
        <v>0</v>
      </c>
      <c r="AN449" s="38">
        <v>492.1875</v>
      </c>
      <c r="AO449" s="38">
        <v>3.5</v>
      </c>
      <c r="AP449" s="36"/>
      <c r="AQ449" s="36"/>
      <c r="AR449" s="36"/>
      <c r="AS449" s="38">
        <v>27.7</v>
      </c>
      <c r="AT449" s="38">
        <v>8</v>
      </c>
      <c r="AU449" s="36"/>
      <c r="AV449" s="36"/>
      <c r="AW449" s="36"/>
      <c r="AX449" s="36"/>
      <c r="AY449" s="36"/>
      <c r="AZ449" s="38">
        <v>120</v>
      </c>
      <c r="BA449" s="36"/>
      <c r="BB449" s="36"/>
      <c r="BC449" s="38">
        <v>8.5</v>
      </c>
      <c r="BD449" s="38">
        <v>5.75</v>
      </c>
      <c r="BE449" s="36"/>
      <c r="BF449" s="38">
        <v>8</v>
      </c>
      <c r="BG449" s="59">
        <v>22.49</v>
      </c>
      <c r="BH449" s="59">
        <v>3.5</v>
      </c>
      <c r="BI449" s="59">
        <v>0.4793189033389964</v>
      </c>
      <c r="BJ449" s="59">
        <v>16</v>
      </c>
      <c r="BK449" s="38">
        <v>6.2479999999999993</v>
      </c>
      <c r="BL449" s="59">
        <v>2.38</v>
      </c>
      <c r="BM449" s="36"/>
      <c r="BN449" s="38">
        <v>62</v>
      </c>
      <c r="BO449" s="36"/>
      <c r="BP449" s="39">
        <f t="shared" si="263"/>
        <v>0.46399193548387102</v>
      </c>
      <c r="BQ449" s="37"/>
      <c r="BR449" s="39">
        <f t="shared" si="264"/>
        <v>1.233206899019845</v>
      </c>
      <c r="BS449" s="39">
        <f t="shared" si="296"/>
        <v>2.0458559034721557</v>
      </c>
      <c r="BT449" s="39">
        <f t="shared" si="309"/>
        <v>30.445665057996788</v>
      </c>
      <c r="BU449" s="37"/>
      <c r="BV449" s="39">
        <f t="shared" si="273"/>
        <v>0.44420137191521614</v>
      </c>
      <c r="BW449" s="39">
        <f t="shared" si="259"/>
        <v>3.0687973862995501</v>
      </c>
      <c r="BX449" s="39">
        <f t="shared" si="274"/>
        <v>0.32614768393352017</v>
      </c>
      <c r="BY449" s="39">
        <f t="shared" si="297"/>
        <v>5.6047927355539269</v>
      </c>
      <c r="BZ449" s="39">
        <f t="shared" si="310"/>
        <v>14.028788051655088</v>
      </c>
      <c r="CA449" s="39">
        <f t="shared" si="260"/>
        <v>6.3912820231998628</v>
      </c>
      <c r="CB449" s="39">
        <f t="shared" si="261"/>
        <v>2.4345792597976428</v>
      </c>
      <c r="CC449" s="37"/>
      <c r="CD449" s="39">
        <f t="shared" si="305"/>
        <v>0.22837103074596776</v>
      </c>
      <c r="CE449" s="37"/>
      <c r="CF449" s="37"/>
      <c r="CG449" s="39">
        <f>BP449*(12*AO449+AP449)/4.55</f>
        <v>4.2830024813895786</v>
      </c>
      <c r="CH449" s="37"/>
      <c r="CI449" s="39">
        <f t="shared" si="293"/>
        <v>8.1834236138886229</v>
      </c>
      <c r="CJ449" s="39">
        <f t="shared" si="277"/>
        <v>0.1145624161580432</v>
      </c>
      <c r="CK449" s="37"/>
      <c r="CL449" s="39">
        <f>BP449*(12*AG449+AH449)/100</f>
        <v>1.1321403225806455</v>
      </c>
      <c r="CM449" s="37"/>
      <c r="CN449" s="37"/>
      <c r="CO449" s="39">
        <f>0.063495+(0.016949+0.014096)*Wages!P447+1.22592*BR449</f>
        <v>2.0074468907593115</v>
      </c>
      <c r="CP449" s="39"/>
      <c r="CQ449" s="39">
        <f t="shared" si="298"/>
        <v>2.0458559034721557</v>
      </c>
      <c r="CR449" s="39">
        <f t="shared" si="284"/>
        <v>0.44420137191521614</v>
      </c>
      <c r="CS449" s="39">
        <f t="shared" si="284"/>
        <v>3.0687973862995501</v>
      </c>
      <c r="CT449" s="39">
        <f t="shared" si="262"/>
        <v>6.3912820231998628</v>
      </c>
      <c r="CU449" s="39">
        <f t="shared" si="262"/>
        <v>2.4345792597976428</v>
      </c>
      <c r="CV449" s="39">
        <v>0.41759200000000002</v>
      </c>
      <c r="CW449" s="39">
        <f t="shared" si="306"/>
        <v>0.22837103074596776</v>
      </c>
      <c r="CX449" s="39">
        <f t="shared" si="294"/>
        <v>8.1834236138886229</v>
      </c>
      <c r="CY449" s="39">
        <f t="shared" si="286"/>
        <v>14.028788051655088</v>
      </c>
      <c r="CZ449" s="39">
        <f t="shared" si="265"/>
        <v>0.32614768393352017</v>
      </c>
      <c r="DA449" s="39">
        <v>6.1375677104164668</v>
      </c>
      <c r="DB449" s="39">
        <f t="shared" si="311"/>
        <v>4.8713064092794864</v>
      </c>
      <c r="DC449" s="39">
        <f t="shared" si="266"/>
        <v>5.6047927355539269</v>
      </c>
      <c r="DD449" s="39">
        <f>CG449</f>
        <v>4.2830024813895786</v>
      </c>
      <c r="DE449" s="39">
        <v>4.9000000000000002E-2</v>
      </c>
      <c r="DF449" s="39">
        <v>0.11456241615804322</v>
      </c>
      <c r="DG449" s="39">
        <f t="shared" si="267"/>
        <v>1.1321403225806455</v>
      </c>
      <c r="DH449" s="39">
        <f t="shared" si="268"/>
        <v>5.5467511885895409</v>
      </c>
      <c r="DI449" s="39">
        <f t="shared" si="278"/>
        <v>4.7283179725966082</v>
      </c>
      <c r="DJ449" s="37"/>
      <c r="DK449" s="37"/>
      <c r="DL449" s="37"/>
      <c r="DM449" s="39">
        <f t="shared" si="275"/>
        <v>1.6774151149745242</v>
      </c>
      <c r="DN449" s="39"/>
      <c r="DO449" s="39">
        <f t="shared" si="276"/>
        <v>1.6774151149745242</v>
      </c>
      <c r="DP449" s="37"/>
      <c r="DQ449" s="37">
        <f>DO449/'Conversions, Sources &amp; Comments'!E447</f>
        <v>3.6151816156572689</v>
      </c>
    </row>
    <row r="450" spans="1:121">
      <c r="A450" s="42">
        <f t="shared" si="269"/>
        <v>1698</v>
      </c>
      <c r="B450" s="36"/>
      <c r="C450" s="38">
        <v>57</v>
      </c>
      <c r="D450" s="38">
        <v>2</v>
      </c>
      <c r="E450" s="36"/>
      <c r="F450" s="36"/>
      <c r="G450" s="38">
        <v>18</v>
      </c>
      <c r="H450" s="38">
        <v>9.25</v>
      </c>
      <c r="I450" s="36"/>
      <c r="J450" s="36"/>
      <c r="K450" s="38">
        <v>3</v>
      </c>
      <c r="L450" s="38">
        <v>6</v>
      </c>
      <c r="M450" s="36"/>
      <c r="N450" s="36"/>
      <c r="O450" s="36"/>
      <c r="P450" s="36"/>
      <c r="Q450" s="38">
        <v>4</v>
      </c>
      <c r="R450" s="38">
        <v>7</v>
      </c>
      <c r="S450" s="36"/>
      <c r="T450" s="36"/>
      <c r="U450" s="36"/>
      <c r="V450" s="38">
        <v>9</v>
      </c>
      <c r="W450" s="36"/>
      <c r="X450" s="36"/>
      <c r="Y450" s="36"/>
      <c r="Z450" s="38">
        <v>5</v>
      </c>
      <c r="AA450" s="38">
        <v>3.75</v>
      </c>
      <c r="AB450" s="36"/>
      <c r="AC450" s="36"/>
      <c r="AD450" s="36"/>
      <c r="AE450" s="38">
        <v>2</v>
      </c>
      <c r="AF450" s="38">
        <v>7.5</v>
      </c>
      <c r="AG450" s="36"/>
      <c r="AH450" s="36"/>
      <c r="AI450" s="38">
        <v>20</v>
      </c>
      <c r="AJ450" s="38">
        <v>0</v>
      </c>
      <c r="AK450" s="36"/>
      <c r="AL450" s="36"/>
      <c r="AM450" s="38">
        <v>0</v>
      </c>
      <c r="AN450" s="38">
        <v>492.1875</v>
      </c>
      <c r="AO450" s="36"/>
      <c r="AP450" s="36"/>
      <c r="AQ450" s="36"/>
      <c r="AR450" s="36"/>
      <c r="AS450" s="38">
        <v>22.04</v>
      </c>
      <c r="AT450" s="38">
        <v>6</v>
      </c>
      <c r="AU450" s="38">
        <v>3</v>
      </c>
      <c r="AV450" s="36"/>
      <c r="AW450" s="36"/>
      <c r="AX450" s="38">
        <v>12</v>
      </c>
      <c r="AY450" s="36"/>
      <c r="AZ450" s="38">
        <v>120</v>
      </c>
      <c r="BA450" s="36"/>
      <c r="BB450" s="36"/>
      <c r="BC450" s="38">
        <v>8.5</v>
      </c>
      <c r="BD450" s="38">
        <v>5.75</v>
      </c>
      <c r="BE450" s="36"/>
      <c r="BF450" s="38">
        <v>7.3</v>
      </c>
      <c r="BG450" s="59">
        <v>22.49</v>
      </c>
      <c r="BH450" s="59">
        <v>3.5</v>
      </c>
      <c r="BI450" s="59">
        <v>0.47112179397922571</v>
      </c>
      <c r="BJ450" s="59">
        <v>10</v>
      </c>
      <c r="BK450" s="38">
        <v>5.9072000000000005</v>
      </c>
      <c r="BL450" s="59">
        <v>2.38</v>
      </c>
      <c r="BM450" s="36"/>
      <c r="BN450" s="38">
        <v>62</v>
      </c>
      <c r="BO450" s="36"/>
      <c r="BP450" s="39">
        <f t="shared" si="263"/>
        <v>0.46399193548387102</v>
      </c>
      <c r="BQ450" s="37"/>
      <c r="BR450" s="39">
        <f t="shared" si="264"/>
        <v>1.1291023459828009</v>
      </c>
      <c r="BS450" s="39">
        <f t="shared" si="296"/>
        <v>1.866843511918342</v>
      </c>
      <c r="BT450" s="39">
        <f t="shared" si="309"/>
        <v>30.445665057996788</v>
      </c>
      <c r="BU450" s="37"/>
      <c r="BV450" s="39">
        <f t="shared" si="273"/>
        <v>0.44420137191521614</v>
      </c>
      <c r="BW450" s="39">
        <f t="shared" si="259"/>
        <v>3.0687973862995501</v>
      </c>
      <c r="BX450" s="39">
        <f t="shared" si="274"/>
        <v>0.32057004404906064</v>
      </c>
      <c r="BY450" s="39">
        <f t="shared" si="297"/>
        <v>5.434304743597913</v>
      </c>
      <c r="BZ450" s="39">
        <f t="shared" si="310"/>
        <v>8.7679925322844312</v>
      </c>
      <c r="CA450" s="39">
        <f t="shared" si="260"/>
        <v>6.0426666401162352</v>
      </c>
      <c r="CB450" s="39">
        <f t="shared" si="261"/>
        <v>2.4345792597976428</v>
      </c>
      <c r="CC450" s="39">
        <f t="shared" ref="CC450:CC493" si="312">BP450*12*V450/120</f>
        <v>0.4175927419354839</v>
      </c>
      <c r="CD450" s="39">
        <f t="shared" si="305"/>
        <v>0.22837103074596776</v>
      </c>
      <c r="CE450" s="37"/>
      <c r="CF450" s="39">
        <f t="shared" ref="CF450:CF481" si="313">$BP450*12*$AU450</f>
        <v>16.703709677419354</v>
      </c>
      <c r="CG450" s="37"/>
      <c r="CH450" s="37"/>
      <c r="CI450" s="39">
        <f t="shared" si="293"/>
        <v>6.1375677104164659</v>
      </c>
      <c r="CJ450" s="39">
        <f t="shared" si="277"/>
        <v>9.1153633650659649E-2</v>
      </c>
      <c r="CK450" s="37"/>
      <c r="CL450" s="37"/>
      <c r="CM450" s="37"/>
      <c r="CN450" s="37"/>
      <c r="CO450" s="39">
        <f>0.063495+(0.016949+0.014096)*Wages!P448+1.22592*BR450</f>
        <v>1.8798230371001385</v>
      </c>
      <c r="CP450" s="39"/>
      <c r="CQ450" s="39">
        <f t="shared" si="298"/>
        <v>1.866843511918342</v>
      </c>
      <c r="CR450" s="39">
        <f t="shared" si="284"/>
        <v>0.44420137191521614</v>
      </c>
      <c r="CS450" s="39">
        <f t="shared" si="284"/>
        <v>3.0687973862995501</v>
      </c>
      <c r="CT450" s="39">
        <f t="shared" si="262"/>
        <v>6.0426666401162352</v>
      </c>
      <c r="CU450" s="39">
        <f t="shared" si="262"/>
        <v>2.4345792597976428</v>
      </c>
      <c r="CV450" s="39">
        <f t="shared" si="262"/>
        <v>0.4175927419354839</v>
      </c>
      <c r="CW450" s="39">
        <f t="shared" si="306"/>
        <v>0.22837103074596776</v>
      </c>
      <c r="CX450" s="39">
        <f t="shared" si="294"/>
        <v>6.1375677104164659</v>
      </c>
      <c r="CY450" s="39">
        <f t="shared" si="286"/>
        <v>8.7679925322844312</v>
      </c>
      <c r="CZ450" s="39">
        <f t="shared" si="265"/>
        <v>0.32057004404906064</v>
      </c>
      <c r="DA450" s="39">
        <v>6.1375677104164668</v>
      </c>
      <c r="DB450" s="39">
        <f t="shared" si="311"/>
        <v>4.8713064092794864</v>
      </c>
      <c r="DC450" s="39">
        <f t="shared" si="266"/>
        <v>5.434304743597913</v>
      </c>
      <c r="DD450" s="39">
        <v>4.3</v>
      </c>
      <c r="DE450" s="39">
        <v>4.9000000000000002E-2</v>
      </c>
      <c r="DF450" s="39">
        <v>9.1153633650659663E-2</v>
      </c>
      <c r="DG450" s="39">
        <f t="shared" si="267"/>
        <v>0</v>
      </c>
      <c r="DH450" s="39">
        <f t="shared" si="268"/>
        <v>5.5467511885895409</v>
      </c>
      <c r="DI450" s="39">
        <f t="shared" si="278"/>
        <v>3.7621706901093592</v>
      </c>
      <c r="DJ450" s="37"/>
      <c r="DK450" s="37"/>
      <c r="DL450" s="37"/>
      <c r="DM450" s="39">
        <f t="shared" si="275"/>
        <v>1.5911115850674551</v>
      </c>
      <c r="DN450" s="39"/>
      <c r="DO450" s="39">
        <f t="shared" si="276"/>
        <v>1.5911115850674551</v>
      </c>
      <c r="DP450" s="37"/>
      <c r="DQ450" s="37">
        <f>DO450/'Conversions, Sources &amp; Comments'!E448</f>
        <v>3.4291793959913863</v>
      </c>
    </row>
    <row r="451" spans="1:121">
      <c r="A451" s="42">
        <f t="shared" si="269"/>
        <v>1699</v>
      </c>
      <c r="B451" s="36"/>
      <c r="C451" s="38">
        <v>45</v>
      </c>
      <c r="D451" s="38">
        <v>1</v>
      </c>
      <c r="E451" s="38">
        <v>30</v>
      </c>
      <c r="F451" s="38">
        <v>0</v>
      </c>
      <c r="G451" s="38">
        <v>14</v>
      </c>
      <c r="H451" s="38">
        <v>7.75</v>
      </c>
      <c r="I451" s="36"/>
      <c r="J451" s="36"/>
      <c r="K451" s="38">
        <v>3</v>
      </c>
      <c r="L451" s="38">
        <v>6</v>
      </c>
      <c r="M451" s="36"/>
      <c r="N451" s="36"/>
      <c r="O451" s="36"/>
      <c r="P451" s="36"/>
      <c r="Q451" s="38">
        <v>4</v>
      </c>
      <c r="R451" s="38">
        <v>9</v>
      </c>
      <c r="S451" s="36"/>
      <c r="T451" s="36"/>
      <c r="U451" s="36"/>
      <c r="V451" s="38">
        <v>9</v>
      </c>
      <c r="W451" s="36"/>
      <c r="X451" s="36"/>
      <c r="Y451" s="36"/>
      <c r="Z451" s="38">
        <v>5</v>
      </c>
      <c r="AA451" s="38">
        <v>4</v>
      </c>
      <c r="AB451" s="36"/>
      <c r="AC451" s="38">
        <v>2</v>
      </c>
      <c r="AD451" s="38">
        <v>7.25</v>
      </c>
      <c r="AE451" s="38">
        <v>2</v>
      </c>
      <c r="AF451" s="38">
        <v>7.5</v>
      </c>
      <c r="AG451" s="36"/>
      <c r="AH451" s="36"/>
      <c r="AI451" s="38" t="s">
        <v>8</v>
      </c>
      <c r="AJ451" s="36"/>
      <c r="AK451" s="36"/>
      <c r="AL451" s="36"/>
      <c r="AM451" s="38">
        <v>0</v>
      </c>
      <c r="AN451" s="38">
        <v>492.1875</v>
      </c>
      <c r="AO451" s="36"/>
      <c r="AP451" s="36"/>
      <c r="AQ451" s="36"/>
      <c r="AR451" s="36"/>
      <c r="AS451" s="38">
        <v>25</v>
      </c>
      <c r="AT451" s="38">
        <v>6</v>
      </c>
      <c r="AU451" s="38">
        <v>3</v>
      </c>
      <c r="AV451" s="36"/>
      <c r="AW451" s="36"/>
      <c r="AX451" s="36"/>
      <c r="AY451" s="36"/>
      <c r="AZ451" s="38">
        <v>120</v>
      </c>
      <c r="BA451" s="36"/>
      <c r="BB451" s="36"/>
      <c r="BC451" s="38">
        <v>8.5</v>
      </c>
      <c r="BD451" s="38">
        <v>5.75</v>
      </c>
      <c r="BE451" s="36"/>
      <c r="BF451" s="38">
        <v>5.7</v>
      </c>
      <c r="BG451" s="59">
        <v>22.49</v>
      </c>
      <c r="BH451" s="59">
        <v>3.5</v>
      </c>
      <c r="BI451" s="59">
        <v>0.46518595616697828</v>
      </c>
      <c r="BJ451" s="59">
        <v>10</v>
      </c>
      <c r="BK451" s="38">
        <v>5.5663999999999998</v>
      </c>
      <c r="BL451" s="59">
        <v>2.38</v>
      </c>
      <c r="BM451" s="36"/>
      <c r="BN451" s="38">
        <v>62</v>
      </c>
      <c r="BO451" s="36"/>
      <c r="BP451" s="39">
        <f t="shared" si="263"/>
        <v>0.46399193548387102</v>
      </c>
      <c r="BQ451" s="37"/>
      <c r="BR451" s="39">
        <f t="shared" si="264"/>
        <v>0.89044368684649466</v>
      </c>
      <c r="BS451" s="39">
        <f t="shared" si="296"/>
        <v>1.457672331223911</v>
      </c>
      <c r="BT451" s="39">
        <f t="shared" si="309"/>
        <v>30.445665057996788</v>
      </c>
      <c r="BU451" s="37"/>
      <c r="BV451" s="39">
        <f t="shared" si="273"/>
        <v>0.44420137191521614</v>
      </c>
      <c r="BW451" s="39">
        <f t="shared" si="259"/>
        <v>3.0687973862995501</v>
      </c>
      <c r="BX451" s="39">
        <f t="shared" si="274"/>
        <v>0.31653106344307297</v>
      </c>
      <c r="BY451" s="39">
        <f t="shared" si="297"/>
        <v>5.455615742592415</v>
      </c>
      <c r="BZ451" s="39">
        <f t="shared" si="310"/>
        <v>8.7679925322844312</v>
      </c>
      <c r="CA451" s="39">
        <f t="shared" si="260"/>
        <v>5.6940512570326058</v>
      </c>
      <c r="CB451" s="39">
        <f t="shared" si="261"/>
        <v>2.4345792597976428</v>
      </c>
      <c r="CC451" s="39">
        <f t="shared" si="312"/>
        <v>0.4175927419354839</v>
      </c>
      <c r="CD451" s="39">
        <f t="shared" si="305"/>
        <v>0.22837103074596776</v>
      </c>
      <c r="CE451" s="37"/>
      <c r="CF451" s="39">
        <f t="shared" si="313"/>
        <v>16.703709677419354</v>
      </c>
      <c r="CG451" s="37"/>
      <c r="CH451" s="37"/>
      <c r="CI451" s="39">
        <f t="shared" si="293"/>
        <v>6.1375677104164659</v>
      </c>
      <c r="CJ451" s="39">
        <f t="shared" si="277"/>
        <v>0.1033956824531076</v>
      </c>
      <c r="CK451" s="39">
        <f t="shared" ref="CK451:CK482" si="314">BP451*(12*AC451+AD451)/(35.238*8)</f>
        <v>5.1435055848341883E-2</v>
      </c>
      <c r="CL451" s="37"/>
      <c r="CM451" s="39">
        <f t="shared" ref="CM451:CM482" si="315">BP451*(12*$AC451+$AD451)/(35.238*8)/0.283</f>
        <v>0.18174931395173813</v>
      </c>
      <c r="CN451" s="37"/>
      <c r="CO451" s="39">
        <f>0.063495+(0.016949+0.014096)*Wages!P449+1.22592*BR451</f>
        <v>1.5872466136917578</v>
      </c>
      <c r="CP451" s="39"/>
      <c r="CQ451" s="39">
        <f t="shared" si="298"/>
        <v>1.457672331223911</v>
      </c>
      <c r="CR451" s="39">
        <f t="shared" si="284"/>
        <v>0.44420137191521614</v>
      </c>
      <c r="CS451" s="39">
        <f t="shared" si="284"/>
        <v>3.0687973862995501</v>
      </c>
      <c r="CT451" s="39">
        <f t="shared" si="262"/>
        <v>5.6940512570326058</v>
      </c>
      <c r="CU451" s="39">
        <f t="shared" si="262"/>
        <v>2.4345792597976428</v>
      </c>
      <c r="CV451" s="39">
        <f t="shared" si="262"/>
        <v>0.4175927419354839</v>
      </c>
      <c r="CW451" s="39">
        <f t="shared" si="306"/>
        <v>0.22837103074596776</v>
      </c>
      <c r="CX451" s="39">
        <f t="shared" si="294"/>
        <v>6.1375677104164659</v>
      </c>
      <c r="CY451" s="39">
        <f t="shared" si="286"/>
        <v>8.7679925322844312</v>
      </c>
      <c r="CZ451" s="39">
        <f t="shared" si="265"/>
        <v>0.31653106344307297</v>
      </c>
      <c r="DA451" s="39">
        <v>6.1375677104164668</v>
      </c>
      <c r="DB451" s="39">
        <f t="shared" si="311"/>
        <v>4.8713064092794864</v>
      </c>
      <c r="DC451" s="39">
        <f t="shared" si="266"/>
        <v>5.455615742592415</v>
      </c>
      <c r="DD451" s="39">
        <v>4.3</v>
      </c>
      <c r="DE451" s="39">
        <f t="shared" ref="DE451:DE514" si="316">CK451</f>
        <v>5.1435055848341883E-2</v>
      </c>
      <c r="DF451" s="39">
        <v>0.1033956824531076</v>
      </c>
      <c r="DG451" s="39">
        <f t="shared" si="267"/>
        <v>0</v>
      </c>
      <c r="DH451" s="39">
        <f t="shared" si="268"/>
        <v>5.822397084937954</v>
      </c>
      <c r="DI451" s="39">
        <f t="shared" si="278"/>
        <v>4.2674349933182381</v>
      </c>
      <c r="DJ451" s="37"/>
      <c r="DK451" s="37"/>
      <c r="DL451" s="37"/>
      <c r="DM451" s="39">
        <f t="shared" si="275"/>
        <v>1.4089384154007796</v>
      </c>
      <c r="DN451" s="39"/>
      <c r="DO451" s="39">
        <f t="shared" si="276"/>
        <v>1.4089384154007796</v>
      </c>
      <c r="DP451" s="37"/>
      <c r="DQ451" s="37">
        <f>DO451/'Conversions, Sources &amp; Comments'!E449</f>
        <v>3.0365579822663884</v>
      </c>
    </row>
    <row r="452" spans="1:121">
      <c r="A452" s="42">
        <f t="shared" si="269"/>
        <v>1700</v>
      </c>
      <c r="B452" s="36"/>
      <c r="C452" s="38">
        <v>31</v>
      </c>
      <c r="D452" s="38">
        <v>7</v>
      </c>
      <c r="E452" s="36"/>
      <c r="F452" s="36"/>
      <c r="G452" s="38">
        <v>13</v>
      </c>
      <c r="H452" s="38">
        <v>5</v>
      </c>
      <c r="I452" s="36"/>
      <c r="J452" s="36"/>
      <c r="K452" s="38">
        <v>3</v>
      </c>
      <c r="L452" s="38">
        <v>6</v>
      </c>
      <c r="M452" s="36"/>
      <c r="N452" s="36"/>
      <c r="O452" s="36"/>
      <c r="P452" s="36"/>
      <c r="Q452" s="36"/>
      <c r="R452" s="36"/>
      <c r="S452" s="36"/>
      <c r="T452" s="36"/>
      <c r="U452" s="36"/>
      <c r="V452" s="38">
        <v>9</v>
      </c>
      <c r="W452" s="36"/>
      <c r="X452" s="36"/>
      <c r="Y452" s="36"/>
      <c r="Z452" s="38">
        <v>5</v>
      </c>
      <c r="AA452" s="38">
        <v>2</v>
      </c>
      <c r="AB452" s="36"/>
      <c r="AC452" s="38">
        <v>2</v>
      </c>
      <c r="AD452" s="38">
        <v>7.5</v>
      </c>
      <c r="AE452" s="38">
        <v>2</v>
      </c>
      <c r="AF452" s="38">
        <v>7.5</v>
      </c>
      <c r="AG452" s="36"/>
      <c r="AH452" s="36"/>
      <c r="AI452" s="36"/>
      <c r="AJ452" s="36"/>
      <c r="AK452" s="36"/>
      <c r="AL452" s="36"/>
      <c r="AM452" s="38">
        <v>0</v>
      </c>
      <c r="AN452" s="38">
        <v>492.1875</v>
      </c>
      <c r="AO452" s="38">
        <v>3.58</v>
      </c>
      <c r="AP452" s="36"/>
      <c r="AQ452" s="36"/>
      <c r="AR452" s="36"/>
      <c r="AS452" s="38">
        <v>24.3</v>
      </c>
      <c r="AT452" s="38">
        <v>6</v>
      </c>
      <c r="AU452" s="38">
        <v>3</v>
      </c>
      <c r="AV452" s="36"/>
      <c r="AW452" s="36"/>
      <c r="AX452" s="38">
        <v>17.600000000000001</v>
      </c>
      <c r="AY452" s="36"/>
      <c r="AZ452" s="38">
        <v>120</v>
      </c>
      <c r="BA452" s="36"/>
      <c r="BB452" s="36"/>
      <c r="BC452" s="38">
        <v>8.5</v>
      </c>
      <c r="BD452" s="38">
        <v>5.75</v>
      </c>
      <c r="BE452" s="36"/>
      <c r="BF452" s="38">
        <v>4.8</v>
      </c>
      <c r="BG452" s="59">
        <v>23.16</v>
      </c>
      <c r="BH452" s="59">
        <v>3.57</v>
      </c>
      <c r="BI452" s="59">
        <v>0.45932078309058916</v>
      </c>
      <c r="BJ452" s="59">
        <v>10</v>
      </c>
      <c r="BK452" s="38">
        <v>5.68</v>
      </c>
      <c r="BL452" s="59">
        <v>1.93</v>
      </c>
      <c r="BM452" s="36"/>
      <c r="BN452" s="38">
        <v>62</v>
      </c>
      <c r="BO452" s="36"/>
      <c r="BP452" s="39">
        <f t="shared" si="263"/>
        <v>0.46399193548387102</v>
      </c>
      <c r="BQ452" s="37"/>
      <c r="BR452" s="39">
        <f t="shared" si="264"/>
        <v>0.62380435732869033</v>
      </c>
      <c r="BS452" s="39">
        <f t="shared" si="296"/>
        <v>1.2275135420832934</v>
      </c>
      <c r="BT452" s="39">
        <f t="shared" si="309"/>
        <v>30.445665057996788</v>
      </c>
      <c r="BU452" s="37"/>
      <c r="BV452" s="39">
        <f t="shared" si="273"/>
        <v>0.45743458308387758</v>
      </c>
      <c r="BW452" s="39">
        <f t="shared" si="259"/>
        <v>3.1301733340255415</v>
      </c>
      <c r="BX452" s="39">
        <f t="shared" si="274"/>
        <v>0.31254016593953621</v>
      </c>
      <c r="BY452" s="39">
        <f t="shared" si="297"/>
        <v>5.2851277506364021</v>
      </c>
      <c r="BZ452" s="39">
        <f t="shared" si="310"/>
        <v>8.7679925322844312</v>
      </c>
      <c r="CA452" s="39">
        <f t="shared" si="260"/>
        <v>5.8102563847271487</v>
      </c>
      <c r="CB452" s="39">
        <f t="shared" si="261"/>
        <v>1.9742596518527107</v>
      </c>
      <c r="CC452" s="39">
        <f t="shared" si="312"/>
        <v>0.4175927419354839</v>
      </c>
      <c r="CD452" s="39">
        <f t="shared" si="305"/>
        <v>0.22837103074596776</v>
      </c>
      <c r="CE452" s="37"/>
      <c r="CF452" s="39">
        <f t="shared" si="313"/>
        <v>16.703709677419354</v>
      </c>
      <c r="CG452" s="39">
        <f>BP452*(12*AO452+AP452)/4.55</f>
        <v>4.3808996809641974</v>
      </c>
      <c r="CH452" s="37"/>
      <c r="CI452" s="39">
        <f t="shared" si="293"/>
        <v>6.1375677104164659</v>
      </c>
      <c r="CJ452" s="39">
        <f t="shared" si="277"/>
        <v>0.10050060334442057</v>
      </c>
      <c r="CK452" s="39">
        <f t="shared" si="314"/>
        <v>5.1846536295128615E-2</v>
      </c>
      <c r="CL452" s="37"/>
      <c r="CM452" s="39">
        <f t="shared" si="315"/>
        <v>0.183203308463352</v>
      </c>
      <c r="CN452" s="37"/>
      <c r="CO452" s="39">
        <f>0.063495+(0.016949+0.014096)*Wages!P450+1.22592*BR452</f>
        <v>1.2603681268492912</v>
      </c>
      <c r="CP452" s="39"/>
      <c r="CQ452" s="39">
        <f t="shared" si="298"/>
        <v>1.2275135420832934</v>
      </c>
      <c r="CR452" s="39">
        <f t="shared" si="284"/>
        <v>0.45743458308387758</v>
      </c>
      <c r="CS452" s="39">
        <f t="shared" si="284"/>
        <v>3.1301733340255415</v>
      </c>
      <c r="CT452" s="39">
        <f t="shared" si="262"/>
        <v>5.8102563847271487</v>
      </c>
      <c r="CU452" s="39">
        <f t="shared" si="262"/>
        <v>1.9742596518527107</v>
      </c>
      <c r="CV452" s="39">
        <f t="shared" si="262"/>
        <v>0.4175927419354839</v>
      </c>
      <c r="CW452" s="39">
        <f t="shared" si="306"/>
        <v>0.22837103074596776</v>
      </c>
      <c r="CX452" s="39">
        <f t="shared" si="294"/>
        <v>6.1375677104164659</v>
      </c>
      <c r="CY452" s="39">
        <f t="shared" si="286"/>
        <v>8.7679925322844312</v>
      </c>
      <c r="CZ452" s="39">
        <f t="shared" si="265"/>
        <v>0.31254016593953621</v>
      </c>
      <c r="DA452" s="39">
        <v>6.1375677104164668</v>
      </c>
      <c r="DB452" s="39">
        <f t="shared" si="311"/>
        <v>4.8713064092794864</v>
      </c>
      <c r="DC452" s="39">
        <f t="shared" si="266"/>
        <v>5.2851277506364021</v>
      </c>
      <c r="DD452" s="39">
        <f>CG452</f>
        <v>4.3808996809641974</v>
      </c>
      <c r="DE452" s="39">
        <f t="shared" si="316"/>
        <v>5.1846536295128615E-2</v>
      </c>
      <c r="DF452" s="39">
        <v>0.10050060334442058</v>
      </c>
      <c r="DG452" s="39">
        <f t="shared" si="267"/>
        <v>0</v>
      </c>
      <c r="DH452" s="39">
        <f t="shared" si="268"/>
        <v>5.8689762616174574</v>
      </c>
      <c r="DI452" s="39">
        <f t="shared" si="278"/>
        <v>4.1479468135053281</v>
      </c>
      <c r="DJ452" s="37"/>
      <c r="DK452" s="37"/>
      <c r="DL452" s="37"/>
      <c r="DM452" s="39">
        <f t="shared" si="275"/>
        <v>1.3074178023690368</v>
      </c>
      <c r="DN452" s="39"/>
      <c r="DO452" s="39">
        <f t="shared" si="276"/>
        <v>1.3074178023690368</v>
      </c>
      <c r="DP452" s="39"/>
      <c r="DQ452" s="37">
        <f>DO452/'Conversions, Sources &amp; Comments'!E450</f>
        <v>2.8177597548233346</v>
      </c>
    </row>
    <row r="453" spans="1:121">
      <c r="A453" s="42">
        <f t="shared" si="269"/>
        <v>1701</v>
      </c>
      <c r="B453" s="36"/>
      <c r="C453" s="38">
        <v>26</v>
      </c>
      <c r="D453" s="38">
        <v>7</v>
      </c>
      <c r="E453" s="38">
        <v>17</v>
      </c>
      <c r="F453" s="38">
        <v>2</v>
      </c>
      <c r="G453" s="38">
        <v>13</v>
      </c>
      <c r="H453" s="38">
        <v>8.75</v>
      </c>
      <c r="I453" s="36"/>
      <c r="J453" s="36"/>
      <c r="K453" s="38">
        <v>3</v>
      </c>
      <c r="L453" s="38">
        <v>6</v>
      </c>
      <c r="M453" s="36"/>
      <c r="N453" s="36"/>
      <c r="O453" s="36"/>
      <c r="P453" s="36"/>
      <c r="Q453" s="36"/>
      <c r="R453" s="36"/>
      <c r="S453" s="36"/>
      <c r="T453" s="36"/>
      <c r="U453" s="36"/>
      <c r="V453" s="38">
        <v>8.25</v>
      </c>
      <c r="W453" s="36"/>
      <c r="X453" s="36"/>
      <c r="Y453" s="36"/>
      <c r="Z453" s="38">
        <v>5</v>
      </c>
      <c r="AA453" s="38">
        <v>8</v>
      </c>
      <c r="AB453" s="36"/>
      <c r="AC453" s="38">
        <v>2</v>
      </c>
      <c r="AD453" s="38">
        <v>7.5</v>
      </c>
      <c r="AE453" s="38">
        <v>2</v>
      </c>
      <c r="AF453" s="38">
        <v>7.5</v>
      </c>
      <c r="AG453" s="36"/>
      <c r="AH453" s="36"/>
      <c r="AI453" s="36"/>
      <c r="AJ453" s="36"/>
      <c r="AK453" s="36"/>
      <c r="AL453" s="36"/>
      <c r="AM453" s="38">
        <v>0</v>
      </c>
      <c r="AN453" s="38">
        <v>492.1875</v>
      </c>
      <c r="AO453" s="36"/>
      <c r="AP453" s="36"/>
      <c r="AQ453" s="36"/>
      <c r="AR453" s="36"/>
      <c r="AS453" s="38">
        <v>27.77</v>
      </c>
      <c r="AT453" s="38">
        <v>6</v>
      </c>
      <c r="AU453" s="38">
        <v>3</v>
      </c>
      <c r="AV453" s="36"/>
      <c r="AW453" s="36"/>
      <c r="AX453" s="36"/>
      <c r="AY453" s="36"/>
      <c r="AZ453" s="38">
        <v>120</v>
      </c>
      <c r="BA453" s="36"/>
      <c r="BB453" s="36"/>
      <c r="BC453" s="38">
        <v>8.5</v>
      </c>
      <c r="BD453" s="38">
        <v>5.75</v>
      </c>
      <c r="BE453" s="36"/>
      <c r="BF453" s="38">
        <v>4.3</v>
      </c>
      <c r="BG453" s="59">
        <v>23.16</v>
      </c>
      <c r="BH453" s="59">
        <v>3.57</v>
      </c>
      <c r="BI453" s="59">
        <v>0.56531788688072615</v>
      </c>
      <c r="BJ453" s="59">
        <v>10.5</v>
      </c>
      <c r="BK453" s="38">
        <v>5.8503999999999996</v>
      </c>
      <c r="BL453" s="59">
        <v>1.93</v>
      </c>
      <c r="BM453" s="36"/>
      <c r="BN453" s="38">
        <v>62</v>
      </c>
      <c r="BO453" s="36"/>
      <c r="BP453" s="39">
        <f t="shared" si="263"/>
        <v>0.46399193548387102</v>
      </c>
      <c r="BQ453" s="37"/>
      <c r="BR453" s="39">
        <f t="shared" si="264"/>
        <v>0.5250490500998739</v>
      </c>
      <c r="BS453" s="39">
        <f t="shared" si="296"/>
        <v>1.0996475481162837</v>
      </c>
      <c r="BT453" s="39">
        <f t="shared" si="309"/>
        <v>30.445665057996788</v>
      </c>
      <c r="BU453" s="37"/>
      <c r="BV453" s="39">
        <f t="shared" si="273"/>
        <v>0.45743458308387758</v>
      </c>
      <c r="BW453" s="39">
        <f t="shared" si="259"/>
        <v>3.1301733340255415</v>
      </c>
      <c r="BX453" s="39">
        <f t="shared" si="274"/>
        <v>0.38466481961789145</v>
      </c>
      <c r="BY453" s="39">
        <f t="shared" si="297"/>
        <v>5.7965917265044409</v>
      </c>
      <c r="BZ453" s="39">
        <f t="shared" si="310"/>
        <v>9.2063921588986517</v>
      </c>
      <c r="CA453" s="39">
        <f t="shared" si="260"/>
        <v>5.9845640762689634</v>
      </c>
      <c r="CB453" s="39">
        <f t="shared" si="261"/>
        <v>1.9742596518527107</v>
      </c>
      <c r="CC453" s="39">
        <f t="shared" si="312"/>
        <v>0.38279334677419358</v>
      </c>
      <c r="CD453" s="39">
        <f t="shared" si="305"/>
        <v>0.22837103074596776</v>
      </c>
      <c r="CE453" s="37"/>
      <c r="CF453" s="39">
        <f t="shared" si="313"/>
        <v>16.703709677419354</v>
      </c>
      <c r="CG453" s="37"/>
      <c r="CH453" s="37"/>
      <c r="CI453" s="39">
        <f t="shared" ref="CI453:CI484" si="317">BP453*12*AT453/(12*0.453592)</f>
        <v>6.1375677104164659</v>
      </c>
      <c r="CJ453" s="39">
        <f t="shared" si="277"/>
        <v>0.1148519240689119</v>
      </c>
      <c r="CK453" s="39">
        <f t="shared" si="314"/>
        <v>5.1846536295128615E-2</v>
      </c>
      <c r="CL453" s="37"/>
      <c r="CM453" s="39">
        <f t="shared" si="315"/>
        <v>0.183203308463352</v>
      </c>
      <c r="CN453" s="37"/>
      <c r="CO453" s="39">
        <f>0.063495+(0.016949+0.014096)*Wages!P451+1.22592*BR453</f>
        <v>1.1393020206113404</v>
      </c>
      <c r="CP453" s="39"/>
      <c r="CQ453" s="39">
        <f t="shared" si="298"/>
        <v>1.0996475481162837</v>
      </c>
      <c r="CR453" s="39">
        <f t="shared" si="284"/>
        <v>0.45743458308387758</v>
      </c>
      <c r="CS453" s="39">
        <f t="shared" si="284"/>
        <v>3.1301733340255415</v>
      </c>
      <c r="CT453" s="39">
        <f t="shared" si="262"/>
        <v>5.9845640762689634</v>
      </c>
      <c r="CU453" s="39">
        <f t="shared" si="262"/>
        <v>1.9742596518527107</v>
      </c>
      <c r="CV453" s="39">
        <f t="shared" si="262"/>
        <v>0.38279334677419358</v>
      </c>
      <c r="CW453" s="39">
        <f t="shared" si="306"/>
        <v>0.22837103074596776</v>
      </c>
      <c r="CX453" s="39">
        <f t="shared" si="294"/>
        <v>6.1375677104164659</v>
      </c>
      <c r="CY453" s="39">
        <f t="shared" si="286"/>
        <v>9.2063921588986517</v>
      </c>
      <c r="CZ453" s="39">
        <f t="shared" si="265"/>
        <v>0.38466481961789145</v>
      </c>
      <c r="DA453" s="39">
        <v>6.1375677104164668</v>
      </c>
      <c r="DB453" s="39">
        <f t="shared" si="311"/>
        <v>4.8713064092794864</v>
      </c>
      <c r="DC453" s="39">
        <f t="shared" si="266"/>
        <v>5.7965917265044409</v>
      </c>
      <c r="DD453" s="39">
        <v>4.4000000000000004</v>
      </c>
      <c r="DE453" s="39">
        <f t="shared" si="316"/>
        <v>5.1846536295128615E-2</v>
      </c>
      <c r="DF453" s="39">
        <v>0.11485192406891193</v>
      </c>
      <c r="DG453" s="39">
        <f t="shared" si="267"/>
        <v>0</v>
      </c>
      <c r="DH453" s="39">
        <f t="shared" si="268"/>
        <v>5.8689762616174574</v>
      </c>
      <c r="DI453" s="39">
        <f t="shared" si="278"/>
        <v>4.7402667905778992</v>
      </c>
      <c r="DJ453" s="37"/>
      <c r="DK453" s="37"/>
      <c r="DL453" s="37"/>
      <c r="DM453" s="39">
        <f t="shared" si="275"/>
        <v>1.2841142217163262</v>
      </c>
      <c r="DN453" s="39"/>
      <c r="DO453" s="39">
        <f t="shared" si="276"/>
        <v>1.2841142217163262</v>
      </c>
      <c r="DP453" s="37"/>
      <c r="DQ453" s="37">
        <f>DO453/'Conversions, Sources &amp; Comments'!E451</f>
        <v>2.7675356477417994</v>
      </c>
    </row>
    <row r="454" spans="1:121">
      <c r="A454" s="42">
        <f t="shared" si="269"/>
        <v>1702</v>
      </c>
      <c r="B454" s="36"/>
      <c r="C454" s="38">
        <v>28</v>
      </c>
      <c r="D454" s="38">
        <v>1.5</v>
      </c>
      <c r="E454" s="36"/>
      <c r="F454" s="36"/>
      <c r="G454" s="38">
        <v>12</v>
      </c>
      <c r="H454" s="38">
        <v>4</v>
      </c>
      <c r="I454" s="36"/>
      <c r="J454" s="36"/>
      <c r="K454" s="38">
        <v>3</v>
      </c>
      <c r="L454" s="38">
        <v>6</v>
      </c>
      <c r="M454" s="36"/>
      <c r="N454" s="36"/>
      <c r="O454" s="36"/>
      <c r="P454" s="36"/>
      <c r="Q454" s="36"/>
      <c r="R454" s="36"/>
      <c r="S454" s="36"/>
      <c r="T454" s="36"/>
      <c r="U454" s="36"/>
      <c r="V454" s="38">
        <v>7.5</v>
      </c>
      <c r="W454" s="36"/>
      <c r="X454" s="36"/>
      <c r="Y454" s="36"/>
      <c r="Z454" s="38">
        <v>5</v>
      </c>
      <c r="AA454" s="38">
        <v>4</v>
      </c>
      <c r="AB454" s="36"/>
      <c r="AC454" s="38">
        <v>2</v>
      </c>
      <c r="AD454" s="38">
        <v>6</v>
      </c>
      <c r="AE454" s="38">
        <v>2</v>
      </c>
      <c r="AF454" s="38">
        <v>7.5</v>
      </c>
      <c r="AG454" s="36"/>
      <c r="AH454" s="36"/>
      <c r="AI454" s="36"/>
      <c r="AJ454" s="36"/>
      <c r="AK454" s="36"/>
      <c r="AL454" s="36"/>
      <c r="AM454" s="38">
        <v>0</v>
      </c>
      <c r="AN454" s="38">
        <v>492.1875</v>
      </c>
      <c r="AO454" s="38">
        <v>3.67</v>
      </c>
      <c r="AP454" s="36"/>
      <c r="AQ454" s="36"/>
      <c r="AR454" s="36"/>
      <c r="AS454" s="38">
        <v>33.21</v>
      </c>
      <c r="AT454" s="38">
        <v>6</v>
      </c>
      <c r="AU454" s="38">
        <v>3</v>
      </c>
      <c r="AV454" s="36"/>
      <c r="AW454" s="36"/>
      <c r="AX454" s="36"/>
      <c r="AY454" s="36"/>
      <c r="AZ454" s="38">
        <v>120</v>
      </c>
      <c r="BA454" s="36"/>
      <c r="BB454" s="36"/>
      <c r="BC454" s="38">
        <v>8</v>
      </c>
      <c r="BD454" s="38">
        <v>5.75</v>
      </c>
      <c r="BE454" s="36"/>
      <c r="BF454" s="38">
        <v>4.4000000000000004</v>
      </c>
      <c r="BG454" s="59">
        <v>23.16</v>
      </c>
      <c r="BH454" s="59">
        <v>3.57</v>
      </c>
      <c r="BI454" s="59">
        <v>0.4946531510206354</v>
      </c>
      <c r="BJ454" s="59">
        <v>10</v>
      </c>
      <c r="BK454" s="38">
        <v>5.5663999999999998</v>
      </c>
      <c r="BL454" s="59">
        <v>1.93</v>
      </c>
      <c r="BM454" s="36"/>
      <c r="BN454" s="38">
        <v>62</v>
      </c>
      <c r="BO454" s="36"/>
      <c r="BP454" s="39">
        <f t="shared" si="263"/>
        <v>0.46399193548387102</v>
      </c>
      <c r="BQ454" s="37"/>
      <c r="BR454" s="39">
        <f t="shared" si="264"/>
        <v>0.55549860316209232</v>
      </c>
      <c r="BS454" s="39">
        <f t="shared" si="296"/>
        <v>1.1252207469096858</v>
      </c>
      <c r="BT454" s="39">
        <f t="shared" si="309"/>
        <v>30.445665057996788</v>
      </c>
      <c r="BU454" s="37"/>
      <c r="BV454" s="39">
        <f t="shared" si="273"/>
        <v>0.45743458308387758</v>
      </c>
      <c r="BW454" s="39">
        <f t="shared" si="259"/>
        <v>3.1301733340255415</v>
      </c>
      <c r="BX454" s="39">
        <f t="shared" si="274"/>
        <v>0.33658171716565499</v>
      </c>
      <c r="BY454" s="39">
        <f t="shared" si="297"/>
        <v>5.455615742592415</v>
      </c>
      <c r="BZ454" s="39">
        <f t="shared" si="310"/>
        <v>8.7679925322844312</v>
      </c>
      <c r="CA454" s="39">
        <f t="shared" si="260"/>
        <v>5.6940512570326058</v>
      </c>
      <c r="CB454" s="39">
        <f t="shared" si="261"/>
        <v>1.9742596518527107</v>
      </c>
      <c r="CC454" s="39">
        <f t="shared" si="312"/>
        <v>0.34799395161290325</v>
      </c>
      <c r="CD454" s="39">
        <f t="shared" si="305"/>
        <v>0.22837103074596776</v>
      </c>
      <c r="CE454" s="37"/>
      <c r="CF454" s="39">
        <f t="shared" si="313"/>
        <v>16.703709677419354</v>
      </c>
      <c r="CG454" s="39">
        <f>BP454*(12*AO454+AP454)/4.55</f>
        <v>4.4910340304856442</v>
      </c>
      <c r="CH454" s="37"/>
      <c r="CI454" s="39">
        <f t="shared" si="317"/>
        <v>6.1375677104164659</v>
      </c>
      <c r="CJ454" s="39">
        <f t="shared" si="277"/>
        <v>0.13735082457070813</v>
      </c>
      <c r="CK454" s="39">
        <f t="shared" si="314"/>
        <v>4.9377653614408205E-2</v>
      </c>
      <c r="CL454" s="37"/>
      <c r="CM454" s="39">
        <f t="shared" si="315"/>
        <v>0.17447934139366858</v>
      </c>
      <c r="CN454" s="37"/>
      <c r="CO454" s="39">
        <f>0.063495+(0.016949+0.014096)*Wages!P452+1.22592*BR454</f>
        <v>1.1766307367013753</v>
      </c>
      <c r="CP454" s="39"/>
      <c r="CQ454" s="39">
        <f t="shared" si="298"/>
        <v>1.1252207469096858</v>
      </c>
      <c r="CR454" s="39">
        <f t="shared" si="284"/>
        <v>0.45743458308387758</v>
      </c>
      <c r="CS454" s="39">
        <f t="shared" si="284"/>
        <v>3.1301733340255415</v>
      </c>
      <c r="CT454" s="39">
        <f t="shared" si="262"/>
        <v>5.6940512570326058</v>
      </c>
      <c r="CU454" s="39">
        <f t="shared" si="262"/>
        <v>1.9742596518527107</v>
      </c>
      <c r="CV454" s="39">
        <f t="shared" si="262"/>
        <v>0.34799395161290325</v>
      </c>
      <c r="CW454" s="39">
        <f t="shared" si="306"/>
        <v>0.22837103074596776</v>
      </c>
      <c r="CX454" s="39">
        <f t="shared" si="294"/>
        <v>6.1375677104164659</v>
      </c>
      <c r="CY454" s="39">
        <f t="shared" si="286"/>
        <v>8.7679925322844312</v>
      </c>
      <c r="CZ454" s="39">
        <f t="shared" si="265"/>
        <v>0.33658171716565499</v>
      </c>
      <c r="DA454" s="39">
        <v>6.1375677104164668</v>
      </c>
      <c r="DB454" s="39">
        <f t="shared" si="311"/>
        <v>4.8713064092794864</v>
      </c>
      <c r="DC454" s="39">
        <f t="shared" si="266"/>
        <v>5.455615742592415</v>
      </c>
      <c r="DD454" s="39">
        <f>CG454</f>
        <v>4.4910340304856442</v>
      </c>
      <c r="DE454" s="39">
        <f t="shared" si="316"/>
        <v>4.9377653614408205E-2</v>
      </c>
      <c r="DF454" s="39">
        <v>0.13735082457070813</v>
      </c>
      <c r="DG454" s="39">
        <f t="shared" si="267"/>
        <v>0</v>
      </c>
      <c r="DH454" s="39">
        <f t="shared" si="268"/>
        <v>5.5895012015404353</v>
      </c>
      <c r="DI454" s="39">
        <f t="shared" si="278"/>
        <v>5.6688606451239485</v>
      </c>
      <c r="DJ454" s="37"/>
      <c r="DK454" s="37"/>
      <c r="DL454" s="37"/>
      <c r="DM454" s="39">
        <f t="shared" si="275"/>
        <v>1.2613032028974729</v>
      </c>
      <c r="DN454" s="39"/>
      <c r="DO454" s="39">
        <f t="shared" si="276"/>
        <v>1.2613032028974729</v>
      </c>
      <c r="DP454" s="37"/>
      <c r="DQ454" s="37">
        <f>DO454/'Conversions, Sources &amp; Comments'!E452</f>
        <v>2.7183731147872883</v>
      </c>
    </row>
    <row r="455" spans="1:121">
      <c r="A455" s="42">
        <f t="shared" si="269"/>
        <v>1703</v>
      </c>
      <c r="B455" s="36"/>
      <c r="C455" s="38">
        <v>38.49</v>
      </c>
      <c r="D455" s="38">
        <v>0</v>
      </c>
      <c r="E455" s="36"/>
      <c r="F455" s="36"/>
      <c r="G455" s="36"/>
      <c r="H455" s="36"/>
      <c r="I455" s="36"/>
      <c r="J455" s="36"/>
      <c r="K455" s="36"/>
      <c r="L455" s="38" t="s">
        <v>8</v>
      </c>
      <c r="M455" s="36"/>
      <c r="N455" s="36"/>
      <c r="O455" s="36"/>
      <c r="P455" s="36"/>
      <c r="Q455" s="36"/>
      <c r="R455" s="36"/>
      <c r="S455" s="36"/>
      <c r="T455" s="36"/>
      <c r="U455" s="36"/>
      <c r="V455" s="38">
        <v>7.5</v>
      </c>
      <c r="W455" s="36"/>
      <c r="X455" s="36"/>
      <c r="Y455" s="36"/>
      <c r="Z455" s="36"/>
      <c r="AA455" s="36"/>
      <c r="AB455" s="59">
        <v>4.666666666666667</v>
      </c>
      <c r="AC455" s="38">
        <v>2</v>
      </c>
      <c r="AD455" s="38">
        <v>6</v>
      </c>
      <c r="AE455" s="38">
        <v>2</v>
      </c>
      <c r="AF455" s="38">
        <v>6</v>
      </c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8">
        <v>34.83</v>
      </c>
      <c r="AT455" s="38">
        <v>6</v>
      </c>
      <c r="AU455" s="38">
        <v>3</v>
      </c>
      <c r="AV455" s="36"/>
      <c r="AW455" s="36"/>
      <c r="AX455" s="36"/>
      <c r="AY455" s="36"/>
      <c r="AZ455" s="38">
        <v>120</v>
      </c>
      <c r="BA455" s="36"/>
      <c r="BB455" s="36"/>
      <c r="BC455" s="38">
        <v>8</v>
      </c>
      <c r="BD455" s="38">
        <v>5.75</v>
      </c>
      <c r="BE455" s="36"/>
      <c r="BF455" s="38">
        <v>5.7</v>
      </c>
      <c r="BG455" s="59">
        <v>23.16</v>
      </c>
      <c r="BH455" s="59">
        <v>3.57</v>
      </c>
      <c r="BI455" s="59">
        <v>0.4946531510206354</v>
      </c>
      <c r="BJ455" s="59">
        <v>10</v>
      </c>
      <c r="BK455" s="38">
        <v>5.1120000000000001</v>
      </c>
      <c r="BL455" s="59">
        <v>1.93</v>
      </c>
      <c r="BM455" s="36"/>
      <c r="BN455" s="38">
        <v>62</v>
      </c>
      <c r="BO455" s="36"/>
      <c r="BP455" s="39">
        <f t="shared" si="263"/>
        <v>0.46399193548387102</v>
      </c>
      <c r="BQ455" s="37"/>
      <c r="BR455" s="39">
        <f t="shared" si="264"/>
        <v>0.76021835504742874</v>
      </c>
      <c r="BS455" s="39">
        <f t="shared" si="296"/>
        <v>1.457672331223911</v>
      </c>
      <c r="BT455" s="39">
        <f t="shared" si="309"/>
        <v>30.445665057996788</v>
      </c>
      <c r="BU455" s="37"/>
      <c r="BV455" s="39">
        <f t="shared" si="273"/>
        <v>0.45743458308387758</v>
      </c>
      <c r="BW455" s="39">
        <f t="shared" si="259"/>
        <v>3.1301733340255415</v>
      </c>
      <c r="BX455" s="39">
        <f t="shared" si="274"/>
        <v>0.33658171716565499</v>
      </c>
      <c r="BY455" s="39">
        <f t="shared" ref="BY455:BY486" si="318">$BP455*12*$AB455/(12*0.45359)</f>
        <v>4.7736848231326343</v>
      </c>
      <c r="BZ455" s="39">
        <f t="shared" si="310"/>
        <v>8.7679925322844312</v>
      </c>
      <c r="CA455" s="39">
        <f t="shared" si="260"/>
        <v>5.2292307462544336</v>
      </c>
      <c r="CB455" s="39">
        <f t="shared" si="261"/>
        <v>1.9742596518527107</v>
      </c>
      <c r="CC455" s="39">
        <f t="shared" si="312"/>
        <v>0.34799395161290325</v>
      </c>
      <c r="CD455" s="37"/>
      <c r="CE455" s="37"/>
      <c r="CF455" s="39">
        <f t="shared" si="313"/>
        <v>16.703709677419354</v>
      </c>
      <c r="CG455" s="37"/>
      <c r="CH455" s="37"/>
      <c r="CI455" s="39">
        <f t="shared" si="317"/>
        <v>6.1375677104164659</v>
      </c>
      <c r="CJ455" s="39">
        <f t="shared" si="277"/>
        <v>0.14405086479366949</v>
      </c>
      <c r="CK455" s="39">
        <f t="shared" si="314"/>
        <v>4.9377653614408205E-2</v>
      </c>
      <c r="CL455" s="37"/>
      <c r="CM455" s="39">
        <f t="shared" si="315"/>
        <v>0.17447934139366858</v>
      </c>
      <c r="CN455" s="37"/>
      <c r="CO455" s="39">
        <f>0.063495+(0.016949+0.014096)*Wages!P453+1.22592*BR455</f>
        <v>1.4276007749326469</v>
      </c>
      <c r="CP455" s="39"/>
      <c r="CQ455" s="39">
        <f t="shared" si="298"/>
        <v>1.457672331223911</v>
      </c>
      <c r="CR455" s="39">
        <f t="shared" si="284"/>
        <v>0.45743458308387758</v>
      </c>
      <c r="CS455" s="39">
        <f t="shared" si="284"/>
        <v>3.1301733340255415</v>
      </c>
      <c r="CT455" s="39">
        <f t="shared" si="262"/>
        <v>5.2292307462544336</v>
      </c>
      <c r="CU455" s="39">
        <f t="shared" si="262"/>
        <v>1.9742596518527107</v>
      </c>
      <c r="CV455" s="39">
        <f t="shared" si="262"/>
        <v>0.34799395161290325</v>
      </c>
      <c r="CW455" s="39">
        <f t="shared" ref="CW455:CW506" si="319">CW$454*CF455/CF$454</f>
        <v>0.22837103074596776</v>
      </c>
      <c r="CX455" s="39">
        <f t="shared" si="294"/>
        <v>6.1375677104164659</v>
      </c>
      <c r="CY455" s="39">
        <f t="shared" si="286"/>
        <v>8.7679925322844312</v>
      </c>
      <c r="CZ455" s="39">
        <f t="shared" si="265"/>
        <v>0.33658171716565499</v>
      </c>
      <c r="DA455" s="39">
        <v>6.1375677104164668</v>
      </c>
      <c r="DB455" s="39">
        <f t="shared" si="311"/>
        <v>4.8713064092794864</v>
      </c>
      <c r="DC455" s="39">
        <f t="shared" si="266"/>
        <v>4.7736848231326343</v>
      </c>
      <c r="DD455" s="39">
        <v>4</v>
      </c>
      <c r="DE455" s="39">
        <f t="shared" si="316"/>
        <v>4.9377653614408205E-2</v>
      </c>
      <c r="DF455" s="39">
        <v>0.14405086479366949</v>
      </c>
      <c r="DG455" s="39">
        <f t="shared" si="267"/>
        <v>0</v>
      </c>
      <c r="DH455" s="39">
        <f t="shared" si="268"/>
        <v>5.5895012015404353</v>
      </c>
      <c r="DI455" s="39">
        <f t="shared" si="278"/>
        <v>5.945390432690969</v>
      </c>
      <c r="DJ455" s="37"/>
      <c r="DK455" s="37"/>
      <c r="DL455" s="37"/>
      <c r="DM455" s="39">
        <f t="shared" si="275"/>
        <v>1.393960675237792</v>
      </c>
      <c r="DN455" s="39"/>
      <c r="DO455" s="39">
        <f t="shared" si="276"/>
        <v>1.393960675237792</v>
      </c>
      <c r="DP455" s="37"/>
      <c r="DQ455" s="37">
        <f>DO455/'Conversions, Sources &amp; Comments'!E453</f>
        <v>3.004277808803097</v>
      </c>
    </row>
    <row r="456" spans="1:121">
      <c r="A456" s="42">
        <f t="shared" si="269"/>
        <v>1704</v>
      </c>
      <c r="B456" s="36"/>
      <c r="C456" s="38">
        <v>26.52</v>
      </c>
      <c r="D456" s="38">
        <v>0</v>
      </c>
      <c r="E456" s="36"/>
      <c r="F456" s="36"/>
      <c r="G456" s="36"/>
      <c r="H456" s="36"/>
      <c r="I456" s="36"/>
      <c r="J456" s="36"/>
      <c r="K456" s="36"/>
      <c r="L456" s="38" t="s">
        <v>8</v>
      </c>
      <c r="M456" s="36"/>
      <c r="N456" s="36"/>
      <c r="O456" s="36"/>
      <c r="P456" s="36"/>
      <c r="Q456" s="36"/>
      <c r="R456" s="36"/>
      <c r="S456" s="36"/>
      <c r="T456" s="36"/>
      <c r="U456" s="36"/>
      <c r="V456" s="38">
        <v>7.5</v>
      </c>
      <c r="W456" s="36"/>
      <c r="X456" s="36"/>
      <c r="Y456" s="36"/>
      <c r="Z456" s="36"/>
      <c r="AA456" s="36"/>
      <c r="AB456" s="59">
        <v>4.666666666666667</v>
      </c>
      <c r="AC456" s="38">
        <v>2</v>
      </c>
      <c r="AD456" s="38">
        <v>6</v>
      </c>
      <c r="AE456" s="38">
        <v>2</v>
      </c>
      <c r="AF456" s="38">
        <v>6</v>
      </c>
      <c r="AG456" s="36"/>
      <c r="AH456" s="36"/>
      <c r="AI456" s="36"/>
      <c r="AJ456" s="36"/>
      <c r="AK456" s="36"/>
      <c r="AL456" s="36"/>
      <c r="AM456" s="36"/>
      <c r="AN456" s="36"/>
      <c r="AO456" s="38">
        <v>3.14</v>
      </c>
      <c r="AP456" s="36"/>
      <c r="AQ456" s="36"/>
      <c r="AR456" s="36"/>
      <c r="AS456" s="38">
        <v>39.03</v>
      </c>
      <c r="AT456" s="38">
        <v>6</v>
      </c>
      <c r="AU456" s="38">
        <v>3</v>
      </c>
      <c r="AV456" s="36"/>
      <c r="AW456" s="36"/>
      <c r="AX456" s="36"/>
      <c r="AY456" s="36"/>
      <c r="AZ456" s="38">
        <v>120</v>
      </c>
      <c r="BA456" s="36"/>
      <c r="BB456" s="36"/>
      <c r="BC456" s="38">
        <v>8</v>
      </c>
      <c r="BD456" s="38">
        <v>5.75</v>
      </c>
      <c r="BE456" s="36"/>
      <c r="BF456" s="38">
        <v>4.7</v>
      </c>
      <c r="BG456" s="59">
        <v>23.16</v>
      </c>
      <c r="BH456" s="59">
        <v>3.57</v>
      </c>
      <c r="BI456" s="59">
        <v>0.4946531510206354</v>
      </c>
      <c r="BJ456" s="59">
        <v>10</v>
      </c>
      <c r="BK456" s="38">
        <v>4.8279999999999994</v>
      </c>
      <c r="BL456" s="59">
        <v>1.93</v>
      </c>
      <c r="BM456" s="36"/>
      <c r="BN456" s="38">
        <v>62</v>
      </c>
      <c r="BO456" s="36"/>
      <c r="BP456" s="39">
        <f t="shared" si="263"/>
        <v>0.46399193548387102</v>
      </c>
      <c r="BQ456" s="37"/>
      <c r="BR456" s="39">
        <f t="shared" si="264"/>
        <v>0.52379814954164228</v>
      </c>
      <c r="BS456" s="39">
        <f t="shared" si="296"/>
        <v>1.2019403432898916</v>
      </c>
      <c r="BT456" s="39">
        <f t="shared" si="309"/>
        <v>30.445665057996788</v>
      </c>
      <c r="BU456" s="37"/>
      <c r="BV456" s="39">
        <f t="shared" si="273"/>
        <v>0.45743458308387758</v>
      </c>
      <c r="BW456" s="39">
        <f t="shared" si="259"/>
        <v>3.1301733340255415</v>
      </c>
      <c r="BX456" s="39">
        <f t="shared" si="274"/>
        <v>0.33658171716565499</v>
      </c>
      <c r="BY456" s="39">
        <f t="shared" si="318"/>
        <v>4.7736848231326343</v>
      </c>
      <c r="BZ456" s="39">
        <f t="shared" si="310"/>
        <v>8.7679925322844312</v>
      </c>
      <c r="CA456" s="39">
        <f t="shared" si="260"/>
        <v>4.9387179270180761</v>
      </c>
      <c r="CB456" s="39">
        <f t="shared" si="261"/>
        <v>1.9742596518527107</v>
      </c>
      <c r="CC456" s="39">
        <f t="shared" si="312"/>
        <v>0.34799395161290325</v>
      </c>
      <c r="CD456" s="37"/>
      <c r="CE456" s="37"/>
      <c r="CF456" s="39">
        <f t="shared" si="313"/>
        <v>16.703709677419354</v>
      </c>
      <c r="CG456" s="39">
        <f t="shared" ref="CG456:CG464" si="320">BP456*(12*AO456+AP456)/4.55</f>
        <v>3.8424650833037939</v>
      </c>
      <c r="CH456" s="37"/>
      <c r="CI456" s="39">
        <f t="shared" si="317"/>
        <v>6.1375677104164659</v>
      </c>
      <c r="CJ456" s="39">
        <f t="shared" si="277"/>
        <v>0.16142133944579157</v>
      </c>
      <c r="CK456" s="39">
        <f t="shared" si="314"/>
        <v>4.9377653614408205E-2</v>
      </c>
      <c r="CL456" s="37"/>
      <c r="CM456" s="39">
        <f t="shared" si="315"/>
        <v>0.17447934139366858</v>
      </c>
      <c r="CN456" s="37"/>
      <c r="CO456" s="39">
        <f>0.063495+(0.016949+0.014096)*Wages!P454+1.22592*BR456</f>
        <v>1.1377685165989933</v>
      </c>
      <c r="CP456" s="39"/>
      <c r="CQ456" s="39">
        <f t="shared" si="298"/>
        <v>1.2019403432898916</v>
      </c>
      <c r="CR456" s="39">
        <f t="shared" si="284"/>
        <v>0.45743458308387758</v>
      </c>
      <c r="CS456" s="39">
        <f t="shared" si="284"/>
        <v>3.1301733340255415</v>
      </c>
      <c r="CT456" s="39">
        <f t="shared" si="262"/>
        <v>4.9387179270180761</v>
      </c>
      <c r="CU456" s="39">
        <f t="shared" si="262"/>
        <v>1.9742596518527107</v>
      </c>
      <c r="CV456" s="39">
        <f t="shared" si="262"/>
        <v>0.34799395161290325</v>
      </c>
      <c r="CW456" s="39">
        <f t="shared" si="319"/>
        <v>0.22837103074596776</v>
      </c>
      <c r="CX456" s="39">
        <f t="shared" si="294"/>
        <v>6.1375677104164659</v>
      </c>
      <c r="CY456" s="39">
        <f t="shared" si="286"/>
        <v>8.7679925322844312</v>
      </c>
      <c r="CZ456" s="39">
        <f t="shared" si="265"/>
        <v>0.33658171716565499</v>
      </c>
      <c r="DA456" s="39">
        <v>6.1375677104164668</v>
      </c>
      <c r="DB456" s="39">
        <f t="shared" si="311"/>
        <v>4.8713064092794864</v>
      </c>
      <c r="DC456" s="39">
        <f t="shared" si="266"/>
        <v>4.7736848231326343</v>
      </c>
      <c r="DD456" s="39">
        <f t="shared" ref="DD456:DD464" si="321">CG456</f>
        <v>3.8424650833037939</v>
      </c>
      <c r="DE456" s="39">
        <f t="shared" si="316"/>
        <v>4.9377653614408205E-2</v>
      </c>
      <c r="DF456" s="39">
        <v>0.16142133944579157</v>
      </c>
      <c r="DG456" s="39">
        <f t="shared" si="267"/>
        <v>0</v>
      </c>
      <c r="DH456" s="39">
        <f t="shared" si="268"/>
        <v>5.5895012015404353</v>
      </c>
      <c r="DI456" s="39">
        <f t="shared" si="278"/>
        <v>6.6623195115684339</v>
      </c>
      <c r="DJ456" s="37"/>
      <c r="DK456" s="37"/>
      <c r="DL456" s="37"/>
      <c r="DM456" s="39">
        <f t="shared" si="275"/>
        <v>1.277152694765858</v>
      </c>
      <c r="DN456" s="39"/>
      <c r="DO456" s="39">
        <f t="shared" si="276"/>
        <v>1.277152694765858</v>
      </c>
      <c r="DP456" s="37"/>
      <c r="DQ456" s="37">
        <f>DO456/'Conversions, Sources &amp; Comments'!E454</f>
        <v>2.7525320961322044</v>
      </c>
    </row>
    <row r="457" spans="1:121">
      <c r="A457" s="42">
        <f t="shared" si="269"/>
        <v>1705</v>
      </c>
      <c r="B457" s="36"/>
      <c r="C457" s="38">
        <v>22.29</v>
      </c>
      <c r="D457" s="38">
        <v>0</v>
      </c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8">
        <v>7.5</v>
      </c>
      <c r="W457" s="36"/>
      <c r="X457" s="36"/>
      <c r="Y457" s="36"/>
      <c r="Z457" s="36"/>
      <c r="AA457" s="36"/>
      <c r="AB457" s="59">
        <v>4.333333333333333</v>
      </c>
      <c r="AC457" s="38">
        <v>2</v>
      </c>
      <c r="AD457" s="38">
        <v>6</v>
      </c>
      <c r="AE457" s="38">
        <v>2</v>
      </c>
      <c r="AF457" s="38">
        <v>6</v>
      </c>
      <c r="AG457" s="36"/>
      <c r="AH457" s="36"/>
      <c r="AI457" s="36"/>
      <c r="AJ457" s="36"/>
      <c r="AK457" s="36"/>
      <c r="AL457" s="36"/>
      <c r="AM457" s="36"/>
      <c r="AN457" s="36"/>
      <c r="AO457" s="38">
        <v>4.08</v>
      </c>
      <c r="AP457" s="36"/>
      <c r="AQ457" s="36"/>
      <c r="AR457" s="36"/>
      <c r="AS457" s="38">
        <v>30.38</v>
      </c>
      <c r="AT457" s="38">
        <v>6</v>
      </c>
      <c r="AU457" s="38">
        <v>3</v>
      </c>
      <c r="AV457" s="36"/>
      <c r="AW457" s="36"/>
      <c r="AX457" s="36"/>
      <c r="AY457" s="36"/>
      <c r="AZ457" s="38">
        <v>120</v>
      </c>
      <c r="BA457" s="36"/>
      <c r="BB457" s="36"/>
      <c r="BC457" s="38">
        <v>8</v>
      </c>
      <c r="BD457" s="38">
        <v>5.75</v>
      </c>
      <c r="BE457" s="36"/>
      <c r="BF457" s="38">
        <v>4.0999999999999996</v>
      </c>
      <c r="BG457" s="59">
        <v>23.16</v>
      </c>
      <c r="BH457" s="59">
        <v>3.57</v>
      </c>
      <c r="BI457" s="59">
        <v>0.4946531510206354</v>
      </c>
      <c r="BJ457" s="59">
        <v>10</v>
      </c>
      <c r="BK457" s="38">
        <v>5.7936000000000005</v>
      </c>
      <c r="BL457" s="59">
        <v>1.93</v>
      </c>
      <c r="BM457" s="36"/>
      <c r="BN457" s="38">
        <v>62</v>
      </c>
      <c r="BO457" s="36"/>
      <c r="BP457" s="39">
        <f t="shared" si="263"/>
        <v>0.46399193548387102</v>
      </c>
      <c r="BQ457" s="37"/>
      <c r="BR457" s="39">
        <f t="shared" si="264"/>
        <v>0.44025115962606359</v>
      </c>
      <c r="BS457" s="39">
        <f t="shared" si="296"/>
        <v>1.0485011505294797</v>
      </c>
      <c r="BT457" s="39">
        <f t="shared" si="309"/>
        <v>30.445665057996788</v>
      </c>
      <c r="BU457" s="37"/>
      <c r="BV457" s="39">
        <f t="shared" si="273"/>
        <v>0.45743458308387758</v>
      </c>
      <c r="BW457" s="39">
        <f t="shared" si="259"/>
        <v>3.1301733340255415</v>
      </c>
      <c r="BX457" s="39">
        <f t="shared" si="274"/>
        <v>0.33658171716565499</v>
      </c>
      <c r="BY457" s="39">
        <f t="shared" si="318"/>
        <v>4.4327073357660165</v>
      </c>
      <c r="BZ457" s="39">
        <f t="shared" si="310"/>
        <v>8.7679925322844312</v>
      </c>
      <c r="CA457" s="39">
        <f t="shared" si="260"/>
        <v>5.9264615124216924</v>
      </c>
      <c r="CB457" s="39">
        <f t="shared" si="261"/>
        <v>1.9742596518527107</v>
      </c>
      <c r="CC457" s="39">
        <f t="shared" si="312"/>
        <v>0.34799395161290325</v>
      </c>
      <c r="CD457" s="37"/>
      <c r="CE457" s="37"/>
      <c r="CF457" s="39">
        <f t="shared" si="313"/>
        <v>16.703709677419354</v>
      </c>
      <c r="CG457" s="39">
        <f t="shared" si="320"/>
        <v>4.992757178305566</v>
      </c>
      <c r="CH457" s="37"/>
      <c r="CI457" s="39">
        <f t="shared" si="317"/>
        <v>6.1375677104164659</v>
      </c>
      <c r="CJ457" s="39">
        <f t="shared" si="277"/>
        <v>0.12564643331701636</v>
      </c>
      <c r="CK457" s="39">
        <f t="shared" si="314"/>
        <v>4.9377653614408205E-2</v>
      </c>
      <c r="CL457" s="37"/>
      <c r="CM457" s="39">
        <f t="shared" si="315"/>
        <v>0.17447934139366858</v>
      </c>
      <c r="CN457" s="37"/>
      <c r="CO457" s="39">
        <f>0.063495+(0.016949+0.014096)*Wages!P455+1.22592*BR457</f>
        <v>1.035346590721687</v>
      </c>
      <c r="CP457" s="39"/>
      <c r="CQ457" s="39">
        <f t="shared" si="298"/>
        <v>1.0485011505294797</v>
      </c>
      <c r="CR457" s="39">
        <f t="shared" si="284"/>
        <v>0.45743458308387758</v>
      </c>
      <c r="CS457" s="39">
        <f t="shared" si="284"/>
        <v>3.1301733340255415</v>
      </c>
      <c r="CT457" s="39">
        <f t="shared" si="262"/>
        <v>5.9264615124216924</v>
      </c>
      <c r="CU457" s="39">
        <f t="shared" si="262"/>
        <v>1.9742596518527107</v>
      </c>
      <c r="CV457" s="39">
        <f t="shared" si="262"/>
        <v>0.34799395161290325</v>
      </c>
      <c r="CW457" s="39">
        <f t="shared" si="319"/>
        <v>0.22837103074596776</v>
      </c>
      <c r="CX457" s="39">
        <f t="shared" si="294"/>
        <v>6.1375677104164659</v>
      </c>
      <c r="CY457" s="39">
        <f t="shared" si="286"/>
        <v>8.7679925322844312</v>
      </c>
      <c r="CZ457" s="39">
        <f t="shared" si="265"/>
        <v>0.33658171716565499</v>
      </c>
      <c r="DA457" s="39">
        <v>6.1375677104164668</v>
      </c>
      <c r="DB457" s="39">
        <f t="shared" si="311"/>
        <v>4.8713064092794864</v>
      </c>
      <c r="DC457" s="39">
        <f t="shared" si="266"/>
        <v>4.4327073357660165</v>
      </c>
      <c r="DD457" s="39">
        <f t="shared" si="321"/>
        <v>4.992757178305566</v>
      </c>
      <c r="DE457" s="39">
        <f t="shared" si="316"/>
        <v>4.9377653614408205E-2</v>
      </c>
      <c r="DF457" s="39">
        <v>0.12564643331701633</v>
      </c>
      <c r="DG457" s="39">
        <f t="shared" si="267"/>
        <v>0</v>
      </c>
      <c r="DH457" s="39">
        <f t="shared" si="268"/>
        <v>5.5895012015404353</v>
      </c>
      <c r="DI457" s="39">
        <f t="shared" si="278"/>
        <v>5.1857870038803222</v>
      </c>
      <c r="DJ457" s="37"/>
      <c r="DK457" s="37"/>
      <c r="DL457" s="37"/>
      <c r="DM457" s="39">
        <f t="shared" si="275"/>
        <v>1.2272960708274252</v>
      </c>
      <c r="DN457" s="39"/>
      <c r="DO457" s="39">
        <f t="shared" si="276"/>
        <v>1.2272960708274252</v>
      </c>
      <c r="DP457" s="37"/>
      <c r="DQ457" s="37">
        <f>DO457/'Conversions, Sources &amp; Comments'!E455</f>
        <v>2.6450806080229547</v>
      </c>
    </row>
    <row r="458" spans="1:121">
      <c r="A458" s="42">
        <f t="shared" si="269"/>
        <v>1706</v>
      </c>
      <c r="B458" s="36"/>
      <c r="C458" s="38">
        <v>23.03</v>
      </c>
      <c r="D458" s="38">
        <v>0</v>
      </c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8">
        <v>7.5</v>
      </c>
      <c r="W458" s="36"/>
      <c r="X458" s="36"/>
      <c r="Y458" s="36"/>
      <c r="Z458" s="36"/>
      <c r="AA458" s="36"/>
      <c r="AB458" s="59">
        <v>4.166666666666667</v>
      </c>
      <c r="AC458" s="38">
        <v>2</v>
      </c>
      <c r="AD458" s="38">
        <v>6</v>
      </c>
      <c r="AE458" s="38">
        <v>2</v>
      </c>
      <c r="AF458" s="38">
        <v>6</v>
      </c>
      <c r="AG458" s="36"/>
      <c r="AH458" s="36"/>
      <c r="AI458" s="36"/>
      <c r="AJ458" s="36"/>
      <c r="AK458" s="36"/>
      <c r="AL458" s="36"/>
      <c r="AM458" s="36"/>
      <c r="AN458" s="36"/>
      <c r="AO458" s="38">
        <v>3.5</v>
      </c>
      <c r="AP458" s="36"/>
      <c r="AQ458" s="36"/>
      <c r="AR458" s="36"/>
      <c r="AS458" s="36"/>
      <c r="AT458" s="38">
        <v>6</v>
      </c>
      <c r="AU458" s="38">
        <v>3</v>
      </c>
      <c r="AV458" s="36"/>
      <c r="AW458" s="36"/>
      <c r="AX458" s="36"/>
      <c r="AY458" s="36"/>
      <c r="AZ458" s="38">
        <v>120</v>
      </c>
      <c r="BA458" s="36"/>
      <c r="BB458" s="36"/>
      <c r="BC458" s="38">
        <v>8</v>
      </c>
      <c r="BD458" s="38">
        <v>5.75</v>
      </c>
      <c r="BE458" s="36"/>
      <c r="BF458" s="38">
        <v>4.0999999999999996</v>
      </c>
      <c r="BG458" s="59">
        <v>23.16</v>
      </c>
      <c r="BH458" s="59">
        <v>3.57</v>
      </c>
      <c r="BI458" s="59">
        <v>0.4946531510206354</v>
      </c>
      <c r="BJ458" s="59">
        <v>10</v>
      </c>
      <c r="BK458" s="38">
        <v>5.2255999999999991</v>
      </c>
      <c r="BL458" s="59">
        <v>1.93</v>
      </c>
      <c r="BM458" s="36"/>
      <c r="BN458" s="38">
        <v>62</v>
      </c>
      <c r="BO458" s="36"/>
      <c r="BP458" s="39">
        <f t="shared" si="263"/>
        <v>0.46399193548387102</v>
      </c>
      <c r="BQ458" s="37"/>
      <c r="BR458" s="39">
        <f t="shared" si="264"/>
        <v>0.4548669450959284</v>
      </c>
      <c r="BS458" s="39">
        <f t="shared" si="296"/>
        <v>1.0485011505294797</v>
      </c>
      <c r="BT458" s="39">
        <f t="shared" si="309"/>
        <v>30.445665057996788</v>
      </c>
      <c r="BU458" s="37"/>
      <c r="BV458" s="39">
        <f t="shared" si="273"/>
        <v>0.45743458308387758</v>
      </c>
      <c r="BW458" s="39">
        <f t="shared" ref="BW458:BW521" si="322">$BP458*12*$BH458/(14*0.45359)</f>
        <v>3.1301733340255415</v>
      </c>
      <c r="BX458" s="39">
        <f t="shared" si="274"/>
        <v>0.33658171716565499</v>
      </c>
      <c r="BY458" s="39">
        <f t="shared" si="318"/>
        <v>4.2622185920827089</v>
      </c>
      <c r="BZ458" s="39">
        <f t="shared" si="310"/>
        <v>8.7679925322844312</v>
      </c>
      <c r="CA458" s="39">
        <f t="shared" ref="CA458:CA521" si="323">$BP458*$BK458/0.45359</f>
        <v>5.3454358739489756</v>
      </c>
      <c r="CB458" s="39">
        <f t="shared" ref="CB458:CB521" si="324">$BP458*12*$BL458/(12*0.45359)</f>
        <v>1.9742596518527107</v>
      </c>
      <c r="CC458" s="39">
        <f t="shared" si="312"/>
        <v>0.34799395161290325</v>
      </c>
      <c r="CD458" s="37"/>
      <c r="CE458" s="37"/>
      <c r="CF458" s="39">
        <f t="shared" si="313"/>
        <v>16.703709677419354</v>
      </c>
      <c r="CG458" s="39">
        <f t="shared" si="320"/>
        <v>4.2830024813895786</v>
      </c>
      <c r="CH458" s="37"/>
      <c r="CI458" s="39">
        <f t="shared" si="317"/>
        <v>6.1375677104164659</v>
      </c>
      <c r="CJ458" s="39">
        <f t="shared" si="277"/>
        <v>0</v>
      </c>
      <c r="CK458" s="39">
        <f t="shared" si="314"/>
        <v>4.9377653614408205E-2</v>
      </c>
      <c r="CL458" s="37"/>
      <c r="CM458" s="39">
        <f t="shared" si="315"/>
        <v>0.17447934139366858</v>
      </c>
      <c r="CN458" s="37"/>
      <c r="CO458" s="39">
        <f>0.063495+(0.016949+0.014096)*Wages!P456+1.22592*BR458</f>
        <v>1.0532643744449037</v>
      </c>
      <c r="CP458" s="39"/>
      <c r="CQ458" s="39">
        <f t="shared" si="298"/>
        <v>1.0485011505294797</v>
      </c>
      <c r="CR458" s="39">
        <f t="shared" si="284"/>
        <v>0.45743458308387758</v>
      </c>
      <c r="CS458" s="39">
        <f t="shared" si="284"/>
        <v>3.1301733340255415</v>
      </c>
      <c r="CT458" s="39">
        <f t="shared" ref="CT458:CV521" si="325">CA458</f>
        <v>5.3454358739489756</v>
      </c>
      <c r="CU458" s="39">
        <f t="shared" si="325"/>
        <v>1.9742596518527107</v>
      </c>
      <c r="CV458" s="39">
        <f t="shared" si="325"/>
        <v>0.34799395161290325</v>
      </c>
      <c r="CW458" s="39">
        <f t="shared" si="319"/>
        <v>0.22837103074596776</v>
      </c>
      <c r="CX458" s="39">
        <f t="shared" si="294"/>
        <v>6.1375677104164659</v>
      </c>
      <c r="CY458" s="39">
        <f t="shared" si="286"/>
        <v>8.7679925322844312</v>
      </c>
      <c r="CZ458" s="39">
        <f t="shared" si="265"/>
        <v>0.33658171716565499</v>
      </c>
      <c r="DA458" s="39">
        <v>6.1375677104164668</v>
      </c>
      <c r="DB458" s="39">
        <f t="shared" si="311"/>
        <v>4.8713064092794864</v>
      </c>
      <c r="DC458" s="39">
        <f t="shared" si="266"/>
        <v>4.2622185920827089</v>
      </c>
      <c r="DD458" s="39">
        <f t="shared" si="321"/>
        <v>4.2830024813895786</v>
      </c>
      <c r="DE458" s="39">
        <f t="shared" si="316"/>
        <v>4.9377653614408205E-2</v>
      </c>
      <c r="DF458" s="39">
        <v>0.12</v>
      </c>
      <c r="DG458" s="39">
        <f t="shared" si="267"/>
        <v>0</v>
      </c>
      <c r="DH458" s="39">
        <f t="shared" si="268"/>
        <v>5.5895012015404353</v>
      </c>
      <c r="DI458" s="39">
        <f t="shared" si="278"/>
        <v>4.9527425812043422</v>
      </c>
      <c r="DJ458" s="37"/>
      <c r="DK458" s="37"/>
      <c r="DL458" s="37"/>
      <c r="DM458" s="39">
        <f t="shared" si="275"/>
        <v>1.2144978473921231</v>
      </c>
      <c r="DN458" s="39"/>
      <c r="DO458" s="39">
        <f t="shared" si="276"/>
        <v>1.2144978473921231</v>
      </c>
      <c r="DP458" s="37"/>
      <c r="DQ458" s="37">
        <f>DO458/'Conversions, Sources &amp; Comments'!E456</f>
        <v>2.6174977505279089</v>
      </c>
    </row>
    <row r="459" spans="1:121">
      <c r="A459" s="42">
        <f t="shared" si="269"/>
        <v>1707</v>
      </c>
      <c r="B459" s="36"/>
      <c r="C459" s="38">
        <v>26.91</v>
      </c>
      <c r="D459" s="38">
        <v>0</v>
      </c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8">
        <v>7.5</v>
      </c>
      <c r="W459" s="36"/>
      <c r="X459" s="36"/>
      <c r="Y459" s="36"/>
      <c r="Z459" s="36"/>
      <c r="AA459" s="36"/>
      <c r="AB459" s="59">
        <v>4</v>
      </c>
      <c r="AC459" s="38">
        <v>2</v>
      </c>
      <c r="AD459" s="38">
        <v>6</v>
      </c>
      <c r="AE459" s="38">
        <v>2</v>
      </c>
      <c r="AF459" s="38">
        <v>6</v>
      </c>
      <c r="AG459" s="36"/>
      <c r="AH459" s="36"/>
      <c r="AI459" s="36"/>
      <c r="AJ459" s="36"/>
      <c r="AK459" s="36"/>
      <c r="AL459" s="36"/>
      <c r="AM459" s="36"/>
      <c r="AN459" s="36"/>
      <c r="AO459" s="38">
        <v>2.92</v>
      </c>
      <c r="AP459" s="36"/>
      <c r="AQ459" s="36"/>
      <c r="AR459" s="36"/>
      <c r="AS459" s="38">
        <v>27.7</v>
      </c>
      <c r="AT459" s="38">
        <v>6</v>
      </c>
      <c r="AU459" s="38">
        <v>3</v>
      </c>
      <c r="AV459" s="36"/>
      <c r="AW459" s="36"/>
      <c r="AX459" s="36"/>
      <c r="AY459" s="36"/>
      <c r="AZ459" s="38">
        <v>120</v>
      </c>
      <c r="BA459" s="36"/>
      <c r="BB459" s="36"/>
      <c r="BC459" s="38">
        <v>8</v>
      </c>
      <c r="BD459" s="38">
        <v>5.75</v>
      </c>
      <c r="BE459" s="36"/>
      <c r="BF459" s="38">
        <v>4.7</v>
      </c>
      <c r="BG459" s="59">
        <v>23.16</v>
      </c>
      <c r="BH459" s="59">
        <v>3.57</v>
      </c>
      <c r="BI459" s="59">
        <v>0.4946531510206354</v>
      </c>
      <c r="BJ459" s="59">
        <v>10</v>
      </c>
      <c r="BK459" s="38">
        <v>4.8847999999999994</v>
      </c>
      <c r="BL459" s="59">
        <v>1.93</v>
      </c>
      <c r="BM459" s="36"/>
      <c r="BN459" s="38">
        <v>62</v>
      </c>
      <c r="BO459" s="36"/>
      <c r="BP459" s="39">
        <f t="shared" ref="BP459:BP522" si="326">(31.1*0.925/$BN459)</f>
        <v>0.46399193548387102</v>
      </c>
      <c r="BQ459" s="37"/>
      <c r="BR459" s="39">
        <f t="shared" ref="BR459:BR522" si="327">(31.1*0.925/$BN459)*(12*C459+D459)/35.238/8</f>
        <v>0.53150106350548998</v>
      </c>
      <c r="BS459" s="39">
        <f t="shared" si="296"/>
        <v>1.2019403432898916</v>
      </c>
      <c r="BT459" s="39">
        <f t="shared" si="309"/>
        <v>30.445665057996788</v>
      </c>
      <c r="BU459" s="37"/>
      <c r="BV459" s="39">
        <f t="shared" si="273"/>
        <v>0.45743458308387758</v>
      </c>
      <c r="BW459" s="39">
        <f t="shared" si="322"/>
        <v>3.1301733340255415</v>
      </c>
      <c r="BX459" s="39">
        <f t="shared" si="274"/>
        <v>0.33658171716565499</v>
      </c>
      <c r="BY459" s="39">
        <f t="shared" si="318"/>
        <v>4.0917298483994005</v>
      </c>
      <c r="BZ459" s="39">
        <f t="shared" si="310"/>
        <v>8.7679925322844312</v>
      </c>
      <c r="CA459" s="39">
        <f t="shared" si="323"/>
        <v>4.9968204908653471</v>
      </c>
      <c r="CB459" s="39">
        <f t="shared" si="324"/>
        <v>1.9742596518527107</v>
      </c>
      <c r="CC459" s="39">
        <f t="shared" si="312"/>
        <v>0.34799395161290325</v>
      </c>
      <c r="CD459" s="37"/>
      <c r="CE459" s="37"/>
      <c r="CF459" s="39">
        <f t="shared" si="313"/>
        <v>16.703709677419354</v>
      </c>
      <c r="CG459" s="39">
        <f t="shared" si="320"/>
        <v>3.5732477844735913</v>
      </c>
      <c r="CH459" s="37"/>
      <c r="CI459" s="39">
        <f t="shared" si="317"/>
        <v>6.1375677104164659</v>
      </c>
      <c r="CJ459" s="39">
        <f t="shared" si="277"/>
        <v>0.1145624161580432</v>
      </c>
      <c r="CK459" s="39">
        <f t="shared" si="314"/>
        <v>4.9377653614408205E-2</v>
      </c>
      <c r="CL459" s="37"/>
      <c r="CM459" s="39">
        <f t="shared" si="315"/>
        <v>0.17447934139366858</v>
      </c>
      <c r="CN459" s="37"/>
      <c r="CO459" s="39">
        <f>0.063495+(0.016949+0.014096)*Wages!P457+1.22592*BR459</f>
        <v>1.1472116728855535</v>
      </c>
      <c r="CP459" s="39"/>
      <c r="CQ459" s="39">
        <f t="shared" si="298"/>
        <v>1.2019403432898916</v>
      </c>
      <c r="CR459" s="39">
        <f t="shared" si="284"/>
        <v>0.45743458308387758</v>
      </c>
      <c r="CS459" s="39">
        <f t="shared" si="284"/>
        <v>3.1301733340255415</v>
      </c>
      <c r="CT459" s="39">
        <f t="shared" si="325"/>
        <v>4.9968204908653471</v>
      </c>
      <c r="CU459" s="39">
        <f t="shared" si="325"/>
        <v>1.9742596518527107</v>
      </c>
      <c r="CV459" s="39">
        <f t="shared" si="325"/>
        <v>0.34799395161290325</v>
      </c>
      <c r="CW459" s="39">
        <f t="shared" si="319"/>
        <v>0.22837103074596776</v>
      </c>
      <c r="CX459" s="39">
        <f t="shared" si="294"/>
        <v>6.1375677104164659</v>
      </c>
      <c r="CY459" s="39">
        <f t="shared" ref="CY459:CY522" si="328">BZ459</f>
        <v>8.7679925322844312</v>
      </c>
      <c r="CZ459" s="39">
        <f t="shared" ref="CZ459:CZ522" si="329">BX459</f>
        <v>0.33658171716565499</v>
      </c>
      <c r="DA459" s="39">
        <v>6.1375677104164668</v>
      </c>
      <c r="DB459" s="39">
        <f t="shared" si="311"/>
        <v>4.8713064092794864</v>
      </c>
      <c r="DC459" s="39">
        <f t="shared" ref="DC459:DC522" si="330">BY459</f>
        <v>4.0917298483994005</v>
      </c>
      <c r="DD459" s="39">
        <f t="shared" si="321"/>
        <v>3.5732477844735913</v>
      </c>
      <c r="DE459" s="39">
        <f t="shared" si="316"/>
        <v>4.9377653614408205E-2</v>
      </c>
      <c r="DF459" s="39">
        <v>0.1145624161580432</v>
      </c>
      <c r="DG459" s="39">
        <f t="shared" ref="DG459:DG522" si="331">CL459</f>
        <v>0</v>
      </c>
      <c r="DH459" s="39">
        <f t="shared" ref="DH459:DH522" si="332">1000*DE459/8.834</f>
        <v>5.5895012015404353</v>
      </c>
      <c r="DI459" s="39">
        <f t="shared" si="278"/>
        <v>4.7283179725966074</v>
      </c>
      <c r="DJ459" s="37"/>
      <c r="DK459" s="37"/>
      <c r="DL459" s="37"/>
      <c r="DM459" s="39">
        <f t="shared" si="275"/>
        <v>1.2719202980886473</v>
      </c>
      <c r="DN459" s="39"/>
      <c r="DO459" s="39">
        <f t="shared" si="276"/>
        <v>1.2719202980886473</v>
      </c>
      <c r="DP459" s="37"/>
      <c r="DQ459" s="37">
        <f>DO459/'Conversions, Sources &amp; Comments'!E457</f>
        <v>2.7412551831579428</v>
      </c>
    </row>
    <row r="460" spans="1:121">
      <c r="A460" s="42">
        <f t="shared" ref="A460:A523" si="333">A459+1</f>
        <v>1708</v>
      </c>
      <c r="B460" s="36"/>
      <c r="C460" s="38">
        <v>48.36</v>
      </c>
      <c r="D460" s="38">
        <v>0</v>
      </c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8">
        <v>7.5</v>
      </c>
      <c r="W460" s="36"/>
      <c r="X460" s="36"/>
      <c r="Y460" s="36"/>
      <c r="Z460" s="36"/>
      <c r="AA460" s="36"/>
      <c r="AB460" s="59">
        <v>5</v>
      </c>
      <c r="AC460" s="38">
        <v>2</v>
      </c>
      <c r="AD460" s="38">
        <v>6</v>
      </c>
      <c r="AE460" s="38">
        <v>2</v>
      </c>
      <c r="AF460" s="38">
        <v>6</v>
      </c>
      <c r="AG460" s="36"/>
      <c r="AH460" s="36"/>
      <c r="AI460" s="36"/>
      <c r="AJ460" s="36"/>
      <c r="AK460" s="36"/>
      <c r="AL460" s="36"/>
      <c r="AM460" s="36"/>
      <c r="AN460" s="36"/>
      <c r="AO460" s="38">
        <v>2.58</v>
      </c>
      <c r="AP460" s="36"/>
      <c r="AQ460" s="36"/>
      <c r="AR460" s="36"/>
      <c r="AS460" s="38">
        <v>33.72</v>
      </c>
      <c r="AT460" s="38">
        <v>6</v>
      </c>
      <c r="AU460" s="38">
        <v>3</v>
      </c>
      <c r="AV460" s="36"/>
      <c r="AW460" s="36"/>
      <c r="AX460" s="36"/>
      <c r="AY460" s="36"/>
      <c r="AZ460" s="38">
        <v>120</v>
      </c>
      <c r="BA460" s="36"/>
      <c r="BB460" s="36"/>
      <c r="BC460" s="38">
        <v>8</v>
      </c>
      <c r="BD460" s="38">
        <v>5.75</v>
      </c>
      <c r="BE460" s="36"/>
      <c r="BF460" s="38">
        <v>7</v>
      </c>
      <c r="BG460" s="59">
        <v>23.16</v>
      </c>
      <c r="BH460" s="59">
        <v>3.57</v>
      </c>
      <c r="BI460" s="59">
        <v>0.51818450806204508</v>
      </c>
      <c r="BJ460" s="59">
        <v>10</v>
      </c>
      <c r="BK460" s="38">
        <v>5.3391999999999999</v>
      </c>
      <c r="BL460" s="59">
        <v>1.93</v>
      </c>
      <c r="BM460" s="36"/>
      <c r="BN460" s="38">
        <v>62</v>
      </c>
      <c r="BO460" s="36"/>
      <c r="BP460" s="39">
        <f t="shared" si="326"/>
        <v>0.46399193548387102</v>
      </c>
      <c r="BQ460" s="37"/>
      <c r="BR460" s="39">
        <f t="shared" si="327"/>
        <v>0.95516133151711224</v>
      </c>
      <c r="BS460" s="39">
        <f t="shared" si="296"/>
        <v>1.7901239155381363</v>
      </c>
      <c r="BT460" s="39">
        <f t="shared" si="309"/>
        <v>30.445665057996788</v>
      </c>
      <c r="BU460" s="37"/>
      <c r="BV460" s="39">
        <f t="shared" si="273"/>
        <v>0.45743458308387758</v>
      </c>
      <c r="BW460" s="39">
        <f t="shared" si="322"/>
        <v>3.1301733340255415</v>
      </c>
      <c r="BX460" s="39">
        <f t="shared" si="274"/>
        <v>0.3525933902822494</v>
      </c>
      <c r="BY460" s="39">
        <f t="shared" si="318"/>
        <v>5.1146623104992504</v>
      </c>
      <c r="BZ460" s="39">
        <f t="shared" si="310"/>
        <v>8.7679925322844312</v>
      </c>
      <c r="CA460" s="39">
        <f t="shared" si="323"/>
        <v>5.4616410016435202</v>
      </c>
      <c r="CB460" s="39">
        <f t="shared" si="324"/>
        <v>1.9742596518527107</v>
      </c>
      <c r="CC460" s="39">
        <f t="shared" si="312"/>
        <v>0.34799395161290325</v>
      </c>
      <c r="CD460" s="37"/>
      <c r="CE460" s="37"/>
      <c r="CF460" s="39">
        <f t="shared" si="313"/>
        <v>16.703709677419354</v>
      </c>
      <c r="CG460" s="39">
        <f t="shared" si="320"/>
        <v>3.157184686281461</v>
      </c>
      <c r="CH460" s="37"/>
      <c r="CI460" s="39">
        <f t="shared" si="317"/>
        <v>6.1375677104164659</v>
      </c>
      <c r="CJ460" s="39">
        <f t="shared" si="277"/>
        <v>0.13946009649275151</v>
      </c>
      <c r="CK460" s="39">
        <f t="shared" si="314"/>
        <v>4.9377653614408205E-2</v>
      </c>
      <c r="CL460" s="37"/>
      <c r="CM460" s="39">
        <f t="shared" si="315"/>
        <v>0.17447934139366858</v>
      </c>
      <c r="CN460" s="37"/>
      <c r="CO460" s="39">
        <f>0.063495+(0.016949+0.014096)*Wages!P458+1.22592*BR460</f>
        <v>1.6665852686463611</v>
      </c>
      <c r="CP460" s="39"/>
      <c r="CQ460" s="39">
        <f t="shared" si="298"/>
        <v>1.7901239155381363</v>
      </c>
      <c r="CR460" s="39">
        <f t="shared" si="284"/>
        <v>0.45743458308387758</v>
      </c>
      <c r="CS460" s="39">
        <f t="shared" si="284"/>
        <v>3.1301733340255415</v>
      </c>
      <c r="CT460" s="39">
        <f t="shared" si="325"/>
        <v>5.4616410016435202</v>
      </c>
      <c r="CU460" s="39">
        <f t="shared" si="325"/>
        <v>1.9742596518527107</v>
      </c>
      <c r="CV460" s="39">
        <f t="shared" si="325"/>
        <v>0.34799395161290325</v>
      </c>
      <c r="CW460" s="39">
        <f t="shared" si="319"/>
        <v>0.22837103074596776</v>
      </c>
      <c r="CX460" s="39">
        <f t="shared" si="294"/>
        <v>6.1375677104164659</v>
      </c>
      <c r="CY460" s="39">
        <f t="shared" si="328"/>
        <v>8.7679925322844312</v>
      </c>
      <c r="CZ460" s="39">
        <f t="shared" si="329"/>
        <v>0.3525933902822494</v>
      </c>
      <c r="DA460" s="39">
        <v>6.1375677104164668</v>
      </c>
      <c r="DB460" s="39">
        <f t="shared" si="311"/>
        <v>4.8713064092794864</v>
      </c>
      <c r="DC460" s="39">
        <f t="shared" si="330"/>
        <v>5.1146623104992504</v>
      </c>
      <c r="DD460" s="39">
        <f t="shared" si="321"/>
        <v>3.157184686281461</v>
      </c>
      <c r="DE460" s="39">
        <f t="shared" si="316"/>
        <v>4.9377653614408205E-2</v>
      </c>
      <c r="DF460" s="39">
        <v>0.13946009649275151</v>
      </c>
      <c r="DG460" s="39">
        <f t="shared" si="331"/>
        <v>0</v>
      </c>
      <c r="DH460" s="39">
        <f t="shared" si="332"/>
        <v>5.5895012015404353</v>
      </c>
      <c r="DI460" s="39">
        <f t="shared" si="278"/>
        <v>5.7559163189876399</v>
      </c>
      <c r="DJ460" s="37"/>
      <c r="DK460" s="37"/>
      <c r="DL460" s="37"/>
      <c r="DM460" s="39">
        <f t="shared" si="275"/>
        <v>1.5465860457967198</v>
      </c>
      <c r="DN460" s="39"/>
      <c r="DO460" s="39">
        <f t="shared" si="276"/>
        <v>1.5465860457967198</v>
      </c>
      <c r="DP460" s="37"/>
      <c r="DQ460" s="37">
        <f>DO460/'Conversions, Sources &amp; Comments'!E458</f>
        <v>3.3332175141877678</v>
      </c>
    </row>
    <row r="461" spans="1:121">
      <c r="A461" s="42">
        <f t="shared" si="333"/>
        <v>1709</v>
      </c>
      <c r="B461" s="36"/>
      <c r="C461" s="38">
        <v>69.52</v>
      </c>
      <c r="D461" s="38">
        <v>0</v>
      </c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8">
        <v>7.5</v>
      </c>
      <c r="W461" s="36"/>
      <c r="X461" s="36"/>
      <c r="Y461" s="36"/>
      <c r="Z461" s="36"/>
      <c r="AA461" s="36"/>
      <c r="AB461" s="59">
        <v>5.166666666666667</v>
      </c>
      <c r="AC461" s="38">
        <v>2</v>
      </c>
      <c r="AD461" s="38">
        <v>6</v>
      </c>
      <c r="AE461" s="38">
        <v>2</v>
      </c>
      <c r="AF461" s="38">
        <v>6</v>
      </c>
      <c r="AG461" s="36"/>
      <c r="AH461" s="36"/>
      <c r="AI461" s="36"/>
      <c r="AJ461" s="36"/>
      <c r="AK461" s="36"/>
      <c r="AL461" s="36"/>
      <c r="AM461" s="36"/>
      <c r="AN461" s="36"/>
      <c r="AO461" s="38">
        <v>3.5</v>
      </c>
      <c r="AP461" s="36"/>
      <c r="AQ461" s="36"/>
      <c r="AR461" s="36"/>
      <c r="AS461" s="38">
        <v>32.58</v>
      </c>
      <c r="AT461" s="38">
        <v>6</v>
      </c>
      <c r="AU461" s="38">
        <v>3</v>
      </c>
      <c r="AV461" s="36"/>
      <c r="AW461" s="36"/>
      <c r="AX461" s="36"/>
      <c r="AY461" s="36"/>
      <c r="AZ461" s="38">
        <v>120</v>
      </c>
      <c r="BA461" s="36"/>
      <c r="BB461" s="36"/>
      <c r="BC461" s="38">
        <v>8</v>
      </c>
      <c r="BD461" s="38">
        <v>5.75</v>
      </c>
      <c r="BE461" s="36"/>
      <c r="BF461" s="38">
        <v>8.6999999999999993</v>
      </c>
      <c r="BG461" s="59">
        <v>23.16</v>
      </c>
      <c r="BH461" s="59">
        <v>3.57</v>
      </c>
      <c r="BI461" s="59">
        <v>0.51818450806204508</v>
      </c>
      <c r="BJ461" s="59">
        <v>10</v>
      </c>
      <c r="BK461" s="38">
        <v>5.5095999999999989</v>
      </c>
      <c r="BL461" s="59">
        <v>1.93</v>
      </c>
      <c r="BM461" s="36"/>
      <c r="BN461" s="38">
        <v>62</v>
      </c>
      <c r="BO461" s="36"/>
      <c r="BP461" s="39">
        <f t="shared" si="326"/>
        <v>0.46399193548387102</v>
      </c>
      <c r="BQ461" s="37"/>
      <c r="BR461" s="39">
        <f t="shared" si="327"/>
        <v>1.3730937917094634</v>
      </c>
      <c r="BS461" s="39">
        <f t="shared" si="296"/>
        <v>2.2248682950259693</v>
      </c>
      <c r="BT461" s="39">
        <f t="shared" si="309"/>
        <v>30.445665057996788</v>
      </c>
      <c r="BU461" s="37"/>
      <c r="BV461" s="39">
        <f t="shared" si="273"/>
        <v>0.45743458308387758</v>
      </c>
      <c r="BW461" s="39">
        <f t="shared" si="322"/>
        <v>3.1301733340255415</v>
      </c>
      <c r="BX461" s="39">
        <f t="shared" si="274"/>
        <v>0.3525933902822494</v>
      </c>
      <c r="BY461" s="39">
        <f t="shared" si="318"/>
        <v>5.2851510541825588</v>
      </c>
      <c r="BZ461" s="39">
        <f t="shared" si="310"/>
        <v>8.7679925322844312</v>
      </c>
      <c r="CA461" s="39">
        <f t="shared" si="323"/>
        <v>5.635948693185334</v>
      </c>
      <c r="CB461" s="39">
        <f t="shared" si="324"/>
        <v>1.9742596518527107</v>
      </c>
      <c r="CC461" s="39">
        <f t="shared" si="312"/>
        <v>0.34799395161290325</v>
      </c>
      <c r="CD461" s="37"/>
      <c r="CE461" s="37"/>
      <c r="CF461" s="39">
        <f t="shared" si="313"/>
        <v>16.703709677419354</v>
      </c>
      <c r="CG461" s="39">
        <f t="shared" si="320"/>
        <v>4.2830024813895786</v>
      </c>
      <c r="CH461" s="37"/>
      <c r="CI461" s="39">
        <f t="shared" si="317"/>
        <v>6.1375677104164659</v>
      </c>
      <c r="CJ461" s="39">
        <f t="shared" si="277"/>
        <v>0.13474525337288978</v>
      </c>
      <c r="CK461" s="39">
        <f t="shared" si="314"/>
        <v>4.9377653614408205E-2</v>
      </c>
      <c r="CL461" s="37"/>
      <c r="CM461" s="39">
        <f t="shared" si="315"/>
        <v>0.17447934139366858</v>
      </c>
      <c r="CN461" s="37"/>
      <c r="CO461" s="39">
        <f>0.063495+(0.016949+0.014096)*Wages!P459+1.22592*BR461</f>
        <v>2.1789370302453683</v>
      </c>
      <c r="CP461" s="39"/>
      <c r="CQ461" s="39">
        <f t="shared" si="298"/>
        <v>2.2248682950259693</v>
      </c>
      <c r="CR461" s="39">
        <f t="shared" si="284"/>
        <v>0.45743458308387758</v>
      </c>
      <c r="CS461" s="39">
        <f t="shared" si="284"/>
        <v>3.1301733340255415</v>
      </c>
      <c r="CT461" s="39">
        <f t="shared" si="325"/>
        <v>5.635948693185334</v>
      </c>
      <c r="CU461" s="39">
        <f t="shared" si="325"/>
        <v>1.9742596518527107</v>
      </c>
      <c r="CV461" s="39">
        <f t="shared" si="325"/>
        <v>0.34799395161290325</v>
      </c>
      <c r="CW461" s="39">
        <f t="shared" si="319"/>
        <v>0.22837103074596776</v>
      </c>
      <c r="CX461" s="39">
        <f t="shared" si="294"/>
        <v>6.1375677104164659</v>
      </c>
      <c r="CY461" s="39">
        <f t="shared" si="328"/>
        <v>8.7679925322844312</v>
      </c>
      <c r="CZ461" s="39">
        <f t="shared" si="329"/>
        <v>0.3525933902822494</v>
      </c>
      <c r="DA461" s="39">
        <v>6.1375677104164668</v>
      </c>
      <c r="DB461" s="39">
        <f t="shared" si="311"/>
        <v>4.8713064092794864</v>
      </c>
      <c r="DC461" s="39">
        <f t="shared" si="330"/>
        <v>5.2851510541825588</v>
      </c>
      <c r="DD461" s="39">
        <f t="shared" si="321"/>
        <v>4.2830024813895786</v>
      </c>
      <c r="DE461" s="39">
        <f t="shared" si="316"/>
        <v>4.9377653614408205E-2</v>
      </c>
      <c r="DF461" s="39">
        <v>0.13474525337288981</v>
      </c>
      <c r="DG461" s="39">
        <f t="shared" si="331"/>
        <v>0</v>
      </c>
      <c r="DH461" s="39">
        <f t="shared" si="332"/>
        <v>5.5895012015404353</v>
      </c>
      <c r="DI461" s="39">
        <f t="shared" si="278"/>
        <v>5.5613212832923278</v>
      </c>
      <c r="DJ461" s="37"/>
      <c r="DK461" s="37"/>
      <c r="DL461" s="37"/>
      <c r="DM461" s="39">
        <f t="shared" si="275"/>
        <v>1.7475996283017041</v>
      </c>
      <c r="DN461" s="39"/>
      <c r="DO461" s="39">
        <f t="shared" si="276"/>
        <v>1.7475996283017041</v>
      </c>
      <c r="DP461" s="37"/>
      <c r="DQ461" s="37">
        <f>DO461/'Conversions, Sources &amp; Comments'!E459</f>
        <v>3.7664439716591862</v>
      </c>
    </row>
    <row r="462" spans="1:121">
      <c r="A462" s="42">
        <f t="shared" si="333"/>
        <v>1710</v>
      </c>
      <c r="B462" s="36"/>
      <c r="C462" s="38">
        <v>44.98</v>
      </c>
      <c r="D462" s="38">
        <v>0</v>
      </c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8">
        <v>7.5</v>
      </c>
      <c r="W462" s="36"/>
      <c r="X462" s="36"/>
      <c r="Y462" s="36"/>
      <c r="Z462" s="36"/>
      <c r="AA462" s="36"/>
      <c r="AB462" s="59">
        <v>6.5</v>
      </c>
      <c r="AC462" s="38">
        <v>2</v>
      </c>
      <c r="AD462" s="38">
        <v>6</v>
      </c>
      <c r="AE462" s="38">
        <v>2</v>
      </c>
      <c r="AF462" s="38">
        <v>6</v>
      </c>
      <c r="AG462" s="36"/>
      <c r="AH462" s="36"/>
      <c r="AI462" s="36"/>
      <c r="AJ462" s="36"/>
      <c r="AK462" s="36"/>
      <c r="AL462" s="36"/>
      <c r="AM462" s="36"/>
      <c r="AN462" s="36"/>
      <c r="AO462" s="38">
        <v>2.58</v>
      </c>
      <c r="AP462" s="36"/>
      <c r="AQ462" s="36"/>
      <c r="AR462" s="36"/>
      <c r="AS462" s="38">
        <v>30.68</v>
      </c>
      <c r="AT462" s="38">
        <v>6</v>
      </c>
      <c r="AU462" s="38">
        <v>3</v>
      </c>
      <c r="AV462" s="36"/>
      <c r="AW462" s="36"/>
      <c r="AX462" s="36"/>
      <c r="AY462" s="36"/>
      <c r="AZ462" s="38">
        <v>120</v>
      </c>
      <c r="BA462" s="36"/>
      <c r="BB462" s="36"/>
      <c r="BC462" s="38">
        <v>8</v>
      </c>
      <c r="BD462" s="38">
        <v>5.75</v>
      </c>
      <c r="BE462" s="36"/>
      <c r="BF462" s="38">
        <v>6.2</v>
      </c>
      <c r="BG462" s="59">
        <v>23.24</v>
      </c>
      <c r="BH462" s="59">
        <v>3.71</v>
      </c>
      <c r="BI462" s="59">
        <v>0.54178652983931652</v>
      </c>
      <c r="BJ462" s="59">
        <v>10</v>
      </c>
      <c r="BK462" s="38">
        <v>7.5543999999999993</v>
      </c>
      <c r="BL462" s="59">
        <v>1.98</v>
      </c>
      <c r="BM462" s="36"/>
      <c r="BN462" s="38">
        <v>62</v>
      </c>
      <c r="BO462" s="36"/>
      <c r="BP462" s="39">
        <f t="shared" si="326"/>
        <v>0.46399193548387102</v>
      </c>
      <c r="BQ462" s="37"/>
      <c r="BR462" s="39">
        <f t="shared" si="327"/>
        <v>0.88840274383043238</v>
      </c>
      <c r="BS462" s="39">
        <f t="shared" si="296"/>
        <v>1.5855383251909207</v>
      </c>
      <c r="BT462" s="39">
        <f t="shared" si="309"/>
        <v>30.445665057996788</v>
      </c>
      <c r="BU462" s="37"/>
      <c r="BV462" s="39">
        <f t="shared" si="273"/>
        <v>0.45901466799953866</v>
      </c>
      <c r="BW462" s="39">
        <f t="shared" si="322"/>
        <v>3.2529252294775235</v>
      </c>
      <c r="BX462" s="39">
        <f t="shared" si="274"/>
        <v>0.3686531465012971</v>
      </c>
      <c r="BY462" s="39">
        <f t="shared" si="318"/>
        <v>6.6490610036490256</v>
      </c>
      <c r="BZ462" s="39">
        <f t="shared" si="310"/>
        <v>8.7679925322844312</v>
      </c>
      <c r="CA462" s="39">
        <f t="shared" si="323"/>
        <v>7.7276409916871076</v>
      </c>
      <c r="CB462" s="39">
        <f t="shared" si="324"/>
        <v>2.0254062749577031</v>
      </c>
      <c r="CC462" s="39">
        <f t="shared" si="312"/>
        <v>0.34799395161290325</v>
      </c>
      <c r="CD462" s="37"/>
      <c r="CE462" s="37"/>
      <c r="CF462" s="39">
        <f t="shared" si="313"/>
        <v>16.703709677419354</v>
      </c>
      <c r="CG462" s="39">
        <f t="shared" si="320"/>
        <v>3.157184686281461</v>
      </c>
      <c r="CH462" s="37"/>
      <c r="CI462" s="39">
        <f t="shared" si="317"/>
        <v>6.1375677104164659</v>
      </c>
      <c r="CJ462" s="39">
        <f t="shared" si="277"/>
        <v>0.12688718150645362</v>
      </c>
      <c r="CK462" s="39">
        <f t="shared" si="314"/>
        <v>4.9377653614408205E-2</v>
      </c>
      <c r="CL462" s="37"/>
      <c r="CM462" s="39">
        <f t="shared" si="315"/>
        <v>0.17447934139366858</v>
      </c>
      <c r="CN462" s="37"/>
      <c r="CO462" s="39">
        <f>0.063495+(0.016949+0.014096)*Wages!P460+1.22592*BR462</f>
        <v>1.5847445808295069</v>
      </c>
      <c r="CP462" s="39"/>
      <c r="CQ462" s="39">
        <f t="shared" si="298"/>
        <v>1.5855383251909207</v>
      </c>
      <c r="CR462" s="39">
        <f t="shared" si="284"/>
        <v>0.45901466799953866</v>
      </c>
      <c r="CS462" s="39">
        <f t="shared" si="284"/>
        <v>3.2529252294775235</v>
      </c>
      <c r="CT462" s="39">
        <f t="shared" si="325"/>
        <v>7.7276409916871076</v>
      </c>
      <c r="CU462" s="39">
        <f t="shared" si="325"/>
        <v>2.0254062749577031</v>
      </c>
      <c r="CV462" s="39">
        <f t="shared" si="325"/>
        <v>0.34799395161290325</v>
      </c>
      <c r="CW462" s="39">
        <f t="shared" si="319"/>
        <v>0.22837103074596776</v>
      </c>
      <c r="CX462" s="39">
        <f t="shared" si="294"/>
        <v>6.1375677104164659</v>
      </c>
      <c r="CY462" s="39">
        <f t="shared" si="328"/>
        <v>8.7679925322844312</v>
      </c>
      <c r="CZ462" s="39">
        <f t="shared" si="329"/>
        <v>0.3686531465012971</v>
      </c>
      <c r="DA462" s="39">
        <v>6.1375677104164668</v>
      </c>
      <c r="DB462" s="39">
        <f t="shared" si="311"/>
        <v>4.8713064092794864</v>
      </c>
      <c r="DC462" s="39">
        <f t="shared" si="330"/>
        <v>6.6490610036490256</v>
      </c>
      <c r="DD462" s="39">
        <f t="shared" si="321"/>
        <v>3.157184686281461</v>
      </c>
      <c r="DE462" s="39">
        <f t="shared" si="316"/>
        <v>4.9377653614408205E-2</v>
      </c>
      <c r="DF462" s="39">
        <v>0.12688718150645362</v>
      </c>
      <c r="DG462" s="39">
        <f t="shared" si="331"/>
        <v>0</v>
      </c>
      <c r="DH462" s="39">
        <f t="shared" si="332"/>
        <v>5.5895012015404353</v>
      </c>
      <c r="DI462" s="39">
        <f t="shared" si="278"/>
        <v>5.2369962238001415</v>
      </c>
      <c r="DJ462" s="37"/>
      <c r="DK462" s="37"/>
      <c r="DL462" s="37"/>
      <c r="DM462" s="39">
        <f t="shared" si="275"/>
        <v>1.5104341149196199</v>
      </c>
      <c r="DN462" s="39"/>
      <c r="DO462" s="39">
        <f t="shared" si="276"/>
        <v>1.5104341149196199</v>
      </c>
      <c r="DP462" s="37"/>
      <c r="DQ462" s="37">
        <f>DO462/'Conversions, Sources &amp; Comments'!E460</f>
        <v>3.2553025158604822</v>
      </c>
    </row>
    <row r="463" spans="1:121">
      <c r="A463" s="42">
        <f t="shared" si="333"/>
        <v>1711</v>
      </c>
      <c r="B463" s="36"/>
      <c r="C463" s="38">
        <v>40.81</v>
      </c>
      <c r="D463" s="38">
        <v>0</v>
      </c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8">
        <v>7.5</v>
      </c>
      <c r="W463" s="36"/>
      <c r="X463" s="36"/>
      <c r="Y463" s="36"/>
      <c r="Z463" s="36"/>
      <c r="AA463" s="36"/>
      <c r="AB463" s="59">
        <v>6.166666666666667</v>
      </c>
      <c r="AC463" s="38">
        <v>2</v>
      </c>
      <c r="AD463" s="38">
        <v>6</v>
      </c>
      <c r="AE463" s="38">
        <v>2</v>
      </c>
      <c r="AF463" s="38">
        <v>6</v>
      </c>
      <c r="AG463" s="36"/>
      <c r="AH463" s="36"/>
      <c r="AI463" s="36"/>
      <c r="AJ463" s="36"/>
      <c r="AK463" s="36"/>
      <c r="AL463" s="36"/>
      <c r="AM463" s="36"/>
      <c r="AN463" s="36"/>
      <c r="AO463" s="38">
        <v>2.58</v>
      </c>
      <c r="AP463" s="36"/>
      <c r="AQ463" s="36"/>
      <c r="AR463" s="36"/>
      <c r="AS463" s="38">
        <v>32.03</v>
      </c>
      <c r="AT463" s="38">
        <v>6</v>
      </c>
      <c r="AU463" s="38">
        <v>3</v>
      </c>
      <c r="AV463" s="36"/>
      <c r="AW463" s="36"/>
      <c r="AX463" s="36"/>
      <c r="AY463" s="36"/>
      <c r="AZ463" s="38">
        <v>120</v>
      </c>
      <c r="BA463" s="36"/>
      <c r="BB463" s="36"/>
      <c r="BC463" s="38">
        <v>8</v>
      </c>
      <c r="BD463" s="38">
        <v>5.75</v>
      </c>
      <c r="BE463" s="36"/>
      <c r="BF463" s="38">
        <v>5.9</v>
      </c>
      <c r="BG463" s="59">
        <v>23.24</v>
      </c>
      <c r="BH463" s="59">
        <v>3.71</v>
      </c>
      <c r="BI463" s="59">
        <v>0.54178652983931652</v>
      </c>
      <c r="BJ463" s="59">
        <v>10</v>
      </c>
      <c r="BK463" s="38">
        <v>5.4527999999999999</v>
      </c>
      <c r="BL463" s="59">
        <v>1.98</v>
      </c>
      <c r="BM463" s="36"/>
      <c r="BN463" s="38">
        <v>62</v>
      </c>
      <c r="BO463" s="36"/>
      <c r="BP463" s="39">
        <f t="shared" si="326"/>
        <v>0.46399193548387102</v>
      </c>
      <c r="BQ463" s="37"/>
      <c r="BR463" s="39">
        <f t="shared" si="327"/>
        <v>0.80604081760159962</v>
      </c>
      <c r="BS463" s="39">
        <f t="shared" si="296"/>
        <v>1.5088187288107149</v>
      </c>
      <c r="BT463" s="39">
        <f t="shared" si="309"/>
        <v>30.445665057996788</v>
      </c>
      <c r="BU463" s="37"/>
      <c r="BV463" s="39">
        <f t="shared" si="273"/>
        <v>0.45901466799953866</v>
      </c>
      <c r="BW463" s="39">
        <f t="shared" si="322"/>
        <v>3.2529252294775235</v>
      </c>
      <c r="BX463" s="39">
        <f t="shared" si="274"/>
        <v>0.3686531465012971</v>
      </c>
      <c r="BY463" s="39">
        <f t="shared" si="318"/>
        <v>6.3080835162824096</v>
      </c>
      <c r="BZ463" s="39">
        <f t="shared" si="310"/>
        <v>8.7679925322844312</v>
      </c>
      <c r="CA463" s="39">
        <f t="shared" si="323"/>
        <v>5.5778461293380621</v>
      </c>
      <c r="CB463" s="39">
        <f t="shared" si="324"/>
        <v>2.0254062749577031</v>
      </c>
      <c r="CC463" s="39">
        <f t="shared" si="312"/>
        <v>0.34799395161290325</v>
      </c>
      <c r="CD463" s="37"/>
      <c r="CE463" s="37"/>
      <c r="CF463" s="39">
        <f t="shared" si="313"/>
        <v>16.703709677419354</v>
      </c>
      <c r="CG463" s="39">
        <f t="shared" si="320"/>
        <v>3.157184686281461</v>
      </c>
      <c r="CH463" s="37"/>
      <c r="CI463" s="39">
        <f t="shared" si="317"/>
        <v>6.1375677104164659</v>
      </c>
      <c r="CJ463" s="39">
        <f t="shared" si="277"/>
        <v>0.13247054835892147</v>
      </c>
      <c r="CK463" s="39">
        <f t="shared" si="314"/>
        <v>4.9377653614408205E-2</v>
      </c>
      <c r="CL463" s="37"/>
      <c r="CM463" s="39">
        <f t="shared" si="315"/>
        <v>0.17447934139366858</v>
      </c>
      <c r="CN463" s="37"/>
      <c r="CO463" s="39">
        <f>0.063495+(0.016949+0.014096)*Wages!P461+1.22592*BR463</f>
        <v>1.483775448227056</v>
      </c>
      <c r="CP463" s="39"/>
      <c r="CQ463" s="39">
        <f t="shared" si="298"/>
        <v>1.5088187288107149</v>
      </c>
      <c r="CR463" s="39">
        <f t="shared" si="284"/>
        <v>0.45901466799953866</v>
      </c>
      <c r="CS463" s="39">
        <f t="shared" si="284"/>
        <v>3.2529252294775235</v>
      </c>
      <c r="CT463" s="39">
        <f t="shared" si="325"/>
        <v>5.5778461293380621</v>
      </c>
      <c r="CU463" s="39">
        <f t="shared" si="325"/>
        <v>2.0254062749577031</v>
      </c>
      <c r="CV463" s="39">
        <f t="shared" si="325"/>
        <v>0.34799395161290325</v>
      </c>
      <c r="CW463" s="39">
        <f t="shared" si="319"/>
        <v>0.22837103074596776</v>
      </c>
      <c r="CX463" s="39">
        <f t="shared" si="294"/>
        <v>6.1375677104164659</v>
      </c>
      <c r="CY463" s="39">
        <f t="shared" si="328"/>
        <v>8.7679925322844312</v>
      </c>
      <c r="CZ463" s="39">
        <f t="shared" si="329"/>
        <v>0.3686531465012971</v>
      </c>
      <c r="DA463" s="39">
        <v>6.1375677104164668</v>
      </c>
      <c r="DB463" s="39">
        <f t="shared" si="311"/>
        <v>4.8713064092794864</v>
      </c>
      <c r="DC463" s="39">
        <f t="shared" si="330"/>
        <v>6.3080835162824096</v>
      </c>
      <c r="DD463" s="39">
        <f t="shared" si="321"/>
        <v>3.157184686281461</v>
      </c>
      <c r="DE463" s="39">
        <f t="shared" si="316"/>
        <v>4.9377653614408205E-2</v>
      </c>
      <c r="DF463" s="39">
        <v>0.13247054835892147</v>
      </c>
      <c r="DG463" s="39">
        <f t="shared" si="331"/>
        <v>0</v>
      </c>
      <c r="DH463" s="39">
        <f t="shared" si="332"/>
        <v>5.5895012015404353</v>
      </c>
      <c r="DI463" s="39">
        <f t="shared" si="278"/>
        <v>5.4674377134393275</v>
      </c>
      <c r="DJ463" s="37"/>
      <c r="DK463" s="37"/>
      <c r="DL463" s="37"/>
      <c r="DM463" s="39">
        <f t="shared" si="275"/>
        <v>1.4476996660226582</v>
      </c>
      <c r="DN463" s="39"/>
      <c r="DO463" s="39">
        <f t="shared" si="276"/>
        <v>1.4476996660226582</v>
      </c>
      <c r="DP463" s="37"/>
      <c r="DQ463" s="37">
        <f>DO463/'Conversions, Sources &amp; Comments'!E461</f>
        <v>3.1200966122674823</v>
      </c>
    </row>
    <row r="464" spans="1:121">
      <c r="A464" s="42">
        <f t="shared" si="333"/>
        <v>1712</v>
      </c>
      <c r="B464" s="36"/>
      <c r="C464" s="38">
        <v>35.26</v>
      </c>
      <c r="D464" s="38">
        <v>0</v>
      </c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8">
        <v>7.5</v>
      </c>
      <c r="W464" s="36"/>
      <c r="X464" s="36"/>
      <c r="Y464" s="36"/>
      <c r="Z464" s="36"/>
      <c r="AA464" s="36"/>
      <c r="AB464" s="59">
        <v>6.333333333333333</v>
      </c>
      <c r="AC464" s="38">
        <v>2</v>
      </c>
      <c r="AD464" s="38">
        <v>6</v>
      </c>
      <c r="AE464" s="38">
        <v>2</v>
      </c>
      <c r="AF464" s="38">
        <v>6</v>
      </c>
      <c r="AG464" s="36"/>
      <c r="AH464" s="36"/>
      <c r="AI464" s="36"/>
      <c r="AJ464" s="36"/>
      <c r="AK464" s="36"/>
      <c r="AL464" s="36"/>
      <c r="AM464" s="36"/>
      <c r="AN464" s="36"/>
      <c r="AO464" s="38">
        <v>2.33</v>
      </c>
      <c r="AP464" s="36"/>
      <c r="AQ464" s="36"/>
      <c r="AR464" s="36"/>
      <c r="AS464" s="38">
        <v>30.53</v>
      </c>
      <c r="AT464" s="38">
        <v>6</v>
      </c>
      <c r="AU464" s="38">
        <v>3</v>
      </c>
      <c r="AV464" s="36"/>
      <c r="AW464" s="36"/>
      <c r="AX464" s="36"/>
      <c r="AY464" s="36"/>
      <c r="AZ464" s="38">
        <v>120</v>
      </c>
      <c r="BA464" s="36"/>
      <c r="BB464" s="36"/>
      <c r="BC464" s="38">
        <v>8</v>
      </c>
      <c r="BD464" s="38">
        <v>5.75</v>
      </c>
      <c r="BE464" s="36"/>
      <c r="BF464" s="38">
        <v>5.4</v>
      </c>
      <c r="BG464" s="59">
        <v>23.24</v>
      </c>
      <c r="BH464" s="59">
        <v>3.71</v>
      </c>
      <c r="BI464" s="59">
        <v>0.54178652983931652</v>
      </c>
      <c r="BJ464" s="59">
        <v>10</v>
      </c>
      <c r="BK464" s="38">
        <v>5.2824</v>
      </c>
      <c r="BL464" s="59">
        <v>1.98</v>
      </c>
      <c r="BM464" s="36"/>
      <c r="BN464" s="38">
        <v>62</v>
      </c>
      <c r="BO464" s="36"/>
      <c r="BP464" s="39">
        <f t="shared" si="326"/>
        <v>0.46399193548387102</v>
      </c>
      <c r="BQ464" s="37"/>
      <c r="BR464" s="39">
        <f t="shared" si="327"/>
        <v>0.69642242657761333</v>
      </c>
      <c r="BS464" s="39">
        <f t="shared" si="296"/>
        <v>1.3809527348437054</v>
      </c>
      <c r="BT464" s="39">
        <f t="shared" si="309"/>
        <v>30.445665057996788</v>
      </c>
      <c r="BU464" s="37"/>
      <c r="BV464" s="39">
        <f t="shared" ref="BV464:BV522" si="334">$BP464*12*$BG464/(8*35.238)</f>
        <v>0.45901466799953866</v>
      </c>
      <c r="BW464" s="39">
        <f t="shared" si="322"/>
        <v>3.2529252294775235</v>
      </c>
      <c r="BX464" s="39">
        <f t="shared" ref="BX464:BX527" si="335">$BP464*240*$BI464/(36*4.546)</f>
        <v>0.3686531465012971</v>
      </c>
      <c r="BY464" s="39">
        <f t="shared" si="318"/>
        <v>6.4785722599657172</v>
      </c>
      <c r="BZ464" s="39">
        <f t="shared" si="310"/>
        <v>8.7679925322844312</v>
      </c>
      <c r="CA464" s="39">
        <f t="shared" si="323"/>
        <v>5.4035384377962483</v>
      </c>
      <c r="CB464" s="39">
        <f t="shared" si="324"/>
        <v>2.0254062749577031</v>
      </c>
      <c r="CC464" s="39">
        <f t="shared" si="312"/>
        <v>0.34799395161290325</v>
      </c>
      <c r="CD464" s="37"/>
      <c r="CE464" s="37"/>
      <c r="CF464" s="39">
        <f t="shared" si="313"/>
        <v>16.703709677419354</v>
      </c>
      <c r="CG464" s="39">
        <f t="shared" si="320"/>
        <v>2.8512559376107767</v>
      </c>
      <c r="CH464" s="37"/>
      <c r="CI464" s="39">
        <f t="shared" si="317"/>
        <v>6.1375677104164659</v>
      </c>
      <c r="CJ464" s="39">
        <f t="shared" si="277"/>
        <v>0.12626680741173499</v>
      </c>
      <c r="CK464" s="39">
        <f t="shared" si="314"/>
        <v>4.9377653614408205E-2</v>
      </c>
      <c r="CL464" s="37"/>
      <c r="CM464" s="39">
        <f t="shared" si="315"/>
        <v>0.17447934139366858</v>
      </c>
      <c r="CN464" s="37"/>
      <c r="CO464" s="39">
        <f>0.063495+(0.016949+0.014096)*Wages!P462+1.22592*BR464</f>
        <v>1.349392070302931</v>
      </c>
      <c r="CP464" s="39"/>
      <c r="CQ464" s="39">
        <f t="shared" si="298"/>
        <v>1.3809527348437054</v>
      </c>
      <c r="CR464" s="39">
        <f t="shared" si="284"/>
        <v>0.45901466799953866</v>
      </c>
      <c r="CS464" s="39">
        <f t="shared" si="284"/>
        <v>3.2529252294775235</v>
      </c>
      <c r="CT464" s="39">
        <f t="shared" si="325"/>
        <v>5.4035384377962483</v>
      </c>
      <c r="CU464" s="39">
        <f t="shared" si="325"/>
        <v>2.0254062749577031</v>
      </c>
      <c r="CV464" s="39">
        <f t="shared" si="325"/>
        <v>0.34799395161290325</v>
      </c>
      <c r="CW464" s="39">
        <f t="shared" si="319"/>
        <v>0.22837103074596776</v>
      </c>
      <c r="CX464" s="39">
        <f t="shared" si="294"/>
        <v>6.1375677104164659</v>
      </c>
      <c r="CY464" s="39">
        <f t="shared" si="328"/>
        <v>8.7679925322844312</v>
      </c>
      <c r="CZ464" s="39">
        <f t="shared" si="329"/>
        <v>0.3686531465012971</v>
      </c>
      <c r="DA464" s="39">
        <v>6.1375677104164668</v>
      </c>
      <c r="DB464" s="39">
        <f t="shared" si="311"/>
        <v>4.8713064092794864</v>
      </c>
      <c r="DC464" s="39">
        <f t="shared" si="330"/>
        <v>6.4785722599657172</v>
      </c>
      <c r="DD464" s="39">
        <f t="shared" si="321"/>
        <v>2.8512559376107767</v>
      </c>
      <c r="DE464" s="39">
        <f t="shared" si="316"/>
        <v>4.9377653614408205E-2</v>
      </c>
      <c r="DF464" s="39">
        <v>0.12626680741173502</v>
      </c>
      <c r="DG464" s="39">
        <f t="shared" si="331"/>
        <v>0</v>
      </c>
      <c r="DH464" s="39">
        <f t="shared" si="332"/>
        <v>5.5895012015404353</v>
      </c>
      <c r="DI464" s="39">
        <f t="shared" si="278"/>
        <v>5.2113916138402336</v>
      </c>
      <c r="DJ464" s="37"/>
      <c r="DK464" s="37"/>
      <c r="DL464" s="37"/>
      <c r="DM464" s="39">
        <f t="shared" ref="DM464:DM531" si="336">($CQ$6*$CQ464+$CR$6*$CR464+$CS$6*$CS464+$CT$6*$CT464+$CU$6*$CU464+$CV$6*$CV464+$CZ$6*$CZ464+$DA$6*$DA464+$DB$6*$DB464+$DC$6*$DC464+$DD$6*$DD464+$DH$6*$DH464)/414.8987</f>
        <v>1.3885764272393595</v>
      </c>
      <c r="DN464" s="39"/>
      <c r="DO464" s="39">
        <f t="shared" ref="DO464:DO531" si="337">($CQ$6*$CQ464+$CR$6*$CR464+$CS$6*$CS464+$CT$6*$CT464+$CU$6*$CU464+$CV$6*$CV464+$CZ$6*$CZ464+$DA$6*$DA464+$DB$6*$DB464+$DC$6*$DC464+$DD$6*$DD464+$DH$6*$DH464)/414.8987</f>
        <v>1.3885764272393595</v>
      </c>
      <c r="DP464" s="37"/>
      <c r="DQ464" s="37">
        <f>DO464/'Conversions, Sources &amp; Comments'!E462</f>
        <v>2.9926736243622241</v>
      </c>
    </row>
    <row r="465" spans="1:121">
      <c r="A465" s="42">
        <f t="shared" si="333"/>
        <v>1713</v>
      </c>
      <c r="B465" s="36"/>
      <c r="C465" s="38">
        <v>48.89</v>
      </c>
      <c r="D465" s="38">
        <v>0</v>
      </c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8">
        <v>6</v>
      </c>
      <c r="W465" s="36"/>
      <c r="X465" s="36"/>
      <c r="Y465" s="36"/>
      <c r="Z465" s="36"/>
      <c r="AA465" s="36"/>
      <c r="AB465" s="59">
        <v>6.166666666666667</v>
      </c>
      <c r="AC465" s="38">
        <v>2</v>
      </c>
      <c r="AD465" s="38">
        <v>6</v>
      </c>
      <c r="AE465" s="38">
        <v>2</v>
      </c>
      <c r="AF465" s="38">
        <v>6</v>
      </c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8">
        <v>31.57</v>
      </c>
      <c r="AT465" s="38">
        <v>4</v>
      </c>
      <c r="AU465" s="38">
        <v>2.5</v>
      </c>
      <c r="AV465" s="36"/>
      <c r="AW465" s="36"/>
      <c r="AX465" s="36"/>
      <c r="AY465" s="36"/>
      <c r="AZ465" s="38">
        <v>120</v>
      </c>
      <c r="BA465" s="36"/>
      <c r="BB465" s="36"/>
      <c r="BC465" s="38">
        <v>8</v>
      </c>
      <c r="BD465" s="38">
        <v>5.75</v>
      </c>
      <c r="BE465" s="36"/>
      <c r="BF465" s="38">
        <v>6.3</v>
      </c>
      <c r="BG465" s="59">
        <v>23.24</v>
      </c>
      <c r="BH465" s="59">
        <v>3.71</v>
      </c>
      <c r="BI465" s="59">
        <v>0.47112179397922571</v>
      </c>
      <c r="BJ465" s="59">
        <v>9</v>
      </c>
      <c r="BK465" s="38">
        <v>4.7144000000000004</v>
      </c>
      <c r="BL465" s="59">
        <v>1.98</v>
      </c>
      <c r="BM465" s="36"/>
      <c r="BN465" s="38">
        <v>62</v>
      </c>
      <c r="BO465" s="36"/>
      <c r="BP465" s="39">
        <f t="shared" si="326"/>
        <v>0.46399193548387102</v>
      </c>
      <c r="BQ465" s="37"/>
      <c r="BR465" s="39">
        <f t="shared" si="327"/>
        <v>0.9656293940833669</v>
      </c>
      <c r="BS465" s="39">
        <f t="shared" si="296"/>
        <v>1.6111115239843228</v>
      </c>
      <c r="BT465" s="39">
        <f t="shared" si="309"/>
        <v>30.445665057996788</v>
      </c>
      <c r="BU465" s="37"/>
      <c r="BV465" s="39">
        <f t="shared" si="334"/>
        <v>0.45901466799953866</v>
      </c>
      <c r="BW465" s="39">
        <f t="shared" si="322"/>
        <v>3.2529252294775235</v>
      </c>
      <c r="BX465" s="39">
        <f t="shared" si="335"/>
        <v>0.32057004404906064</v>
      </c>
      <c r="BY465" s="39">
        <f t="shared" si="318"/>
        <v>6.3080835162824096</v>
      </c>
      <c r="BZ465" s="39">
        <f t="shared" si="310"/>
        <v>7.8911932790559876</v>
      </c>
      <c r="CA465" s="39">
        <f t="shared" si="323"/>
        <v>4.8225127993235342</v>
      </c>
      <c r="CB465" s="39">
        <f t="shared" si="324"/>
        <v>2.0254062749577031</v>
      </c>
      <c r="CC465" s="39">
        <f t="shared" si="312"/>
        <v>0.27839516129032255</v>
      </c>
      <c r="CD465" s="37"/>
      <c r="CE465" s="37"/>
      <c r="CF465" s="39">
        <f t="shared" si="313"/>
        <v>13.919758064516131</v>
      </c>
      <c r="CG465" s="37"/>
      <c r="CH465" s="37"/>
      <c r="CI465" s="39">
        <f t="shared" si="317"/>
        <v>4.0917118069443115</v>
      </c>
      <c r="CJ465" s="39">
        <f t="shared" ref="CJ465:CJ528" si="338">$BP465*12*AS465/(26.5*112*0.453592)</f>
        <v>0.13056806780178426</v>
      </c>
      <c r="CK465" s="39">
        <f t="shared" si="314"/>
        <v>4.9377653614408205E-2</v>
      </c>
      <c r="CL465" s="37"/>
      <c r="CM465" s="39">
        <f t="shared" si="315"/>
        <v>0.17447934139366858</v>
      </c>
      <c r="CN465" s="37"/>
      <c r="CO465" s="39">
        <f>0.063495+(0.016949+0.014096)*Wages!P463+1.22592*BR465</f>
        <v>1.6794182759075844</v>
      </c>
      <c r="CP465" s="39"/>
      <c r="CQ465" s="39">
        <f t="shared" si="298"/>
        <v>1.6111115239843228</v>
      </c>
      <c r="CR465" s="39">
        <f t="shared" si="284"/>
        <v>0.45901466799953866</v>
      </c>
      <c r="CS465" s="39">
        <f t="shared" si="284"/>
        <v>3.2529252294775235</v>
      </c>
      <c r="CT465" s="39">
        <f t="shared" si="325"/>
        <v>4.8225127993235342</v>
      </c>
      <c r="CU465" s="39">
        <f t="shared" si="325"/>
        <v>2.0254062749577031</v>
      </c>
      <c r="CV465" s="39">
        <f t="shared" si="325"/>
        <v>0.27839516129032255</v>
      </c>
      <c r="CW465" s="39">
        <f t="shared" si="319"/>
        <v>0.19030919228830651</v>
      </c>
      <c r="CX465" s="39">
        <f t="shared" si="294"/>
        <v>4.0917118069443115</v>
      </c>
      <c r="CY465" s="39">
        <f t="shared" si="328"/>
        <v>7.8911932790559876</v>
      </c>
      <c r="CZ465" s="39">
        <f t="shared" si="329"/>
        <v>0.32057004404906064</v>
      </c>
      <c r="DA465" s="39">
        <v>6.1375677104164668</v>
      </c>
      <c r="DB465" s="39">
        <f t="shared" si="311"/>
        <v>4.8713064092794864</v>
      </c>
      <c r="DC465" s="39">
        <f t="shared" si="330"/>
        <v>6.3080835162824096</v>
      </c>
      <c r="DD465" s="39">
        <v>3.2</v>
      </c>
      <c r="DE465" s="39">
        <f t="shared" si="316"/>
        <v>4.9377653614408205E-2</v>
      </c>
      <c r="DF465" s="39">
        <v>0.13056806780178429</v>
      </c>
      <c r="DG465" s="39">
        <f t="shared" si="331"/>
        <v>0</v>
      </c>
      <c r="DH465" s="39">
        <f t="shared" si="332"/>
        <v>5.5895012015404353</v>
      </c>
      <c r="DI465" s="39">
        <f t="shared" ref="DI465:DI528" si="339">1000*DF465/24.229</f>
        <v>5.3889169095622718</v>
      </c>
      <c r="DJ465" s="37"/>
      <c r="DK465" s="37"/>
      <c r="DL465" s="37"/>
      <c r="DM465" s="39">
        <f t="shared" si="336"/>
        <v>1.4535579959670717</v>
      </c>
      <c r="DN465" s="39"/>
      <c r="DO465" s="39">
        <f t="shared" si="337"/>
        <v>1.4535579959670717</v>
      </c>
      <c r="DP465" s="37"/>
      <c r="DQ465" s="37">
        <f>DO465/'Conversions, Sources &amp; Comments'!E463</f>
        <v>3.1327225427985899</v>
      </c>
    </row>
    <row r="466" spans="1:121">
      <c r="A466" s="42">
        <f t="shared" si="333"/>
        <v>1714</v>
      </c>
      <c r="B466" s="36"/>
      <c r="C466" s="38">
        <v>31.11</v>
      </c>
      <c r="D466" s="38">
        <v>0</v>
      </c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8">
        <v>7.5</v>
      </c>
      <c r="W466" s="36"/>
      <c r="X466" s="36"/>
      <c r="Y466" s="36"/>
      <c r="Z466" s="36"/>
      <c r="AA466" s="36"/>
      <c r="AB466" s="59">
        <v>6.166666666666667</v>
      </c>
      <c r="AC466" s="38">
        <v>2</v>
      </c>
      <c r="AD466" s="38">
        <v>6</v>
      </c>
      <c r="AE466" s="38">
        <v>2</v>
      </c>
      <c r="AF466" s="38">
        <v>6</v>
      </c>
      <c r="AG466" s="36"/>
      <c r="AH466" s="36"/>
      <c r="AI466" s="36"/>
      <c r="AJ466" s="36"/>
      <c r="AK466" s="36"/>
      <c r="AL466" s="36"/>
      <c r="AM466" s="36"/>
      <c r="AN466" s="36"/>
      <c r="AO466" s="38">
        <v>2.92</v>
      </c>
      <c r="AP466" s="36"/>
      <c r="AQ466" s="36"/>
      <c r="AR466" s="36"/>
      <c r="AS466" s="38">
        <v>30.38</v>
      </c>
      <c r="AT466" s="38">
        <v>4</v>
      </c>
      <c r="AU466" s="38">
        <v>2.5</v>
      </c>
      <c r="AV466" s="36"/>
      <c r="AW466" s="36"/>
      <c r="AX466" s="36"/>
      <c r="AY466" s="36"/>
      <c r="AZ466" s="38">
        <v>120</v>
      </c>
      <c r="BA466" s="36"/>
      <c r="BB466" s="36"/>
      <c r="BC466" s="38">
        <v>8</v>
      </c>
      <c r="BD466" s="38">
        <v>5.75</v>
      </c>
      <c r="BE466" s="36"/>
      <c r="BF466" s="38">
        <v>4.9000000000000004</v>
      </c>
      <c r="BG466" s="59">
        <v>23.24</v>
      </c>
      <c r="BH466" s="59">
        <v>3.71</v>
      </c>
      <c r="BI466" s="59">
        <v>0.51818450806204508</v>
      </c>
      <c r="BJ466" s="59">
        <v>10</v>
      </c>
      <c r="BK466" s="38">
        <v>4.26</v>
      </c>
      <c r="BL466" s="59">
        <v>1.98</v>
      </c>
      <c r="BM466" s="36"/>
      <c r="BN466" s="38">
        <v>62</v>
      </c>
      <c r="BO466" s="36"/>
      <c r="BP466" s="39">
        <f t="shared" si="326"/>
        <v>0.46399193548387102</v>
      </c>
      <c r="BQ466" s="37"/>
      <c r="BR466" s="39">
        <f t="shared" si="327"/>
        <v>0.61445552157769567</v>
      </c>
      <c r="BS466" s="39">
        <f t="shared" si="296"/>
        <v>1.2530867408766955</v>
      </c>
      <c r="BT466" s="39">
        <f t="shared" si="309"/>
        <v>30.445665057996788</v>
      </c>
      <c r="BU466" s="37"/>
      <c r="BV466" s="39">
        <f t="shared" si="334"/>
        <v>0.45901466799953866</v>
      </c>
      <c r="BW466" s="39">
        <f t="shared" si="322"/>
        <v>3.2529252294775235</v>
      </c>
      <c r="BX466" s="39">
        <f t="shared" si="335"/>
        <v>0.3525933902822494</v>
      </c>
      <c r="BY466" s="39">
        <f t="shared" si="318"/>
        <v>6.3080835162824096</v>
      </c>
      <c r="BZ466" s="39">
        <f t="shared" si="310"/>
        <v>8.7679925322844312</v>
      </c>
      <c r="CA466" s="39">
        <f t="shared" si="323"/>
        <v>4.3576922885453619</v>
      </c>
      <c r="CB466" s="39">
        <f t="shared" si="324"/>
        <v>2.0254062749577031</v>
      </c>
      <c r="CC466" s="39">
        <f t="shared" si="312"/>
        <v>0.34799395161290325</v>
      </c>
      <c r="CD466" s="37"/>
      <c r="CE466" s="37"/>
      <c r="CF466" s="39">
        <f t="shared" si="313"/>
        <v>13.919758064516131</v>
      </c>
      <c r="CG466" s="39">
        <f>BP466*(12*AO466+AP466)/4.55</f>
        <v>3.5732477844735913</v>
      </c>
      <c r="CH466" s="37"/>
      <c r="CI466" s="39">
        <f t="shared" si="317"/>
        <v>4.0917118069443115</v>
      </c>
      <c r="CJ466" s="39">
        <f t="shared" si="338"/>
        <v>0.12564643331701636</v>
      </c>
      <c r="CK466" s="39">
        <f t="shared" si="314"/>
        <v>4.9377653614408205E-2</v>
      </c>
      <c r="CL466" s="37"/>
      <c r="CM466" s="39">
        <f t="shared" si="315"/>
        <v>0.17447934139366858</v>
      </c>
      <c r="CN466" s="37"/>
      <c r="CO466" s="39">
        <f>0.063495+(0.016949+0.014096)*Wages!P464+1.22592*BR466</f>
        <v>1.2489072021254319</v>
      </c>
      <c r="CP466" s="39"/>
      <c r="CQ466" s="39">
        <f t="shared" si="298"/>
        <v>1.2530867408766955</v>
      </c>
      <c r="CR466" s="39">
        <f t="shared" si="284"/>
        <v>0.45901466799953866</v>
      </c>
      <c r="CS466" s="39">
        <f t="shared" si="284"/>
        <v>3.2529252294775235</v>
      </c>
      <c r="CT466" s="39">
        <f t="shared" si="325"/>
        <v>4.3576922885453619</v>
      </c>
      <c r="CU466" s="39">
        <f t="shared" si="325"/>
        <v>2.0254062749577031</v>
      </c>
      <c r="CV466" s="39">
        <f t="shared" si="325"/>
        <v>0.34799395161290325</v>
      </c>
      <c r="CW466" s="39">
        <f t="shared" si="319"/>
        <v>0.19030919228830651</v>
      </c>
      <c r="CX466" s="39">
        <f t="shared" si="294"/>
        <v>4.0917118069443115</v>
      </c>
      <c r="CY466" s="39">
        <f t="shared" si="328"/>
        <v>8.7679925322844312</v>
      </c>
      <c r="CZ466" s="39">
        <f t="shared" si="329"/>
        <v>0.3525933902822494</v>
      </c>
      <c r="DA466" s="39">
        <v>6.1375677104164668</v>
      </c>
      <c r="DB466" s="39">
        <f t="shared" si="311"/>
        <v>4.8713064092794864</v>
      </c>
      <c r="DC466" s="39">
        <f t="shared" si="330"/>
        <v>6.3080835162824096</v>
      </c>
      <c r="DD466" s="39">
        <f>CG466</f>
        <v>3.5732477844735913</v>
      </c>
      <c r="DE466" s="39">
        <f t="shared" si="316"/>
        <v>4.9377653614408205E-2</v>
      </c>
      <c r="DF466" s="39">
        <v>0.12564643331701636</v>
      </c>
      <c r="DG466" s="39">
        <f t="shared" si="331"/>
        <v>0</v>
      </c>
      <c r="DH466" s="39">
        <f t="shared" si="332"/>
        <v>5.5895012015404353</v>
      </c>
      <c r="DI466" s="39">
        <f t="shared" si="339"/>
        <v>5.185787003880324</v>
      </c>
      <c r="DJ466" s="37"/>
      <c r="DK466" s="37"/>
      <c r="DL466" s="37"/>
      <c r="DM466" s="39">
        <f t="shared" si="336"/>
        <v>1.3157900375936451</v>
      </c>
      <c r="DN466" s="39"/>
      <c r="DO466" s="39">
        <f t="shared" si="337"/>
        <v>1.3157900375936451</v>
      </c>
      <c r="DP466" s="37"/>
      <c r="DQ466" s="37">
        <f>DO466/'Conversions, Sources &amp; Comments'!E464</f>
        <v>2.8358036788322236</v>
      </c>
    </row>
    <row r="467" spans="1:121">
      <c r="A467" s="42">
        <f t="shared" si="333"/>
        <v>1715</v>
      </c>
      <c r="B467" s="36"/>
      <c r="C467" s="38">
        <v>43.56</v>
      </c>
      <c r="D467" s="38">
        <v>0</v>
      </c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8">
        <v>7.5</v>
      </c>
      <c r="W467" s="36"/>
      <c r="X467" s="36"/>
      <c r="Y467" s="36"/>
      <c r="Z467" s="36"/>
      <c r="AA467" s="36"/>
      <c r="AB467" s="59">
        <v>6.166666666666667</v>
      </c>
      <c r="AC467" s="38">
        <v>2</v>
      </c>
      <c r="AD467" s="38">
        <v>6</v>
      </c>
      <c r="AE467" s="38">
        <v>2</v>
      </c>
      <c r="AF467" s="38">
        <v>6</v>
      </c>
      <c r="AG467" s="36"/>
      <c r="AH467" s="36"/>
      <c r="AI467" s="36"/>
      <c r="AJ467" s="36"/>
      <c r="AK467" s="36"/>
      <c r="AL467" s="36"/>
      <c r="AM467" s="36"/>
      <c r="AN467" s="36"/>
      <c r="AO467" s="38">
        <v>2.75</v>
      </c>
      <c r="AP467" s="36"/>
      <c r="AQ467" s="36"/>
      <c r="AR467" s="36"/>
      <c r="AS467" s="38">
        <v>28.95</v>
      </c>
      <c r="AT467" s="38">
        <v>4</v>
      </c>
      <c r="AU467" s="38">
        <v>2.5</v>
      </c>
      <c r="AV467" s="36"/>
      <c r="AW467" s="36"/>
      <c r="AX467" s="36"/>
      <c r="AY467" s="36"/>
      <c r="AZ467" s="38">
        <v>120</v>
      </c>
      <c r="BA467" s="36"/>
      <c r="BB467" s="36"/>
      <c r="BC467" s="38">
        <v>8</v>
      </c>
      <c r="BD467" s="38">
        <v>5.75</v>
      </c>
      <c r="BE467" s="36"/>
      <c r="BF467" s="38">
        <v>5.5</v>
      </c>
      <c r="BG467" s="59">
        <v>23.24</v>
      </c>
      <c r="BH467" s="59">
        <v>3.71</v>
      </c>
      <c r="BI467" s="59">
        <v>0.51818450806204508</v>
      </c>
      <c r="BJ467" s="59">
        <v>10</v>
      </c>
      <c r="BK467" s="38">
        <v>4.9415999999999993</v>
      </c>
      <c r="BL467" s="59">
        <v>1.98</v>
      </c>
      <c r="BM467" s="36"/>
      <c r="BN467" s="38">
        <v>62</v>
      </c>
      <c r="BO467" s="36"/>
      <c r="BP467" s="39">
        <f t="shared" si="326"/>
        <v>0.46399193548387102</v>
      </c>
      <c r="BQ467" s="37"/>
      <c r="BR467" s="39">
        <f t="shared" si="327"/>
        <v>0.86035623657744864</v>
      </c>
      <c r="BS467" s="39">
        <f t="shared" si="296"/>
        <v>1.406525933637107</v>
      </c>
      <c r="BT467" s="39">
        <f t="shared" si="309"/>
        <v>30.445665057996788</v>
      </c>
      <c r="BU467" s="37"/>
      <c r="BV467" s="39">
        <f t="shared" si="334"/>
        <v>0.45901466799953866</v>
      </c>
      <c r="BW467" s="39">
        <f t="shared" si="322"/>
        <v>3.2529252294775235</v>
      </c>
      <c r="BX467" s="39">
        <f t="shared" si="335"/>
        <v>0.3525933902822494</v>
      </c>
      <c r="BY467" s="39">
        <f t="shared" si="318"/>
        <v>6.3080835162824096</v>
      </c>
      <c r="BZ467" s="39">
        <f t="shared" si="310"/>
        <v>8.7679925322844312</v>
      </c>
      <c r="CA467" s="39">
        <f t="shared" si="323"/>
        <v>5.054923054712618</v>
      </c>
      <c r="CB467" s="39">
        <f t="shared" si="324"/>
        <v>2.0254062749577031</v>
      </c>
      <c r="CC467" s="39">
        <f t="shared" si="312"/>
        <v>0.34799395161290325</v>
      </c>
      <c r="CD467" s="37"/>
      <c r="CE467" s="37"/>
      <c r="CF467" s="39">
        <f t="shared" si="313"/>
        <v>13.919758064516131</v>
      </c>
      <c r="CG467" s="39">
        <f>BP467*(12*AO467+AP467)/4.55</f>
        <v>3.3652162353775266</v>
      </c>
      <c r="CH467" s="37"/>
      <c r="CI467" s="39">
        <f t="shared" si="317"/>
        <v>4.0917118069443115</v>
      </c>
      <c r="CJ467" s="39">
        <f t="shared" si="338"/>
        <v>0.11973220028069859</v>
      </c>
      <c r="CK467" s="39">
        <f t="shared" si="314"/>
        <v>4.9377653614408205E-2</v>
      </c>
      <c r="CL467" s="37"/>
      <c r="CM467" s="39">
        <f t="shared" si="315"/>
        <v>0.17447934139366858</v>
      </c>
      <c r="CN467" s="37"/>
      <c r="CO467" s="39">
        <f>0.063495+(0.016949+0.014096)*Wages!P465+1.22592*BR467</f>
        <v>1.550361806657929</v>
      </c>
      <c r="CP467" s="39"/>
      <c r="CQ467" s="39">
        <f t="shared" si="298"/>
        <v>1.406525933637107</v>
      </c>
      <c r="CR467" s="39">
        <f t="shared" si="284"/>
        <v>0.45901466799953866</v>
      </c>
      <c r="CS467" s="39">
        <f t="shared" si="284"/>
        <v>3.2529252294775235</v>
      </c>
      <c r="CT467" s="39">
        <f t="shared" si="325"/>
        <v>5.054923054712618</v>
      </c>
      <c r="CU467" s="39">
        <f t="shared" si="325"/>
        <v>2.0254062749577031</v>
      </c>
      <c r="CV467" s="39">
        <f t="shared" si="325"/>
        <v>0.34799395161290325</v>
      </c>
      <c r="CW467" s="39">
        <f t="shared" si="319"/>
        <v>0.19030919228830651</v>
      </c>
      <c r="CX467" s="39">
        <f t="shared" si="294"/>
        <v>4.0917118069443115</v>
      </c>
      <c r="CY467" s="39">
        <f t="shared" si="328"/>
        <v>8.7679925322844312</v>
      </c>
      <c r="CZ467" s="39">
        <f t="shared" si="329"/>
        <v>0.3525933902822494</v>
      </c>
      <c r="DA467" s="39">
        <v>6.1375677104164668</v>
      </c>
      <c r="DB467" s="39">
        <f t="shared" si="311"/>
        <v>4.8713064092794864</v>
      </c>
      <c r="DC467" s="39">
        <f t="shared" si="330"/>
        <v>6.3080835162824096</v>
      </c>
      <c r="DD467" s="39">
        <f>CG467</f>
        <v>3.3652162353775266</v>
      </c>
      <c r="DE467" s="39">
        <f t="shared" si="316"/>
        <v>4.9377653614408205E-2</v>
      </c>
      <c r="DF467" s="39">
        <v>0.1197322002806986</v>
      </c>
      <c r="DG467" s="39">
        <f t="shared" si="331"/>
        <v>0</v>
      </c>
      <c r="DH467" s="39">
        <f t="shared" si="332"/>
        <v>5.5895012015404353</v>
      </c>
      <c r="DI467" s="39">
        <f t="shared" si="339"/>
        <v>4.9416897222625202</v>
      </c>
      <c r="DJ467" s="37"/>
      <c r="DK467" s="37"/>
      <c r="DL467" s="37"/>
      <c r="DM467" s="39">
        <f t="shared" si="336"/>
        <v>1.3905327423522158</v>
      </c>
      <c r="DN467" s="39"/>
      <c r="DO467" s="39">
        <f t="shared" si="337"/>
        <v>1.3905327423522158</v>
      </c>
      <c r="DP467" s="37"/>
      <c r="DQ467" s="37">
        <f>DO467/'Conversions, Sources &amp; Comments'!E465</f>
        <v>2.9968898940066873</v>
      </c>
    </row>
    <row r="468" spans="1:121">
      <c r="A468" s="42">
        <f t="shared" si="333"/>
        <v>1716</v>
      </c>
      <c r="B468" s="36"/>
      <c r="C468" s="38">
        <v>38.07</v>
      </c>
      <c r="D468" s="38">
        <v>0</v>
      </c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8">
        <v>7.5</v>
      </c>
      <c r="W468" s="36"/>
      <c r="X468" s="36"/>
      <c r="Y468" s="36"/>
      <c r="Z468" s="36"/>
      <c r="AA468" s="36"/>
      <c r="AB468" s="59">
        <v>6.333333333333333</v>
      </c>
      <c r="AC468" s="38">
        <v>2</v>
      </c>
      <c r="AD468" s="38">
        <v>6</v>
      </c>
      <c r="AE468" s="38">
        <v>2</v>
      </c>
      <c r="AF468" s="38">
        <v>6</v>
      </c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8">
        <v>29.53</v>
      </c>
      <c r="AT468" s="38">
        <v>4</v>
      </c>
      <c r="AU468" s="38">
        <v>2.5</v>
      </c>
      <c r="AV468" s="36"/>
      <c r="AW468" s="36"/>
      <c r="AX468" s="36"/>
      <c r="AY468" s="36"/>
      <c r="AZ468" s="38">
        <v>120</v>
      </c>
      <c r="BA468" s="36"/>
      <c r="BB468" s="36"/>
      <c r="BC468" s="38">
        <v>8</v>
      </c>
      <c r="BD468" s="38">
        <v>5.75</v>
      </c>
      <c r="BE468" s="36"/>
      <c r="BF468" s="38">
        <v>5.4</v>
      </c>
      <c r="BG468" s="59">
        <v>23.24</v>
      </c>
      <c r="BH468" s="59">
        <v>3.71</v>
      </c>
      <c r="BI468" s="59">
        <v>0.51818450806204508</v>
      </c>
      <c r="BJ468" s="59">
        <v>9</v>
      </c>
      <c r="BK468" s="38">
        <v>4.8847999999999994</v>
      </c>
      <c r="BL468" s="59">
        <v>1.98</v>
      </c>
      <c r="BM468" s="36"/>
      <c r="BN468" s="38">
        <v>62</v>
      </c>
      <c r="BO468" s="36"/>
      <c r="BP468" s="39">
        <f t="shared" si="326"/>
        <v>0.46399193548387102</v>
      </c>
      <c r="BQ468" s="37"/>
      <c r="BR468" s="39">
        <f t="shared" si="327"/>
        <v>0.75192290924020821</v>
      </c>
      <c r="BS468" s="39">
        <f t="shared" si="296"/>
        <v>1.3809527348437054</v>
      </c>
      <c r="BT468" s="39">
        <f t="shared" si="309"/>
        <v>30.445665057996788</v>
      </c>
      <c r="BU468" s="37"/>
      <c r="BV468" s="39">
        <f t="shared" si="334"/>
        <v>0.45901466799953866</v>
      </c>
      <c r="BW468" s="39">
        <f t="shared" si="322"/>
        <v>3.2529252294775235</v>
      </c>
      <c r="BX468" s="39">
        <f t="shared" si="335"/>
        <v>0.3525933902822494</v>
      </c>
      <c r="BY468" s="39">
        <f t="shared" si="318"/>
        <v>6.4785722599657172</v>
      </c>
      <c r="BZ468" s="39">
        <f t="shared" si="310"/>
        <v>7.8911932790559876</v>
      </c>
      <c r="CA468" s="39">
        <f t="shared" si="323"/>
        <v>4.9968204908653471</v>
      </c>
      <c r="CB468" s="39">
        <f t="shared" si="324"/>
        <v>2.0254062749577031</v>
      </c>
      <c r="CC468" s="39">
        <f t="shared" si="312"/>
        <v>0.34799395161290325</v>
      </c>
      <c r="CD468" s="37"/>
      <c r="CE468" s="37"/>
      <c r="CF468" s="39">
        <f t="shared" si="313"/>
        <v>13.919758064516131</v>
      </c>
      <c r="CG468" s="37"/>
      <c r="CH468" s="37"/>
      <c r="CI468" s="39">
        <f t="shared" si="317"/>
        <v>4.0917118069443115</v>
      </c>
      <c r="CJ468" s="39">
        <f t="shared" si="338"/>
        <v>0.12213098011361069</v>
      </c>
      <c r="CK468" s="39">
        <f t="shared" si="314"/>
        <v>4.9377653614408205E-2</v>
      </c>
      <c r="CL468" s="37"/>
      <c r="CM468" s="39">
        <f t="shared" si="315"/>
        <v>0.17447934139366858</v>
      </c>
      <c r="CN468" s="37"/>
      <c r="CO468" s="39">
        <f>0.063495+(0.016949+0.014096)*Wages!P466+1.22592*BR468</f>
        <v>1.4174312220086591</v>
      </c>
      <c r="CP468" s="39"/>
      <c r="CQ468" s="39">
        <f t="shared" si="298"/>
        <v>1.3809527348437054</v>
      </c>
      <c r="CR468" s="39">
        <f t="shared" si="284"/>
        <v>0.45901466799953866</v>
      </c>
      <c r="CS468" s="39">
        <f t="shared" si="284"/>
        <v>3.2529252294775235</v>
      </c>
      <c r="CT468" s="39">
        <f t="shared" si="325"/>
        <v>4.9968204908653471</v>
      </c>
      <c r="CU468" s="39">
        <f t="shared" si="325"/>
        <v>2.0254062749577031</v>
      </c>
      <c r="CV468" s="39">
        <f t="shared" si="325"/>
        <v>0.34799395161290325</v>
      </c>
      <c r="CW468" s="39">
        <f t="shared" si="319"/>
        <v>0.19030919228830651</v>
      </c>
      <c r="CX468" s="39">
        <f t="shared" si="294"/>
        <v>4.0917118069443115</v>
      </c>
      <c r="CY468" s="39">
        <f t="shared" si="328"/>
        <v>7.8911932790559876</v>
      </c>
      <c r="CZ468" s="39">
        <f t="shared" si="329"/>
        <v>0.3525933902822494</v>
      </c>
      <c r="DA468" s="39">
        <v>6.1375677104164668</v>
      </c>
      <c r="DB468" s="39">
        <f t="shared" si="311"/>
        <v>4.8713064092794864</v>
      </c>
      <c r="DC468" s="39">
        <f t="shared" si="330"/>
        <v>6.4785722599657172</v>
      </c>
      <c r="DD468" s="39">
        <v>3.3</v>
      </c>
      <c r="DE468" s="39">
        <f t="shared" si="316"/>
        <v>4.9377653614408205E-2</v>
      </c>
      <c r="DF468" s="39">
        <v>0.1221309801136107</v>
      </c>
      <c r="DG468" s="39">
        <f t="shared" si="331"/>
        <v>0</v>
      </c>
      <c r="DH468" s="39">
        <f t="shared" si="332"/>
        <v>5.5895012015404353</v>
      </c>
      <c r="DI468" s="39">
        <f t="shared" si="339"/>
        <v>5.0406942141075035</v>
      </c>
      <c r="DJ468" s="37"/>
      <c r="DK468" s="37"/>
      <c r="DL468" s="37"/>
      <c r="DM468" s="39">
        <f t="shared" si="336"/>
        <v>1.3792462596738901</v>
      </c>
      <c r="DN468" s="39"/>
      <c r="DO468" s="39">
        <f t="shared" si="337"/>
        <v>1.3792462596738901</v>
      </c>
      <c r="DP468" s="37"/>
      <c r="DQ468" s="37">
        <f>DO468/'Conversions, Sources &amp; Comments'!E466</f>
        <v>2.9725651551153622</v>
      </c>
    </row>
    <row r="469" spans="1:121">
      <c r="A469" s="42">
        <f t="shared" si="333"/>
        <v>1717</v>
      </c>
      <c r="B469" s="36"/>
      <c r="C469" s="38">
        <v>34.96</v>
      </c>
      <c r="D469" s="38">
        <v>0</v>
      </c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8">
        <v>7.5</v>
      </c>
      <c r="W469" s="36"/>
      <c r="X469" s="36"/>
      <c r="Y469" s="36"/>
      <c r="Z469" s="36"/>
      <c r="AA469" s="36"/>
      <c r="AB469" s="59">
        <v>6.333333333333333</v>
      </c>
      <c r="AC469" s="38">
        <v>2</v>
      </c>
      <c r="AD469" s="38">
        <v>6</v>
      </c>
      <c r="AE469" s="38">
        <v>2</v>
      </c>
      <c r="AF469" s="38">
        <v>6</v>
      </c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8">
        <v>32.03</v>
      </c>
      <c r="AT469" s="38">
        <v>4</v>
      </c>
      <c r="AU469" s="38">
        <v>2.5</v>
      </c>
      <c r="AV469" s="36"/>
      <c r="AW469" s="36"/>
      <c r="AX469" s="36"/>
      <c r="AY469" s="36"/>
      <c r="AZ469" s="38">
        <v>120</v>
      </c>
      <c r="BA469" s="36"/>
      <c r="BB469" s="36"/>
      <c r="BC469" s="38">
        <v>8</v>
      </c>
      <c r="BD469" s="38">
        <v>5.75</v>
      </c>
      <c r="BE469" s="36"/>
      <c r="BF469" s="38">
        <v>4.7</v>
      </c>
      <c r="BG469" s="59">
        <v>23.24</v>
      </c>
      <c r="BH469" s="59">
        <v>3.71</v>
      </c>
      <c r="BI469" s="59">
        <v>0.51818450806204508</v>
      </c>
      <c r="BJ469" s="59">
        <v>9</v>
      </c>
      <c r="BK469" s="38">
        <v>4.9415999999999993</v>
      </c>
      <c r="BL469" s="59">
        <v>1.98</v>
      </c>
      <c r="BM469" s="36"/>
      <c r="BN469" s="38">
        <v>62</v>
      </c>
      <c r="BO469" s="36"/>
      <c r="BP469" s="39">
        <f t="shared" si="326"/>
        <v>0.46399193548387102</v>
      </c>
      <c r="BQ469" s="37"/>
      <c r="BR469" s="39">
        <f t="shared" si="327"/>
        <v>0.69049710814388432</v>
      </c>
      <c r="BS469" s="39">
        <f t="shared" si="296"/>
        <v>1.2019403432898916</v>
      </c>
      <c r="BT469" s="39">
        <f t="shared" si="309"/>
        <v>30.445665057996788</v>
      </c>
      <c r="BU469" s="37"/>
      <c r="BV469" s="39">
        <f t="shared" si="334"/>
        <v>0.45901466799953866</v>
      </c>
      <c r="BW469" s="39">
        <f t="shared" si="322"/>
        <v>3.2529252294775235</v>
      </c>
      <c r="BX469" s="39">
        <f t="shared" si="335"/>
        <v>0.3525933902822494</v>
      </c>
      <c r="BY469" s="39">
        <f t="shared" si="318"/>
        <v>6.4785722599657172</v>
      </c>
      <c r="BZ469" s="39">
        <f t="shared" si="310"/>
        <v>7.8911932790559876</v>
      </c>
      <c r="CA469" s="39">
        <f t="shared" si="323"/>
        <v>5.054923054712618</v>
      </c>
      <c r="CB469" s="39">
        <f t="shared" si="324"/>
        <v>2.0254062749577031</v>
      </c>
      <c r="CC469" s="39">
        <f t="shared" si="312"/>
        <v>0.34799395161290325</v>
      </c>
      <c r="CD469" s="37"/>
      <c r="CE469" s="37"/>
      <c r="CF469" s="39">
        <f t="shared" si="313"/>
        <v>13.919758064516131</v>
      </c>
      <c r="CG469" s="37"/>
      <c r="CH469" s="37"/>
      <c r="CI469" s="39">
        <f t="shared" si="317"/>
        <v>4.0917118069443115</v>
      </c>
      <c r="CJ469" s="39">
        <f t="shared" si="338"/>
        <v>0.13247054835892147</v>
      </c>
      <c r="CK469" s="39">
        <f t="shared" si="314"/>
        <v>4.9377653614408205E-2</v>
      </c>
      <c r="CL469" s="37"/>
      <c r="CM469" s="39">
        <f t="shared" si="315"/>
        <v>0.17447934139366858</v>
      </c>
      <c r="CN469" s="37"/>
      <c r="CO469" s="39">
        <f>0.063495+(0.016949+0.014096)*Wages!P467+1.22592*BR469</f>
        <v>1.3421281039286539</v>
      </c>
      <c r="CP469" s="39"/>
      <c r="CQ469" s="39">
        <f t="shared" si="298"/>
        <v>1.2019403432898916</v>
      </c>
      <c r="CR469" s="39">
        <f t="shared" si="284"/>
        <v>0.45901466799953866</v>
      </c>
      <c r="CS469" s="39">
        <f t="shared" si="284"/>
        <v>3.2529252294775235</v>
      </c>
      <c r="CT469" s="39">
        <f t="shared" si="325"/>
        <v>5.054923054712618</v>
      </c>
      <c r="CU469" s="39">
        <f t="shared" si="325"/>
        <v>2.0254062749577031</v>
      </c>
      <c r="CV469" s="39">
        <f t="shared" si="325"/>
        <v>0.34799395161290325</v>
      </c>
      <c r="CW469" s="39">
        <f t="shared" si="319"/>
        <v>0.19030919228830651</v>
      </c>
      <c r="CX469" s="39">
        <f t="shared" si="294"/>
        <v>4.0917118069443115</v>
      </c>
      <c r="CY469" s="39">
        <f t="shared" si="328"/>
        <v>7.8911932790559876</v>
      </c>
      <c r="CZ469" s="39">
        <f t="shared" si="329"/>
        <v>0.3525933902822494</v>
      </c>
      <c r="DA469" s="39">
        <v>6.1375677104164668</v>
      </c>
      <c r="DB469" s="39">
        <f t="shared" si="311"/>
        <v>4.8713064092794864</v>
      </c>
      <c r="DC469" s="39">
        <f t="shared" si="330"/>
        <v>6.4785722599657172</v>
      </c>
      <c r="DD469" s="39">
        <v>3.3</v>
      </c>
      <c r="DE469" s="39">
        <f t="shared" si="316"/>
        <v>4.9377653614408205E-2</v>
      </c>
      <c r="DF469" s="39">
        <v>0.13247054835892147</v>
      </c>
      <c r="DG469" s="39">
        <f t="shared" si="331"/>
        <v>0</v>
      </c>
      <c r="DH469" s="39">
        <f t="shared" si="332"/>
        <v>5.5895012015404353</v>
      </c>
      <c r="DI469" s="39">
        <f t="shared" si="339"/>
        <v>5.4674377134393275</v>
      </c>
      <c r="DJ469" s="37"/>
      <c r="DK469" s="37"/>
      <c r="DL469" s="37"/>
      <c r="DM469" s="39">
        <f t="shared" si="336"/>
        <v>1.3014486624994757</v>
      </c>
      <c r="DN469" s="39"/>
      <c r="DO469" s="39">
        <f t="shared" si="337"/>
        <v>1.3014486624994757</v>
      </c>
      <c r="DP469" s="37"/>
      <c r="DQ469" s="37">
        <f>DO469/'Conversions, Sources &amp; Comments'!E467</f>
        <v>2.8048950056476052</v>
      </c>
    </row>
    <row r="470" spans="1:121">
      <c r="A470" s="42">
        <f t="shared" si="333"/>
        <v>1718</v>
      </c>
      <c r="B470" s="36"/>
      <c r="C470" s="38">
        <v>25.04</v>
      </c>
      <c r="D470" s="38">
        <v>0</v>
      </c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8">
        <v>7.5</v>
      </c>
      <c r="W470" s="36"/>
      <c r="X470" s="36"/>
      <c r="Y470" s="36"/>
      <c r="Z470" s="36"/>
      <c r="AA470" s="36"/>
      <c r="AB470" s="59">
        <v>6.333333333333333</v>
      </c>
      <c r="AC470" s="38">
        <v>2</v>
      </c>
      <c r="AD470" s="38">
        <v>6</v>
      </c>
      <c r="AE470" s="38">
        <v>2</v>
      </c>
      <c r="AF470" s="38">
        <v>6</v>
      </c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8">
        <v>32.53</v>
      </c>
      <c r="AT470" s="38">
        <v>4</v>
      </c>
      <c r="AU470" s="38">
        <v>2.5</v>
      </c>
      <c r="AV470" s="36"/>
      <c r="AW470" s="36"/>
      <c r="AX470" s="36"/>
      <c r="AY470" s="36"/>
      <c r="AZ470" s="38">
        <v>120</v>
      </c>
      <c r="BA470" s="36"/>
      <c r="BB470" s="36"/>
      <c r="BC470" s="38">
        <v>8</v>
      </c>
      <c r="BD470" s="38">
        <v>5.75</v>
      </c>
      <c r="BE470" s="36"/>
      <c r="BF470" s="38">
        <v>4.0999999999999996</v>
      </c>
      <c r="BG470" s="59">
        <v>23.24</v>
      </c>
      <c r="BH470" s="59">
        <v>3.71</v>
      </c>
      <c r="BI470" s="59">
        <v>0.51818450806204508</v>
      </c>
      <c r="BJ470" s="59">
        <v>10</v>
      </c>
      <c r="BK470" s="38">
        <v>4.9415999999999993</v>
      </c>
      <c r="BL470" s="59">
        <v>1.98</v>
      </c>
      <c r="BM470" s="36"/>
      <c r="BN470" s="38">
        <v>62</v>
      </c>
      <c r="BO470" s="36"/>
      <c r="BP470" s="39">
        <f t="shared" si="326"/>
        <v>0.46399193548387102</v>
      </c>
      <c r="BQ470" s="37"/>
      <c r="BR470" s="39">
        <f t="shared" si="327"/>
        <v>0.49456657860191255</v>
      </c>
      <c r="BS470" s="39">
        <f t="shared" si="296"/>
        <v>1.0485011505294797</v>
      </c>
      <c r="BT470" s="39">
        <f t="shared" si="309"/>
        <v>30.445665057996788</v>
      </c>
      <c r="BU470" s="37"/>
      <c r="BV470" s="39">
        <f t="shared" si="334"/>
        <v>0.45901466799953866</v>
      </c>
      <c r="BW470" s="39">
        <f t="shared" si="322"/>
        <v>3.2529252294775235</v>
      </c>
      <c r="BX470" s="39">
        <f t="shared" si="335"/>
        <v>0.3525933902822494</v>
      </c>
      <c r="BY470" s="39">
        <f t="shared" si="318"/>
        <v>6.4785722599657172</v>
      </c>
      <c r="BZ470" s="39">
        <f t="shared" si="310"/>
        <v>8.7679925322844312</v>
      </c>
      <c r="CA470" s="39">
        <f t="shared" si="323"/>
        <v>5.054923054712618</v>
      </c>
      <c r="CB470" s="39">
        <f t="shared" si="324"/>
        <v>2.0254062749577031</v>
      </c>
      <c r="CC470" s="39">
        <f t="shared" si="312"/>
        <v>0.34799395161290325</v>
      </c>
      <c r="CD470" s="37"/>
      <c r="CE470" s="37"/>
      <c r="CF470" s="39">
        <f t="shared" si="313"/>
        <v>13.919758064516131</v>
      </c>
      <c r="CG470" s="37"/>
      <c r="CH470" s="37"/>
      <c r="CI470" s="39">
        <f t="shared" si="317"/>
        <v>4.0917118069443115</v>
      </c>
      <c r="CJ470" s="39">
        <f t="shared" si="338"/>
        <v>0.13453846200798361</v>
      </c>
      <c r="CK470" s="39">
        <f t="shared" si="314"/>
        <v>4.9377653614408205E-2</v>
      </c>
      <c r="CL470" s="37"/>
      <c r="CM470" s="39">
        <f t="shared" si="315"/>
        <v>0.17447934139366858</v>
      </c>
      <c r="CN470" s="37"/>
      <c r="CO470" s="39">
        <f>0.063495+(0.016949+0.014096)*Wages!P468+1.22592*BR470</f>
        <v>1.1019329491525598</v>
      </c>
      <c r="CP470" s="39"/>
      <c r="CQ470" s="39">
        <f t="shared" si="298"/>
        <v>1.0485011505294797</v>
      </c>
      <c r="CR470" s="39">
        <f t="shared" si="284"/>
        <v>0.45901466799953866</v>
      </c>
      <c r="CS470" s="39">
        <f t="shared" si="284"/>
        <v>3.2529252294775235</v>
      </c>
      <c r="CT470" s="39">
        <f t="shared" si="325"/>
        <v>5.054923054712618</v>
      </c>
      <c r="CU470" s="39">
        <f t="shared" si="325"/>
        <v>2.0254062749577031</v>
      </c>
      <c r="CV470" s="39">
        <f t="shared" si="325"/>
        <v>0.34799395161290325</v>
      </c>
      <c r="CW470" s="39">
        <f t="shared" si="319"/>
        <v>0.19030919228830651</v>
      </c>
      <c r="CX470" s="39">
        <f t="shared" si="294"/>
        <v>4.0917118069443115</v>
      </c>
      <c r="CY470" s="39">
        <f t="shared" si="328"/>
        <v>8.7679925322844312</v>
      </c>
      <c r="CZ470" s="39">
        <f t="shared" si="329"/>
        <v>0.3525933902822494</v>
      </c>
      <c r="DA470" s="39">
        <v>6.1375677104164668</v>
      </c>
      <c r="DB470" s="39">
        <f t="shared" si="311"/>
        <v>4.8713064092794864</v>
      </c>
      <c r="DC470" s="39">
        <f t="shared" si="330"/>
        <v>6.4785722599657172</v>
      </c>
      <c r="DD470" s="39">
        <v>3.3</v>
      </c>
      <c r="DE470" s="39">
        <f t="shared" si="316"/>
        <v>4.9377653614408205E-2</v>
      </c>
      <c r="DF470" s="39">
        <v>0.13453846200798361</v>
      </c>
      <c r="DG470" s="39">
        <f t="shared" si="331"/>
        <v>0</v>
      </c>
      <c r="DH470" s="39">
        <f t="shared" si="332"/>
        <v>5.5895012015404353</v>
      </c>
      <c r="DI470" s="39">
        <f t="shared" si="339"/>
        <v>5.5527864133056921</v>
      </c>
      <c r="DJ470" s="37"/>
      <c r="DK470" s="37"/>
      <c r="DL470" s="37"/>
      <c r="DM470" s="39">
        <f t="shared" si="336"/>
        <v>1.2341408278825079</v>
      </c>
      <c r="DN470" s="39"/>
      <c r="DO470" s="39">
        <f t="shared" si="337"/>
        <v>1.2341408278825079</v>
      </c>
      <c r="DP470" s="37"/>
      <c r="DQ470" s="37">
        <f>DO470/'Conversions, Sources &amp; Comments'!E468</f>
        <v>2.6598324960012332</v>
      </c>
    </row>
    <row r="471" spans="1:121">
      <c r="A471" s="42">
        <f t="shared" si="333"/>
        <v>1719</v>
      </c>
      <c r="B471" s="36"/>
      <c r="C471" s="38">
        <v>31.55</v>
      </c>
      <c r="D471" s="38">
        <v>0</v>
      </c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8">
        <v>7.5</v>
      </c>
      <c r="W471" s="36"/>
      <c r="X471" s="36"/>
      <c r="Y471" s="36"/>
      <c r="Z471" s="36"/>
      <c r="AA471" s="36"/>
      <c r="AB471" s="59">
        <v>6.333333333333333</v>
      </c>
      <c r="AC471" s="38">
        <v>2</v>
      </c>
      <c r="AD471" s="38">
        <v>6</v>
      </c>
      <c r="AE471" s="38">
        <v>2</v>
      </c>
      <c r="AF471" s="38">
        <v>6</v>
      </c>
      <c r="AG471" s="36"/>
      <c r="AH471" s="36"/>
      <c r="AI471" s="36"/>
      <c r="AJ471" s="36"/>
      <c r="AK471" s="36"/>
      <c r="AL471" s="36"/>
      <c r="AM471" s="36"/>
      <c r="AN471" s="36"/>
      <c r="AO471" s="38">
        <v>2.63</v>
      </c>
      <c r="AP471" s="36"/>
      <c r="AQ471" s="36"/>
      <c r="AR471" s="36"/>
      <c r="AS471" s="38">
        <v>32.08</v>
      </c>
      <c r="AT471" s="38">
        <v>4</v>
      </c>
      <c r="AU471" s="38">
        <v>2.5</v>
      </c>
      <c r="AV471" s="36"/>
      <c r="AW471" s="36"/>
      <c r="AX471" s="36"/>
      <c r="AY471" s="36"/>
      <c r="AZ471" s="38">
        <v>120</v>
      </c>
      <c r="BA471" s="36"/>
      <c r="BB471" s="36"/>
      <c r="BC471" s="36"/>
      <c r="BD471" s="38">
        <v>5.75</v>
      </c>
      <c r="BE471" s="36"/>
      <c r="BF471" s="38">
        <v>4.5999999999999996</v>
      </c>
      <c r="BG471" s="59">
        <v>23.24</v>
      </c>
      <c r="BH471" s="59">
        <v>3.71</v>
      </c>
      <c r="BI471" s="59">
        <v>0.56531788688072615</v>
      </c>
      <c r="BJ471" s="59">
        <v>9</v>
      </c>
      <c r="BK471" s="38">
        <v>4.8847999999999994</v>
      </c>
      <c r="BL471" s="59">
        <v>1.98</v>
      </c>
      <c r="BM471" s="36"/>
      <c r="BN471" s="38">
        <v>62</v>
      </c>
      <c r="BO471" s="36"/>
      <c r="BP471" s="39">
        <f t="shared" si="326"/>
        <v>0.46399193548387102</v>
      </c>
      <c r="BQ471" s="37"/>
      <c r="BR471" s="39">
        <f t="shared" si="327"/>
        <v>0.62314598861383164</v>
      </c>
      <c r="BS471" s="39">
        <f t="shared" si="296"/>
        <v>1.1763671444964894</v>
      </c>
      <c r="BT471" s="39">
        <f t="shared" si="309"/>
        <v>30.445665057996788</v>
      </c>
      <c r="BU471" s="37"/>
      <c r="BV471" s="39">
        <f t="shared" si="334"/>
        <v>0.45901466799953866</v>
      </c>
      <c r="BW471" s="39">
        <f t="shared" si="322"/>
        <v>3.2529252294775235</v>
      </c>
      <c r="BX471" s="39">
        <f t="shared" si="335"/>
        <v>0.38466481961789145</v>
      </c>
      <c r="BY471" s="39">
        <f t="shared" si="318"/>
        <v>6.4785722599657172</v>
      </c>
      <c r="BZ471" s="39">
        <f t="shared" si="310"/>
        <v>7.8911932790559876</v>
      </c>
      <c r="CA471" s="39">
        <f t="shared" si="323"/>
        <v>4.9968204908653471</v>
      </c>
      <c r="CB471" s="39">
        <f t="shared" si="324"/>
        <v>2.0254062749577031</v>
      </c>
      <c r="CC471" s="39">
        <f t="shared" si="312"/>
        <v>0.34799395161290325</v>
      </c>
      <c r="CD471" s="37"/>
      <c r="CE471" s="37"/>
      <c r="CF471" s="39">
        <f t="shared" si="313"/>
        <v>13.919758064516131</v>
      </c>
      <c r="CG471" s="39">
        <f>BP471*(12*AO471+AP471)/4.55</f>
        <v>3.2183704360155976</v>
      </c>
      <c r="CH471" s="37"/>
      <c r="CI471" s="39">
        <f t="shared" si="317"/>
        <v>4.0917118069443115</v>
      </c>
      <c r="CJ471" s="39">
        <f t="shared" si="338"/>
        <v>0.13267733972382764</v>
      </c>
      <c r="CK471" s="39">
        <f t="shared" si="314"/>
        <v>4.9377653614408205E-2</v>
      </c>
      <c r="CL471" s="37"/>
      <c r="CM471" s="39">
        <f t="shared" si="315"/>
        <v>0.17447934139366858</v>
      </c>
      <c r="CN471" s="37"/>
      <c r="CO471" s="39">
        <f>0.063495+(0.016949+0.014096)*Wages!P469+1.22592*BR471</f>
        <v>1.2595610194743716</v>
      </c>
      <c r="CP471" s="39"/>
      <c r="CQ471" s="39">
        <f t="shared" si="298"/>
        <v>1.1763671444964894</v>
      </c>
      <c r="CR471" s="39">
        <f t="shared" si="284"/>
        <v>0.45901466799953866</v>
      </c>
      <c r="CS471" s="39">
        <f t="shared" si="284"/>
        <v>3.2529252294775235</v>
      </c>
      <c r="CT471" s="39">
        <f t="shared" si="325"/>
        <v>4.9968204908653471</v>
      </c>
      <c r="CU471" s="39">
        <f t="shared" si="325"/>
        <v>2.0254062749577031</v>
      </c>
      <c r="CV471" s="39">
        <f t="shared" si="325"/>
        <v>0.34799395161290325</v>
      </c>
      <c r="CW471" s="39">
        <f t="shared" si="319"/>
        <v>0.19030919228830651</v>
      </c>
      <c r="CX471" s="39">
        <f t="shared" si="294"/>
        <v>4.0917118069443115</v>
      </c>
      <c r="CY471" s="39">
        <f t="shared" si="328"/>
        <v>7.8911932790559876</v>
      </c>
      <c r="CZ471" s="39">
        <f t="shared" si="329"/>
        <v>0.38466481961789145</v>
      </c>
      <c r="DA471" s="39">
        <v>6.1375677104164668</v>
      </c>
      <c r="DB471" s="39">
        <f t="shared" si="311"/>
        <v>4.8713064092794864</v>
      </c>
      <c r="DC471" s="39">
        <f t="shared" si="330"/>
        <v>6.4785722599657172</v>
      </c>
      <c r="DD471" s="39">
        <f>CG471</f>
        <v>3.2183704360155976</v>
      </c>
      <c r="DE471" s="39">
        <f t="shared" si="316"/>
        <v>4.9377653614408205E-2</v>
      </c>
      <c r="DF471" s="39">
        <v>0.13267733972382767</v>
      </c>
      <c r="DG471" s="39">
        <f t="shared" si="331"/>
        <v>0</v>
      </c>
      <c r="DH471" s="39">
        <f t="shared" si="332"/>
        <v>5.5895012015404353</v>
      </c>
      <c r="DI471" s="39">
        <f t="shared" si="339"/>
        <v>5.4759725834259632</v>
      </c>
      <c r="DJ471" s="37"/>
      <c r="DK471" s="37"/>
      <c r="DL471" s="37"/>
      <c r="DM471" s="39">
        <f t="shared" si="336"/>
        <v>1.3030594358287784</v>
      </c>
      <c r="DN471" s="39"/>
      <c r="DO471" s="39">
        <f t="shared" si="337"/>
        <v>1.3030594358287784</v>
      </c>
      <c r="DP471" s="37"/>
      <c r="DQ471" s="37">
        <f>DO471/'Conversions, Sources &amp; Comments'!E469</f>
        <v>2.8083665602288779</v>
      </c>
    </row>
    <row r="472" spans="1:121">
      <c r="A472" s="42">
        <f t="shared" si="333"/>
        <v>1720</v>
      </c>
      <c r="B472" s="36"/>
      <c r="C472" s="38">
        <v>31.55</v>
      </c>
      <c r="D472" s="38">
        <v>0</v>
      </c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8">
        <v>7.5</v>
      </c>
      <c r="W472" s="36"/>
      <c r="X472" s="36"/>
      <c r="Y472" s="36"/>
      <c r="Z472" s="36"/>
      <c r="AA472" s="36"/>
      <c r="AB472" s="59">
        <v>6</v>
      </c>
      <c r="AC472" s="38">
        <v>2</v>
      </c>
      <c r="AD472" s="38">
        <v>6</v>
      </c>
      <c r="AE472" s="38">
        <v>2</v>
      </c>
      <c r="AF472" s="38">
        <v>6</v>
      </c>
      <c r="AG472" s="36"/>
      <c r="AH472" s="36"/>
      <c r="AI472" s="36"/>
      <c r="AJ472" s="36"/>
      <c r="AK472" s="36"/>
      <c r="AL472" s="36"/>
      <c r="AM472" s="36"/>
      <c r="AN472" s="36"/>
      <c r="AO472" s="38">
        <v>2.63</v>
      </c>
      <c r="AP472" s="36"/>
      <c r="AQ472" s="36"/>
      <c r="AR472" s="36"/>
      <c r="AS472" s="38">
        <v>28.03</v>
      </c>
      <c r="AT472" s="38">
        <v>4</v>
      </c>
      <c r="AU472" s="38">
        <v>2.5</v>
      </c>
      <c r="AV472" s="36"/>
      <c r="AW472" s="36"/>
      <c r="AX472" s="36"/>
      <c r="AY472" s="36"/>
      <c r="AZ472" s="38">
        <v>120</v>
      </c>
      <c r="BA472" s="36"/>
      <c r="BB472" s="36"/>
      <c r="BC472" s="38">
        <v>8</v>
      </c>
      <c r="BD472" s="38">
        <v>5.75</v>
      </c>
      <c r="BE472" s="36"/>
      <c r="BF472" s="38">
        <v>4.8</v>
      </c>
      <c r="BG472" s="59">
        <v>24.39</v>
      </c>
      <c r="BH472" s="59">
        <v>3.54</v>
      </c>
      <c r="BI472" s="59">
        <v>0.56531788688072615</v>
      </c>
      <c r="BJ472" s="59">
        <v>9</v>
      </c>
      <c r="BK472" s="38">
        <v>5.1120000000000001</v>
      </c>
      <c r="BL472" s="59">
        <v>2</v>
      </c>
      <c r="BM472" s="36"/>
      <c r="BN472" s="38">
        <v>62</v>
      </c>
      <c r="BO472" s="36"/>
      <c r="BP472" s="39">
        <f t="shared" si="326"/>
        <v>0.46399193548387102</v>
      </c>
      <c r="BQ472" s="37"/>
      <c r="BR472" s="39">
        <f t="shared" si="327"/>
        <v>0.62314598861383164</v>
      </c>
      <c r="BS472" s="39">
        <f t="shared" si="296"/>
        <v>1.2275135420832934</v>
      </c>
      <c r="BT472" s="39">
        <f t="shared" si="309"/>
        <v>30.445665057996788</v>
      </c>
      <c r="BU472" s="37"/>
      <c r="BV472" s="39">
        <f t="shared" si="334"/>
        <v>0.4817283886621665</v>
      </c>
      <c r="BW472" s="39">
        <f t="shared" si="322"/>
        <v>3.1038693564286883</v>
      </c>
      <c r="BX472" s="39">
        <f t="shared" si="335"/>
        <v>0.38466481961789145</v>
      </c>
      <c r="BY472" s="39">
        <f t="shared" si="318"/>
        <v>6.1375947725990994</v>
      </c>
      <c r="BZ472" s="39">
        <f t="shared" si="310"/>
        <v>7.8911932790559876</v>
      </c>
      <c r="CA472" s="39">
        <f t="shared" si="323"/>
        <v>5.2292307462544336</v>
      </c>
      <c r="CB472" s="39">
        <f t="shared" si="324"/>
        <v>2.0458649241997002</v>
      </c>
      <c r="CC472" s="39">
        <f t="shared" si="312"/>
        <v>0.34799395161290325</v>
      </c>
      <c r="CD472" s="37"/>
      <c r="CE472" s="37"/>
      <c r="CF472" s="39">
        <f t="shared" si="313"/>
        <v>13.919758064516131</v>
      </c>
      <c r="CG472" s="39">
        <f>BP472*(12*AO472+AP472)/4.55</f>
        <v>3.2183704360155976</v>
      </c>
      <c r="CH472" s="37"/>
      <c r="CI472" s="39">
        <f t="shared" si="317"/>
        <v>4.0917118069443115</v>
      </c>
      <c r="CJ472" s="39">
        <f t="shared" si="338"/>
        <v>0.11592723916642424</v>
      </c>
      <c r="CK472" s="39">
        <f t="shared" si="314"/>
        <v>4.9377653614408205E-2</v>
      </c>
      <c r="CL472" s="37"/>
      <c r="CM472" s="39">
        <f t="shared" si="315"/>
        <v>0.17447934139366858</v>
      </c>
      <c r="CN472" s="37"/>
      <c r="CO472" s="39">
        <f>0.063495+(0.016949+0.014096)*Wages!P470+1.22592*BR472</f>
        <v>1.2595610194743716</v>
      </c>
      <c r="CP472" s="39"/>
      <c r="CQ472" s="39">
        <f t="shared" si="298"/>
        <v>1.2275135420832934</v>
      </c>
      <c r="CR472" s="39">
        <f t="shared" si="284"/>
        <v>0.4817283886621665</v>
      </c>
      <c r="CS472" s="39">
        <f t="shared" si="284"/>
        <v>3.1038693564286883</v>
      </c>
      <c r="CT472" s="39">
        <f t="shared" si="325"/>
        <v>5.2292307462544336</v>
      </c>
      <c r="CU472" s="39">
        <f t="shared" si="325"/>
        <v>2.0458649241997002</v>
      </c>
      <c r="CV472" s="39">
        <f t="shared" si="325"/>
        <v>0.34799395161290325</v>
      </c>
      <c r="CW472" s="39">
        <f t="shared" si="319"/>
        <v>0.19030919228830651</v>
      </c>
      <c r="CX472" s="39">
        <f t="shared" si="294"/>
        <v>4.0917118069443115</v>
      </c>
      <c r="CY472" s="39">
        <f t="shared" si="328"/>
        <v>7.8911932790559876</v>
      </c>
      <c r="CZ472" s="39">
        <f t="shared" si="329"/>
        <v>0.38466481961789145</v>
      </c>
      <c r="DA472" s="39">
        <v>6.1375677104164668</v>
      </c>
      <c r="DB472" s="39">
        <f t="shared" si="311"/>
        <v>4.8713064092794864</v>
      </c>
      <c r="DC472" s="39">
        <f t="shared" si="330"/>
        <v>6.1375947725990994</v>
      </c>
      <c r="DD472" s="39">
        <f>CG472</f>
        <v>3.2183704360155976</v>
      </c>
      <c r="DE472" s="39">
        <f t="shared" si="316"/>
        <v>4.9377653614408205E-2</v>
      </c>
      <c r="DF472" s="39">
        <v>0.11592723916642425</v>
      </c>
      <c r="DG472" s="39">
        <f t="shared" si="331"/>
        <v>0</v>
      </c>
      <c r="DH472" s="39">
        <f t="shared" si="332"/>
        <v>5.5895012015404353</v>
      </c>
      <c r="DI472" s="39">
        <f t="shared" si="339"/>
        <v>4.7846481145084097</v>
      </c>
      <c r="DJ472" s="37"/>
      <c r="DK472" s="37"/>
      <c r="DL472" s="37"/>
      <c r="DM472" s="39">
        <f t="shared" si="336"/>
        <v>1.3200338972404764</v>
      </c>
      <c r="DN472" s="39"/>
      <c r="DO472" s="39">
        <f t="shared" si="337"/>
        <v>1.3200338972404764</v>
      </c>
      <c r="DP472" s="37"/>
      <c r="DQ472" s="37">
        <f>DO472/'Conversions, Sources &amp; Comments'!E470</f>
        <v>2.8449500870395248</v>
      </c>
    </row>
    <row r="473" spans="1:121">
      <c r="A473" s="42">
        <f t="shared" si="333"/>
        <v>1721</v>
      </c>
      <c r="B473" s="36"/>
      <c r="C473" s="38">
        <v>25.81</v>
      </c>
      <c r="D473" s="38">
        <v>0</v>
      </c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8">
        <v>7.5</v>
      </c>
      <c r="W473" s="36"/>
      <c r="X473" s="36"/>
      <c r="Y473" s="36"/>
      <c r="Z473" s="36"/>
      <c r="AA473" s="36"/>
      <c r="AB473" s="59">
        <v>5.5</v>
      </c>
      <c r="AC473" s="38">
        <v>2</v>
      </c>
      <c r="AD473" s="38">
        <v>6</v>
      </c>
      <c r="AE473" s="38">
        <v>2</v>
      </c>
      <c r="AF473" s="38">
        <v>6</v>
      </c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8">
        <v>29.33</v>
      </c>
      <c r="AT473" s="38">
        <v>4</v>
      </c>
      <c r="AU473" s="38">
        <v>2.5</v>
      </c>
      <c r="AV473" s="36"/>
      <c r="AW473" s="36"/>
      <c r="AX473" s="36"/>
      <c r="AY473" s="36"/>
      <c r="AZ473" s="38">
        <v>120</v>
      </c>
      <c r="BA473" s="36"/>
      <c r="BB473" s="36"/>
      <c r="BC473" s="38">
        <v>8</v>
      </c>
      <c r="BD473" s="38">
        <v>5.75</v>
      </c>
      <c r="BE473" s="36"/>
      <c r="BF473" s="38">
        <v>4.5</v>
      </c>
      <c r="BG473" s="59">
        <v>24.39</v>
      </c>
      <c r="BH473" s="59">
        <v>3.54</v>
      </c>
      <c r="BI473" s="59">
        <v>0.56531788688072615</v>
      </c>
      <c r="BJ473" s="59">
        <v>9</v>
      </c>
      <c r="BK473" s="38">
        <v>5.0552000000000001</v>
      </c>
      <c r="BL473" s="59">
        <v>2</v>
      </c>
      <c r="BM473" s="36"/>
      <c r="BN473" s="38">
        <v>62</v>
      </c>
      <c r="BO473" s="36"/>
      <c r="BP473" s="39">
        <f t="shared" si="326"/>
        <v>0.46399193548387102</v>
      </c>
      <c r="BQ473" s="37"/>
      <c r="BR473" s="39">
        <f t="shared" si="327"/>
        <v>0.50977489591515024</v>
      </c>
      <c r="BS473" s="39">
        <f t="shared" si="296"/>
        <v>1.1507939457030876</v>
      </c>
      <c r="BT473" s="39">
        <f t="shared" si="309"/>
        <v>30.445665057996788</v>
      </c>
      <c r="BU473" s="37"/>
      <c r="BV473" s="39">
        <f t="shared" si="334"/>
        <v>0.4817283886621665</v>
      </c>
      <c r="BW473" s="39">
        <f t="shared" si="322"/>
        <v>3.1038693564286883</v>
      </c>
      <c r="BX473" s="39">
        <f t="shared" si="335"/>
        <v>0.38466481961789145</v>
      </c>
      <c r="BY473" s="39">
        <f t="shared" si="318"/>
        <v>5.6261285415491749</v>
      </c>
      <c r="BZ473" s="39">
        <f t="shared" si="310"/>
        <v>7.8911932790559876</v>
      </c>
      <c r="CA473" s="39">
        <f t="shared" si="323"/>
        <v>5.1711281824071627</v>
      </c>
      <c r="CB473" s="39">
        <f t="shared" si="324"/>
        <v>2.0458649241997002</v>
      </c>
      <c r="CC473" s="39">
        <f t="shared" si="312"/>
        <v>0.34799395161290325</v>
      </c>
      <c r="CD473" s="37"/>
      <c r="CE473" s="37"/>
      <c r="CF473" s="39">
        <f t="shared" si="313"/>
        <v>13.919758064516131</v>
      </c>
      <c r="CG473" s="37"/>
      <c r="CH473" s="37"/>
      <c r="CI473" s="39">
        <f t="shared" si="317"/>
        <v>4.0917118069443115</v>
      </c>
      <c r="CJ473" s="39">
        <f t="shared" si="338"/>
        <v>0.12130381465398582</v>
      </c>
      <c r="CK473" s="39">
        <f t="shared" si="314"/>
        <v>4.9377653614408205E-2</v>
      </c>
      <c r="CL473" s="37"/>
      <c r="CM473" s="39">
        <f t="shared" si="315"/>
        <v>0.17447934139366858</v>
      </c>
      <c r="CN473" s="37"/>
      <c r="CO473" s="39">
        <f>0.063495+(0.016949+0.014096)*Wages!P471+1.22592*BR473</f>
        <v>1.1205771295132041</v>
      </c>
      <c r="CP473" s="39"/>
      <c r="CQ473" s="39">
        <f t="shared" si="298"/>
        <v>1.1507939457030876</v>
      </c>
      <c r="CR473" s="39">
        <f t="shared" si="284"/>
        <v>0.4817283886621665</v>
      </c>
      <c r="CS473" s="39">
        <f t="shared" si="284"/>
        <v>3.1038693564286883</v>
      </c>
      <c r="CT473" s="39">
        <f t="shared" si="325"/>
        <v>5.1711281824071627</v>
      </c>
      <c r="CU473" s="39">
        <f t="shared" si="325"/>
        <v>2.0458649241997002</v>
      </c>
      <c r="CV473" s="39">
        <f t="shared" si="325"/>
        <v>0.34799395161290325</v>
      </c>
      <c r="CW473" s="39">
        <f t="shared" si="319"/>
        <v>0.19030919228830651</v>
      </c>
      <c r="CX473" s="39">
        <f t="shared" si="294"/>
        <v>4.0917118069443115</v>
      </c>
      <c r="CY473" s="39">
        <f t="shared" si="328"/>
        <v>7.8911932790559876</v>
      </c>
      <c r="CZ473" s="39">
        <f t="shared" si="329"/>
        <v>0.38466481961789145</v>
      </c>
      <c r="DA473" s="39">
        <v>6.1375677104164668</v>
      </c>
      <c r="DB473" s="39">
        <f t="shared" si="311"/>
        <v>4.8713064092794864</v>
      </c>
      <c r="DC473" s="39">
        <f t="shared" si="330"/>
        <v>5.6261285415491749</v>
      </c>
      <c r="DD473" s="39">
        <v>3</v>
      </c>
      <c r="DE473" s="39">
        <f t="shared" si="316"/>
        <v>4.9377653614408205E-2</v>
      </c>
      <c r="DF473" s="39">
        <v>0.12130381465398583</v>
      </c>
      <c r="DG473" s="39">
        <f t="shared" si="331"/>
        <v>0</v>
      </c>
      <c r="DH473" s="39">
        <f t="shared" si="332"/>
        <v>5.5895012015404353</v>
      </c>
      <c r="DI473" s="39">
        <f t="shared" si="339"/>
        <v>5.0065547341609573</v>
      </c>
      <c r="DJ473" s="37"/>
      <c r="DK473" s="37"/>
      <c r="DL473" s="37"/>
      <c r="DM473" s="39">
        <f t="shared" si="336"/>
        <v>1.2810781829719726</v>
      </c>
      <c r="DN473" s="39"/>
      <c r="DO473" s="39">
        <f t="shared" si="337"/>
        <v>1.2810781829719726</v>
      </c>
      <c r="DP473" s="37"/>
      <c r="DQ473" s="37">
        <f>DO473/'Conversions, Sources &amp; Comments'!E471</f>
        <v>2.7609923470674302</v>
      </c>
    </row>
    <row r="474" spans="1:121">
      <c r="A474" s="42">
        <f t="shared" si="333"/>
        <v>1722</v>
      </c>
      <c r="B474" s="36"/>
      <c r="C474" s="38">
        <v>28.77</v>
      </c>
      <c r="D474" s="38">
        <v>0</v>
      </c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8">
        <v>7.5</v>
      </c>
      <c r="W474" s="36"/>
      <c r="X474" s="36"/>
      <c r="Y474" s="36"/>
      <c r="Z474" s="36"/>
      <c r="AA474" s="36"/>
      <c r="AB474" s="59">
        <v>5.5</v>
      </c>
      <c r="AC474" s="38">
        <v>2</v>
      </c>
      <c r="AD474" s="38">
        <v>6</v>
      </c>
      <c r="AE474" s="38">
        <v>2</v>
      </c>
      <c r="AF474" s="38">
        <v>6</v>
      </c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8">
        <v>28.58</v>
      </c>
      <c r="AT474" s="38">
        <v>4</v>
      </c>
      <c r="AU474" s="38">
        <v>2.5</v>
      </c>
      <c r="AV474" s="36"/>
      <c r="AW474" s="36"/>
      <c r="AX474" s="36"/>
      <c r="AY474" s="36"/>
      <c r="AZ474" s="38">
        <v>120</v>
      </c>
      <c r="BA474" s="36"/>
      <c r="BB474" s="36"/>
      <c r="BC474" s="38">
        <v>8</v>
      </c>
      <c r="BD474" s="38">
        <v>5.75</v>
      </c>
      <c r="BE474" s="36"/>
      <c r="BF474" s="38">
        <v>4.7</v>
      </c>
      <c r="BG474" s="59">
        <v>24.39</v>
      </c>
      <c r="BH474" s="59">
        <v>3.54</v>
      </c>
      <c r="BI474" s="59">
        <v>0.56531788688072615</v>
      </c>
      <c r="BJ474" s="59">
        <v>9</v>
      </c>
      <c r="BK474" s="38">
        <v>4.9415999999999993</v>
      </c>
      <c r="BL474" s="59">
        <v>2</v>
      </c>
      <c r="BM474" s="36"/>
      <c r="BN474" s="38">
        <v>62</v>
      </c>
      <c r="BO474" s="36"/>
      <c r="BP474" s="39">
        <f t="shared" si="326"/>
        <v>0.46399193548387102</v>
      </c>
      <c r="BQ474" s="37"/>
      <c r="BR474" s="39">
        <f t="shared" si="327"/>
        <v>0.56823803779460968</v>
      </c>
      <c r="BS474" s="39">
        <f t="shared" si="296"/>
        <v>1.2019403432898916</v>
      </c>
      <c r="BT474" s="39">
        <f t="shared" si="309"/>
        <v>30.445665057996788</v>
      </c>
      <c r="BU474" s="37"/>
      <c r="BV474" s="39">
        <f t="shared" si="334"/>
        <v>0.4817283886621665</v>
      </c>
      <c r="BW474" s="39">
        <f t="shared" si="322"/>
        <v>3.1038693564286883</v>
      </c>
      <c r="BX474" s="39">
        <f t="shared" si="335"/>
        <v>0.38466481961789145</v>
      </c>
      <c r="BY474" s="39">
        <f t="shared" si="318"/>
        <v>5.6261285415491749</v>
      </c>
      <c r="BZ474" s="39">
        <f t="shared" si="310"/>
        <v>7.8911932790559876</v>
      </c>
      <c r="CA474" s="39">
        <f t="shared" si="323"/>
        <v>5.054923054712618</v>
      </c>
      <c r="CB474" s="39">
        <f t="shared" si="324"/>
        <v>2.0458649241997002</v>
      </c>
      <c r="CC474" s="39">
        <f t="shared" si="312"/>
        <v>0.34799395161290325</v>
      </c>
      <c r="CD474" s="37"/>
      <c r="CE474" s="37"/>
      <c r="CF474" s="39">
        <f t="shared" si="313"/>
        <v>13.919758064516131</v>
      </c>
      <c r="CG474" s="37"/>
      <c r="CH474" s="37"/>
      <c r="CI474" s="39">
        <f t="shared" si="317"/>
        <v>4.0917118069443115</v>
      </c>
      <c r="CJ474" s="39">
        <f t="shared" si="338"/>
        <v>0.11820194418039259</v>
      </c>
      <c r="CK474" s="39">
        <f t="shared" si="314"/>
        <v>4.9377653614408205E-2</v>
      </c>
      <c r="CL474" s="37"/>
      <c r="CM474" s="39">
        <f t="shared" si="315"/>
        <v>0.17447934139366858</v>
      </c>
      <c r="CN474" s="37"/>
      <c r="CO474" s="39">
        <f>0.063495+(0.016949+0.014096)*Wages!P472+1.22592*BR474</f>
        <v>1.192248264406071</v>
      </c>
      <c r="CP474" s="39"/>
      <c r="CQ474" s="39">
        <f t="shared" si="298"/>
        <v>1.2019403432898916</v>
      </c>
      <c r="CR474" s="39">
        <f t="shared" si="284"/>
        <v>0.4817283886621665</v>
      </c>
      <c r="CS474" s="39">
        <f t="shared" si="284"/>
        <v>3.1038693564286883</v>
      </c>
      <c r="CT474" s="39">
        <f t="shared" si="325"/>
        <v>5.054923054712618</v>
      </c>
      <c r="CU474" s="39">
        <f t="shared" si="325"/>
        <v>2.0458649241997002</v>
      </c>
      <c r="CV474" s="39">
        <f t="shared" si="325"/>
        <v>0.34799395161290325</v>
      </c>
      <c r="CW474" s="39">
        <f t="shared" si="319"/>
        <v>0.19030919228830651</v>
      </c>
      <c r="CX474" s="39">
        <f t="shared" si="294"/>
        <v>4.0917118069443115</v>
      </c>
      <c r="CY474" s="39">
        <f t="shared" si="328"/>
        <v>7.8911932790559876</v>
      </c>
      <c r="CZ474" s="39">
        <f t="shared" si="329"/>
        <v>0.38466481961789145</v>
      </c>
      <c r="DA474" s="39">
        <v>6.1375677104164668</v>
      </c>
      <c r="DB474" s="39">
        <f t="shared" si="311"/>
        <v>4.8713064092794864</v>
      </c>
      <c r="DC474" s="39">
        <f t="shared" si="330"/>
        <v>5.6261285415491749</v>
      </c>
      <c r="DD474" s="39">
        <v>3</v>
      </c>
      <c r="DE474" s="39">
        <f t="shared" si="316"/>
        <v>4.9377653614408205E-2</v>
      </c>
      <c r="DF474" s="39">
        <v>0.11820194418039261</v>
      </c>
      <c r="DG474" s="39">
        <f t="shared" si="331"/>
        <v>0</v>
      </c>
      <c r="DH474" s="39">
        <f t="shared" si="332"/>
        <v>5.5895012015404353</v>
      </c>
      <c r="DI474" s="39">
        <f t="shared" si="339"/>
        <v>4.8785316843614099</v>
      </c>
      <c r="DJ474" s="37"/>
      <c r="DK474" s="37"/>
      <c r="DL474" s="37"/>
      <c r="DM474" s="39">
        <f t="shared" si="336"/>
        <v>1.3020577080868665</v>
      </c>
      <c r="DN474" s="39"/>
      <c r="DO474" s="39">
        <f t="shared" si="337"/>
        <v>1.3020577080868665</v>
      </c>
      <c r="DP474" s="37"/>
      <c r="DQ474" s="37">
        <f>DO474/'Conversions, Sources &amp; Comments'!E472</f>
        <v>2.8062076267102012</v>
      </c>
    </row>
    <row r="475" spans="1:121">
      <c r="A475" s="42">
        <f t="shared" si="333"/>
        <v>1723</v>
      </c>
      <c r="B475" s="36"/>
      <c r="C475" s="38">
        <v>27.99</v>
      </c>
      <c r="D475" s="38">
        <v>0</v>
      </c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8">
        <v>7.5</v>
      </c>
      <c r="W475" s="36"/>
      <c r="X475" s="36"/>
      <c r="Y475" s="36"/>
      <c r="Z475" s="36"/>
      <c r="AA475" s="36"/>
      <c r="AB475" s="59">
        <v>6</v>
      </c>
      <c r="AC475" s="38">
        <v>2</v>
      </c>
      <c r="AD475" s="38">
        <v>6</v>
      </c>
      <c r="AE475" s="38">
        <v>2</v>
      </c>
      <c r="AF475" s="38">
        <v>6</v>
      </c>
      <c r="AG475" s="36"/>
      <c r="AH475" s="36"/>
      <c r="AI475" s="36"/>
      <c r="AJ475" s="36"/>
      <c r="AK475" s="36"/>
      <c r="AL475" s="36"/>
      <c r="AM475" s="36"/>
      <c r="AN475" s="36"/>
      <c r="AO475" s="38">
        <v>2.2200000000000002</v>
      </c>
      <c r="AP475" s="36"/>
      <c r="AQ475" s="36"/>
      <c r="AR475" s="36"/>
      <c r="AS475" s="38">
        <v>28.08</v>
      </c>
      <c r="AT475" s="38">
        <v>4</v>
      </c>
      <c r="AU475" s="38">
        <v>2.5</v>
      </c>
      <c r="AV475" s="36"/>
      <c r="AW475" s="36"/>
      <c r="AX475" s="36"/>
      <c r="AY475" s="36"/>
      <c r="AZ475" s="38">
        <v>120</v>
      </c>
      <c r="BA475" s="36"/>
      <c r="BB475" s="36"/>
      <c r="BC475" s="38">
        <v>8</v>
      </c>
      <c r="BD475" s="38">
        <v>5.75</v>
      </c>
      <c r="BE475" s="36"/>
      <c r="BF475" s="38">
        <v>4.8</v>
      </c>
      <c r="BG475" s="59">
        <v>24.39</v>
      </c>
      <c r="BH475" s="59">
        <v>3.54</v>
      </c>
      <c r="BI475" s="59">
        <v>0.56531788688072615</v>
      </c>
      <c r="BJ475" s="59">
        <v>9</v>
      </c>
      <c r="BK475" s="38">
        <v>5.1120000000000001</v>
      </c>
      <c r="BL475" s="59">
        <v>2</v>
      </c>
      <c r="BM475" s="36"/>
      <c r="BN475" s="38">
        <v>62</v>
      </c>
      <c r="BO475" s="36"/>
      <c r="BP475" s="39">
        <f t="shared" si="326"/>
        <v>0.46399193548387102</v>
      </c>
      <c r="BQ475" s="37"/>
      <c r="BR475" s="39">
        <f t="shared" si="327"/>
        <v>0.55283220986691428</v>
      </c>
      <c r="BS475" s="39">
        <f t="shared" si="296"/>
        <v>1.2275135420832934</v>
      </c>
      <c r="BT475" s="39">
        <f t="shared" ref="BT475:BT506" si="340">BP475*12*AZ475/(24*0.9144)</f>
        <v>30.445665057996788</v>
      </c>
      <c r="BU475" s="37"/>
      <c r="BV475" s="39">
        <f t="shared" si="334"/>
        <v>0.4817283886621665</v>
      </c>
      <c r="BW475" s="39">
        <f t="shared" si="322"/>
        <v>3.1038693564286883</v>
      </c>
      <c r="BX475" s="39">
        <f t="shared" si="335"/>
        <v>0.38466481961789145</v>
      </c>
      <c r="BY475" s="39">
        <f t="shared" si="318"/>
        <v>6.1375947725990994</v>
      </c>
      <c r="BZ475" s="39">
        <f t="shared" ref="BZ475:BZ506" si="341">$BP475*12*$BJ475/(14*0.45359)</f>
        <v>7.8911932790559876</v>
      </c>
      <c r="CA475" s="39">
        <f t="shared" si="323"/>
        <v>5.2292307462544336</v>
      </c>
      <c r="CB475" s="39">
        <f t="shared" si="324"/>
        <v>2.0458649241997002</v>
      </c>
      <c r="CC475" s="39">
        <f t="shared" si="312"/>
        <v>0.34799395161290325</v>
      </c>
      <c r="CD475" s="37"/>
      <c r="CE475" s="37"/>
      <c r="CF475" s="39">
        <f t="shared" si="313"/>
        <v>13.919758064516131</v>
      </c>
      <c r="CG475" s="39">
        <f t="shared" ref="CG475:CG514" si="342">BP475*(12*AO475+AP475)/4.55</f>
        <v>2.7166472881956758</v>
      </c>
      <c r="CH475" s="37"/>
      <c r="CI475" s="39">
        <f t="shared" si="317"/>
        <v>4.0917118069443115</v>
      </c>
      <c r="CJ475" s="39">
        <f t="shared" si="338"/>
        <v>0.11613403053133042</v>
      </c>
      <c r="CK475" s="39">
        <f t="shared" si="314"/>
        <v>4.9377653614408205E-2</v>
      </c>
      <c r="CL475" s="37"/>
      <c r="CM475" s="39">
        <f t="shared" si="315"/>
        <v>0.17447934139366858</v>
      </c>
      <c r="CN475" s="37"/>
      <c r="CO475" s="39">
        <f>0.063495+(0.016949+0.014096)*Wages!P473+1.22592*BR475</f>
        <v>1.1733619518329506</v>
      </c>
      <c r="CP475" s="39"/>
      <c r="CQ475" s="39">
        <f t="shared" si="298"/>
        <v>1.2275135420832934</v>
      </c>
      <c r="CR475" s="39">
        <f t="shared" ref="CR475:CS538" si="343">BV475</f>
        <v>0.4817283886621665</v>
      </c>
      <c r="CS475" s="39">
        <f t="shared" si="343"/>
        <v>3.1038693564286883</v>
      </c>
      <c r="CT475" s="39">
        <f t="shared" si="325"/>
        <v>5.2292307462544336</v>
      </c>
      <c r="CU475" s="39">
        <f t="shared" si="325"/>
        <v>2.0458649241997002</v>
      </c>
      <c r="CV475" s="39">
        <f t="shared" si="325"/>
        <v>0.34799395161290325</v>
      </c>
      <c r="CW475" s="39">
        <f t="shared" si="319"/>
        <v>0.19030919228830651</v>
      </c>
      <c r="CX475" s="39">
        <f t="shared" si="294"/>
        <v>4.0917118069443115</v>
      </c>
      <c r="CY475" s="39">
        <f t="shared" si="328"/>
        <v>7.8911932790559876</v>
      </c>
      <c r="CZ475" s="39">
        <f t="shared" si="329"/>
        <v>0.38466481961789145</v>
      </c>
      <c r="DA475" s="39">
        <v>6.1375677104164668</v>
      </c>
      <c r="DB475" s="39">
        <f t="shared" ref="DB475:DB506" si="344">DB$424*BT475/BT$424</f>
        <v>4.8713064092794864</v>
      </c>
      <c r="DC475" s="39">
        <f t="shared" si="330"/>
        <v>6.1375947725990994</v>
      </c>
      <c r="DD475" s="39">
        <f t="shared" ref="DD475:DD514" si="345">CG475</f>
        <v>2.7166472881956758</v>
      </c>
      <c r="DE475" s="39">
        <f t="shared" si="316"/>
        <v>4.9377653614408205E-2</v>
      </c>
      <c r="DF475" s="39">
        <v>0.11613403053133045</v>
      </c>
      <c r="DG475" s="39">
        <f t="shared" si="331"/>
        <v>0</v>
      </c>
      <c r="DH475" s="39">
        <f t="shared" si="332"/>
        <v>5.5895012015404353</v>
      </c>
      <c r="DI475" s="39">
        <f t="shared" si="339"/>
        <v>4.7931829844950453</v>
      </c>
      <c r="DJ475" s="37"/>
      <c r="DK475" s="37"/>
      <c r="DL475" s="37"/>
      <c r="DM475" s="39">
        <f t="shared" si="336"/>
        <v>1.316889804033311</v>
      </c>
      <c r="DN475" s="39"/>
      <c r="DO475" s="39">
        <f t="shared" si="337"/>
        <v>1.316889804033311</v>
      </c>
      <c r="DP475" s="37"/>
      <c r="DQ475" s="37">
        <f>DO475/'Conversions, Sources &amp; Comments'!E473</f>
        <v>2.8381739063201623</v>
      </c>
    </row>
    <row r="476" spans="1:121">
      <c r="A476" s="42">
        <f t="shared" si="333"/>
        <v>1724</v>
      </c>
      <c r="B476" s="36"/>
      <c r="C476" s="38">
        <v>36.15</v>
      </c>
      <c r="D476" s="38">
        <v>0</v>
      </c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8">
        <v>7.5</v>
      </c>
      <c r="W476" s="36"/>
      <c r="X476" s="36"/>
      <c r="Y476" s="36"/>
      <c r="Z476" s="36"/>
      <c r="AA476" s="36"/>
      <c r="AB476" s="59">
        <v>6</v>
      </c>
      <c r="AC476" s="38">
        <v>2</v>
      </c>
      <c r="AD476" s="38">
        <v>6</v>
      </c>
      <c r="AE476" s="38">
        <v>2</v>
      </c>
      <c r="AF476" s="38">
        <v>6</v>
      </c>
      <c r="AG476" s="36"/>
      <c r="AH476" s="36"/>
      <c r="AI476" s="36"/>
      <c r="AJ476" s="36"/>
      <c r="AK476" s="36"/>
      <c r="AL476" s="36"/>
      <c r="AM476" s="36"/>
      <c r="AN476" s="36"/>
      <c r="AO476" s="38">
        <v>2.25</v>
      </c>
      <c r="AP476" s="36"/>
      <c r="AQ476" s="36"/>
      <c r="AR476" s="36"/>
      <c r="AS476" s="38">
        <v>28.4</v>
      </c>
      <c r="AT476" s="38">
        <v>4</v>
      </c>
      <c r="AU476" s="38">
        <v>2.5</v>
      </c>
      <c r="AV476" s="36"/>
      <c r="AW476" s="36"/>
      <c r="AX476" s="36"/>
      <c r="AY476" s="36"/>
      <c r="AZ476" s="38">
        <v>120</v>
      </c>
      <c r="BA476" s="36"/>
      <c r="BB476" s="36"/>
      <c r="BC476" s="38">
        <v>8</v>
      </c>
      <c r="BD476" s="38">
        <v>5.75</v>
      </c>
      <c r="BE476" s="36"/>
      <c r="BF476" s="38">
        <v>5.4</v>
      </c>
      <c r="BG476" s="59">
        <v>24.39</v>
      </c>
      <c r="BH476" s="59">
        <v>3.54</v>
      </c>
      <c r="BI476" s="59">
        <v>0.56531788688072615</v>
      </c>
      <c r="BJ476" s="59">
        <v>9</v>
      </c>
      <c r="BK476" s="38">
        <v>5.0552000000000001</v>
      </c>
      <c r="BL476" s="59">
        <v>2</v>
      </c>
      <c r="BM476" s="36"/>
      <c r="BN476" s="38">
        <v>62</v>
      </c>
      <c r="BO476" s="36"/>
      <c r="BP476" s="39">
        <f t="shared" si="326"/>
        <v>0.46399193548387102</v>
      </c>
      <c r="BQ476" s="37"/>
      <c r="BR476" s="39">
        <f t="shared" si="327"/>
        <v>0.71400087126434264</v>
      </c>
      <c r="BS476" s="39">
        <f t="shared" si="296"/>
        <v>1.3809527348437054</v>
      </c>
      <c r="BT476" s="39">
        <f t="shared" si="340"/>
        <v>30.445665057996788</v>
      </c>
      <c r="BU476" s="37"/>
      <c r="BV476" s="39">
        <f t="shared" si="334"/>
        <v>0.4817283886621665</v>
      </c>
      <c r="BW476" s="39">
        <f t="shared" si="322"/>
        <v>3.1038693564286883</v>
      </c>
      <c r="BX476" s="39">
        <f t="shared" si="335"/>
        <v>0.38466481961789145</v>
      </c>
      <c r="BY476" s="39">
        <f t="shared" si="318"/>
        <v>6.1375947725990994</v>
      </c>
      <c r="BZ476" s="39">
        <f t="shared" si="341"/>
        <v>7.8911932790559876</v>
      </c>
      <c r="CA476" s="39">
        <f t="shared" si="323"/>
        <v>5.1711281824071627</v>
      </c>
      <c r="CB476" s="39">
        <f t="shared" si="324"/>
        <v>2.0458649241997002</v>
      </c>
      <c r="CC476" s="39">
        <f t="shared" si="312"/>
        <v>0.34799395161290325</v>
      </c>
      <c r="CD476" s="37"/>
      <c r="CE476" s="37"/>
      <c r="CF476" s="39">
        <f t="shared" si="313"/>
        <v>13.919758064516131</v>
      </c>
      <c r="CG476" s="39">
        <f t="shared" si="342"/>
        <v>2.7533587380361579</v>
      </c>
      <c r="CH476" s="37"/>
      <c r="CI476" s="39">
        <f t="shared" si="317"/>
        <v>4.0917118069443115</v>
      </c>
      <c r="CJ476" s="39">
        <f t="shared" si="338"/>
        <v>0.11745749526673022</v>
      </c>
      <c r="CK476" s="39">
        <f t="shared" si="314"/>
        <v>4.9377653614408205E-2</v>
      </c>
      <c r="CL476" s="37"/>
      <c r="CM476" s="39">
        <f t="shared" si="315"/>
        <v>0.17447934139366858</v>
      </c>
      <c r="CN476" s="37"/>
      <c r="CO476" s="39">
        <f>0.063495+(0.016949+0.014096)*Wages!P474+1.22592*BR476</f>
        <v>1.370941837213286</v>
      </c>
      <c r="CP476" s="39"/>
      <c r="CQ476" s="39">
        <f t="shared" si="298"/>
        <v>1.3809527348437054</v>
      </c>
      <c r="CR476" s="39">
        <f t="shared" si="343"/>
        <v>0.4817283886621665</v>
      </c>
      <c r="CS476" s="39">
        <f t="shared" si="343"/>
        <v>3.1038693564286883</v>
      </c>
      <c r="CT476" s="39">
        <f t="shared" si="325"/>
        <v>5.1711281824071627</v>
      </c>
      <c r="CU476" s="39">
        <f t="shared" si="325"/>
        <v>2.0458649241997002</v>
      </c>
      <c r="CV476" s="39">
        <f t="shared" si="325"/>
        <v>0.34799395161290325</v>
      </c>
      <c r="CW476" s="39">
        <f t="shared" si="319"/>
        <v>0.19030919228830651</v>
      </c>
      <c r="CX476" s="39">
        <f t="shared" si="294"/>
        <v>4.0917118069443115</v>
      </c>
      <c r="CY476" s="39">
        <f t="shared" si="328"/>
        <v>7.8911932790559876</v>
      </c>
      <c r="CZ476" s="39">
        <f t="shared" si="329"/>
        <v>0.38466481961789145</v>
      </c>
      <c r="DA476" s="39">
        <v>6.1375677104164668</v>
      </c>
      <c r="DB476" s="39">
        <f t="shared" si="344"/>
        <v>4.8713064092794864</v>
      </c>
      <c r="DC476" s="39">
        <f t="shared" si="330"/>
        <v>6.1375947725990994</v>
      </c>
      <c r="DD476" s="39">
        <f t="shared" si="345"/>
        <v>2.7533587380361579</v>
      </c>
      <c r="DE476" s="39">
        <f t="shared" si="316"/>
        <v>4.9377653614408205E-2</v>
      </c>
      <c r="DF476" s="39">
        <v>0.11745749526673023</v>
      </c>
      <c r="DG476" s="39">
        <f t="shared" si="331"/>
        <v>0</v>
      </c>
      <c r="DH476" s="39">
        <f t="shared" si="332"/>
        <v>5.5895012015404353</v>
      </c>
      <c r="DI476" s="39">
        <f t="shared" si="339"/>
        <v>4.8478061524095191</v>
      </c>
      <c r="DJ476" s="37"/>
      <c r="DK476" s="37"/>
      <c r="DL476" s="37"/>
      <c r="DM476" s="39">
        <f t="shared" si="336"/>
        <v>1.3836994843720887</v>
      </c>
      <c r="DN476" s="39"/>
      <c r="DO476" s="39">
        <f t="shared" si="337"/>
        <v>1.3836994843720887</v>
      </c>
      <c r="DP476" s="37"/>
      <c r="DQ476" s="37">
        <f>DO476/'Conversions, Sources &amp; Comments'!E474</f>
        <v>2.9821627889482745</v>
      </c>
    </row>
    <row r="477" spans="1:121">
      <c r="A477" s="42">
        <f t="shared" si="333"/>
        <v>1725</v>
      </c>
      <c r="B477" s="36"/>
      <c r="C477" s="38">
        <v>38.07</v>
      </c>
      <c r="D477" s="38">
        <v>0</v>
      </c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8">
        <v>7.5</v>
      </c>
      <c r="W477" s="36"/>
      <c r="X477" s="36"/>
      <c r="Y477" s="36"/>
      <c r="Z477" s="36"/>
      <c r="AA477" s="36"/>
      <c r="AB477" s="59">
        <v>6</v>
      </c>
      <c r="AC477" s="38">
        <v>2</v>
      </c>
      <c r="AD477" s="38">
        <v>6</v>
      </c>
      <c r="AE477" s="38">
        <v>2</v>
      </c>
      <c r="AF477" s="38">
        <v>6</v>
      </c>
      <c r="AG477" s="36"/>
      <c r="AH477" s="36"/>
      <c r="AI477" s="36"/>
      <c r="AJ477" s="36"/>
      <c r="AK477" s="36"/>
      <c r="AL477" s="36"/>
      <c r="AM477" s="36"/>
      <c r="AN477" s="36"/>
      <c r="AO477" s="38">
        <v>2.36</v>
      </c>
      <c r="AP477" s="36"/>
      <c r="AQ477" s="36"/>
      <c r="AR477" s="36"/>
      <c r="AS477" s="38">
        <v>31.03</v>
      </c>
      <c r="AT477" s="38">
        <v>4</v>
      </c>
      <c r="AU477" s="38">
        <v>2.5</v>
      </c>
      <c r="AV477" s="36"/>
      <c r="AW477" s="36"/>
      <c r="AX477" s="36"/>
      <c r="AY477" s="36"/>
      <c r="AZ477" s="38">
        <v>120</v>
      </c>
      <c r="BA477" s="36"/>
      <c r="BB477" s="36"/>
      <c r="BC477" s="38">
        <v>8</v>
      </c>
      <c r="BD477" s="38">
        <v>5.75</v>
      </c>
      <c r="BE477" s="36"/>
      <c r="BF477" s="38">
        <v>6</v>
      </c>
      <c r="BG477" s="59">
        <v>24.39</v>
      </c>
      <c r="BH477" s="59">
        <v>3.54</v>
      </c>
      <c r="BI477" s="59">
        <v>0.56531788688072615</v>
      </c>
      <c r="BJ477" s="59">
        <v>9</v>
      </c>
      <c r="BK477" s="38">
        <v>5.3959999999999999</v>
      </c>
      <c r="BL477" s="59">
        <v>2</v>
      </c>
      <c r="BM477" s="36"/>
      <c r="BN477" s="38">
        <v>62</v>
      </c>
      <c r="BO477" s="36"/>
      <c r="BP477" s="39">
        <f t="shared" si="326"/>
        <v>0.46399193548387102</v>
      </c>
      <c r="BQ477" s="37"/>
      <c r="BR477" s="39">
        <f t="shared" si="327"/>
        <v>0.75192290924020821</v>
      </c>
      <c r="BS477" s="39">
        <f t="shared" si="296"/>
        <v>1.5343919276041167</v>
      </c>
      <c r="BT477" s="39">
        <f t="shared" si="340"/>
        <v>30.445665057996788</v>
      </c>
      <c r="BU477" s="37"/>
      <c r="BV477" s="39">
        <f t="shared" si="334"/>
        <v>0.4817283886621665</v>
      </c>
      <c r="BW477" s="39">
        <f t="shared" si="322"/>
        <v>3.1038693564286883</v>
      </c>
      <c r="BX477" s="39">
        <f t="shared" si="335"/>
        <v>0.38466481961789145</v>
      </c>
      <c r="BY477" s="39">
        <f t="shared" si="318"/>
        <v>6.1375947725990994</v>
      </c>
      <c r="BZ477" s="39">
        <f t="shared" si="341"/>
        <v>7.8911932790559876</v>
      </c>
      <c r="CA477" s="39">
        <f t="shared" si="323"/>
        <v>5.5197435654907911</v>
      </c>
      <c r="CB477" s="39">
        <f t="shared" si="324"/>
        <v>2.0458649241997002</v>
      </c>
      <c r="CC477" s="39">
        <f t="shared" si="312"/>
        <v>0.34799395161290325</v>
      </c>
      <c r="CD477" s="37"/>
      <c r="CE477" s="37"/>
      <c r="CF477" s="39">
        <f t="shared" si="313"/>
        <v>13.919758064516131</v>
      </c>
      <c r="CG477" s="39">
        <f t="shared" si="342"/>
        <v>2.8879673874512588</v>
      </c>
      <c r="CH477" s="37"/>
      <c r="CI477" s="39">
        <f t="shared" si="317"/>
        <v>4.0917118069443115</v>
      </c>
      <c r="CJ477" s="39">
        <f t="shared" si="338"/>
        <v>0.12833472106079716</v>
      </c>
      <c r="CK477" s="39">
        <f t="shared" si="314"/>
        <v>4.9377653614408205E-2</v>
      </c>
      <c r="CL477" s="37"/>
      <c r="CM477" s="39">
        <f t="shared" si="315"/>
        <v>0.17447934139366858</v>
      </c>
      <c r="CN477" s="37"/>
      <c r="CO477" s="39">
        <f>0.063495+(0.016949+0.014096)*Wages!P475+1.22592*BR477</f>
        <v>1.4174312220086591</v>
      </c>
      <c r="CP477" s="39"/>
      <c r="CQ477" s="39">
        <f t="shared" si="298"/>
        <v>1.5343919276041167</v>
      </c>
      <c r="CR477" s="39">
        <f t="shared" si="343"/>
        <v>0.4817283886621665</v>
      </c>
      <c r="CS477" s="39">
        <f t="shared" si="343"/>
        <v>3.1038693564286883</v>
      </c>
      <c r="CT477" s="39">
        <f t="shared" si="325"/>
        <v>5.5197435654907911</v>
      </c>
      <c r="CU477" s="39">
        <f t="shared" si="325"/>
        <v>2.0458649241997002</v>
      </c>
      <c r="CV477" s="39">
        <f t="shared" si="325"/>
        <v>0.34799395161290325</v>
      </c>
      <c r="CW477" s="39">
        <f t="shared" si="319"/>
        <v>0.19030919228830651</v>
      </c>
      <c r="CX477" s="39">
        <f t="shared" si="294"/>
        <v>4.0917118069443115</v>
      </c>
      <c r="CY477" s="39">
        <f t="shared" si="328"/>
        <v>7.8911932790559876</v>
      </c>
      <c r="CZ477" s="39">
        <f t="shared" si="329"/>
        <v>0.38466481961789145</v>
      </c>
      <c r="DA477" s="39">
        <v>6.1375677104164668</v>
      </c>
      <c r="DB477" s="39">
        <f t="shared" si="344"/>
        <v>4.8713064092794864</v>
      </c>
      <c r="DC477" s="39">
        <f t="shared" si="330"/>
        <v>6.1375947725990994</v>
      </c>
      <c r="DD477" s="39">
        <f t="shared" si="345"/>
        <v>2.8879673874512588</v>
      </c>
      <c r="DE477" s="39">
        <f t="shared" si="316"/>
        <v>4.9377653614408205E-2</v>
      </c>
      <c r="DF477" s="39">
        <v>0.12833472106079716</v>
      </c>
      <c r="DG477" s="39">
        <f t="shared" si="331"/>
        <v>0</v>
      </c>
      <c r="DH477" s="39">
        <f t="shared" si="332"/>
        <v>5.5895012015404353</v>
      </c>
      <c r="DI477" s="39">
        <f t="shared" si="339"/>
        <v>5.2967403137065983</v>
      </c>
      <c r="DJ477" s="37"/>
      <c r="DK477" s="37"/>
      <c r="DL477" s="37"/>
      <c r="DM477" s="39">
        <f t="shared" si="336"/>
        <v>1.4562201154632659</v>
      </c>
      <c r="DN477" s="39"/>
      <c r="DO477" s="39">
        <f t="shared" si="337"/>
        <v>1.4562201154632659</v>
      </c>
      <c r="DP477" s="37"/>
      <c r="DQ477" s="37">
        <f>DO477/'Conversions, Sources &amp; Comments'!E475</f>
        <v>3.1384599690179011</v>
      </c>
    </row>
    <row r="478" spans="1:121">
      <c r="A478" s="42">
        <f t="shared" si="333"/>
        <v>1726</v>
      </c>
      <c r="B478" s="36"/>
      <c r="C478" s="38">
        <v>29.55</v>
      </c>
      <c r="D478" s="38">
        <v>0</v>
      </c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8">
        <v>7.5</v>
      </c>
      <c r="W478" s="36"/>
      <c r="X478" s="36"/>
      <c r="Y478" s="36"/>
      <c r="Z478" s="36"/>
      <c r="AA478" s="36"/>
      <c r="AB478" s="59">
        <v>6.333333333333333</v>
      </c>
      <c r="AC478" s="38">
        <v>2</v>
      </c>
      <c r="AD478" s="38">
        <v>6</v>
      </c>
      <c r="AE478" s="38">
        <v>2</v>
      </c>
      <c r="AF478" s="38">
        <v>6</v>
      </c>
      <c r="AG478" s="36"/>
      <c r="AH478" s="36"/>
      <c r="AI478" s="36"/>
      <c r="AJ478" s="36"/>
      <c r="AK478" s="36"/>
      <c r="AL478" s="36"/>
      <c r="AM478" s="36"/>
      <c r="AN478" s="36"/>
      <c r="AO478" s="38">
        <v>2.5</v>
      </c>
      <c r="AP478" s="36"/>
      <c r="AQ478" s="36"/>
      <c r="AR478" s="36"/>
      <c r="AS478" s="38">
        <v>28.63</v>
      </c>
      <c r="AT478" s="38">
        <v>4</v>
      </c>
      <c r="AU478" s="38">
        <v>2.5</v>
      </c>
      <c r="AV478" s="36"/>
      <c r="AW478" s="36"/>
      <c r="AX478" s="36"/>
      <c r="AY478" s="36"/>
      <c r="AZ478" s="38">
        <v>120</v>
      </c>
      <c r="BA478" s="36"/>
      <c r="BB478" s="36"/>
      <c r="BC478" s="38">
        <v>8</v>
      </c>
      <c r="BD478" s="38">
        <v>5.75</v>
      </c>
      <c r="BE478" s="36"/>
      <c r="BF478" s="38">
        <v>5.0999999999999996</v>
      </c>
      <c r="BG478" s="59">
        <v>24.39</v>
      </c>
      <c r="BH478" s="59">
        <v>3.54</v>
      </c>
      <c r="BI478" s="59">
        <v>0.56531788688072615</v>
      </c>
      <c r="BJ478" s="59">
        <v>9</v>
      </c>
      <c r="BK478" s="38">
        <v>5.5095999999999989</v>
      </c>
      <c r="BL478" s="59">
        <v>2</v>
      </c>
      <c r="BM478" s="36"/>
      <c r="BN478" s="38">
        <v>62</v>
      </c>
      <c r="BO478" s="36"/>
      <c r="BP478" s="39">
        <f t="shared" si="326"/>
        <v>0.46399193548387102</v>
      </c>
      <c r="BQ478" s="37"/>
      <c r="BR478" s="39">
        <f t="shared" si="327"/>
        <v>0.58364386572230498</v>
      </c>
      <c r="BS478" s="39">
        <f t="shared" si="296"/>
        <v>1.3042331384634991</v>
      </c>
      <c r="BT478" s="39">
        <f t="shared" si="340"/>
        <v>30.445665057996788</v>
      </c>
      <c r="BU478" s="37"/>
      <c r="BV478" s="39">
        <f t="shared" si="334"/>
        <v>0.4817283886621665</v>
      </c>
      <c r="BW478" s="39">
        <f t="shared" si="322"/>
        <v>3.1038693564286883</v>
      </c>
      <c r="BX478" s="39">
        <f t="shared" si="335"/>
        <v>0.38466481961789145</v>
      </c>
      <c r="BY478" s="39">
        <f t="shared" si="318"/>
        <v>6.4785722599657172</v>
      </c>
      <c r="BZ478" s="39">
        <f t="shared" si="341"/>
        <v>7.8911932790559876</v>
      </c>
      <c r="CA478" s="39">
        <f t="shared" si="323"/>
        <v>5.635948693185334</v>
      </c>
      <c r="CB478" s="39">
        <f t="shared" si="324"/>
        <v>2.0458649241997002</v>
      </c>
      <c r="CC478" s="39">
        <f t="shared" si="312"/>
        <v>0.34799395161290325</v>
      </c>
      <c r="CD478" s="37"/>
      <c r="CE478" s="37"/>
      <c r="CF478" s="39">
        <f t="shared" si="313"/>
        <v>13.919758064516131</v>
      </c>
      <c r="CG478" s="39">
        <f t="shared" si="342"/>
        <v>3.0592874867068423</v>
      </c>
      <c r="CH478" s="37"/>
      <c r="CI478" s="39">
        <f t="shared" si="317"/>
        <v>4.0917118069443115</v>
      </c>
      <c r="CJ478" s="39">
        <f t="shared" si="338"/>
        <v>0.11840873554529881</v>
      </c>
      <c r="CK478" s="39">
        <f t="shared" si="314"/>
        <v>4.9377653614408205E-2</v>
      </c>
      <c r="CL478" s="37"/>
      <c r="CM478" s="39">
        <f t="shared" si="315"/>
        <v>0.17447934139366858</v>
      </c>
      <c r="CN478" s="37"/>
      <c r="CO478" s="39">
        <f>0.063495+(0.016949+0.014096)*Wages!P476+1.22592*BR478</f>
        <v>1.2111345769791912</v>
      </c>
      <c r="CP478" s="39"/>
      <c r="CQ478" s="39">
        <f t="shared" si="298"/>
        <v>1.3042331384634991</v>
      </c>
      <c r="CR478" s="39">
        <f t="shared" si="343"/>
        <v>0.4817283886621665</v>
      </c>
      <c r="CS478" s="39">
        <f t="shared" si="343"/>
        <v>3.1038693564286883</v>
      </c>
      <c r="CT478" s="39">
        <f t="shared" si="325"/>
        <v>5.635948693185334</v>
      </c>
      <c r="CU478" s="39">
        <f t="shared" si="325"/>
        <v>2.0458649241997002</v>
      </c>
      <c r="CV478" s="39">
        <f t="shared" si="325"/>
        <v>0.34799395161290325</v>
      </c>
      <c r="CW478" s="39">
        <f t="shared" si="319"/>
        <v>0.19030919228830651</v>
      </c>
      <c r="CX478" s="39">
        <f t="shared" si="294"/>
        <v>4.0917118069443115</v>
      </c>
      <c r="CY478" s="39">
        <f t="shared" si="328"/>
        <v>7.8911932790559876</v>
      </c>
      <c r="CZ478" s="39">
        <f t="shared" si="329"/>
        <v>0.38466481961789145</v>
      </c>
      <c r="DA478" s="39">
        <v>6.1375677104164668</v>
      </c>
      <c r="DB478" s="39">
        <f t="shared" si="344"/>
        <v>4.8713064092794864</v>
      </c>
      <c r="DC478" s="39">
        <f t="shared" si="330"/>
        <v>6.4785722599657172</v>
      </c>
      <c r="DD478" s="39">
        <f t="shared" si="345"/>
        <v>3.0592874867068423</v>
      </c>
      <c r="DE478" s="39">
        <f t="shared" si="316"/>
        <v>4.9377653614408205E-2</v>
      </c>
      <c r="DF478" s="39">
        <v>0.11840873554529882</v>
      </c>
      <c r="DG478" s="39">
        <f t="shared" si="331"/>
        <v>0</v>
      </c>
      <c r="DH478" s="39">
        <f t="shared" si="332"/>
        <v>5.5895012015404353</v>
      </c>
      <c r="DI478" s="39">
        <f t="shared" si="339"/>
        <v>4.8870665543480465</v>
      </c>
      <c r="DJ478" s="37"/>
      <c r="DK478" s="37"/>
      <c r="DL478" s="37"/>
      <c r="DM478" s="39">
        <f t="shared" si="336"/>
        <v>1.3599251421737302</v>
      </c>
      <c r="DN478" s="39"/>
      <c r="DO478" s="39">
        <f t="shared" si="337"/>
        <v>1.3599251421737302</v>
      </c>
      <c r="DP478" s="37"/>
      <c r="DQ478" s="37">
        <f>DO478/'Conversions, Sources &amp; Comments'!E476</f>
        <v>2.9309240919360828</v>
      </c>
    </row>
    <row r="479" spans="1:121">
      <c r="A479" s="42">
        <f t="shared" si="333"/>
        <v>1727</v>
      </c>
      <c r="B479" s="36"/>
      <c r="C479" s="38">
        <v>44.37</v>
      </c>
      <c r="D479" s="38">
        <v>0</v>
      </c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8">
        <v>7.5</v>
      </c>
      <c r="W479" s="36"/>
      <c r="X479" s="36"/>
      <c r="Y479" s="36"/>
      <c r="Z479" s="36"/>
      <c r="AA479" s="36"/>
      <c r="AB479" s="59">
        <v>7</v>
      </c>
      <c r="AC479" s="38">
        <v>2</v>
      </c>
      <c r="AD479" s="38">
        <v>6</v>
      </c>
      <c r="AE479" s="38">
        <v>2</v>
      </c>
      <c r="AF479" s="38">
        <v>6</v>
      </c>
      <c r="AG479" s="38">
        <v>16</v>
      </c>
      <c r="AH479" s="38">
        <v>0</v>
      </c>
      <c r="AI479" s="38">
        <v>16</v>
      </c>
      <c r="AJ479" s="38">
        <v>0</v>
      </c>
      <c r="AK479" s="36"/>
      <c r="AL479" s="36"/>
      <c r="AM479" s="36"/>
      <c r="AN479" s="36"/>
      <c r="AO479" s="38">
        <v>2.52</v>
      </c>
      <c r="AP479" s="36"/>
      <c r="AQ479" s="36"/>
      <c r="AR479" s="36"/>
      <c r="AS479" s="38">
        <v>28.45</v>
      </c>
      <c r="AT479" s="38">
        <v>4</v>
      </c>
      <c r="AU479" s="38">
        <v>2.5</v>
      </c>
      <c r="AV479" s="36"/>
      <c r="AW479" s="36"/>
      <c r="AX479" s="36"/>
      <c r="AY479" s="36"/>
      <c r="AZ479" s="38">
        <v>120</v>
      </c>
      <c r="BA479" s="36"/>
      <c r="BB479" s="36"/>
      <c r="BC479" s="38">
        <v>8</v>
      </c>
      <c r="BD479" s="38">
        <v>5.75</v>
      </c>
      <c r="BE479" s="36"/>
      <c r="BF479" s="38">
        <v>6.5</v>
      </c>
      <c r="BG479" s="59">
        <v>24.39</v>
      </c>
      <c r="BH479" s="59">
        <v>3.54</v>
      </c>
      <c r="BI479" s="59">
        <v>0.56531788688072615</v>
      </c>
      <c r="BJ479" s="59">
        <v>8.5</v>
      </c>
      <c r="BK479" s="38">
        <v>5.3391999999999999</v>
      </c>
      <c r="BL479" s="59">
        <v>2</v>
      </c>
      <c r="BM479" s="36"/>
      <c r="BN479" s="38">
        <v>62</v>
      </c>
      <c r="BO479" s="36"/>
      <c r="BP479" s="39">
        <f t="shared" si="326"/>
        <v>0.46399193548387102</v>
      </c>
      <c r="BQ479" s="37"/>
      <c r="BR479" s="39">
        <f t="shared" si="327"/>
        <v>0.87635459634851676</v>
      </c>
      <c r="BS479" s="39">
        <f t="shared" si="296"/>
        <v>1.6622579215711264</v>
      </c>
      <c r="BT479" s="39">
        <f t="shared" si="340"/>
        <v>30.445665057996788</v>
      </c>
      <c r="BU479" s="37"/>
      <c r="BV479" s="39">
        <f t="shared" si="334"/>
        <v>0.4817283886621665</v>
      </c>
      <c r="BW479" s="39">
        <f t="shared" si="322"/>
        <v>3.1038693564286883</v>
      </c>
      <c r="BX479" s="39">
        <f t="shared" si="335"/>
        <v>0.38466481961789145</v>
      </c>
      <c r="BY479" s="39">
        <f t="shared" si="318"/>
        <v>7.1605272346989501</v>
      </c>
      <c r="BZ479" s="39">
        <f t="shared" si="341"/>
        <v>7.4527936524417653</v>
      </c>
      <c r="CA479" s="39">
        <f t="shared" si="323"/>
        <v>5.4616410016435202</v>
      </c>
      <c r="CB479" s="39">
        <f t="shared" si="324"/>
        <v>2.0458649241997002</v>
      </c>
      <c r="CC479" s="39">
        <f t="shared" si="312"/>
        <v>0.34799395161290325</v>
      </c>
      <c r="CD479" s="37"/>
      <c r="CE479" s="37"/>
      <c r="CF479" s="39">
        <f t="shared" si="313"/>
        <v>13.919758064516131</v>
      </c>
      <c r="CG479" s="39">
        <f t="shared" si="342"/>
        <v>3.0837617866004972</v>
      </c>
      <c r="CH479" s="37"/>
      <c r="CI479" s="39">
        <f t="shared" si="317"/>
        <v>4.0917118069443115</v>
      </c>
      <c r="CJ479" s="39">
        <f t="shared" si="338"/>
        <v>0.11766428663163643</v>
      </c>
      <c r="CK479" s="39">
        <f t="shared" si="314"/>
        <v>4.9377653614408205E-2</v>
      </c>
      <c r="CL479" s="39">
        <f>BP479*(12*AG479+AH479)/100</f>
        <v>0.89086451612903228</v>
      </c>
      <c r="CM479" s="39">
        <f t="shared" si="315"/>
        <v>0.17447934139366858</v>
      </c>
      <c r="CN479" s="37"/>
      <c r="CO479" s="39">
        <f>0.063495+(0.016949+0.014096)*Wages!P477+1.22592*BR479</f>
        <v>1.5699745158684766</v>
      </c>
      <c r="CP479" s="39"/>
      <c r="CQ479" s="39">
        <f t="shared" si="298"/>
        <v>1.6622579215711264</v>
      </c>
      <c r="CR479" s="39">
        <f t="shared" si="343"/>
        <v>0.4817283886621665</v>
      </c>
      <c r="CS479" s="39">
        <f t="shared" si="343"/>
        <v>3.1038693564286883</v>
      </c>
      <c r="CT479" s="39">
        <f t="shared" si="325"/>
        <v>5.4616410016435202</v>
      </c>
      <c r="CU479" s="39">
        <f t="shared" si="325"/>
        <v>2.0458649241997002</v>
      </c>
      <c r="CV479" s="39">
        <f t="shared" si="325"/>
        <v>0.34799395161290325</v>
      </c>
      <c r="CW479" s="39">
        <f t="shared" si="319"/>
        <v>0.19030919228830651</v>
      </c>
      <c r="CX479" s="39">
        <f t="shared" si="294"/>
        <v>4.0917118069443115</v>
      </c>
      <c r="CY479" s="39">
        <f t="shared" si="328"/>
        <v>7.4527936524417653</v>
      </c>
      <c r="CZ479" s="39">
        <f t="shared" si="329"/>
        <v>0.38466481961789145</v>
      </c>
      <c r="DA479" s="39">
        <v>6.1375677104164668</v>
      </c>
      <c r="DB479" s="39">
        <f t="shared" si="344"/>
        <v>4.8713064092794864</v>
      </c>
      <c r="DC479" s="39">
        <f t="shared" si="330"/>
        <v>7.1605272346989501</v>
      </c>
      <c r="DD479" s="39">
        <f t="shared" si="345"/>
        <v>3.0837617866004972</v>
      </c>
      <c r="DE479" s="39">
        <f t="shared" si="316"/>
        <v>4.9377653614408205E-2</v>
      </c>
      <c r="DF479" s="39">
        <v>0.11766428663163644</v>
      </c>
      <c r="DG479" s="39">
        <f t="shared" si="331"/>
        <v>0.89086451612903228</v>
      </c>
      <c r="DH479" s="39">
        <f t="shared" si="332"/>
        <v>5.5895012015404353</v>
      </c>
      <c r="DI479" s="39">
        <f t="shared" si="339"/>
        <v>4.8563410223961556</v>
      </c>
      <c r="DJ479" s="37"/>
      <c r="DK479" s="37"/>
      <c r="DL479" s="37"/>
      <c r="DM479" s="39">
        <f t="shared" si="336"/>
        <v>1.5192190291962751</v>
      </c>
      <c r="DN479" s="39"/>
      <c r="DO479" s="39">
        <f t="shared" si="337"/>
        <v>1.5192190291962751</v>
      </c>
      <c r="DP479" s="37"/>
      <c r="DQ479" s="37">
        <f>DO479/'Conversions, Sources &amp; Comments'!E477</f>
        <v>3.2742358498364141</v>
      </c>
    </row>
    <row r="480" spans="1:121">
      <c r="A480" s="42">
        <f t="shared" si="333"/>
        <v>1728</v>
      </c>
      <c r="B480" s="36"/>
      <c r="C480" s="38">
        <v>44.22</v>
      </c>
      <c r="D480" s="38">
        <v>0</v>
      </c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8">
        <v>7.5</v>
      </c>
      <c r="W480" s="36"/>
      <c r="X480" s="36"/>
      <c r="Y480" s="36"/>
      <c r="Z480" s="36"/>
      <c r="AA480" s="36"/>
      <c r="AB480" s="59">
        <v>6.75</v>
      </c>
      <c r="AC480" s="38">
        <v>2</v>
      </c>
      <c r="AD480" s="38">
        <v>6</v>
      </c>
      <c r="AE480" s="38">
        <v>2</v>
      </c>
      <c r="AF480" s="38">
        <v>6</v>
      </c>
      <c r="AG480" s="36"/>
      <c r="AH480" s="36"/>
      <c r="AI480" s="36"/>
      <c r="AJ480" s="36"/>
      <c r="AK480" s="36"/>
      <c r="AL480" s="36"/>
      <c r="AM480" s="36"/>
      <c r="AN480" s="36"/>
      <c r="AO480" s="38">
        <v>2.46</v>
      </c>
      <c r="AP480" s="36"/>
      <c r="AQ480" s="36"/>
      <c r="AR480" s="36"/>
      <c r="AS480" s="38">
        <v>30.6</v>
      </c>
      <c r="AT480" s="38">
        <v>4</v>
      </c>
      <c r="AU480" s="38">
        <v>2.5</v>
      </c>
      <c r="AV480" s="36"/>
      <c r="AW480" s="36"/>
      <c r="AX480" s="36"/>
      <c r="AY480" s="36"/>
      <c r="AZ480" s="38">
        <v>120</v>
      </c>
      <c r="BA480" s="36"/>
      <c r="BB480" s="36"/>
      <c r="BC480" s="38">
        <v>8</v>
      </c>
      <c r="BD480" s="38">
        <v>5.75</v>
      </c>
      <c r="BE480" s="36"/>
      <c r="BF480" s="38">
        <v>6.2</v>
      </c>
      <c r="BG480" s="59">
        <v>24.39</v>
      </c>
      <c r="BH480" s="59">
        <v>3.54</v>
      </c>
      <c r="BI480" s="59">
        <v>0.56531788688072615</v>
      </c>
      <c r="BJ480" s="59">
        <v>9</v>
      </c>
      <c r="BK480" s="38">
        <v>5.7367999999999997</v>
      </c>
      <c r="BL480" s="59">
        <v>2</v>
      </c>
      <c r="BM480" s="36"/>
      <c r="BN480" s="38">
        <v>62</v>
      </c>
      <c r="BO480" s="36"/>
      <c r="BP480" s="39">
        <f t="shared" si="326"/>
        <v>0.46399193548387102</v>
      </c>
      <c r="BQ480" s="37"/>
      <c r="BR480" s="39">
        <f t="shared" si="327"/>
        <v>0.87339193713165231</v>
      </c>
      <c r="BS480" s="39">
        <f t="shared" si="296"/>
        <v>1.5855383251909207</v>
      </c>
      <c r="BT480" s="39">
        <f t="shared" si="340"/>
        <v>30.445665057996788</v>
      </c>
      <c r="BU480" s="37"/>
      <c r="BV480" s="39">
        <f t="shared" si="334"/>
        <v>0.4817283886621665</v>
      </c>
      <c r="BW480" s="39">
        <f t="shared" si="322"/>
        <v>3.1038693564286883</v>
      </c>
      <c r="BX480" s="39">
        <f t="shared" si="335"/>
        <v>0.38466481961789145</v>
      </c>
      <c r="BY480" s="39">
        <f t="shared" si="318"/>
        <v>6.9047941191739879</v>
      </c>
      <c r="BZ480" s="39">
        <f t="shared" si="341"/>
        <v>7.8911932790559876</v>
      </c>
      <c r="CA480" s="39">
        <f t="shared" si="323"/>
        <v>5.8683589485744196</v>
      </c>
      <c r="CB480" s="39">
        <f t="shared" si="324"/>
        <v>2.0458649241997002</v>
      </c>
      <c r="CC480" s="39">
        <f t="shared" si="312"/>
        <v>0.34799395161290325</v>
      </c>
      <c r="CD480" s="37"/>
      <c r="CE480" s="37"/>
      <c r="CF480" s="39">
        <f t="shared" si="313"/>
        <v>13.919758064516131</v>
      </c>
      <c r="CG480" s="39">
        <f t="shared" si="342"/>
        <v>3.0103388869195324</v>
      </c>
      <c r="CH480" s="37"/>
      <c r="CI480" s="39">
        <f t="shared" si="317"/>
        <v>4.0917118069443115</v>
      </c>
      <c r="CJ480" s="39">
        <f t="shared" si="338"/>
        <v>0.1265563153226037</v>
      </c>
      <c r="CK480" s="39">
        <f t="shared" si="314"/>
        <v>4.9377653614408205E-2</v>
      </c>
      <c r="CL480" s="37"/>
      <c r="CM480" s="39">
        <f t="shared" si="315"/>
        <v>0.17447934139366858</v>
      </c>
      <c r="CN480" s="37"/>
      <c r="CO480" s="39">
        <f>0.063495+(0.016949+0.014096)*Wages!P478+1.22592*BR480</f>
        <v>1.5663425326813383</v>
      </c>
      <c r="CP480" s="39"/>
      <c r="CQ480" s="39">
        <f t="shared" si="298"/>
        <v>1.5855383251909207</v>
      </c>
      <c r="CR480" s="39">
        <f t="shared" si="343"/>
        <v>0.4817283886621665</v>
      </c>
      <c r="CS480" s="39">
        <f t="shared" si="343"/>
        <v>3.1038693564286883</v>
      </c>
      <c r="CT480" s="39">
        <f t="shared" si="325"/>
        <v>5.8683589485744196</v>
      </c>
      <c r="CU480" s="39">
        <f t="shared" si="325"/>
        <v>2.0458649241997002</v>
      </c>
      <c r="CV480" s="39">
        <f t="shared" si="325"/>
        <v>0.34799395161290325</v>
      </c>
      <c r="CW480" s="39">
        <f t="shared" si="319"/>
        <v>0.19030919228830651</v>
      </c>
      <c r="CX480" s="39">
        <f t="shared" si="294"/>
        <v>4.0917118069443115</v>
      </c>
      <c r="CY480" s="39">
        <f t="shared" si="328"/>
        <v>7.8911932790559876</v>
      </c>
      <c r="CZ480" s="39">
        <f t="shared" si="329"/>
        <v>0.38466481961789145</v>
      </c>
      <c r="DA480" s="39">
        <v>6.1375677104164668</v>
      </c>
      <c r="DB480" s="39">
        <f t="shared" si="344"/>
        <v>4.8713064092794864</v>
      </c>
      <c r="DC480" s="39">
        <f t="shared" si="330"/>
        <v>6.9047941191739879</v>
      </c>
      <c r="DD480" s="39">
        <f t="shared" si="345"/>
        <v>3.0103388869195324</v>
      </c>
      <c r="DE480" s="39">
        <f t="shared" si="316"/>
        <v>4.9377653614408205E-2</v>
      </c>
      <c r="DF480" s="39">
        <v>0.1265563153226037</v>
      </c>
      <c r="DG480" s="39">
        <f t="shared" si="331"/>
        <v>0</v>
      </c>
      <c r="DH480" s="39">
        <f t="shared" si="332"/>
        <v>5.5895012015404353</v>
      </c>
      <c r="DI480" s="39">
        <f t="shared" si="339"/>
        <v>5.2233404318215237</v>
      </c>
      <c r="DJ480" s="37"/>
      <c r="DK480" s="37"/>
      <c r="DL480" s="37"/>
      <c r="DM480" s="39">
        <f t="shared" si="336"/>
        <v>1.4885998952807138</v>
      </c>
      <c r="DN480" s="39"/>
      <c r="DO480" s="39">
        <f t="shared" si="337"/>
        <v>1.4885998952807138</v>
      </c>
      <c r="DP480" s="37"/>
      <c r="DQ480" s="37">
        <f>DO480/'Conversions, Sources &amp; Comments'!E478</f>
        <v>3.2082451901418003</v>
      </c>
    </row>
    <row r="481" spans="1:121">
      <c r="A481" s="42">
        <f t="shared" si="333"/>
        <v>1729</v>
      </c>
      <c r="B481" s="36"/>
      <c r="C481" s="38">
        <v>30.22</v>
      </c>
      <c r="D481" s="38">
        <v>0</v>
      </c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8">
        <v>7.5</v>
      </c>
      <c r="W481" s="36"/>
      <c r="X481" s="36"/>
      <c r="Y481" s="36"/>
      <c r="Z481" s="36"/>
      <c r="AA481" s="36"/>
      <c r="AB481" s="59">
        <v>6.666666666666667</v>
      </c>
      <c r="AC481" s="38">
        <v>2</v>
      </c>
      <c r="AD481" s="38">
        <v>6</v>
      </c>
      <c r="AE481" s="38">
        <v>2</v>
      </c>
      <c r="AF481" s="38">
        <v>6</v>
      </c>
      <c r="AG481" s="36"/>
      <c r="AH481" s="36"/>
      <c r="AI481" s="36"/>
      <c r="AJ481" s="36"/>
      <c r="AK481" s="36"/>
      <c r="AL481" s="36"/>
      <c r="AM481" s="36"/>
      <c r="AN481" s="36"/>
      <c r="AO481" s="38">
        <v>2.35</v>
      </c>
      <c r="AP481" s="36"/>
      <c r="AQ481" s="36"/>
      <c r="AR481" s="36"/>
      <c r="AS481" s="38">
        <v>28.47</v>
      </c>
      <c r="AT481" s="38">
        <v>4</v>
      </c>
      <c r="AU481" s="38">
        <v>2.5</v>
      </c>
      <c r="AV481" s="36"/>
      <c r="AW481" s="36"/>
      <c r="AX481" s="36"/>
      <c r="AY481" s="36"/>
      <c r="AZ481" s="38">
        <v>120</v>
      </c>
      <c r="BA481" s="36"/>
      <c r="BB481" s="36"/>
      <c r="BC481" s="38">
        <v>8</v>
      </c>
      <c r="BD481" s="38">
        <v>5.75</v>
      </c>
      <c r="BE481" s="36"/>
      <c r="BF481" s="38">
        <v>4.5999999999999996</v>
      </c>
      <c r="BG481" s="59">
        <v>24.39</v>
      </c>
      <c r="BH481" s="59">
        <v>3.54</v>
      </c>
      <c r="BI481" s="59">
        <v>0.56531788688072615</v>
      </c>
      <c r="BJ481" s="59">
        <v>9</v>
      </c>
      <c r="BK481" s="38">
        <v>5.7936000000000005</v>
      </c>
      <c r="BL481" s="59">
        <v>2</v>
      </c>
      <c r="BM481" s="36"/>
      <c r="BN481" s="38">
        <v>62</v>
      </c>
      <c r="BO481" s="36"/>
      <c r="BP481" s="39">
        <f t="shared" si="326"/>
        <v>0.46399193548387102</v>
      </c>
      <c r="BQ481" s="37"/>
      <c r="BR481" s="39">
        <f t="shared" si="327"/>
        <v>0.59687707689096636</v>
      </c>
      <c r="BS481" s="39">
        <f t="shared" si="296"/>
        <v>1.1763671444964894</v>
      </c>
      <c r="BT481" s="39">
        <f t="shared" si="340"/>
        <v>30.445665057996788</v>
      </c>
      <c r="BU481" s="37"/>
      <c r="BV481" s="39">
        <f t="shared" si="334"/>
        <v>0.4817283886621665</v>
      </c>
      <c r="BW481" s="39">
        <f t="shared" si="322"/>
        <v>3.1038693564286883</v>
      </c>
      <c r="BX481" s="39">
        <f t="shared" si="335"/>
        <v>0.38466481961789145</v>
      </c>
      <c r="BY481" s="39">
        <f t="shared" si="318"/>
        <v>6.8195497473323341</v>
      </c>
      <c r="BZ481" s="39">
        <f t="shared" si="341"/>
        <v>7.8911932790559876</v>
      </c>
      <c r="CA481" s="39">
        <f t="shared" si="323"/>
        <v>5.9264615124216924</v>
      </c>
      <c r="CB481" s="39">
        <f t="shared" si="324"/>
        <v>2.0458649241997002</v>
      </c>
      <c r="CC481" s="39">
        <f t="shared" si="312"/>
        <v>0.34799395161290325</v>
      </c>
      <c r="CD481" s="37"/>
      <c r="CE481" s="37"/>
      <c r="CF481" s="39">
        <f t="shared" si="313"/>
        <v>13.919758064516131</v>
      </c>
      <c r="CG481" s="39">
        <f t="shared" si="342"/>
        <v>2.8757302375044316</v>
      </c>
      <c r="CH481" s="37"/>
      <c r="CI481" s="39">
        <f t="shared" si="317"/>
        <v>4.0917118069443115</v>
      </c>
      <c r="CJ481" s="39">
        <f t="shared" si="338"/>
        <v>0.11774700317759892</v>
      </c>
      <c r="CK481" s="39">
        <f t="shared" si="314"/>
        <v>4.9377653614408205E-2</v>
      </c>
      <c r="CL481" s="37"/>
      <c r="CM481" s="39">
        <f t="shared" si="315"/>
        <v>0.17447934139366858</v>
      </c>
      <c r="CN481" s="37"/>
      <c r="CO481" s="39">
        <f>0.063495+(0.016949+0.014096)*Wages!P479+1.22592*BR481</f>
        <v>1.2273574352150765</v>
      </c>
      <c r="CP481" s="39"/>
      <c r="CQ481" s="39">
        <f t="shared" si="298"/>
        <v>1.1763671444964894</v>
      </c>
      <c r="CR481" s="39">
        <f t="shared" si="343"/>
        <v>0.4817283886621665</v>
      </c>
      <c r="CS481" s="39">
        <f t="shared" si="343"/>
        <v>3.1038693564286883</v>
      </c>
      <c r="CT481" s="39">
        <f t="shared" si="325"/>
        <v>5.9264615124216924</v>
      </c>
      <c r="CU481" s="39">
        <f t="shared" si="325"/>
        <v>2.0458649241997002</v>
      </c>
      <c r="CV481" s="39">
        <f t="shared" si="325"/>
        <v>0.34799395161290325</v>
      </c>
      <c r="CW481" s="39">
        <f t="shared" si="319"/>
        <v>0.19030919228830651</v>
      </c>
      <c r="CX481" s="39">
        <f t="shared" si="294"/>
        <v>4.0917118069443115</v>
      </c>
      <c r="CY481" s="39">
        <f t="shared" si="328"/>
        <v>7.8911932790559876</v>
      </c>
      <c r="CZ481" s="39">
        <f t="shared" si="329"/>
        <v>0.38466481961789145</v>
      </c>
      <c r="DA481" s="39">
        <v>6.1375677104164668</v>
      </c>
      <c r="DB481" s="39">
        <f t="shared" si="344"/>
        <v>4.8713064092794864</v>
      </c>
      <c r="DC481" s="39">
        <f t="shared" si="330"/>
        <v>6.8195497473323341</v>
      </c>
      <c r="DD481" s="39">
        <f t="shared" si="345"/>
        <v>2.8757302375044316</v>
      </c>
      <c r="DE481" s="39">
        <f t="shared" si="316"/>
        <v>4.9377653614408205E-2</v>
      </c>
      <c r="DF481" s="39">
        <v>0.11774700317759892</v>
      </c>
      <c r="DG481" s="39">
        <f t="shared" si="331"/>
        <v>0</v>
      </c>
      <c r="DH481" s="39">
        <f t="shared" si="332"/>
        <v>5.5895012015404353</v>
      </c>
      <c r="DI481" s="39">
        <f t="shared" si="339"/>
        <v>4.8597549703908101</v>
      </c>
      <c r="DJ481" s="37"/>
      <c r="DK481" s="37"/>
      <c r="DL481" s="37"/>
      <c r="DM481" s="39">
        <f t="shared" si="336"/>
        <v>1.3084628174599149</v>
      </c>
      <c r="DN481" s="39"/>
      <c r="DO481" s="39">
        <f t="shared" si="337"/>
        <v>1.3084628174599149</v>
      </c>
      <c r="DP481" s="37"/>
      <c r="DQ481" s="37">
        <f>DO481/'Conversions, Sources &amp; Comments'!E479</f>
        <v>2.8200119816638467</v>
      </c>
    </row>
    <row r="482" spans="1:121">
      <c r="A482" s="42">
        <f t="shared" si="333"/>
        <v>1730</v>
      </c>
      <c r="B482" s="36"/>
      <c r="C482" s="38">
        <v>26.96</v>
      </c>
      <c r="D482" s="38">
        <v>0</v>
      </c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8">
        <v>7.5</v>
      </c>
      <c r="W482" s="36"/>
      <c r="X482" s="36"/>
      <c r="Y482" s="36"/>
      <c r="Z482" s="36"/>
      <c r="AA482" s="36"/>
      <c r="AB482" s="59">
        <v>6.333333333333333</v>
      </c>
      <c r="AC482" s="38">
        <v>2</v>
      </c>
      <c r="AD482" s="38">
        <v>6</v>
      </c>
      <c r="AE482" s="38">
        <v>2</v>
      </c>
      <c r="AF482" s="38">
        <v>6</v>
      </c>
      <c r="AG482" s="36"/>
      <c r="AH482" s="36"/>
      <c r="AI482" s="36"/>
      <c r="AJ482" s="36"/>
      <c r="AK482" s="36"/>
      <c r="AL482" s="36"/>
      <c r="AM482" s="36"/>
      <c r="AN482" s="36"/>
      <c r="AO482" s="38">
        <v>2.13</v>
      </c>
      <c r="AP482" s="36"/>
      <c r="AQ482" s="36"/>
      <c r="AR482" s="36"/>
      <c r="AS482" s="38">
        <v>36.33</v>
      </c>
      <c r="AT482" s="38">
        <v>4</v>
      </c>
      <c r="AU482" s="38">
        <v>2.5</v>
      </c>
      <c r="AV482" s="36"/>
      <c r="AW482" s="36"/>
      <c r="AX482" s="36"/>
      <c r="AY482" s="36"/>
      <c r="AZ482" s="38">
        <v>120</v>
      </c>
      <c r="BA482" s="36"/>
      <c r="BB482" s="36"/>
      <c r="BC482" s="38">
        <v>8</v>
      </c>
      <c r="BD482" s="38">
        <v>5.75</v>
      </c>
      <c r="BE482" s="36"/>
      <c r="BF482" s="38">
        <v>4.5</v>
      </c>
      <c r="BG482" s="59">
        <v>20.87</v>
      </c>
      <c r="BH482" s="59">
        <v>3.29</v>
      </c>
      <c r="BI482" s="59">
        <v>0.56531788688072615</v>
      </c>
      <c r="BJ482" s="59">
        <v>8</v>
      </c>
      <c r="BK482" s="38">
        <v>5.7367999999999997</v>
      </c>
      <c r="BL482" s="59">
        <v>1.86</v>
      </c>
      <c r="BM482" s="36"/>
      <c r="BN482" s="38">
        <v>62</v>
      </c>
      <c r="BO482" s="36"/>
      <c r="BP482" s="39">
        <f t="shared" si="326"/>
        <v>0.46399193548387102</v>
      </c>
      <c r="BQ482" s="37"/>
      <c r="BR482" s="39">
        <f t="shared" si="327"/>
        <v>0.53248861657777813</v>
      </c>
      <c r="BS482" s="39">
        <f t="shared" si="296"/>
        <v>1.1507939457030876</v>
      </c>
      <c r="BT482" s="39">
        <f t="shared" si="340"/>
        <v>30.445665057996788</v>
      </c>
      <c r="BU482" s="37"/>
      <c r="BV482" s="39">
        <f t="shared" si="334"/>
        <v>0.41220465237307968</v>
      </c>
      <c r="BW482" s="39">
        <f t="shared" si="322"/>
        <v>2.8846695431215772</v>
      </c>
      <c r="BX482" s="39">
        <f t="shared" si="335"/>
        <v>0.38466481961789145</v>
      </c>
      <c r="BY482" s="39">
        <f t="shared" si="318"/>
        <v>6.4785722599657172</v>
      </c>
      <c r="BZ482" s="39">
        <f t="shared" si="341"/>
        <v>7.0143940258275439</v>
      </c>
      <c r="CA482" s="39">
        <f t="shared" si="323"/>
        <v>5.8683589485744196</v>
      </c>
      <c r="CB482" s="39">
        <f t="shared" si="324"/>
        <v>1.9026543795057211</v>
      </c>
      <c r="CC482" s="39">
        <f t="shared" si="312"/>
        <v>0.34799395161290325</v>
      </c>
      <c r="CD482" s="37"/>
      <c r="CE482" s="37"/>
      <c r="CF482" s="39">
        <f t="shared" ref="CF482:CF506" si="346">$BP482*12*$AU482</f>
        <v>13.919758064516131</v>
      </c>
      <c r="CG482" s="39">
        <f t="shared" si="342"/>
        <v>2.6065129386742294</v>
      </c>
      <c r="CH482" s="37"/>
      <c r="CI482" s="39">
        <f t="shared" si="317"/>
        <v>4.0917118069443115</v>
      </c>
      <c r="CJ482" s="39">
        <f t="shared" si="338"/>
        <v>0.15025460574085595</v>
      </c>
      <c r="CK482" s="39">
        <f t="shared" si="314"/>
        <v>4.9377653614408205E-2</v>
      </c>
      <c r="CL482" s="37"/>
      <c r="CM482" s="39">
        <f t="shared" si="315"/>
        <v>0.17447934139366858</v>
      </c>
      <c r="CN482" s="37"/>
      <c r="CO482" s="39">
        <f>0.063495+(0.016949+0.014096)*Wages!P480+1.22592*BR482</f>
        <v>1.1484223339479329</v>
      </c>
      <c r="CP482" s="39"/>
      <c r="CQ482" s="39">
        <f t="shared" si="298"/>
        <v>1.1507939457030876</v>
      </c>
      <c r="CR482" s="39">
        <f t="shared" si="343"/>
        <v>0.41220465237307968</v>
      </c>
      <c r="CS482" s="39">
        <f t="shared" si="343"/>
        <v>2.8846695431215772</v>
      </c>
      <c r="CT482" s="39">
        <f t="shared" si="325"/>
        <v>5.8683589485744196</v>
      </c>
      <c r="CU482" s="39">
        <f t="shared" si="325"/>
        <v>1.9026543795057211</v>
      </c>
      <c r="CV482" s="39">
        <f t="shared" si="325"/>
        <v>0.34799395161290325</v>
      </c>
      <c r="CW482" s="39">
        <f t="shared" si="319"/>
        <v>0.19030919228830651</v>
      </c>
      <c r="CX482" s="39">
        <f t="shared" si="294"/>
        <v>4.0917118069443115</v>
      </c>
      <c r="CY482" s="39">
        <f t="shared" si="328"/>
        <v>7.0143940258275439</v>
      </c>
      <c r="CZ482" s="39">
        <f t="shared" si="329"/>
        <v>0.38466481961789145</v>
      </c>
      <c r="DA482" s="39">
        <v>6.1375677104164668</v>
      </c>
      <c r="DB482" s="39">
        <f t="shared" si="344"/>
        <v>4.8713064092794864</v>
      </c>
      <c r="DC482" s="39">
        <f t="shared" si="330"/>
        <v>6.4785722599657172</v>
      </c>
      <c r="DD482" s="39">
        <f t="shared" si="345"/>
        <v>2.6065129386742294</v>
      </c>
      <c r="DE482" s="39">
        <f t="shared" si="316"/>
        <v>4.9377653614408205E-2</v>
      </c>
      <c r="DF482" s="39">
        <v>0.15025460574085595</v>
      </c>
      <c r="DG482" s="39">
        <f t="shared" si="331"/>
        <v>0</v>
      </c>
      <c r="DH482" s="39">
        <f t="shared" si="332"/>
        <v>5.5895012015404353</v>
      </c>
      <c r="DI482" s="39">
        <f t="shared" si="339"/>
        <v>6.2014365322900629</v>
      </c>
      <c r="DJ482" s="37"/>
      <c r="DK482" s="37"/>
      <c r="DL482" s="37"/>
      <c r="DM482" s="39">
        <f t="shared" si="336"/>
        <v>1.2684480229523816</v>
      </c>
      <c r="DN482" s="39"/>
      <c r="DO482" s="39">
        <f t="shared" si="337"/>
        <v>1.2684480229523816</v>
      </c>
      <c r="DP482" s="37"/>
      <c r="DQ482" s="37">
        <f>DO482/'Conversions, Sources &amp; Comments'!E480</f>
        <v>2.7337717015050891</v>
      </c>
    </row>
    <row r="483" spans="1:121">
      <c r="A483" s="42">
        <f t="shared" si="333"/>
        <v>1731</v>
      </c>
      <c r="B483" s="36"/>
      <c r="C483" s="38">
        <v>22.74</v>
      </c>
      <c r="D483" s="38">
        <v>0</v>
      </c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8">
        <v>7.5</v>
      </c>
      <c r="W483" s="36"/>
      <c r="X483" s="36"/>
      <c r="Y483" s="36"/>
      <c r="Z483" s="36"/>
      <c r="AA483" s="36"/>
      <c r="AB483" s="59">
        <v>6</v>
      </c>
      <c r="AC483" s="38">
        <v>2</v>
      </c>
      <c r="AD483" s="38">
        <v>6</v>
      </c>
      <c r="AE483" s="38">
        <v>2</v>
      </c>
      <c r="AF483" s="38">
        <v>6</v>
      </c>
      <c r="AG483" s="36"/>
      <c r="AH483" s="36"/>
      <c r="AI483" s="36"/>
      <c r="AJ483" s="36"/>
      <c r="AK483" s="36"/>
      <c r="AL483" s="36"/>
      <c r="AM483" s="36"/>
      <c r="AN483" s="36"/>
      <c r="AO483" s="38">
        <v>2.17</v>
      </c>
      <c r="AP483" s="36"/>
      <c r="AQ483" s="36"/>
      <c r="AR483" s="36"/>
      <c r="AS483" s="38">
        <v>29.19</v>
      </c>
      <c r="AT483" s="38">
        <v>4</v>
      </c>
      <c r="AU483" s="38">
        <v>2</v>
      </c>
      <c r="AV483" s="36"/>
      <c r="AW483" s="36"/>
      <c r="AX483" s="36"/>
      <c r="AY483" s="36"/>
      <c r="AZ483" s="38">
        <v>120</v>
      </c>
      <c r="BA483" s="36"/>
      <c r="BB483" s="36"/>
      <c r="BC483" s="38">
        <v>8</v>
      </c>
      <c r="BD483" s="38">
        <v>5.75</v>
      </c>
      <c r="BE483" s="36"/>
      <c r="BF483" s="38">
        <v>4</v>
      </c>
      <c r="BG483" s="59">
        <v>20.87</v>
      </c>
      <c r="BH483" s="59">
        <v>3.29</v>
      </c>
      <c r="BI483" s="59">
        <v>0.56531788688072615</v>
      </c>
      <c r="BJ483" s="59">
        <v>8</v>
      </c>
      <c r="BK483" s="38">
        <v>5.5095999999999989</v>
      </c>
      <c r="BL483" s="59">
        <v>1.86</v>
      </c>
      <c r="BM483" s="36"/>
      <c r="BN483" s="38">
        <v>62</v>
      </c>
      <c r="BO483" s="36"/>
      <c r="BP483" s="39">
        <f t="shared" si="326"/>
        <v>0.46399193548387102</v>
      </c>
      <c r="BQ483" s="37"/>
      <c r="BR483" s="39">
        <f t="shared" si="327"/>
        <v>0.44913913727665705</v>
      </c>
      <c r="BS483" s="39">
        <f t="shared" si="296"/>
        <v>1.0229279517360779</v>
      </c>
      <c r="BT483" s="39">
        <f t="shared" si="340"/>
        <v>30.445665057996788</v>
      </c>
      <c r="BU483" s="37"/>
      <c r="BV483" s="39">
        <f t="shared" si="334"/>
        <v>0.41220465237307968</v>
      </c>
      <c r="BW483" s="39">
        <f t="shared" si="322"/>
        <v>2.8846695431215772</v>
      </c>
      <c r="BX483" s="39">
        <f t="shared" si="335"/>
        <v>0.38466481961789145</v>
      </c>
      <c r="BY483" s="39">
        <f t="shared" si="318"/>
        <v>6.1375947725990994</v>
      </c>
      <c r="BZ483" s="39">
        <f t="shared" si="341"/>
        <v>7.0143940258275439</v>
      </c>
      <c r="CA483" s="39">
        <f t="shared" si="323"/>
        <v>5.635948693185334</v>
      </c>
      <c r="CB483" s="39">
        <f t="shared" si="324"/>
        <v>1.9026543795057211</v>
      </c>
      <c r="CC483" s="39">
        <f t="shared" si="312"/>
        <v>0.34799395161290325</v>
      </c>
      <c r="CD483" s="37"/>
      <c r="CE483" s="37"/>
      <c r="CF483" s="39">
        <f t="shared" si="346"/>
        <v>11.135806451612904</v>
      </c>
      <c r="CG483" s="39">
        <f t="shared" si="342"/>
        <v>2.6554615384615388</v>
      </c>
      <c r="CH483" s="37"/>
      <c r="CI483" s="39">
        <f t="shared" si="317"/>
        <v>4.0917118069443115</v>
      </c>
      <c r="CJ483" s="39">
        <f t="shared" si="338"/>
        <v>0.12072479883224842</v>
      </c>
      <c r="CK483" s="39">
        <f t="shared" ref="CK483:CK514" si="347">BP483*(12*AC483+AD483)/(35.238*8)</f>
        <v>4.9377653614408205E-2</v>
      </c>
      <c r="CL483" s="37"/>
      <c r="CM483" s="39">
        <f t="shared" ref="CM483:CM514" si="348">BP483*(12*$AC483+$AD483)/(35.238*8)/0.283</f>
        <v>0.17447934139366858</v>
      </c>
      <c r="CN483" s="37"/>
      <c r="CO483" s="39">
        <f>0.063495+(0.016949+0.014096)*Wages!P481+1.22592*BR483</f>
        <v>1.0462425402831026</v>
      </c>
      <c r="CP483" s="39"/>
      <c r="CQ483" s="39">
        <f t="shared" si="298"/>
        <v>1.0229279517360779</v>
      </c>
      <c r="CR483" s="39">
        <f t="shared" si="343"/>
        <v>0.41220465237307968</v>
      </c>
      <c r="CS483" s="39">
        <f t="shared" si="343"/>
        <v>2.8846695431215772</v>
      </c>
      <c r="CT483" s="39">
        <f t="shared" si="325"/>
        <v>5.635948693185334</v>
      </c>
      <c r="CU483" s="39">
        <f t="shared" si="325"/>
        <v>1.9026543795057211</v>
      </c>
      <c r="CV483" s="39">
        <f t="shared" si="325"/>
        <v>0.34799395161290325</v>
      </c>
      <c r="CW483" s="39">
        <f t="shared" si="319"/>
        <v>0.15224735383064519</v>
      </c>
      <c r="CX483" s="39">
        <f t="shared" si="294"/>
        <v>4.0917118069443115</v>
      </c>
      <c r="CY483" s="39">
        <f t="shared" si="328"/>
        <v>7.0143940258275439</v>
      </c>
      <c r="CZ483" s="39">
        <f t="shared" si="329"/>
        <v>0.38466481961789145</v>
      </c>
      <c r="DA483" s="39">
        <v>6.1375677104164668</v>
      </c>
      <c r="DB483" s="39">
        <f t="shared" si="344"/>
        <v>4.8713064092794864</v>
      </c>
      <c r="DC483" s="39">
        <f t="shared" si="330"/>
        <v>6.1375947725990994</v>
      </c>
      <c r="DD483" s="39">
        <f t="shared" si="345"/>
        <v>2.6554615384615388</v>
      </c>
      <c r="DE483" s="39">
        <f t="shared" si="316"/>
        <v>4.9377653614408205E-2</v>
      </c>
      <c r="DF483" s="39">
        <v>0.12072479883224844</v>
      </c>
      <c r="DG483" s="39">
        <f t="shared" si="331"/>
        <v>0</v>
      </c>
      <c r="DH483" s="39">
        <f t="shared" si="332"/>
        <v>5.5895012015404353</v>
      </c>
      <c r="DI483" s="39">
        <f t="shared" si="339"/>
        <v>4.9826570981983753</v>
      </c>
      <c r="DJ483" s="37"/>
      <c r="DK483" s="37"/>
      <c r="DL483" s="37"/>
      <c r="DM483" s="39">
        <f t="shared" si="336"/>
        <v>1.207615295981376</v>
      </c>
      <c r="DN483" s="39"/>
      <c r="DO483" s="39">
        <f t="shared" si="337"/>
        <v>1.207615295981376</v>
      </c>
      <c r="DP483" s="37"/>
      <c r="DQ483" s="37">
        <f>DO483/'Conversions, Sources &amp; Comments'!E481</f>
        <v>2.6026644077811874</v>
      </c>
    </row>
    <row r="484" spans="1:121">
      <c r="A484" s="42">
        <f t="shared" si="333"/>
        <v>1732</v>
      </c>
      <c r="B484" s="36"/>
      <c r="C484" s="38">
        <v>22.94</v>
      </c>
      <c r="D484" s="38">
        <v>0</v>
      </c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8">
        <v>7.5</v>
      </c>
      <c r="W484" s="36"/>
      <c r="X484" s="36"/>
      <c r="Y484" s="36"/>
      <c r="Z484" s="36"/>
      <c r="AA484" s="36"/>
      <c r="AB484" s="59">
        <v>6</v>
      </c>
      <c r="AC484" s="38">
        <v>2</v>
      </c>
      <c r="AD484" s="38">
        <v>6</v>
      </c>
      <c r="AE484" s="38">
        <v>2</v>
      </c>
      <c r="AF484" s="38">
        <v>6</v>
      </c>
      <c r="AG484" s="36"/>
      <c r="AH484" s="36"/>
      <c r="AI484" s="36"/>
      <c r="AJ484" s="36"/>
      <c r="AK484" s="36"/>
      <c r="AL484" s="36"/>
      <c r="AM484" s="36"/>
      <c r="AN484" s="36"/>
      <c r="AO484" s="38">
        <v>2.17</v>
      </c>
      <c r="AP484" s="36"/>
      <c r="AQ484" s="36"/>
      <c r="AR484" s="36"/>
      <c r="AS484" s="38">
        <v>27.98</v>
      </c>
      <c r="AT484" s="38">
        <v>4</v>
      </c>
      <c r="AU484" s="38">
        <v>2</v>
      </c>
      <c r="AV484" s="36"/>
      <c r="AW484" s="38">
        <v>6</v>
      </c>
      <c r="AX484" s="36"/>
      <c r="AY484" s="36"/>
      <c r="AZ484" s="38">
        <v>120</v>
      </c>
      <c r="BA484" s="36"/>
      <c r="BB484" s="36"/>
      <c r="BC484" s="38">
        <v>8</v>
      </c>
      <c r="BD484" s="38">
        <v>5.75</v>
      </c>
      <c r="BE484" s="36"/>
      <c r="BF484" s="38">
        <v>4.0999999999999996</v>
      </c>
      <c r="BG484" s="59">
        <v>20.87</v>
      </c>
      <c r="BH484" s="59">
        <v>3.29</v>
      </c>
      <c r="BI484" s="59">
        <v>0.56531788688072615</v>
      </c>
      <c r="BJ484" s="59">
        <v>8</v>
      </c>
      <c r="BK484" s="38">
        <v>5.2824</v>
      </c>
      <c r="BL484" s="59">
        <v>1.86</v>
      </c>
      <c r="BM484" s="36"/>
      <c r="BN484" s="38">
        <v>62</v>
      </c>
      <c r="BO484" s="36"/>
      <c r="BP484" s="39">
        <f t="shared" si="326"/>
        <v>0.46399193548387102</v>
      </c>
      <c r="BQ484" s="37"/>
      <c r="BR484" s="39">
        <f t="shared" si="327"/>
        <v>0.45308934956580976</v>
      </c>
      <c r="BS484" s="39">
        <f t="shared" si="296"/>
        <v>1.0485011505294797</v>
      </c>
      <c r="BT484" s="39">
        <f t="shared" si="340"/>
        <v>30.445665057996788</v>
      </c>
      <c r="BU484" s="37"/>
      <c r="BV484" s="39">
        <f t="shared" si="334"/>
        <v>0.41220465237307968</v>
      </c>
      <c r="BW484" s="39">
        <f t="shared" si="322"/>
        <v>2.8846695431215772</v>
      </c>
      <c r="BX484" s="39">
        <f t="shared" si="335"/>
        <v>0.38466481961789145</v>
      </c>
      <c r="BY484" s="39">
        <f t="shared" si="318"/>
        <v>6.1375947725990994</v>
      </c>
      <c r="BZ484" s="39">
        <f t="shared" si="341"/>
        <v>7.0143940258275439</v>
      </c>
      <c r="CA484" s="39">
        <f t="shared" si="323"/>
        <v>5.4035384377962483</v>
      </c>
      <c r="CB484" s="39">
        <f t="shared" si="324"/>
        <v>1.9026543795057211</v>
      </c>
      <c r="CC484" s="39">
        <f t="shared" si="312"/>
        <v>0.34799395161290325</v>
      </c>
      <c r="CD484" s="37"/>
      <c r="CE484" s="37"/>
      <c r="CF484" s="39">
        <f t="shared" si="346"/>
        <v>11.135806451612904</v>
      </c>
      <c r="CG484" s="39">
        <f t="shared" si="342"/>
        <v>2.6554615384615388</v>
      </c>
      <c r="CH484" s="39">
        <f t="shared" ref="CH484:CH499" si="349">BP484*12*AW484/(12*0.453592)</f>
        <v>6.1375677104164659</v>
      </c>
      <c r="CI484" s="39">
        <f t="shared" si="317"/>
        <v>4.0917118069443115</v>
      </c>
      <c r="CJ484" s="39">
        <f t="shared" si="338"/>
        <v>0.11572044780151802</v>
      </c>
      <c r="CK484" s="39">
        <f t="shared" si="347"/>
        <v>4.9377653614408205E-2</v>
      </c>
      <c r="CL484" s="37"/>
      <c r="CM484" s="39">
        <f t="shared" si="348"/>
        <v>0.17447934139366858</v>
      </c>
      <c r="CN484" s="37"/>
      <c r="CO484" s="39">
        <f>0.063495+(0.016949+0.014096)*Wages!P482+1.22592*BR484</f>
        <v>1.0510851845326208</v>
      </c>
      <c r="CP484" s="39"/>
      <c r="CQ484" s="39">
        <f t="shared" si="298"/>
        <v>1.0485011505294797</v>
      </c>
      <c r="CR484" s="39">
        <f t="shared" si="343"/>
        <v>0.41220465237307968</v>
      </c>
      <c r="CS484" s="39">
        <f t="shared" si="343"/>
        <v>2.8846695431215772</v>
      </c>
      <c r="CT484" s="39">
        <f t="shared" si="325"/>
        <v>5.4035384377962483</v>
      </c>
      <c r="CU484" s="39">
        <f t="shared" si="325"/>
        <v>1.9026543795057211</v>
      </c>
      <c r="CV484" s="39">
        <f t="shared" si="325"/>
        <v>0.34799395161290325</v>
      </c>
      <c r="CW484" s="39">
        <f t="shared" si="319"/>
        <v>0.15224735383064519</v>
      </c>
      <c r="CX484" s="39">
        <f t="shared" si="294"/>
        <v>4.0917118069443115</v>
      </c>
      <c r="CY484" s="39">
        <f t="shared" si="328"/>
        <v>7.0143940258275439</v>
      </c>
      <c r="CZ484" s="39">
        <f t="shared" si="329"/>
        <v>0.38466481961789145</v>
      </c>
      <c r="DA484" s="39">
        <f t="shared" ref="DA484:DA499" si="350">CH484</f>
        <v>6.1375677104164659</v>
      </c>
      <c r="DB484" s="39">
        <f t="shared" si="344"/>
        <v>4.8713064092794864</v>
      </c>
      <c r="DC484" s="39">
        <f t="shared" si="330"/>
        <v>6.1375947725990994</v>
      </c>
      <c r="DD484" s="39">
        <f t="shared" si="345"/>
        <v>2.6554615384615388</v>
      </c>
      <c r="DE484" s="39">
        <f t="shared" si="316"/>
        <v>4.9377653614408205E-2</v>
      </c>
      <c r="DF484" s="39">
        <v>0.11572044780151802</v>
      </c>
      <c r="DG484" s="39">
        <f t="shared" si="331"/>
        <v>0</v>
      </c>
      <c r="DH484" s="39">
        <f t="shared" si="332"/>
        <v>5.5895012015404353</v>
      </c>
      <c r="DI484" s="39">
        <f t="shared" si="339"/>
        <v>4.7761132445217722</v>
      </c>
      <c r="DJ484" s="37"/>
      <c r="DK484" s="37"/>
      <c r="DL484" s="37"/>
      <c r="DM484" s="39">
        <f t="shared" si="336"/>
        <v>1.2159204289026793</v>
      </c>
      <c r="DN484" s="39"/>
      <c r="DO484" s="39">
        <f t="shared" si="337"/>
        <v>1.2159204289026793</v>
      </c>
      <c r="DP484" s="37"/>
      <c r="DQ484" s="37">
        <f>DO484/'Conversions, Sources &amp; Comments'!E482</f>
        <v>2.6205637122435426</v>
      </c>
    </row>
    <row r="485" spans="1:121">
      <c r="A485" s="42">
        <f t="shared" si="333"/>
        <v>1733</v>
      </c>
      <c r="B485" s="36"/>
      <c r="C485" s="38">
        <v>24.68</v>
      </c>
      <c r="D485" s="38">
        <v>0</v>
      </c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8">
        <v>7.5</v>
      </c>
      <c r="W485" s="36"/>
      <c r="X485" s="36"/>
      <c r="Y485" s="36"/>
      <c r="Z485" s="36"/>
      <c r="AA485" s="36"/>
      <c r="AB485" s="59">
        <v>5.333333333333333</v>
      </c>
      <c r="AC485" s="38">
        <v>2</v>
      </c>
      <c r="AD485" s="38">
        <v>6</v>
      </c>
      <c r="AE485" s="38">
        <v>2</v>
      </c>
      <c r="AF485" s="38">
        <v>6</v>
      </c>
      <c r="AG485" s="36"/>
      <c r="AH485" s="36"/>
      <c r="AI485" s="36"/>
      <c r="AJ485" s="36"/>
      <c r="AK485" s="36"/>
      <c r="AL485" s="36"/>
      <c r="AM485" s="36"/>
      <c r="AN485" s="36"/>
      <c r="AO485" s="38">
        <v>2.17</v>
      </c>
      <c r="AP485" s="36"/>
      <c r="AQ485" s="36"/>
      <c r="AR485" s="36"/>
      <c r="AS485" s="38">
        <v>28.84</v>
      </c>
      <c r="AT485" s="38">
        <v>4</v>
      </c>
      <c r="AU485" s="38">
        <v>2</v>
      </c>
      <c r="AV485" s="36"/>
      <c r="AW485" s="38">
        <v>6</v>
      </c>
      <c r="AX485" s="36"/>
      <c r="AY485" s="36"/>
      <c r="AZ485" s="38">
        <v>120</v>
      </c>
      <c r="BA485" s="36"/>
      <c r="BB485" s="36"/>
      <c r="BC485" s="38">
        <v>8</v>
      </c>
      <c r="BD485" s="38">
        <v>5.75</v>
      </c>
      <c r="BE485" s="36"/>
      <c r="BF485" s="38">
        <v>4.7</v>
      </c>
      <c r="BG485" s="59">
        <v>20.87</v>
      </c>
      <c r="BH485" s="59">
        <v>3.29</v>
      </c>
      <c r="BI485" s="59">
        <v>0.56531788688072615</v>
      </c>
      <c r="BJ485" s="59">
        <v>8</v>
      </c>
      <c r="BK485" s="38">
        <v>5.2824</v>
      </c>
      <c r="BL485" s="59">
        <v>1.86</v>
      </c>
      <c r="BM485" s="36"/>
      <c r="BN485" s="38">
        <v>62</v>
      </c>
      <c r="BO485" s="36"/>
      <c r="BP485" s="39">
        <f t="shared" si="326"/>
        <v>0.46399193548387102</v>
      </c>
      <c r="BQ485" s="37"/>
      <c r="BR485" s="39">
        <f t="shared" si="327"/>
        <v>0.48745619648143773</v>
      </c>
      <c r="BS485" s="39">
        <f t="shared" si="296"/>
        <v>1.2019403432898916</v>
      </c>
      <c r="BT485" s="39">
        <f t="shared" si="340"/>
        <v>30.445665057996788</v>
      </c>
      <c r="BU485" s="37"/>
      <c r="BV485" s="39">
        <f t="shared" si="334"/>
        <v>0.41220465237307968</v>
      </c>
      <c r="BW485" s="39">
        <f t="shared" si="322"/>
        <v>2.8846695431215772</v>
      </c>
      <c r="BX485" s="39">
        <f t="shared" si="335"/>
        <v>0.38466481961789145</v>
      </c>
      <c r="BY485" s="39">
        <f t="shared" si="318"/>
        <v>5.4556397978658664</v>
      </c>
      <c r="BZ485" s="39">
        <f t="shared" si="341"/>
        <v>7.0143940258275439</v>
      </c>
      <c r="CA485" s="39">
        <f t="shared" si="323"/>
        <v>5.4035384377962483</v>
      </c>
      <c r="CB485" s="39">
        <f t="shared" si="324"/>
        <v>1.9026543795057211</v>
      </c>
      <c r="CC485" s="39">
        <f t="shared" si="312"/>
        <v>0.34799395161290325</v>
      </c>
      <c r="CD485" s="37"/>
      <c r="CE485" s="37"/>
      <c r="CF485" s="39">
        <f t="shared" si="346"/>
        <v>11.135806451612904</v>
      </c>
      <c r="CG485" s="39">
        <f t="shared" si="342"/>
        <v>2.6554615384615388</v>
      </c>
      <c r="CH485" s="39">
        <f t="shared" si="349"/>
        <v>6.1375677104164659</v>
      </c>
      <c r="CI485" s="39">
        <f t="shared" ref="CI485:CI516" si="351">BP485*12*AT485/(12*0.453592)</f>
        <v>4.0917118069443115</v>
      </c>
      <c r="CJ485" s="39">
        <f t="shared" si="338"/>
        <v>0.1192772592779049</v>
      </c>
      <c r="CK485" s="39">
        <f t="shared" si="347"/>
        <v>4.9377653614408205E-2</v>
      </c>
      <c r="CL485" s="37"/>
      <c r="CM485" s="39">
        <f t="shared" si="348"/>
        <v>0.17447934139366858</v>
      </c>
      <c r="CN485" s="37"/>
      <c r="CO485" s="39">
        <f>0.063495+(0.016949+0.014096)*Wages!P483+1.22592*BR485</f>
        <v>1.0932161895034271</v>
      </c>
      <c r="CP485" s="39"/>
      <c r="CQ485" s="39">
        <f t="shared" si="298"/>
        <v>1.2019403432898916</v>
      </c>
      <c r="CR485" s="39">
        <f t="shared" si="343"/>
        <v>0.41220465237307968</v>
      </c>
      <c r="CS485" s="39">
        <f t="shared" si="343"/>
        <v>2.8846695431215772</v>
      </c>
      <c r="CT485" s="39">
        <f t="shared" si="325"/>
        <v>5.4035384377962483</v>
      </c>
      <c r="CU485" s="39">
        <f t="shared" si="325"/>
        <v>1.9026543795057211</v>
      </c>
      <c r="CV485" s="39">
        <f t="shared" si="325"/>
        <v>0.34799395161290325</v>
      </c>
      <c r="CW485" s="39">
        <f t="shared" si="319"/>
        <v>0.15224735383064519</v>
      </c>
      <c r="CX485" s="39">
        <f t="shared" ref="CX485:CX548" si="352">CI485</f>
        <v>4.0917118069443115</v>
      </c>
      <c r="CY485" s="39">
        <f t="shared" si="328"/>
        <v>7.0143940258275439</v>
      </c>
      <c r="CZ485" s="39">
        <f t="shared" si="329"/>
        <v>0.38466481961789145</v>
      </c>
      <c r="DA485" s="39">
        <f t="shared" si="350"/>
        <v>6.1375677104164659</v>
      </c>
      <c r="DB485" s="39">
        <f t="shared" si="344"/>
        <v>4.8713064092794864</v>
      </c>
      <c r="DC485" s="39">
        <f t="shared" si="330"/>
        <v>5.4556397978658664</v>
      </c>
      <c r="DD485" s="39">
        <f t="shared" si="345"/>
        <v>2.6554615384615388</v>
      </c>
      <c r="DE485" s="39">
        <f t="shared" si="316"/>
        <v>4.9377653614408205E-2</v>
      </c>
      <c r="DF485" s="39">
        <v>0.11927725927790493</v>
      </c>
      <c r="DG485" s="39">
        <f t="shared" si="331"/>
        <v>0</v>
      </c>
      <c r="DH485" s="39">
        <f t="shared" si="332"/>
        <v>5.5895012015404353</v>
      </c>
      <c r="DI485" s="39">
        <f t="shared" si="339"/>
        <v>4.9229130082919204</v>
      </c>
      <c r="DJ485" s="37"/>
      <c r="DK485" s="37"/>
      <c r="DL485" s="37"/>
      <c r="DM485" s="39">
        <f t="shared" si="336"/>
        <v>1.2789547313675664</v>
      </c>
      <c r="DN485" s="39"/>
      <c r="DO485" s="39">
        <f t="shared" si="337"/>
        <v>1.2789547313675664</v>
      </c>
      <c r="DP485" s="37"/>
      <c r="DQ485" s="37">
        <f>DO485/'Conversions, Sources &amp; Comments'!E483</f>
        <v>2.7564158632063651</v>
      </c>
    </row>
    <row r="486" spans="1:121">
      <c r="A486" s="42">
        <f t="shared" si="333"/>
        <v>1734</v>
      </c>
      <c r="B486" s="36"/>
      <c r="C486" s="38">
        <v>31.1</v>
      </c>
      <c r="D486" s="38">
        <v>0</v>
      </c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8">
        <v>7.5</v>
      </c>
      <c r="W486" s="36"/>
      <c r="X486" s="36"/>
      <c r="Y486" s="36"/>
      <c r="Z486" s="36"/>
      <c r="AA486" s="36"/>
      <c r="AB486" s="59">
        <v>4.666666666666667</v>
      </c>
      <c r="AC486" s="38">
        <v>2</v>
      </c>
      <c r="AD486" s="38">
        <v>6</v>
      </c>
      <c r="AE486" s="38">
        <v>2</v>
      </c>
      <c r="AF486" s="38">
        <v>6</v>
      </c>
      <c r="AG486" s="36"/>
      <c r="AH486" s="36"/>
      <c r="AI486" s="36"/>
      <c r="AJ486" s="36"/>
      <c r="AK486" s="36"/>
      <c r="AL486" s="36"/>
      <c r="AM486" s="36"/>
      <c r="AN486" s="36"/>
      <c r="AO486" s="38">
        <v>2.19</v>
      </c>
      <c r="AP486" s="36"/>
      <c r="AQ486" s="36"/>
      <c r="AR486" s="36"/>
      <c r="AS486" s="38">
        <v>29</v>
      </c>
      <c r="AT486" s="38">
        <v>4</v>
      </c>
      <c r="AU486" s="38">
        <v>2</v>
      </c>
      <c r="AV486" s="36"/>
      <c r="AW486" s="38">
        <v>6</v>
      </c>
      <c r="AX486" s="36"/>
      <c r="AY486" s="36"/>
      <c r="AZ486" s="38">
        <v>120</v>
      </c>
      <c r="BA486" s="36"/>
      <c r="BB486" s="36"/>
      <c r="BC486" s="38">
        <v>8</v>
      </c>
      <c r="BD486" s="38">
        <v>5.75</v>
      </c>
      <c r="BE486" s="36"/>
      <c r="BF486" s="38">
        <v>5.0999999999999996</v>
      </c>
      <c r="BG486" s="59">
        <v>20.87</v>
      </c>
      <c r="BH486" s="59">
        <v>3.29</v>
      </c>
      <c r="BI486" s="59">
        <v>0.56531788688072615</v>
      </c>
      <c r="BJ486" s="59">
        <v>9</v>
      </c>
      <c r="BK486" s="38">
        <v>5.3391999999999999</v>
      </c>
      <c r="BL486" s="59">
        <v>1.86</v>
      </c>
      <c r="BM486" s="36"/>
      <c r="BN486" s="38">
        <v>62</v>
      </c>
      <c r="BO486" s="36"/>
      <c r="BP486" s="39">
        <f t="shared" si="326"/>
        <v>0.46399193548387102</v>
      </c>
      <c r="BQ486" s="37"/>
      <c r="BR486" s="39">
        <f t="shared" si="327"/>
        <v>0.61425801096323818</v>
      </c>
      <c r="BS486" s="39">
        <f t="shared" si="296"/>
        <v>1.3042331384634991</v>
      </c>
      <c r="BT486" s="39">
        <f t="shared" si="340"/>
        <v>30.445665057996788</v>
      </c>
      <c r="BU486" s="37"/>
      <c r="BV486" s="39">
        <f t="shared" si="334"/>
        <v>0.41220465237307968</v>
      </c>
      <c r="BW486" s="39">
        <f t="shared" si="322"/>
        <v>2.8846695431215772</v>
      </c>
      <c r="BX486" s="39">
        <f t="shared" si="335"/>
        <v>0.38466481961789145</v>
      </c>
      <c r="BY486" s="39">
        <f t="shared" si="318"/>
        <v>4.7736848231326343</v>
      </c>
      <c r="BZ486" s="39">
        <f t="shared" si="341"/>
        <v>7.8911932790559876</v>
      </c>
      <c r="CA486" s="39">
        <f t="shared" si="323"/>
        <v>5.4616410016435202</v>
      </c>
      <c r="CB486" s="39">
        <f t="shared" si="324"/>
        <v>1.9026543795057211</v>
      </c>
      <c r="CC486" s="39">
        <f t="shared" si="312"/>
        <v>0.34799395161290325</v>
      </c>
      <c r="CD486" s="37"/>
      <c r="CE486" s="37"/>
      <c r="CF486" s="39">
        <f t="shared" si="346"/>
        <v>11.135806451612904</v>
      </c>
      <c r="CG486" s="39">
        <f t="shared" si="342"/>
        <v>2.6799358383551937</v>
      </c>
      <c r="CH486" s="39">
        <f t="shared" si="349"/>
        <v>6.1375677104164659</v>
      </c>
      <c r="CI486" s="39">
        <f t="shared" si="351"/>
        <v>4.0917118069443115</v>
      </c>
      <c r="CJ486" s="39">
        <f t="shared" si="338"/>
        <v>0.1199389916456048</v>
      </c>
      <c r="CK486" s="39">
        <f t="shared" si="347"/>
        <v>4.9377653614408205E-2</v>
      </c>
      <c r="CL486" s="37"/>
      <c r="CM486" s="39">
        <f t="shared" si="348"/>
        <v>0.17447934139366858</v>
      </c>
      <c r="CN486" s="37"/>
      <c r="CO486" s="39">
        <f>0.063495+(0.016949+0.014096)*Wages!P484+1.22592*BR486</f>
        <v>1.2486650699129562</v>
      </c>
      <c r="CP486" s="39"/>
      <c r="CQ486" s="39">
        <f t="shared" si="298"/>
        <v>1.3042331384634991</v>
      </c>
      <c r="CR486" s="39">
        <f t="shared" si="343"/>
        <v>0.41220465237307968</v>
      </c>
      <c r="CS486" s="39">
        <f t="shared" si="343"/>
        <v>2.8846695431215772</v>
      </c>
      <c r="CT486" s="39">
        <f t="shared" si="325"/>
        <v>5.4616410016435202</v>
      </c>
      <c r="CU486" s="39">
        <f t="shared" si="325"/>
        <v>1.9026543795057211</v>
      </c>
      <c r="CV486" s="39">
        <f t="shared" si="325"/>
        <v>0.34799395161290325</v>
      </c>
      <c r="CW486" s="39">
        <f t="shared" si="319"/>
        <v>0.15224735383064519</v>
      </c>
      <c r="CX486" s="39">
        <f t="shared" si="352"/>
        <v>4.0917118069443115</v>
      </c>
      <c r="CY486" s="39">
        <f t="shared" si="328"/>
        <v>7.8911932790559876</v>
      </c>
      <c r="CZ486" s="39">
        <f t="shared" si="329"/>
        <v>0.38466481961789145</v>
      </c>
      <c r="DA486" s="39">
        <f t="shared" si="350"/>
        <v>6.1375677104164659</v>
      </c>
      <c r="DB486" s="39">
        <f t="shared" si="344"/>
        <v>4.8713064092794864</v>
      </c>
      <c r="DC486" s="39">
        <f t="shared" si="330"/>
        <v>4.7736848231326343</v>
      </c>
      <c r="DD486" s="39">
        <f t="shared" si="345"/>
        <v>2.6799358383551937</v>
      </c>
      <c r="DE486" s="39">
        <f t="shared" si="316"/>
        <v>4.9377653614408205E-2</v>
      </c>
      <c r="DF486" s="39">
        <v>0.11993899164560481</v>
      </c>
      <c r="DG486" s="39">
        <f t="shared" si="331"/>
        <v>0</v>
      </c>
      <c r="DH486" s="39">
        <f t="shared" si="332"/>
        <v>5.5895012015404353</v>
      </c>
      <c r="DI486" s="39">
        <f t="shared" si="339"/>
        <v>4.9502245922491568</v>
      </c>
      <c r="DJ486" s="37"/>
      <c r="DK486" s="37"/>
      <c r="DL486" s="37"/>
      <c r="DM486" s="39">
        <f t="shared" si="336"/>
        <v>1.3204346692391951</v>
      </c>
      <c r="DN486" s="39"/>
      <c r="DO486" s="39">
        <f t="shared" si="337"/>
        <v>1.3204346692391951</v>
      </c>
      <c r="DP486" s="37"/>
      <c r="DQ486" s="37">
        <f>DO486/'Conversions, Sources &amp; Comments'!E484</f>
        <v>2.8458138348076853</v>
      </c>
    </row>
    <row r="487" spans="1:121">
      <c r="A487" s="42">
        <f t="shared" si="333"/>
        <v>1735</v>
      </c>
      <c r="B487" s="36"/>
      <c r="C487" s="38">
        <v>33.19</v>
      </c>
      <c r="D487" s="38">
        <v>0</v>
      </c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8">
        <v>7.5</v>
      </c>
      <c r="W487" s="36"/>
      <c r="X487" s="36"/>
      <c r="Y487" s="36"/>
      <c r="Z487" s="36"/>
      <c r="AA487" s="36"/>
      <c r="AB487" s="59">
        <v>4.833333333333333</v>
      </c>
      <c r="AC487" s="38">
        <v>2</v>
      </c>
      <c r="AD487" s="38">
        <v>6</v>
      </c>
      <c r="AE487" s="38">
        <v>2</v>
      </c>
      <c r="AF487" s="38">
        <v>6</v>
      </c>
      <c r="AG487" s="36"/>
      <c r="AH487" s="36"/>
      <c r="AI487" s="36"/>
      <c r="AJ487" s="36"/>
      <c r="AK487" s="36"/>
      <c r="AL487" s="36"/>
      <c r="AM487" s="36"/>
      <c r="AN487" s="36"/>
      <c r="AO487" s="38">
        <v>2.19</v>
      </c>
      <c r="AP487" s="36"/>
      <c r="AQ487" s="36"/>
      <c r="AR487" s="36"/>
      <c r="AS487" s="36"/>
      <c r="AT487" s="38">
        <v>4</v>
      </c>
      <c r="AU487" s="38">
        <v>2</v>
      </c>
      <c r="AV487" s="36"/>
      <c r="AW487" s="38">
        <v>6</v>
      </c>
      <c r="AX487" s="36"/>
      <c r="AY487" s="36"/>
      <c r="AZ487" s="38">
        <v>120</v>
      </c>
      <c r="BA487" s="36"/>
      <c r="BB487" s="36"/>
      <c r="BC487" s="38">
        <v>8</v>
      </c>
      <c r="BD487" s="38">
        <v>5.75</v>
      </c>
      <c r="BE487" s="36"/>
      <c r="BF487" s="38">
        <v>5.2</v>
      </c>
      <c r="BG487" s="59">
        <v>20.87</v>
      </c>
      <c r="BH487" s="59">
        <v>3.29</v>
      </c>
      <c r="BI487" s="59">
        <v>0.56531788688072615</v>
      </c>
      <c r="BJ487" s="59">
        <v>8</v>
      </c>
      <c r="BK487" s="38">
        <v>5.3391999999999999</v>
      </c>
      <c r="BL487" s="59">
        <v>1.86</v>
      </c>
      <c r="BM487" s="36"/>
      <c r="BN487" s="38">
        <v>62</v>
      </c>
      <c r="BO487" s="36"/>
      <c r="BP487" s="39">
        <f t="shared" si="326"/>
        <v>0.46399193548387102</v>
      </c>
      <c r="BQ487" s="37"/>
      <c r="BR487" s="39">
        <f t="shared" si="327"/>
        <v>0.65553772938488331</v>
      </c>
      <c r="BS487" s="39">
        <f t="shared" si="296"/>
        <v>1.3298063372569013</v>
      </c>
      <c r="BT487" s="39">
        <f t="shared" si="340"/>
        <v>30.445665057996788</v>
      </c>
      <c r="BU487" s="37"/>
      <c r="BV487" s="39">
        <f t="shared" si="334"/>
        <v>0.41220465237307968</v>
      </c>
      <c r="BW487" s="39">
        <f t="shared" si="322"/>
        <v>2.8846695431215772</v>
      </c>
      <c r="BX487" s="39">
        <f t="shared" si="335"/>
        <v>0.38466481961789145</v>
      </c>
      <c r="BY487" s="39">
        <f t="shared" ref="BY487:BY518" si="353">$BP487*12*$AB487/(12*0.45359)</f>
        <v>4.944173566815941</v>
      </c>
      <c r="BZ487" s="39">
        <f t="shared" si="341"/>
        <v>7.0143940258275439</v>
      </c>
      <c r="CA487" s="39">
        <f t="shared" si="323"/>
        <v>5.4616410016435202</v>
      </c>
      <c r="CB487" s="39">
        <f t="shared" si="324"/>
        <v>1.9026543795057211</v>
      </c>
      <c r="CC487" s="39">
        <f t="shared" si="312"/>
        <v>0.34799395161290325</v>
      </c>
      <c r="CD487" s="37"/>
      <c r="CE487" s="37"/>
      <c r="CF487" s="39">
        <f t="shared" si="346"/>
        <v>11.135806451612904</v>
      </c>
      <c r="CG487" s="39">
        <f t="shared" si="342"/>
        <v>2.6799358383551937</v>
      </c>
      <c r="CH487" s="39">
        <f t="shared" si="349"/>
        <v>6.1375677104164659</v>
      </c>
      <c r="CI487" s="39">
        <f t="shared" si="351"/>
        <v>4.0917118069443115</v>
      </c>
      <c r="CJ487" s="39">
        <f t="shared" si="338"/>
        <v>0</v>
      </c>
      <c r="CK487" s="39">
        <f t="shared" si="347"/>
        <v>4.9377653614408205E-2</v>
      </c>
      <c r="CL487" s="37"/>
      <c r="CM487" s="39">
        <f t="shared" si="348"/>
        <v>0.17447934139366858</v>
      </c>
      <c r="CN487" s="37"/>
      <c r="CO487" s="39">
        <f>0.063495+(0.016949+0.014096)*Wages!P485+1.22592*BR487</f>
        <v>1.2992707023204193</v>
      </c>
      <c r="CP487" s="39"/>
      <c r="CQ487" s="39">
        <f t="shared" si="298"/>
        <v>1.3298063372569013</v>
      </c>
      <c r="CR487" s="39">
        <f t="shared" si="343"/>
        <v>0.41220465237307968</v>
      </c>
      <c r="CS487" s="39">
        <f t="shared" si="343"/>
        <v>2.8846695431215772</v>
      </c>
      <c r="CT487" s="39">
        <f t="shared" si="325"/>
        <v>5.4616410016435202</v>
      </c>
      <c r="CU487" s="39">
        <f t="shared" si="325"/>
        <v>1.9026543795057211</v>
      </c>
      <c r="CV487" s="39">
        <f t="shared" si="325"/>
        <v>0.34799395161290325</v>
      </c>
      <c r="CW487" s="39">
        <f t="shared" si="319"/>
        <v>0.15224735383064519</v>
      </c>
      <c r="CX487" s="39">
        <f t="shared" si="352"/>
        <v>4.0917118069443115</v>
      </c>
      <c r="CY487" s="39">
        <f t="shared" si="328"/>
        <v>7.0143940258275439</v>
      </c>
      <c r="CZ487" s="39">
        <f t="shared" si="329"/>
        <v>0.38466481961789145</v>
      </c>
      <c r="DA487" s="39">
        <f t="shared" si="350"/>
        <v>6.1375677104164659</v>
      </c>
      <c r="DB487" s="39">
        <f t="shared" si="344"/>
        <v>4.8713064092794864</v>
      </c>
      <c r="DC487" s="39">
        <f t="shared" si="330"/>
        <v>4.944173566815941</v>
      </c>
      <c r="DD487" s="39">
        <f t="shared" si="345"/>
        <v>2.6799358383551937</v>
      </c>
      <c r="DE487" s="39">
        <f t="shared" si="316"/>
        <v>4.9377653614408205E-2</v>
      </c>
      <c r="DF487" s="39">
        <v>0.12</v>
      </c>
      <c r="DG487" s="39">
        <f t="shared" si="331"/>
        <v>0</v>
      </c>
      <c r="DH487" s="39">
        <f t="shared" si="332"/>
        <v>5.5895012015404353</v>
      </c>
      <c r="DI487" s="39">
        <f t="shared" si="339"/>
        <v>4.9527425812043422</v>
      </c>
      <c r="DJ487" s="37"/>
      <c r="DK487" s="37"/>
      <c r="DL487" s="37"/>
      <c r="DM487" s="39">
        <f t="shared" si="336"/>
        <v>1.3327210247133765</v>
      </c>
      <c r="DN487" s="39"/>
      <c r="DO487" s="39">
        <f t="shared" si="337"/>
        <v>1.3327210247133765</v>
      </c>
      <c r="DP487" s="37"/>
      <c r="DQ487" s="37">
        <f>DO487/'Conversions, Sources &amp; Comments'!E485</f>
        <v>2.8722935094196345</v>
      </c>
    </row>
    <row r="488" spans="1:121">
      <c r="A488" s="42">
        <f t="shared" si="333"/>
        <v>1736</v>
      </c>
      <c r="B488" s="36"/>
      <c r="C488" s="38">
        <v>26.91</v>
      </c>
      <c r="D488" s="38">
        <v>0</v>
      </c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8">
        <v>7.5</v>
      </c>
      <c r="W488" s="36"/>
      <c r="X488" s="36"/>
      <c r="Y488" s="36"/>
      <c r="Z488" s="36"/>
      <c r="AA488" s="36"/>
      <c r="AB488" s="59">
        <v>5</v>
      </c>
      <c r="AC488" s="38">
        <v>2</v>
      </c>
      <c r="AD488" s="38">
        <v>6</v>
      </c>
      <c r="AE488" s="38">
        <v>2</v>
      </c>
      <c r="AF488" s="38">
        <v>6</v>
      </c>
      <c r="AG488" s="36"/>
      <c r="AH488" s="36"/>
      <c r="AI488" s="36"/>
      <c r="AJ488" s="36"/>
      <c r="AK488" s="36"/>
      <c r="AL488" s="36"/>
      <c r="AM488" s="36"/>
      <c r="AN488" s="36"/>
      <c r="AO488" s="38">
        <v>2.14</v>
      </c>
      <c r="AP488" s="36"/>
      <c r="AQ488" s="36"/>
      <c r="AR488" s="36"/>
      <c r="AS488" s="38">
        <v>29.5</v>
      </c>
      <c r="AT488" s="38">
        <v>4</v>
      </c>
      <c r="AU488" s="38">
        <v>2</v>
      </c>
      <c r="AV488" s="36"/>
      <c r="AW488" s="38">
        <v>6</v>
      </c>
      <c r="AX488" s="36"/>
      <c r="AY488" s="36"/>
      <c r="AZ488" s="38">
        <v>120</v>
      </c>
      <c r="BA488" s="36"/>
      <c r="BB488" s="36"/>
      <c r="BC488" s="38">
        <v>8</v>
      </c>
      <c r="BD488" s="38">
        <v>5.75</v>
      </c>
      <c r="BE488" s="36"/>
      <c r="BF488" s="38">
        <v>5.3</v>
      </c>
      <c r="BG488" s="59">
        <v>20.87</v>
      </c>
      <c r="BH488" s="59">
        <v>3.29</v>
      </c>
      <c r="BI488" s="59">
        <v>0.56531788688072615</v>
      </c>
      <c r="BJ488" s="59">
        <v>8</v>
      </c>
      <c r="BK488" s="38">
        <v>5.5663999999999998</v>
      </c>
      <c r="BL488" s="59">
        <v>1.86</v>
      </c>
      <c r="BM488" s="36"/>
      <c r="BN488" s="38">
        <v>62</v>
      </c>
      <c r="BO488" s="36"/>
      <c r="BP488" s="39">
        <f t="shared" si="326"/>
        <v>0.46399193548387102</v>
      </c>
      <c r="BQ488" s="37"/>
      <c r="BR488" s="39">
        <f t="shared" si="327"/>
        <v>0.53150106350548998</v>
      </c>
      <c r="BS488" s="39">
        <f t="shared" si="296"/>
        <v>1.3553795360503031</v>
      </c>
      <c r="BT488" s="39">
        <f t="shared" si="340"/>
        <v>30.445665057996788</v>
      </c>
      <c r="BU488" s="37"/>
      <c r="BV488" s="39">
        <f t="shared" si="334"/>
        <v>0.41220465237307968</v>
      </c>
      <c r="BW488" s="39">
        <f t="shared" si="322"/>
        <v>2.8846695431215772</v>
      </c>
      <c r="BX488" s="39">
        <f t="shared" si="335"/>
        <v>0.38466481961789145</v>
      </c>
      <c r="BY488" s="39">
        <f t="shared" si="353"/>
        <v>5.1146623104992504</v>
      </c>
      <c r="BZ488" s="39">
        <f t="shared" si="341"/>
        <v>7.0143940258275439</v>
      </c>
      <c r="CA488" s="39">
        <f t="shared" si="323"/>
        <v>5.6940512570326058</v>
      </c>
      <c r="CB488" s="39">
        <f t="shared" si="324"/>
        <v>1.9026543795057211</v>
      </c>
      <c r="CC488" s="39">
        <f t="shared" si="312"/>
        <v>0.34799395161290325</v>
      </c>
      <c r="CD488" s="37"/>
      <c r="CE488" s="37"/>
      <c r="CF488" s="39">
        <f t="shared" si="346"/>
        <v>11.135806451612904</v>
      </c>
      <c r="CG488" s="39">
        <f t="shared" si="342"/>
        <v>2.6187500886210566</v>
      </c>
      <c r="CH488" s="39">
        <f t="shared" si="349"/>
        <v>6.1375677104164659</v>
      </c>
      <c r="CI488" s="39">
        <f t="shared" si="351"/>
        <v>4.0917118069443115</v>
      </c>
      <c r="CJ488" s="39">
        <f t="shared" si="338"/>
        <v>0.12200690529466697</v>
      </c>
      <c r="CK488" s="39">
        <f t="shared" si="347"/>
        <v>4.9377653614408205E-2</v>
      </c>
      <c r="CL488" s="37"/>
      <c r="CM488" s="39">
        <f t="shared" si="348"/>
        <v>0.17447934139366858</v>
      </c>
      <c r="CN488" s="37"/>
      <c r="CO488" s="39">
        <f>0.063495+(0.016949+0.014096)*Wages!P486+1.22592*BR488</f>
        <v>1.2336394507081341</v>
      </c>
      <c r="CP488" s="39"/>
      <c r="CQ488" s="39">
        <f t="shared" si="298"/>
        <v>1.3553795360503031</v>
      </c>
      <c r="CR488" s="39">
        <f t="shared" si="343"/>
        <v>0.41220465237307968</v>
      </c>
      <c r="CS488" s="39">
        <f t="shared" si="343"/>
        <v>2.8846695431215772</v>
      </c>
      <c r="CT488" s="39">
        <f t="shared" si="325"/>
        <v>5.6940512570326058</v>
      </c>
      <c r="CU488" s="39">
        <f t="shared" si="325"/>
        <v>1.9026543795057211</v>
      </c>
      <c r="CV488" s="39">
        <f t="shared" si="325"/>
        <v>0.34799395161290325</v>
      </c>
      <c r="CW488" s="39">
        <f t="shared" si="319"/>
        <v>0.15224735383064519</v>
      </c>
      <c r="CX488" s="39">
        <f t="shared" si="352"/>
        <v>4.0917118069443115</v>
      </c>
      <c r="CY488" s="39">
        <f t="shared" si="328"/>
        <v>7.0143940258275439</v>
      </c>
      <c r="CZ488" s="39">
        <f t="shared" si="329"/>
        <v>0.38466481961789145</v>
      </c>
      <c r="DA488" s="39">
        <f t="shared" si="350"/>
        <v>6.1375677104164659</v>
      </c>
      <c r="DB488" s="39">
        <f t="shared" si="344"/>
        <v>4.8713064092794864</v>
      </c>
      <c r="DC488" s="39">
        <f t="shared" si="330"/>
        <v>5.1146623104992504</v>
      </c>
      <c r="DD488" s="39">
        <f t="shared" si="345"/>
        <v>2.6187500886210566</v>
      </c>
      <c r="DE488" s="39">
        <f t="shared" si="316"/>
        <v>4.9377653614408205E-2</v>
      </c>
      <c r="DF488" s="39">
        <v>0.12200690529466697</v>
      </c>
      <c r="DG488" s="39">
        <f t="shared" si="331"/>
        <v>0</v>
      </c>
      <c r="DH488" s="39">
        <f t="shared" si="332"/>
        <v>5.5895012015404353</v>
      </c>
      <c r="DI488" s="39">
        <f t="shared" si="339"/>
        <v>5.0355732921155214</v>
      </c>
      <c r="DJ488" s="37"/>
      <c r="DK488" s="37"/>
      <c r="DL488" s="37"/>
      <c r="DM488" s="39">
        <f t="shared" si="336"/>
        <v>1.3475367937015421</v>
      </c>
      <c r="DN488" s="39"/>
      <c r="DO488" s="39">
        <f t="shared" si="337"/>
        <v>1.3475367937015421</v>
      </c>
      <c r="DP488" s="37"/>
      <c r="DQ488" s="37">
        <f>DO488/'Conversions, Sources &amp; Comments'!E486</f>
        <v>2.9042246010079293</v>
      </c>
    </row>
    <row r="489" spans="1:121">
      <c r="A489" s="42">
        <f t="shared" si="333"/>
        <v>1737</v>
      </c>
      <c r="B489" s="36"/>
      <c r="C489" s="38">
        <v>25.94</v>
      </c>
      <c r="D489" s="38">
        <v>0</v>
      </c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8">
        <v>7.5</v>
      </c>
      <c r="W489" s="36"/>
      <c r="X489" s="36"/>
      <c r="Y489" s="36"/>
      <c r="Z489" s="36"/>
      <c r="AA489" s="36"/>
      <c r="AB489" s="59">
        <v>5</v>
      </c>
      <c r="AC489" s="38">
        <v>2</v>
      </c>
      <c r="AD489" s="38">
        <v>6</v>
      </c>
      <c r="AE489" s="38">
        <v>2</v>
      </c>
      <c r="AF489" s="38">
        <v>6</v>
      </c>
      <c r="AG489" s="36"/>
      <c r="AH489" s="36"/>
      <c r="AI489" s="36"/>
      <c r="AJ489" s="36"/>
      <c r="AK489" s="36"/>
      <c r="AL489" s="36"/>
      <c r="AM489" s="36"/>
      <c r="AN489" s="36"/>
      <c r="AO489" s="38">
        <v>2.13</v>
      </c>
      <c r="AP489" s="36"/>
      <c r="AQ489" s="36"/>
      <c r="AR489" s="36"/>
      <c r="AS489" s="38">
        <v>30.12</v>
      </c>
      <c r="AT489" s="38">
        <v>4</v>
      </c>
      <c r="AU489" s="38">
        <v>2</v>
      </c>
      <c r="AV489" s="36"/>
      <c r="AW489" s="38">
        <v>6</v>
      </c>
      <c r="AX489" s="36"/>
      <c r="AY489" s="36"/>
      <c r="AZ489" s="38">
        <v>120</v>
      </c>
      <c r="BA489" s="36"/>
      <c r="BB489" s="36"/>
      <c r="BC489" s="38">
        <v>8</v>
      </c>
      <c r="BD489" s="38">
        <v>5.75</v>
      </c>
      <c r="BE489" s="36"/>
      <c r="BF489" s="38">
        <v>4.8</v>
      </c>
      <c r="BG489" s="59">
        <v>20.87</v>
      </c>
      <c r="BH489" s="59">
        <v>3.29</v>
      </c>
      <c r="BI489" s="59">
        <v>0.56531788688072615</v>
      </c>
      <c r="BJ489" s="59">
        <v>8</v>
      </c>
      <c r="BK489" s="38">
        <v>5.4527999999999999</v>
      </c>
      <c r="BL489" s="59">
        <v>1.86</v>
      </c>
      <c r="BM489" s="36"/>
      <c r="BN489" s="38">
        <v>62</v>
      </c>
      <c r="BO489" s="36"/>
      <c r="BP489" s="39">
        <f t="shared" si="326"/>
        <v>0.46399193548387102</v>
      </c>
      <c r="BQ489" s="37"/>
      <c r="BR489" s="39">
        <f t="shared" si="327"/>
        <v>0.51234253390309958</v>
      </c>
      <c r="BS489" s="39">
        <f t="shared" ref="BS489:BS552" si="354">BP489*(BF489/4)/0.453592</f>
        <v>1.2275135420832934</v>
      </c>
      <c r="BT489" s="39">
        <f t="shared" si="340"/>
        <v>30.445665057996788</v>
      </c>
      <c r="BU489" s="37"/>
      <c r="BV489" s="39">
        <f t="shared" si="334"/>
        <v>0.41220465237307968</v>
      </c>
      <c r="BW489" s="39">
        <f t="shared" si="322"/>
        <v>2.8846695431215772</v>
      </c>
      <c r="BX489" s="39">
        <f t="shared" si="335"/>
        <v>0.38466481961789145</v>
      </c>
      <c r="BY489" s="39">
        <f t="shared" si="353"/>
        <v>5.1146623104992504</v>
      </c>
      <c r="BZ489" s="39">
        <f t="shared" si="341"/>
        <v>7.0143940258275439</v>
      </c>
      <c r="CA489" s="39">
        <f t="shared" si="323"/>
        <v>5.5778461293380621</v>
      </c>
      <c r="CB489" s="39">
        <f t="shared" si="324"/>
        <v>1.9026543795057211</v>
      </c>
      <c r="CC489" s="39">
        <f t="shared" si="312"/>
        <v>0.34799395161290325</v>
      </c>
      <c r="CD489" s="37"/>
      <c r="CE489" s="37"/>
      <c r="CF489" s="39">
        <f t="shared" si="346"/>
        <v>11.135806451612904</v>
      </c>
      <c r="CG489" s="39">
        <f t="shared" si="342"/>
        <v>2.6065129386742294</v>
      </c>
      <c r="CH489" s="39">
        <f t="shared" si="349"/>
        <v>6.1375677104164659</v>
      </c>
      <c r="CI489" s="39">
        <f t="shared" si="351"/>
        <v>4.0917118069443115</v>
      </c>
      <c r="CJ489" s="39">
        <f t="shared" si="338"/>
        <v>0.12457111821950403</v>
      </c>
      <c r="CK489" s="39">
        <f t="shared" si="347"/>
        <v>4.9377653614408205E-2</v>
      </c>
      <c r="CL489" s="37"/>
      <c r="CM489" s="39">
        <f t="shared" si="348"/>
        <v>0.17447934139366858</v>
      </c>
      <c r="CN489" s="37"/>
      <c r="CO489" s="39">
        <f>0.063495+(0.016949+0.014096)*Wages!P487+1.22592*BR489</f>
        <v>1.2101526260979716</v>
      </c>
      <c r="CP489" s="39"/>
      <c r="CQ489" s="39">
        <f t="shared" ref="CQ489:CQ552" si="355">BS489</f>
        <v>1.2275135420832934</v>
      </c>
      <c r="CR489" s="39">
        <f t="shared" si="343"/>
        <v>0.41220465237307968</v>
      </c>
      <c r="CS489" s="39">
        <f t="shared" si="343"/>
        <v>2.8846695431215772</v>
      </c>
      <c r="CT489" s="39">
        <f t="shared" si="325"/>
        <v>5.5778461293380621</v>
      </c>
      <c r="CU489" s="39">
        <f t="shared" si="325"/>
        <v>1.9026543795057211</v>
      </c>
      <c r="CV489" s="39">
        <f t="shared" si="325"/>
        <v>0.34799395161290325</v>
      </c>
      <c r="CW489" s="39">
        <f t="shared" si="319"/>
        <v>0.15224735383064519</v>
      </c>
      <c r="CX489" s="39">
        <f t="shared" si="352"/>
        <v>4.0917118069443115</v>
      </c>
      <c r="CY489" s="39">
        <f t="shared" si="328"/>
        <v>7.0143940258275439</v>
      </c>
      <c r="CZ489" s="39">
        <f t="shared" si="329"/>
        <v>0.38466481961789145</v>
      </c>
      <c r="DA489" s="39">
        <f t="shared" si="350"/>
        <v>6.1375677104164659</v>
      </c>
      <c r="DB489" s="39">
        <f t="shared" si="344"/>
        <v>4.8713064092794864</v>
      </c>
      <c r="DC489" s="39">
        <f t="shared" si="330"/>
        <v>5.1146623104992504</v>
      </c>
      <c r="DD489" s="39">
        <f t="shared" si="345"/>
        <v>2.6065129386742294</v>
      </c>
      <c r="DE489" s="39">
        <f t="shared" si="316"/>
        <v>4.9377653614408205E-2</v>
      </c>
      <c r="DF489" s="39">
        <v>0.12457111821950403</v>
      </c>
      <c r="DG489" s="39">
        <f t="shared" si="331"/>
        <v>0</v>
      </c>
      <c r="DH489" s="39">
        <f t="shared" si="332"/>
        <v>5.5895012015404353</v>
      </c>
      <c r="DI489" s="39">
        <f t="shared" si="339"/>
        <v>5.1414056799498136</v>
      </c>
      <c r="DJ489" s="37"/>
      <c r="DK489" s="37"/>
      <c r="DL489" s="37"/>
      <c r="DM489" s="39">
        <f t="shared" si="336"/>
        <v>1.2899138265631316</v>
      </c>
      <c r="DN489" s="39"/>
      <c r="DO489" s="39">
        <f t="shared" si="337"/>
        <v>1.2899138265631316</v>
      </c>
      <c r="DP489" s="37"/>
      <c r="DQ489" s="37">
        <f>DO489/'Conversions, Sources &amp; Comments'!E487</f>
        <v>2.7800350133627929</v>
      </c>
    </row>
    <row r="490" spans="1:121">
      <c r="A490" s="42">
        <f t="shared" si="333"/>
        <v>1738</v>
      </c>
      <c r="B490" s="36"/>
      <c r="C490" s="38">
        <v>26.5</v>
      </c>
      <c r="D490" s="38">
        <v>0</v>
      </c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8">
        <v>7.5</v>
      </c>
      <c r="W490" s="36"/>
      <c r="X490" s="36"/>
      <c r="Y490" s="36"/>
      <c r="Z490" s="36"/>
      <c r="AA490" s="36"/>
      <c r="AB490" s="59">
        <v>6</v>
      </c>
      <c r="AC490" s="38">
        <v>2</v>
      </c>
      <c r="AD490" s="38">
        <v>6</v>
      </c>
      <c r="AE490" s="38">
        <v>2</v>
      </c>
      <c r="AF490" s="38">
        <v>6</v>
      </c>
      <c r="AG490" s="36"/>
      <c r="AH490" s="36"/>
      <c r="AI490" s="36"/>
      <c r="AJ490" s="36"/>
      <c r="AK490" s="36"/>
      <c r="AL490" s="36"/>
      <c r="AM490" s="36"/>
      <c r="AN490" s="36"/>
      <c r="AO490" s="38">
        <v>2.15</v>
      </c>
      <c r="AP490" s="36"/>
      <c r="AQ490" s="36"/>
      <c r="AR490" s="36"/>
      <c r="AS490" s="38">
        <v>30.69</v>
      </c>
      <c r="AT490" s="38">
        <v>4</v>
      </c>
      <c r="AU490" s="38">
        <v>2</v>
      </c>
      <c r="AV490" s="36"/>
      <c r="AW490" s="38">
        <v>7.38</v>
      </c>
      <c r="AX490" s="36"/>
      <c r="AY490" s="36"/>
      <c r="AZ490" s="38">
        <v>120</v>
      </c>
      <c r="BA490" s="36"/>
      <c r="BB490" s="36"/>
      <c r="BC490" s="38">
        <v>8</v>
      </c>
      <c r="BD490" s="38">
        <v>5.75</v>
      </c>
      <c r="BE490" s="36"/>
      <c r="BF490" s="38">
        <v>5</v>
      </c>
      <c r="BG490" s="59">
        <v>20.87</v>
      </c>
      <c r="BH490" s="59">
        <v>3.29</v>
      </c>
      <c r="BI490" s="59">
        <v>0.56531788688072615</v>
      </c>
      <c r="BJ490" s="59">
        <v>8</v>
      </c>
      <c r="BK490" s="38">
        <v>5.3959999999999999</v>
      </c>
      <c r="BL490" s="59">
        <v>1.86</v>
      </c>
      <c r="BM490" s="36"/>
      <c r="BN490" s="38">
        <v>62</v>
      </c>
      <c r="BO490" s="36"/>
      <c r="BP490" s="39">
        <f t="shared" si="326"/>
        <v>0.46399193548387102</v>
      </c>
      <c r="BQ490" s="37"/>
      <c r="BR490" s="39">
        <f t="shared" si="327"/>
        <v>0.52340312831272695</v>
      </c>
      <c r="BS490" s="39">
        <f t="shared" si="354"/>
        <v>1.2786599396700973</v>
      </c>
      <c r="BT490" s="39">
        <f t="shared" si="340"/>
        <v>30.445665057996788</v>
      </c>
      <c r="BU490" s="37"/>
      <c r="BV490" s="39">
        <f t="shared" si="334"/>
        <v>0.41220465237307968</v>
      </c>
      <c r="BW490" s="39">
        <f t="shared" si="322"/>
        <v>2.8846695431215772</v>
      </c>
      <c r="BX490" s="39">
        <f t="shared" si="335"/>
        <v>0.38466481961789145</v>
      </c>
      <c r="BY490" s="39">
        <f t="shared" si="353"/>
        <v>6.1375947725990994</v>
      </c>
      <c r="BZ490" s="39">
        <f t="shared" si="341"/>
        <v>7.0143940258275439</v>
      </c>
      <c r="CA490" s="39">
        <f t="shared" si="323"/>
        <v>5.5197435654907911</v>
      </c>
      <c r="CB490" s="39">
        <f t="shared" si="324"/>
        <v>1.9026543795057211</v>
      </c>
      <c r="CC490" s="39">
        <f t="shared" si="312"/>
        <v>0.34799395161290325</v>
      </c>
      <c r="CD490" s="37"/>
      <c r="CE490" s="37"/>
      <c r="CF490" s="39">
        <f t="shared" si="346"/>
        <v>11.135806451612904</v>
      </c>
      <c r="CG490" s="39">
        <f t="shared" si="342"/>
        <v>2.6309872385678839</v>
      </c>
      <c r="CH490" s="39">
        <f t="shared" si="349"/>
        <v>7.5492082838122538</v>
      </c>
      <c r="CI490" s="39">
        <f t="shared" si="351"/>
        <v>4.0917118069443115</v>
      </c>
      <c r="CJ490" s="39">
        <f t="shared" si="338"/>
        <v>0.12692853977943488</v>
      </c>
      <c r="CK490" s="39">
        <f t="shared" si="347"/>
        <v>4.9377653614408205E-2</v>
      </c>
      <c r="CL490" s="37"/>
      <c r="CM490" s="39">
        <f t="shared" si="348"/>
        <v>0.17447934139366858</v>
      </c>
      <c r="CN490" s="37"/>
      <c r="CO490" s="39">
        <f>0.063495+(0.016949+0.014096)*Wages!P488+1.22592*BR490</f>
        <v>1.223712029996622</v>
      </c>
      <c r="CP490" s="39"/>
      <c r="CQ490" s="39">
        <f t="shared" si="355"/>
        <v>1.2786599396700973</v>
      </c>
      <c r="CR490" s="39">
        <f t="shared" si="343"/>
        <v>0.41220465237307968</v>
      </c>
      <c r="CS490" s="39">
        <f t="shared" si="343"/>
        <v>2.8846695431215772</v>
      </c>
      <c r="CT490" s="39">
        <f t="shared" si="325"/>
        <v>5.5197435654907911</v>
      </c>
      <c r="CU490" s="39">
        <f t="shared" si="325"/>
        <v>1.9026543795057211</v>
      </c>
      <c r="CV490" s="39">
        <f t="shared" si="325"/>
        <v>0.34799395161290325</v>
      </c>
      <c r="CW490" s="39">
        <f t="shared" si="319"/>
        <v>0.15224735383064519</v>
      </c>
      <c r="CX490" s="39">
        <f t="shared" si="352"/>
        <v>4.0917118069443115</v>
      </c>
      <c r="CY490" s="39">
        <f t="shared" si="328"/>
        <v>7.0143940258275439</v>
      </c>
      <c r="CZ490" s="39">
        <f t="shared" si="329"/>
        <v>0.38466481961789145</v>
      </c>
      <c r="DA490" s="39">
        <f t="shared" si="350"/>
        <v>7.5492082838122538</v>
      </c>
      <c r="DB490" s="39">
        <f t="shared" si="344"/>
        <v>4.8713064092794864</v>
      </c>
      <c r="DC490" s="39">
        <f t="shared" si="330"/>
        <v>6.1375947725990994</v>
      </c>
      <c r="DD490" s="39">
        <f t="shared" si="345"/>
        <v>2.6309872385678839</v>
      </c>
      <c r="DE490" s="39">
        <f t="shared" si="316"/>
        <v>4.9377653614408205E-2</v>
      </c>
      <c r="DF490" s="39">
        <v>0.12692853977943488</v>
      </c>
      <c r="DG490" s="39">
        <f t="shared" si="331"/>
        <v>0</v>
      </c>
      <c r="DH490" s="39">
        <f t="shared" si="332"/>
        <v>5.5895012015404353</v>
      </c>
      <c r="DI490" s="39">
        <f t="shared" si="339"/>
        <v>5.2387031977974692</v>
      </c>
      <c r="DJ490" s="37"/>
      <c r="DK490" s="37"/>
      <c r="DL490" s="37"/>
      <c r="DM490" s="39">
        <f t="shared" si="336"/>
        <v>1.3270314027348689</v>
      </c>
      <c r="DN490" s="39"/>
      <c r="DO490" s="39">
        <f t="shared" si="337"/>
        <v>1.3270314027348689</v>
      </c>
      <c r="DP490" s="37"/>
      <c r="DQ490" s="37">
        <f>DO490/'Conversions, Sources &amp; Comments'!E488</f>
        <v>2.8600311799621747</v>
      </c>
    </row>
    <row r="491" spans="1:121">
      <c r="A491" s="42">
        <f t="shared" si="333"/>
        <v>1739</v>
      </c>
      <c r="B491" s="36"/>
      <c r="C491" s="38">
        <v>36.39</v>
      </c>
      <c r="D491" s="38">
        <v>0</v>
      </c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8">
        <v>7.5</v>
      </c>
      <c r="W491" s="36"/>
      <c r="X491" s="36"/>
      <c r="Y491" s="36"/>
      <c r="Z491" s="36"/>
      <c r="AA491" s="36"/>
      <c r="AB491" s="59">
        <v>7.333333333333333</v>
      </c>
      <c r="AC491" s="38">
        <v>2</v>
      </c>
      <c r="AD491" s="38">
        <v>6</v>
      </c>
      <c r="AE491" s="38">
        <v>2</v>
      </c>
      <c r="AF491" s="38">
        <v>6</v>
      </c>
      <c r="AG491" s="36"/>
      <c r="AH491" s="36"/>
      <c r="AI491" s="36"/>
      <c r="AJ491" s="36"/>
      <c r="AK491" s="36"/>
      <c r="AL491" s="36"/>
      <c r="AM491" s="36"/>
      <c r="AN491" s="36"/>
      <c r="AO491" s="38">
        <v>2.5</v>
      </c>
      <c r="AP491" s="36"/>
      <c r="AQ491" s="36"/>
      <c r="AR491" s="36"/>
      <c r="AS491" s="38">
        <v>33.67</v>
      </c>
      <c r="AT491" s="38">
        <v>4</v>
      </c>
      <c r="AU491" s="38">
        <v>2</v>
      </c>
      <c r="AV491" s="36"/>
      <c r="AW491" s="38">
        <v>8.75</v>
      </c>
      <c r="AX491" s="36"/>
      <c r="AY491" s="36"/>
      <c r="AZ491" s="38">
        <v>120</v>
      </c>
      <c r="BA491" s="36"/>
      <c r="BB491" s="36"/>
      <c r="BC491" s="38">
        <v>8</v>
      </c>
      <c r="BD491" s="38">
        <v>5.75</v>
      </c>
      <c r="BE491" s="36"/>
      <c r="BF491" s="38">
        <v>6.2</v>
      </c>
      <c r="BG491" s="59">
        <v>20.87</v>
      </c>
      <c r="BH491" s="59">
        <v>3.29</v>
      </c>
      <c r="BI491" s="59">
        <v>0.56531788688072615</v>
      </c>
      <c r="BJ491" s="59">
        <v>8</v>
      </c>
      <c r="BK491" s="38">
        <v>5.9072000000000005</v>
      </c>
      <c r="BL491" s="59">
        <v>1.86</v>
      </c>
      <c r="BM491" s="36"/>
      <c r="BN491" s="38">
        <v>62</v>
      </c>
      <c r="BO491" s="36"/>
      <c r="BP491" s="39">
        <f t="shared" si="326"/>
        <v>0.46399193548387102</v>
      </c>
      <c r="BQ491" s="37"/>
      <c r="BR491" s="39">
        <f t="shared" si="327"/>
        <v>0.71874112601132578</v>
      </c>
      <c r="BS491" s="39">
        <f t="shared" si="354"/>
        <v>1.5855383251909207</v>
      </c>
      <c r="BT491" s="39">
        <f t="shared" si="340"/>
        <v>30.445665057996788</v>
      </c>
      <c r="BU491" s="37"/>
      <c r="BV491" s="39">
        <f t="shared" si="334"/>
        <v>0.41220465237307968</v>
      </c>
      <c r="BW491" s="39">
        <f t="shared" si="322"/>
        <v>2.8846695431215772</v>
      </c>
      <c r="BX491" s="39">
        <f t="shared" si="335"/>
        <v>0.38466481961789145</v>
      </c>
      <c r="BY491" s="39">
        <f t="shared" si="353"/>
        <v>7.5015047220655671</v>
      </c>
      <c r="BZ491" s="39">
        <f t="shared" si="341"/>
        <v>7.0143940258275439</v>
      </c>
      <c r="CA491" s="39">
        <f t="shared" si="323"/>
        <v>6.0426666401162352</v>
      </c>
      <c r="CB491" s="39">
        <f t="shared" si="324"/>
        <v>1.9026543795057211</v>
      </c>
      <c r="CC491" s="39">
        <f t="shared" si="312"/>
        <v>0.34799395161290325</v>
      </c>
      <c r="CD491" s="37"/>
      <c r="CE491" s="37"/>
      <c r="CF491" s="39">
        <f t="shared" si="346"/>
        <v>11.135806451612904</v>
      </c>
      <c r="CG491" s="39">
        <f t="shared" si="342"/>
        <v>3.0592874867068423</v>
      </c>
      <c r="CH491" s="39">
        <f t="shared" si="349"/>
        <v>8.9506195776906807</v>
      </c>
      <c r="CI491" s="39">
        <f t="shared" si="351"/>
        <v>4.0917118069443115</v>
      </c>
      <c r="CJ491" s="39">
        <f t="shared" si="338"/>
        <v>0.13925330512784531</v>
      </c>
      <c r="CK491" s="39">
        <f t="shared" si="347"/>
        <v>4.9377653614408205E-2</v>
      </c>
      <c r="CL491" s="37"/>
      <c r="CM491" s="39">
        <f t="shared" si="348"/>
        <v>0.17447934139366858</v>
      </c>
      <c r="CN491" s="37"/>
      <c r="CO491" s="39">
        <f>0.063495+(0.016949+0.014096)*Wages!P489+1.22592*BR491</f>
        <v>1.4631807881352883</v>
      </c>
      <c r="CP491" s="39"/>
      <c r="CQ491" s="39">
        <f t="shared" si="355"/>
        <v>1.5855383251909207</v>
      </c>
      <c r="CR491" s="39">
        <f t="shared" si="343"/>
        <v>0.41220465237307968</v>
      </c>
      <c r="CS491" s="39">
        <f t="shared" si="343"/>
        <v>2.8846695431215772</v>
      </c>
      <c r="CT491" s="39">
        <f t="shared" si="325"/>
        <v>6.0426666401162352</v>
      </c>
      <c r="CU491" s="39">
        <f t="shared" si="325"/>
        <v>1.9026543795057211</v>
      </c>
      <c r="CV491" s="39">
        <f t="shared" si="325"/>
        <v>0.34799395161290325</v>
      </c>
      <c r="CW491" s="39">
        <f t="shared" si="319"/>
        <v>0.15224735383064519</v>
      </c>
      <c r="CX491" s="39">
        <f t="shared" si="352"/>
        <v>4.0917118069443115</v>
      </c>
      <c r="CY491" s="39">
        <f t="shared" si="328"/>
        <v>7.0143940258275439</v>
      </c>
      <c r="CZ491" s="39">
        <f t="shared" si="329"/>
        <v>0.38466481961789145</v>
      </c>
      <c r="DA491" s="39">
        <f t="shared" si="350"/>
        <v>8.9506195776906807</v>
      </c>
      <c r="DB491" s="39">
        <f t="shared" si="344"/>
        <v>4.8713064092794864</v>
      </c>
      <c r="DC491" s="39">
        <f t="shared" si="330"/>
        <v>7.5015047220655671</v>
      </c>
      <c r="DD491" s="39">
        <f t="shared" si="345"/>
        <v>3.0592874867068423</v>
      </c>
      <c r="DE491" s="39">
        <f t="shared" si="316"/>
        <v>4.9377653614408205E-2</v>
      </c>
      <c r="DF491" s="39">
        <v>0.13925330512784531</v>
      </c>
      <c r="DG491" s="39">
        <f t="shared" si="331"/>
        <v>0</v>
      </c>
      <c r="DH491" s="39">
        <f t="shared" si="332"/>
        <v>5.5895012015404353</v>
      </c>
      <c r="DI491" s="39">
        <f t="shared" si="339"/>
        <v>5.7473814490010042</v>
      </c>
      <c r="DJ491" s="37"/>
      <c r="DK491" s="37"/>
      <c r="DL491" s="37"/>
      <c r="DM491" s="39">
        <f t="shared" si="336"/>
        <v>1.4882140770375365</v>
      </c>
      <c r="DN491" s="39"/>
      <c r="DO491" s="39">
        <f t="shared" si="337"/>
        <v>1.4882140770375365</v>
      </c>
      <c r="DP491" s="37"/>
      <c r="DQ491" s="37">
        <f>DO491/'Conversions, Sources &amp; Comments'!E489</f>
        <v>3.2074136708552099</v>
      </c>
    </row>
    <row r="492" spans="1:121">
      <c r="A492" s="42">
        <f t="shared" si="333"/>
        <v>1740</v>
      </c>
      <c r="B492" s="36"/>
      <c r="C492" s="38">
        <v>50.2</v>
      </c>
      <c r="D492" s="38">
        <v>0</v>
      </c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8">
        <v>8</v>
      </c>
      <c r="W492" s="36"/>
      <c r="X492" s="36"/>
      <c r="Y492" s="36"/>
      <c r="Z492" s="36"/>
      <c r="AA492" s="36"/>
      <c r="AB492" s="59">
        <v>7.5</v>
      </c>
      <c r="AC492" s="38">
        <v>2</v>
      </c>
      <c r="AD492" s="38">
        <v>6</v>
      </c>
      <c r="AE492" s="38">
        <v>2</v>
      </c>
      <c r="AF492" s="38">
        <v>6</v>
      </c>
      <c r="AG492" s="36"/>
      <c r="AH492" s="36"/>
      <c r="AI492" s="36"/>
      <c r="AJ492" s="36"/>
      <c r="AK492" s="36"/>
      <c r="AL492" s="36"/>
      <c r="AM492" s="36"/>
      <c r="AN492" s="36"/>
      <c r="AO492" s="38">
        <v>2.85</v>
      </c>
      <c r="AP492" s="36"/>
      <c r="AQ492" s="36"/>
      <c r="AR492" s="36"/>
      <c r="AS492" s="38">
        <v>30.76</v>
      </c>
      <c r="AT492" s="38">
        <v>4</v>
      </c>
      <c r="AU492" s="38">
        <v>2</v>
      </c>
      <c r="AV492" s="36"/>
      <c r="AW492" s="38">
        <v>8.3800000000000008</v>
      </c>
      <c r="AX492" s="36"/>
      <c r="AY492" s="36"/>
      <c r="AZ492" s="38">
        <v>120</v>
      </c>
      <c r="BA492" s="36"/>
      <c r="BB492" s="36"/>
      <c r="BC492" s="38">
        <v>8</v>
      </c>
      <c r="BD492" s="38">
        <v>5.75</v>
      </c>
      <c r="BE492" s="36"/>
      <c r="BF492" s="38">
        <v>6.4</v>
      </c>
      <c r="BG492" s="59">
        <v>19.8</v>
      </c>
      <c r="BH492" s="59">
        <v>3.71</v>
      </c>
      <c r="BI492" s="59">
        <v>0.56531788688072615</v>
      </c>
      <c r="BJ492" s="59">
        <v>9</v>
      </c>
      <c r="BK492" s="38">
        <v>6.5319999999999991</v>
      </c>
      <c r="BL492" s="59">
        <v>2.02</v>
      </c>
      <c r="BM492" s="36"/>
      <c r="BN492" s="38">
        <v>62</v>
      </c>
      <c r="BO492" s="36"/>
      <c r="BP492" s="39">
        <f t="shared" si="326"/>
        <v>0.46399193548387102</v>
      </c>
      <c r="BQ492" s="37"/>
      <c r="BR492" s="39">
        <f t="shared" si="327"/>
        <v>0.99150328457731696</v>
      </c>
      <c r="BS492" s="39">
        <f t="shared" si="354"/>
        <v>1.6366847227777246</v>
      </c>
      <c r="BT492" s="39">
        <f t="shared" si="340"/>
        <v>30.445665057996788</v>
      </c>
      <c r="BU492" s="37"/>
      <c r="BV492" s="39">
        <f t="shared" si="334"/>
        <v>0.39107101662611299</v>
      </c>
      <c r="BW492" s="39">
        <f t="shared" si="322"/>
        <v>3.2529252294775235</v>
      </c>
      <c r="BX492" s="39">
        <f t="shared" si="335"/>
        <v>0.38466481961789145</v>
      </c>
      <c r="BY492" s="39">
        <f t="shared" si="353"/>
        <v>7.6719934657488755</v>
      </c>
      <c r="BZ492" s="39">
        <f t="shared" si="341"/>
        <v>7.8911932790559876</v>
      </c>
      <c r="CA492" s="39">
        <f t="shared" si="323"/>
        <v>6.6817948424362203</v>
      </c>
      <c r="CB492" s="39">
        <f t="shared" si="324"/>
        <v>2.0663235734416969</v>
      </c>
      <c r="CC492" s="39">
        <f t="shared" si="312"/>
        <v>0.37119354838709678</v>
      </c>
      <c r="CD492" s="37"/>
      <c r="CE492" s="37"/>
      <c r="CF492" s="39">
        <f t="shared" si="346"/>
        <v>11.135806451612904</v>
      </c>
      <c r="CG492" s="39">
        <f t="shared" si="342"/>
        <v>3.4875877348458002</v>
      </c>
      <c r="CH492" s="39">
        <f t="shared" si="349"/>
        <v>8.5721362355483333</v>
      </c>
      <c r="CI492" s="39">
        <f t="shared" si="351"/>
        <v>4.0917118069443115</v>
      </c>
      <c r="CJ492" s="39">
        <f t="shared" si="338"/>
        <v>0.12721804769030357</v>
      </c>
      <c r="CK492" s="39">
        <f t="shared" si="347"/>
        <v>4.9377653614408205E-2</v>
      </c>
      <c r="CL492" s="37"/>
      <c r="CM492" s="39">
        <f t="shared" si="348"/>
        <v>0.17447934139366858</v>
      </c>
      <c r="CN492" s="37"/>
      <c r="CO492" s="39">
        <f>0.063495+(0.016949+0.014096)*Wages!P490+1.22592*BR492</f>
        <v>1.7975653735645083</v>
      </c>
      <c r="CP492" s="39"/>
      <c r="CQ492" s="39">
        <f t="shared" si="355"/>
        <v>1.6366847227777246</v>
      </c>
      <c r="CR492" s="39">
        <f t="shared" si="343"/>
        <v>0.39107101662611299</v>
      </c>
      <c r="CS492" s="39">
        <f t="shared" si="343"/>
        <v>3.2529252294775235</v>
      </c>
      <c r="CT492" s="39">
        <f t="shared" si="325"/>
        <v>6.6817948424362203</v>
      </c>
      <c r="CU492" s="39">
        <f t="shared" si="325"/>
        <v>2.0663235734416969</v>
      </c>
      <c r="CV492" s="39">
        <f t="shared" si="325"/>
        <v>0.37119354838709678</v>
      </c>
      <c r="CW492" s="39">
        <f t="shared" si="319"/>
        <v>0.15224735383064519</v>
      </c>
      <c r="CX492" s="39">
        <f t="shared" si="352"/>
        <v>4.0917118069443115</v>
      </c>
      <c r="CY492" s="39">
        <f t="shared" si="328"/>
        <v>7.8911932790559876</v>
      </c>
      <c r="CZ492" s="39">
        <f t="shared" si="329"/>
        <v>0.38466481961789145</v>
      </c>
      <c r="DA492" s="39">
        <f t="shared" si="350"/>
        <v>8.5721362355483333</v>
      </c>
      <c r="DB492" s="39">
        <f t="shared" si="344"/>
        <v>4.8713064092794864</v>
      </c>
      <c r="DC492" s="39">
        <f t="shared" si="330"/>
        <v>7.6719934657488755</v>
      </c>
      <c r="DD492" s="39">
        <f t="shared" si="345"/>
        <v>3.4875877348458002</v>
      </c>
      <c r="DE492" s="39">
        <f t="shared" si="316"/>
        <v>4.9377653614408205E-2</v>
      </c>
      <c r="DF492" s="39">
        <v>0.12721804769030359</v>
      </c>
      <c r="DG492" s="39">
        <f t="shared" si="331"/>
        <v>0</v>
      </c>
      <c r="DH492" s="39">
        <f t="shared" si="332"/>
        <v>5.5895012015404353</v>
      </c>
      <c r="DI492" s="39">
        <f t="shared" si="339"/>
        <v>5.2506520157787611</v>
      </c>
      <c r="DJ492" s="37"/>
      <c r="DK492" s="37"/>
      <c r="DL492" s="37"/>
      <c r="DM492" s="39">
        <f t="shared" si="336"/>
        <v>1.5454281953974336</v>
      </c>
      <c r="DN492" s="39"/>
      <c r="DO492" s="39">
        <f t="shared" si="337"/>
        <v>1.5454281953974336</v>
      </c>
      <c r="DP492" s="37"/>
      <c r="DQ492" s="37">
        <f>DO492/'Conversions, Sources &amp; Comments'!E490</f>
        <v>3.3307221035766359</v>
      </c>
    </row>
    <row r="493" spans="1:121">
      <c r="A493" s="42">
        <f t="shared" si="333"/>
        <v>1741</v>
      </c>
      <c r="B493" s="36"/>
      <c r="C493" s="38">
        <v>26.64</v>
      </c>
      <c r="D493" s="38">
        <v>0</v>
      </c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8">
        <v>8</v>
      </c>
      <c r="W493" s="36"/>
      <c r="X493" s="36"/>
      <c r="Y493" s="36"/>
      <c r="Z493" s="36"/>
      <c r="AA493" s="36"/>
      <c r="AB493" s="59">
        <v>7.333333333333333</v>
      </c>
      <c r="AC493" s="38">
        <v>2</v>
      </c>
      <c r="AD493" s="38">
        <v>6</v>
      </c>
      <c r="AE493" s="38">
        <v>2</v>
      </c>
      <c r="AF493" s="38">
        <v>6</v>
      </c>
      <c r="AG493" s="36"/>
      <c r="AH493" s="36"/>
      <c r="AI493" s="36"/>
      <c r="AJ493" s="36"/>
      <c r="AK493" s="36"/>
      <c r="AL493" s="36"/>
      <c r="AM493" s="36"/>
      <c r="AN493" s="36"/>
      <c r="AO493" s="38">
        <v>2.21</v>
      </c>
      <c r="AP493" s="36"/>
      <c r="AQ493" s="36"/>
      <c r="AR493" s="36"/>
      <c r="AS493" s="38">
        <v>30.98</v>
      </c>
      <c r="AT493" s="38">
        <v>4</v>
      </c>
      <c r="AU493" s="38">
        <v>2</v>
      </c>
      <c r="AV493" s="36"/>
      <c r="AW493" s="38">
        <v>8</v>
      </c>
      <c r="AX493" s="36"/>
      <c r="AY493" s="36"/>
      <c r="AZ493" s="38">
        <v>120</v>
      </c>
      <c r="BA493" s="36"/>
      <c r="BB493" s="36"/>
      <c r="BC493" s="38">
        <v>8</v>
      </c>
      <c r="BD493" s="38">
        <v>5.75</v>
      </c>
      <c r="BE493" s="36"/>
      <c r="BF493" s="38">
        <v>4.7</v>
      </c>
      <c r="BG493" s="59">
        <v>19.8</v>
      </c>
      <c r="BH493" s="59">
        <v>3.71</v>
      </c>
      <c r="BI493" s="59">
        <v>0.56531788688072615</v>
      </c>
      <c r="BJ493" s="59">
        <v>9</v>
      </c>
      <c r="BK493" s="38">
        <v>6.7023999999999999</v>
      </c>
      <c r="BL493" s="59">
        <v>2.02</v>
      </c>
      <c r="BM493" s="36"/>
      <c r="BN493" s="38">
        <v>62</v>
      </c>
      <c r="BO493" s="36"/>
      <c r="BP493" s="39">
        <f t="shared" si="326"/>
        <v>0.46399193548387102</v>
      </c>
      <c r="BQ493" s="37"/>
      <c r="BR493" s="39">
        <f t="shared" si="327"/>
        <v>0.5261682769151339</v>
      </c>
      <c r="BS493" s="39">
        <f t="shared" si="354"/>
        <v>1.2019403432898916</v>
      </c>
      <c r="BT493" s="39">
        <f t="shared" si="340"/>
        <v>30.445665057996788</v>
      </c>
      <c r="BU493" s="37"/>
      <c r="BV493" s="39">
        <f t="shared" si="334"/>
        <v>0.39107101662611299</v>
      </c>
      <c r="BW493" s="39">
        <f t="shared" si="322"/>
        <v>3.2529252294775235</v>
      </c>
      <c r="BX493" s="39">
        <f t="shared" si="335"/>
        <v>0.38466481961789145</v>
      </c>
      <c r="BY493" s="39">
        <f t="shared" si="353"/>
        <v>7.5015047220655671</v>
      </c>
      <c r="BZ493" s="39">
        <f t="shared" si="341"/>
        <v>7.8911932790559876</v>
      </c>
      <c r="CA493" s="39">
        <f t="shared" si="323"/>
        <v>6.8561025339780359</v>
      </c>
      <c r="CB493" s="39">
        <f t="shared" si="324"/>
        <v>2.0663235734416969</v>
      </c>
      <c r="CC493" s="39">
        <f t="shared" si="312"/>
        <v>0.37119354838709678</v>
      </c>
      <c r="CD493" s="37"/>
      <c r="CE493" s="37"/>
      <c r="CF493" s="39">
        <f t="shared" si="346"/>
        <v>11.135806451612904</v>
      </c>
      <c r="CG493" s="39">
        <f t="shared" si="342"/>
        <v>2.7044101382488481</v>
      </c>
      <c r="CH493" s="39">
        <f t="shared" si="349"/>
        <v>8.1834236138886229</v>
      </c>
      <c r="CI493" s="39">
        <f t="shared" si="351"/>
        <v>4.0917118069443115</v>
      </c>
      <c r="CJ493" s="39">
        <f t="shared" si="338"/>
        <v>0.12812792969589093</v>
      </c>
      <c r="CK493" s="39">
        <f t="shared" si="347"/>
        <v>4.9377653614408205E-2</v>
      </c>
      <c r="CL493" s="37"/>
      <c r="CM493" s="39">
        <f t="shared" si="348"/>
        <v>0.17447934139366858</v>
      </c>
      <c r="CN493" s="37"/>
      <c r="CO493" s="39">
        <f>0.063495+(0.016949+0.014096)*Wages!P491+1.22592*BR493</f>
        <v>1.2271018809712848</v>
      </c>
      <c r="CP493" s="39"/>
      <c r="CQ493" s="39">
        <f t="shared" si="355"/>
        <v>1.2019403432898916</v>
      </c>
      <c r="CR493" s="39">
        <f t="shared" si="343"/>
        <v>0.39107101662611299</v>
      </c>
      <c r="CS493" s="39">
        <f t="shared" si="343"/>
        <v>3.2529252294775235</v>
      </c>
      <c r="CT493" s="39">
        <f t="shared" si="325"/>
        <v>6.8561025339780359</v>
      </c>
      <c r="CU493" s="39">
        <f t="shared" si="325"/>
        <v>2.0663235734416969</v>
      </c>
      <c r="CV493" s="39">
        <f t="shared" si="325"/>
        <v>0.37119354838709678</v>
      </c>
      <c r="CW493" s="39">
        <f t="shared" si="319"/>
        <v>0.15224735383064519</v>
      </c>
      <c r="CX493" s="39">
        <f t="shared" si="352"/>
        <v>4.0917118069443115</v>
      </c>
      <c r="CY493" s="39">
        <f t="shared" si="328"/>
        <v>7.8911932790559876</v>
      </c>
      <c r="CZ493" s="39">
        <f t="shared" si="329"/>
        <v>0.38466481961789145</v>
      </c>
      <c r="DA493" s="39">
        <f t="shared" si="350"/>
        <v>8.1834236138886229</v>
      </c>
      <c r="DB493" s="39">
        <f t="shared" si="344"/>
        <v>4.8713064092794864</v>
      </c>
      <c r="DC493" s="39">
        <f t="shared" si="330"/>
        <v>7.5015047220655671</v>
      </c>
      <c r="DD493" s="39">
        <f t="shared" si="345"/>
        <v>2.7044101382488481</v>
      </c>
      <c r="DE493" s="39">
        <f t="shared" si="316"/>
        <v>4.9377653614408205E-2</v>
      </c>
      <c r="DF493" s="39">
        <v>0.12812792969589093</v>
      </c>
      <c r="DG493" s="39">
        <f t="shared" si="331"/>
        <v>0</v>
      </c>
      <c r="DH493" s="39">
        <f t="shared" si="332"/>
        <v>5.5895012015404353</v>
      </c>
      <c r="DI493" s="39">
        <f t="shared" si="339"/>
        <v>5.2882054437199617</v>
      </c>
      <c r="DJ493" s="37"/>
      <c r="DK493" s="37"/>
      <c r="DL493" s="37"/>
      <c r="DM493" s="39">
        <f t="shared" si="336"/>
        <v>1.3484951551834921</v>
      </c>
      <c r="DN493" s="39"/>
      <c r="DO493" s="39">
        <f t="shared" si="337"/>
        <v>1.3484951551834921</v>
      </c>
      <c r="DP493" s="37"/>
      <c r="DQ493" s="37">
        <f>DO493/'Conversions, Sources &amp; Comments'!E491</f>
        <v>2.9062900711350133</v>
      </c>
    </row>
    <row r="494" spans="1:121">
      <c r="A494" s="42">
        <f t="shared" si="333"/>
        <v>1742</v>
      </c>
      <c r="B494" s="36"/>
      <c r="C494" s="38">
        <v>20.92</v>
      </c>
      <c r="D494" s="38">
        <v>0</v>
      </c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59">
        <v>6.333333333333333</v>
      </c>
      <c r="AC494" s="38">
        <v>2</v>
      </c>
      <c r="AD494" s="38">
        <v>6</v>
      </c>
      <c r="AE494" s="38">
        <v>2</v>
      </c>
      <c r="AF494" s="38">
        <v>6</v>
      </c>
      <c r="AG494" s="36"/>
      <c r="AH494" s="36"/>
      <c r="AI494" s="36"/>
      <c r="AJ494" s="36"/>
      <c r="AK494" s="36"/>
      <c r="AL494" s="36"/>
      <c r="AM494" s="36"/>
      <c r="AN494" s="36"/>
      <c r="AO494" s="38">
        <v>2.25</v>
      </c>
      <c r="AP494" s="36"/>
      <c r="AQ494" s="36"/>
      <c r="AR494" s="36"/>
      <c r="AS494" s="38">
        <v>31.63</v>
      </c>
      <c r="AT494" s="38">
        <v>4</v>
      </c>
      <c r="AU494" s="38">
        <v>2</v>
      </c>
      <c r="AV494" s="36"/>
      <c r="AW494" s="38">
        <v>8</v>
      </c>
      <c r="AX494" s="36"/>
      <c r="AY494" s="36"/>
      <c r="AZ494" s="38">
        <v>120</v>
      </c>
      <c r="BA494" s="36"/>
      <c r="BB494" s="36"/>
      <c r="BC494" s="38">
        <v>8</v>
      </c>
      <c r="BD494" s="38">
        <v>5.75</v>
      </c>
      <c r="BE494" s="36"/>
      <c r="BF494" s="38">
        <v>4.0999999999999996</v>
      </c>
      <c r="BG494" s="59">
        <v>19.8</v>
      </c>
      <c r="BH494" s="59">
        <v>3.71</v>
      </c>
      <c r="BI494" s="59">
        <v>0.56531788688072615</v>
      </c>
      <c r="BJ494" s="59">
        <v>9</v>
      </c>
      <c r="BK494" s="38">
        <v>6.0207999999999995</v>
      </c>
      <c r="BL494" s="59">
        <v>2.02</v>
      </c>
      <c r="BM494" s="36"/>
      <c r="BN494" s="38">
        <v>62</v>
      </c>
      <c r="BO494" s="36"/>
      <c r="BP494" s="39">
        <f t="shared" si="326"/>
        <v>0.46399193548387102</v>
      </c>
      <c r="BQ494" s="37"/>
      <c r="BR494" s="39">
        <f t="shared" si="327"/>
        <v>0.41319220544536789</v>
      </c>
      <c r="BS494" s="39">
        <f t="shared" si="354"/>
        <v>1.0485011505294797</v>
      </c>
      <c r="BT494" s="39">
        <f t="shared" si="340"/>
        <v>30.445665057996788</v>
      </c>
      <c r="BU494" s="37"/>
      <c r="BV494" s="39">
        <f t="shared" si="334"/>
        <v>0.39107101662611299</v>
      </c>
      <c r="BW494" s="39">
        <f t="shared" si="322"/>
        <v>3.2529252294775235</v>
      </c>
      <c r="BX494" s="39">
        <f t="shared" si="335"/>
        <v>0.38466481961789145</v>
      </c>
      <c r="BY494" s="39">
        <f t="shared" si="353"/>
        <v>6.4785722599657172</v>
      </c>
      <c r="BZ494" s="39">
        <f t="shared" si="341"/>
        <v>7.8911932790559876</v>
      </c>
      <c r="CA494" s="39">
        <f t="shared" si="323"/>
        <v>6.1588717678107772</v>
      </c>
      <c r="CB494" s="39">
        <f t="shared" si="324"/>
        <v>2.0663235734416969</v>
      </c>
      <c r="CC494" s="37"/>
      <c r="CD494" s="37"/>
      <c r="CE494" s="37"/>
      <c r="CF494" s="39">
        <f t="shared" si="346"/>
        <v>11.135806451612904</v>
      </c>
      <c r="CG494" s="39">
        <f t="shared" si="342"/>
        <v>2.7533587380361579</v>
      </c>
      <c r="CH494" s="39">
        <f t="shared" si="349"/>
        <v>8.1834236138886229</v>
      </c>
      <c r="CI494" s="39">
        <f t="shared" si="351"/>
        <v>4.0917118069443115</v>
      </c>
      <c r="CJ494" s="39">
        <f t="shared" si="338"/>
        <v>0.1308162174396717</v>
      </c>
      <c r="CK494" s="39">
        <f t="shared" si="347"/>
        <v>4.9377653614408205E-2</v>
      </c>
      <c r="CL494" s="37"/>
      <c r="CM494" s="39">
        <f t="shared" si="348"/>
        <v>0.17447934139366858</v>
      </c>
      <c r="CN494" s="37"/>
      <c r="CO494" s="39">
        <f>0.063495+(0.016949+0.014096)*Wages!P492+1.22592*BR494</f>
        <v>1.0886022554350694</v>
      </c>
      <c r="CP494" s="39"/>
      <c r="CQ494" s="39">
        <f t="shared" si="355"/>
        <v>1.0485011505294797</v>
      </c>
      <c r="CR494" s="39">
        <f t="shared" si="343"/>
        <v>0.39107101662611299</v>
      </c>
      <c r="CS494" s="39">
        <f t="shared" si="343"/>
        <v>3.2529252294775235</v>
      </c>
      <c r="CT494" s="39">
        <f t="shared" si="325"/>
        <v>6.1588717678107772</v>
      </c>
      <c r="CU494" s="39">
        <f t="shared" si="325"/>
        <v>2.0663235734416969</v>
      </c>
      <c r="CV494" s="39">
        <v>0.37119354838709684</v>
      </c>
      <c r="CW494" s="39">
        <f t="shared" si="319"/>
        <v>0.15224735383064519</v>
      </c>
      <c r="CX494" s="39">
        <f t="shared" si="352"/>
        <v>4.0917118069443115</v>
      </c>
      <c r="CY494" s="39">
        <f t="shared" si="328"/>
        <v>7.8911932790559876</v>
      </c>
      <c r="CZ494" s="39">
        <f t="shared" si="329"/>
        <v>0.38466481961789145</v>
      </c>
      <c r="DA494" s="39">
        <f t="shared" si="350"/>
        <v>8.1834236138886229</v>
      </c>
      <c r="DB494" s="39">
        <f t="shared" si="344"/>
        <v>4.8713064092794864</v>
      </c>
      <c r="DC494" s="39">
        <f t="shared" si="330"/>
        <v>6.4785722599657172</v>
      </c>
      <c r="DD494" s="39">
        <f t="shared" si="345"/>
        <v>2.7533587380361579</v>
      </c>
      <c r="DE494" s="39">
        <f t="shared" si="316"/>
        <v>4.9377653614408205E-2</v>
      </c>
      <c r="DF494" s="39">
        <v>0.13081621743967173</v>
      </c>
      <c r="DG494" s="39">
        <f t="shared" si="331"/>
        <v>0</v>
      </c>
      <c r="DH494" s="39">
        <f t="shared" si="332"/>
        <v>5.5895012015404353</v>
      </c>
      <c r="DI494" s="39">
        <f t="shared" si="339"/>
        <v>5.3991587535462351</v>
      </c>
      <c r="DJ494" s="37"/>
      <c r="DK494" s="37"/>
      <c r="DL494" s="37"/>
      <c r="DM494" s="39">
        <f t="shared" si="336"/>
        <v>1.2663452445945285</v>
      </c>
      <c r="DN494" s="39"/>
      <c r="DO494" s="39">
        <f t="shared" si="337"/>
        <v>1.2663452445945285</v>
      </c>
      <c r="DP494" s="37"/>
      <c r="DQ494" s="37">
        <f>DO494/'Conversions, Sources &amp; Comments'!E492</f>
        <v>2.7292397728290867</v>
      </c>
    </row>
    <row r="495" spans="1:121">
      <c r="A495" s="42">
        <f t="shared" si="333"/>
        <v>1743</v>
      </c>
      <c r="B495" s="36"/>
      <c r="C495" s="38">
        <v>18.14</v>
      </c>
      <c r="D495" s="38">
        <v>0</v>
      </c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8">
        <v>8</v>
      </c>
      <c r="W495" s="36"/>
      <c r="X495" s="36"/>
      <c r="Y495" s="36"/>
      <c r="Z495" s="36"/>
      <c r="AA495" s="36"/>
      <c r="AB495" s="59">
        <v>6</v>
      </c>
      <c r="AC495" s="38">
        <v>2</v>
      </c>
      <c r="AD495" s="38">
        <v>6</v>
      </c>
      <c r="AE495" s="38">
        <v>2</v>
      </c>
      <c r="AF495" s="38">
        <v>6</v>
      </c>
      <c r="AG495" s="36"/>
      <c r="AH495" s="36"/>
      <c r="AI495" s="36"/>
      <c r="AJ495" s="36"/>
      <c r="AK495" s="36"/>
      <c r="AL495" s="36"/>
      <c r="AM495" s="36"/>
      <c r="AN495" s="36"/>
      <c r="AO495" s="38">
        <v>2.33</v>
      </c>
      <c r="AP495" s="36"/>
      <c r="AQ495" s="36"/>
      <c r="AR495" s="36"/>
      <c r="AS495" s="38">
        <v>33.880000000000003</v>
      </c>
      <c r="AT495" s="38">
        <v>4</v>
      </c>
      <c r="AU495" s="38">
        <v>2</v>
      </c>
      <c r="AV495" s="36"/>
      <c r="AW495" s="38">
        <v>9</v>
      </c>
      <c r="AX495" s="36"/>
      <c r="AY495" s="36"/>
      <c r="AZ495" s="38">
        <v>120</v>
      </c>
      <c r="BA495" s="36"/>
      <c r="BB495" s="36"/>
      <c r="BC495" s="38">
        <v>8</v>
      </c>
      <c r="BD495" s="38">
        <v>5.75</v>
      </c>
      <c r="BE495" s="36"/>
      <c r="BF495" s="38">
        <v>3.9</v>
      </c>
      <c r="BG495" s="59">
        <v>19.8</v>
      </c>
      <c r="BH495" s="59">
        <v>3.71</v>
      </c>
      <c r="BI495" s="59">
        <v>0.56531788688072615</v>
      </c>
      <c r="BJ495" s="59">
        <v>9</v>
      </c>
      <c r="BK495" s="38">
        <v>5.68</v>
      </c>
      <c r="BL495" s="59">
        <v>2.02</v>
      </c>
      <c r="BM495" s="36"/>
      <c r="BN495" s="38">
        <v>62</v>
      </c>
      <c r="BO495" s="36"/>
      <c r="BP495" s="39">
        <f t="shared" si="326"/>
        <v>0.46399193548387102</v>
      </c>
      <c r="BQ495" s="37"/>
      <c r="BR495" s="39">
        <f t="shared" si="327"/>
        <v>0.35828425462614594</v>
      </c>
      <c r="BS495" s="39">
        <f t="shared" si="354"/>
        <v>0.99735475294267584</v>
      </c>
      <c r="BT495" s="39">
        <f t="shared" si="340"/>
        <v>30.445665057996788</v>
      </c>
      <c r="BU495" s="37"/>
      <c r="BV495" s="39">
        <f t="shared" si="334"/>
        <v>0.39107101662611299</v>
      </c>
      <c r="BW495" s="39">
        <f t="shared" si="322"/>
        <v>3.2529252294775235</v>
      </c>
      <c r="BX495" s="39">
        <f t="shared" si="335"/>
        <v>0.38466481961789145</v>
      </c>
      <c r="BY495" s="39">
        <f t="shared" si="353"/>
        <v>6.1375947725990994</v>
      </c>
      <c r="BZ495" s="39">
        <f t="shared" si="341"/>
        <v>7.8911932790559876</v>
      </c>
      <c r="CA495" s="39">
        <f t="shared" si="323"/>
        <v>5.8102563847271487</v>
      </c>
      <c r="CB495" s="39">
        <f t="shared" si="324"/>
        <v>2.0663235734416969</v>
      </c>
      <c r="CC495" s="39">
        <f t="shared" ref="CC495:CC526" si="356">BP495*12*V495/120</f>
        <v>0.37119354838709678</v>
      </c>
      <c r="CD495" s="37"/>
      <c r="CE495" s="37"/>
      <c r="CF495" s="39">
        <f t="shared" si="346"/>
        <v>11.135806451612904</v>
      </c>
      <c r="CG495" s="39">
        <f t="shared" si="342"/>
        <v>2.8512559376107767</v>
      </c>
      <c r="CH495" s="39">
        <f t="shared" si="349"/>
        <v>9.2063515656247006</v>
      </c>
      <c r="CI495" s="39">
        <f t="shared" si="351"/>
        <v>4.0917118069443115</v>
      </c>
      <c r="CJ495" s="39">
        <f t="shared" si="338"/>
        <v>0.14012182886045141</v>
      </c>
      <c r="CK495" s="39">
        <f t="shared" si="347"/>
        <v>4.9377653614408205E-2</v>
      </c>
      <c r="CL495" s="37"/>
      <c r="CM495" s="39">
        <f t="shared" si="348"/>
        <v>0.17447934139366858</v>
      </c>
      <c r="CN495" s="37"/>
      <c r="CO495" s="39">
        <f>0.063495+(0.016949+0.014096)*Wages!P493+1.22592*BR495</f>
        <v>1.0212895003667688</v>
      </c>
      <c r="CP495" s="39"/>
      <c r="CQ495" s="39">
        <f t="shared" si="355"/>
        <v>0.99735475294267584</v>
      </c>
      <c r="CR495" s="39">
        <f t="shared" si="343"/>
        <v>0.39107101662611299</v>
      </c>
      <c r="CS495" s="39">
        <f t="shared" si="343"/>
        <v>3.2529252294775235</v>
      </c>
      <c r="CT495" s="39">
        <f t="shared" si="325"/>
        <v>5.8102563847271487</v>
      </c>
      <c r="CU495" s="39">
        <f t="shared" si="325"/>
        <v>2.0663235734416969</v>
      </c>
      <c r="CV495" s="39">
        <f t="shared" si="325"/>
        <v>0.37119354838709678</v>
      </c>
      <c r="CW495" s="39">
        <f t="shared" si="319"/>
        <v>0.15224735383064519</v>
      </c>
      <c r="CX495" s="39">
        <f t="shared" si="352"/>
        <v>4.0917118069443115</v>
      </c>
      <c r="CY495" s="39">
        <f t="shared" si="328"/>
        <v>7.8911932790559876</v>
      </c>
      <c r="CZ495" s="39">
        <f t="shared" si="329"/>
        <v>0.38466481961789145</v>
      </c>
      <c r="DA495" s="39">
        <f t="shared" si="350"/>
        <v>9.2063515656247006</v>
      </c>
      <c r="DB495" s="39">
        <f t="shared" si="344"/>
        <v>4.8713064092794864</v>
      </c>
      <c r="DC495" s="39">
        <f t="shared" si="330"/>
        <v>6.1375947725990994</v>
      </c>
      <c r="DD495" s="39">
        <f t="shared" si="345"/>
        <v>2.8512559376107767</v>
      </c>
      <c r="DE495" s="39">
        <f t="shared" si="316"/>
        <v>4.9377653614408205E-2</v>
      </c>
      <c r="DF495" s="39">
        <v>0.14012182886045144</v>
      </c>
      <c r="DG495" s="39">
        <f t="shared" si="331"/>
        <v>0</v>
      </c>
      <c r="DH495" s="39">
        <f t="shared" si="332"/>
        <v>5.5895012015404353</v>
      </c>
      <c r="DI495" s="39">
        <f t="shared" si="339"/>
        <v>5.7832279029448781</v>
      </c>
      <c r="DJ495" s="37"/>
      <c r="DK495" s="37"/>
      <c r="DL495" s="37"/>
      <c r="DM495" s="39">
        <f t="shared" si="336"/>
        <v>1.2444270259387973</v>
      </c>
      <c r="DN495" s="39"/>
      <c r="DO495" s="39">
        <f t="shared" si="337"/>
        <v>1.2444270259387973</v>
      </c>
      <c r="DP495" s="37"/>
      <c r="DQ495" s="37">
        <f>DO495/'Conversions, Sources &amp; Comments'!E493</f>
        <v>2.6820014116000843</v>
      </c>
    </row>
    <row r="496" spans="1:121">
      <c r="A496" s="42">
        <f t="shared" si="333"/>
        <v>1744</v>
      </c>
      <c r="B496" s="36"/>
      <c r="C496" s="38">
        <v>18.55</v>
      </c>
      <c r="D496" s="38">
        <v>0</v>
      </c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8">
        <v>8</v>
      </c>
      <c r="W496" s="36"/>
      <c r="X496" s="36"/>
      <c r="Y496" s="36"/>
      <c r="Z496" s="36"/>
      <c r="AA496" s="36"/>
      <c r="AB496" s="59">
        <v>6</v>
      </c>
      <c r="AC496" s="38">
        <v>2</v>
      </c>
      <c r="AD496" s="38">
        <v>6</v>
      </c>
      <c r="AE496" s="38">
        <v>2</v>
      </c>
      <c r="AF496" s="38">
        <v>6</v>
      </c>
      <c r="AG496" s="36"/>
      <c r="AH496" s="36"/>
      <c r="AI496" s="36"/>
      <c r="AJ496" s="36"/>
      <c r="AK496" s="36"/>
      <c r="AL496" s="36"/>
      <c r="AM496" s="36"/>
      <c r="AN496" s="36"/>
      <c r="AO496" s="38">
        <v>2.25</v>
      </c>
      <c r="AP496" s="36"/>
      <c r="AQ496" s="36"/>
      <c r="AR496" s="36"/>
      <c r="AS496" s="38">
        <v>35</v>
      </c>
      <c r="AT496" s="38">
        <v>4</v>
      </c>
      <c r="AU496" s="38">
        <v>2</v>
      </c>
      <c r="AV496" s="36"/>
      <c r="AW496" s="38">
        <v>7.75</v>
      </c>
      <c r="AX496" s="36"/>
      <c r="AY496" s="36"/>
      <c r="AZ496" s="38">
        <v>120</v>
      </c>
      <c r="BA496" s="36"/>
      <c r="BB496" s="36"/>
      <c r="BC496" s="38">
        <v>8</v>
      </c>
      <c r="BD496" s="38">
        <v>5.75</v>
      </c>
      <c r="BE496" s="36"/>
      <c r="BF496" s="38">
        <v>4</v>
      </c>
      <c r="BG496" s="59">
        <v>19.8</v>
      </c>
      <c r="BH496" s="59">
        <v>3.71</v>
      </c>
      <c r="BI496" s="59">
        <v>0.56531788688072615</v>
      </c>
      <c r="BJ496" s="59">
        <v>9</v>
      </c>
      <c r="BK496" s="38">
        <v>5.68</v>
      </c>
      <c r="BL496" s="59">
        <v>2.02</v>
      </c>
      <c r="BM496" s="36"/>
      <c r="BN496" s="38">
        <v>62</v>
      </c>
      <c r="BO496" s="36"/>
      <c r="BP496" s="39">
        <f t="shared" si="326"/>
        <v>0.46399193548387102</v>
      </c>
      <c r="BQ496" s="37"/>
      <c r="BR496" s="39">
        <f t="shared" si="327"/>
        <v>0.36638218981890891</v>
      </c>
      <c r="BS496" s="39">
        <f t="shared" si="354"/>
        <v>1.0229279517360779</v>
      </c>
      <c r="BT496" s="39">
        <f t="shared" si="340"/>
        <v>30.445665057996788</v>
      </c>
      <c r="BU496" s="37"/>
      <c r="BV496" s="39">
        <f t="shared" si="334"/>
        <v>0.39107101662611299</v>
      </c>
      <c r="BW496" s="39">
        <f t="shared" si="322"/>
        <v>3.2529252294775235</v>
      </c>
      <c r="BX496" s="39">
        <f t="shared" si="335"/>
        <v>0.38466481961789145</v>
      </c>
      <c r="BY496" s="39">
        <f t="shared" si="353"/>
        <v>6.1375947725990994</v>
      </c>
      <c r="BZ496" s="39">
        <f t="shared" si="341"/>
        <v>7.8911932790559876</v>
      </c>
      <c r="CA496" s="39">
        <f t="shared" si="323"/>
        <v>5.8102563847271487</v>
      </c>
      <c r="CB496" s="39">
        <f t="shared" si="324"/>
        <v>2.0663235734416969</v>
      </c>
      <c r="CC496" s="39">
        <f t="shared" si="356"/>
        <v>0.37119354838709678</v>
      </c>
      <c r="CD496" s="37"/>
      <c r="CE496" s="37"/>
      <c r="CF496" s="39">
        <f t="shared" si="346"/>
        <v>11.135806451612904</v>
      </c>
      <c r="CG496" s="39">
        <f t="shared" si="342"/>
        <v>2.7533587380361579</v>
      </c>
      <c r="CH496" s="39">
        <f t="shared" si="349"/>
        <v>7.9276916259546031</v>
      </c>
      <c r="CI496" s="39">
        <f t="shared" si="351"/>
        <v>4.0917118069443115</v>
      </c>
      <c r="CJ496" s="39">
        <f t="shared" si="338"/>
        <v>0.14475395543435063</v>
      </c>
      <c r="CK496" s="39">
        <f t="shared" si="347"/>
        <v>4.9377653614408205E-2</v>
      </c>
      <c r="CL496" s="37"/>
      <c r="CM496" s="39">
        <f t="shared" si="348"/>
        <v>0.17447934139366858</v>
      </c>
      <c r="CN496" s="37"/>
      <c r="CO496" s="39">
        <f>0.063495+(0.016949+0.014096)*Wages!P494+1.22592*BR496</f>
        <v>1.0312169210782807</v>
      </c>
      <c r="CP496" s="39"/>
      <c r="CQ496" s="39">
        <f t="shared" si="355"/>
        <v>1.0229279517360779</v>
      </c>
      <c r="CR496" s="39">
        <f t="shared" si="343"/>
        <v>0.39107101662611299</v>
      </c>
      <c r="CS496" s="39">
        <f t="shared" si="343"/>
        <v>3.2529252294775235</v>
      </c>
      <c r="CT496" s="39">
        <f t="shared" si="325"/>
        <v>5.8102563847271487</v>
      </c>
      <c r="CU496" s="39">
        <f t="shared" si="325"/>
        <v>2.0663235734416969</v>
      </c>
      <c r="CV496" s="39">
        <f t="shared" si="325"/>
        <v>0.37119354838709678</v>
      </c>
      <c r="CW496" s="39">
        <f t="shared" si="319"/>
        <v>0.15224735383064519</v>
      </c>
      <c r="CX496" s="39">
        <f t="shared" si="352"/>
        <v>4.0917118069443115</v>
      </c>
      <c r="CY496" s="39">
        <f t="shared" si="328"/>
        <v>7.8911932790559876</v>
      </c>
      <c r="CZ496" s="39">
        <f t="shared" si="329"/>
        <v>0.38466481961789145</v>
      </c>
      <c r="DA496" s="39">
        <f t="shared" si="350"/>
        <v>7.9276916259546031</v>
      </c>
      <c r="DB496" s="39">
        <f t="shared" si="344"/>
        <v>4.8713064092794864</v>
      </c>
      <c r="DC496" s="39">
        <f t="shared" si="330"/>
        <v>6.1375947725990994</v>
      </c>
      <c r="DD496" s="39">
        <f t="shared" si="345"/>
        <v>2.7533587380361579</v>
      </c>
      <c r="DE496" s="39">
        <f t="shared" si="316"/>
        <v>4.9377653614408205E-2</v>
      </c>
      <c r="DF496" s="39">
        <v>0.14475395543435063</v>
      </c>
      <c r="DG496" s="39">
        <f t="shared" si="331"/>
        <v>0</v>
      </c>
      <c r="DH496" s="39">
        <f t="shared" si="332"/>
        <v>5.5895012015404353</v>
      </c>
      <c r="DI496" s="39">
        <f t="shared" si="339"/>
        <v>5.9744089906455331</v>
      </c>
      <c r="DJ496" s="37"/>
      <c r="DK496" s="37"/>
      <c r="DL496" s="37"/>
      <c r="DM496" s="39">
        <f t="shared" si="336"/>
        <v>1.2470186793191593</v>
      </c>
      <c r="DN496" s="39"/>
      <c r="DO496" s="39">
        <f t="shared" si="337"/>
        <v>1.2470186793191593</v>
      </c>
      <c r="DP496" s="37"/>
      <c r="DQ496" s="37">
        <f>DO496/'Conversions, Sources &amp; Comments'!E494</f>
        <v>2.6875869685508951</v>
      </c>
    </row>
    <row r="497" spans="1:121">
      <c r="A497" s="42">
        <f t="shared" si="333"/>
        <v>1745</v>
      </c>
      <c r="B497" s="36"/>
      <c r="C497" s="38">
        <v>26.22</v>
      </c>
      <c r="D497" s="38">
        <v>0</v>
      </c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8">
        <v>8</v>
      </c>
      <c r="W497" s="36"/>
      <c r="X497" s="36"/>
      <c r="Y497" s="36"/>
      <c r="Z497" s="36"/>
      <c r="AA497" s="36"/>
      <c r="AB497" s="59">
        <v>6.333333333333333</v>
      </c>
      <c r="AC497" s="38">
        <v>2</v>
      </c>
      <c r="AD497" s="38">
        <v>6</v>
      </c>
      <c r="AE497" s="38">
        <v>2</v>
      </c>
      <c r="AF497" s="38">
        <v>6</v>
      </c>
      <c r="AG497" s="36"/>
      <c r="AH497" s="36"/>
      <c r="AI497" s="36"/>
      <c r="AJ497" s="36"/>
      <c r="AK497" s="36"/>
      <c r="AL497" s="36"/>
      <c r="AM497" s="36"/>
      <c r="AN497" s="36"/>
      <c r="AO497" s="38">
        <v>2.29</v>
      </c>
      <c r="AP497" s="36"/>
      <c r="AQ497" s="36"/>
      <c r="AR497" s="36"/>
      <c r="AS497" s="38">
        <v>34.130000000000003</v>
      </c>
      <c r="AT497" s="38">
        <v>4</v>
      </c>
      <c r="AU497" s="38">
        <v>2</v>
      </c>
      <c r="AV497" s="36"/>
      <c r="AW497" s="38">
        <v>7.5</v>
      </c>
      <c r="AX497" s="36"/>
      <c r="AY497" s="36"/>
      <c r="AZ497" s="38">
        <v>120</v>
      </c>
      <c r="BA497" s="36"/>
      <c r="BB497" s="36"/>
      <c r="BC497" s="38">
        <v>8</v>
      </c>
      <c r="BD497" s="38">
        <v>5.75</v>
      </c>
      <c r="BE497" s="36"/>
      <c r="BF497" s="38">
        <v>4.9000000000000004</v>
      </c>
      <c r="BG497" s="59">
        <v>19.8</v>
      </c>
      <c r="BH497" s="59">
        <v>3.71</v>
      </c>
      <c r="BI497" s="59">
        <v>0.56531788688072615</v>
      </c>
      <c r="BJ497" s="59">
        <v>10</v>
      </c>
      <c r="BK497" s="38">
        <v>6.0207999999999995</v>
      </c>
      <c r="BL497" s="59">
        <v>2.02</v>
      </c>
      <c r="BM497" s="36"/>
      <c r="BN497" s="38">
        <v>62</v>
      </c>
      <c r="BO497" s="36"/>
      <c r="BP497" s="39">
        <f t="shared" si="326"/>
        <v>0.46399193548387102</v>
      </c>
      <c r="BQ497" s="37"/>
      <c r="BR497" s="39">
        <f t="shared" si="327"/>
        <v>0.51787283110791327</v>
      </c>
      <c r="BS497" s="39">
        <f t="shared" si="354"/>
        <v>1.2530867408766955</v>
      </c>
      <c r="BT497" s="39">
        <f t="shared" si="340"/>
        <v>30.445665057996788</v>
      </c>
      <c r="BU497" s="37"/>
      <c r="BV497" s="39">
        <f t="shared" si="334"/>
        <v>0.39107101662611299</v>
      </c>
      <c r="BW497" s="39">
        <f t="shared" si="322"/>
        <v>3.2529252294775235</v>
      </c>
      <c r="BX497" s="39">
        <f t="shared" si="335"/>
        <v>0.38466481961789145</v>
      </c>
      <c r="BY497" s="39">
        <f t="shared" si="353"/>
        <v>6.4785722599657172</v>
      </c>
      <c r="BZ497" s="39">
        <f t="shared" si="341"/>
        <v>8.7679925322844312</v>
      </c>
      <c r="CA497" s="39">
        <f t="shared" si="323"/>
        <v>6.1588717678107772</v>
      </c>
      <c r="CB497" s="39">
        <f t="shared" si="324"/>
        <v>2.0663235734416969</v>
      </c>
      <c r="CC497" s="39">
        <f t="shared" si="356"/>
        <v>0.37119354838709678</v>
      </c>
      <c r="CD497" s="37"/>
      <c r="CE497" s="37"/>
      <c r="CF497" s="39">
        <f t="shared" si="346"/>
        <v>11.135806451612904</v>
      </c>
      <c r="CG497" s="39">
        <f t="shared" si="342"/>
        <v>2.8023073378234673</v>
      </c>
      <c r="CH497" s="39">
        <f t="shared" si="349"/>
        <v>7.6719596380205841</v>
      </c>
      <c r="CI497" s="39">
        <f t="shared" si="351"/>
        <v>4.0917118069443115</v>
      </c>
      <c r="CJ497" s="39">
        <f t="shared" si="338"/>
        <v>0.14115578568498249</v>
      </c>
      <c r="CK497" s="39">
        <f t="shared" si="347"/>
        <v>4.9377653614408205E-2</v>
      </c>
      <c r="CL497" s="37"/>
      <c r="CM497" s="39">
        <f t="shared" si="348"/>
        <v>0.17447934139366858</v>
      </c>
      <c r="CN497" s="37"/>
      <c r="CO497" s="39">
        <f>0.063495+(0.016949+0.014096)*Wages!P495+1.22592*BR497</f>
        <v>1.2169323280472968</v>
      </c>
      <c r="CP497" s="39"/>
      <c r="CQ497" s="39">
        <f t="shared" si="355"/>
        <v>1.2530867408766955</v>
      </c>
      <c r="CR497" s="39">
        <f t="shared" si="343"/>
        <v>0.39107101662611299</v>
      </c>
      <c r="CS497" s="39">
        <f t="shared" si="343"/>
        <v>3.2529252294775235</v>
      </c>
      <c r="CT497" s="39">
        <f t="shared" si="325"/>
        <v>6.1588717678107772</v>
      </c>
      <c r="CU497" s="39">
        <f t="shared" si="325"/>
        <v>2.0663235734416969</v>
      </c>
      <c r="CV497" s="39">
        <f t="shared" si="325"/>
        <v>0.37119354838709678</v>
      </c>
      <c r="CW497" s="39">
        <f t="shared" si="319"/>
        <v>0.15224735383064519</v>
      </c>
      <c r="CX497" s="39">
        <f t="shared" si="352"/>
        <v>4.0917118069443115</v>
      </c>
      <c r="CY497" s="39">
        <f t="shared" si="328"/>
        <v>8.7679925322844312</v>
      </c>
      <c r="CZ497" s="39">
        <f t="shared" si="329"/>
        <v>0.38466481961789145</v>
      </c>
      <c r="DA497" s="39">
        <f t="shared" si="350"/>
        <v>7.6719596380205841</v>
      </c>
      <c r="DB497" s="39">
        <f t="shared" si="344"/>
        <v>4.8713064092794864</v>
      </c>
      <c r="DC497" s="39">
        <f t="shared" si="330"/>
        <v>6.4785722599657172</v>
      </c>
      <c r="DD497" s="39">
        <f t="shared" si="345"/>
        <v>2.8023073378234673</v>
      </c>
      <c r="DE497" s="39">
        <f t="shared" si="316"/>
        <v>4.9377653614408205E-2</v>
      </c>
      <c r="DF497" s="39">
        <v>0.14115578568498249</v>
      </c>
      <c r="DG497" s="39">
        <f t="shared" si="331"/>
        <v>0</v>
      </c>
      <c r="DH497" s="39">
        <f t="shared" si="332"/>
        <v>5.5895012015404353</v>
      </c>
      <c r="DI497" s="39">
        <f t="shared" si="339"/>
        <v>5.82590225287806</v>
      </c>
      <c r="DJ497" s="37"/>
      <c r="DK497" s="37"/>
      <c r="DL497" s="37"/>
      <c r="DM497" s="39">
        <f t="shared" si="336"/>
        <v>1.353190629902757</v>
      </c>
      <c r="DN497" s="39"/>
      <c r="DO497" s="39">
        <f t="shared" si="337"/>
        <v>1.353190629902757</v>
      </c>
      <c r="DP497" s="37"/>
      <c r="DQ497" s="37">
        <f>DO497/'Conversions, Sources &amp; Comments'!E495</f>
        <v>2.9164098046048812</v>
      </c>
    </row>
    <row r="498" spans="1:121">
      <c r="A498" s="42">
        <f t="shared" si="333"/>
        <v>1746</v>
      </c>
      <c r="B498" s="36"/>
      <c r="C498" s="38">
        <v>28.03</v>
      </c>
      <c r="D498" s="38">
        <v>0</v>
      </c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8">
        <v>8</v>
      </c>
      <c r="W498" s="36"/>
      <c r="X498" s="36"/>
      <c r="Y498" s="36"/>
      <c r="Z498" s="36"/>
      <c r="AA498" s="36"/>
      <c r="AB498" s="59">
        <v>6</v>
      </c>
      <c r="AC498" s="38">
        <v>2</v>
      </c>
      <c r="AD498" s="38">
        <v>6</v>
      </c>
      <c r="AE498" s="38">
        <v>2</v>
      </c>
      <c r="AF498" s="38">
        <v>6</v>
      </c>
      <c r="AG498" s="36"/>
      <c r="AH498" s="36"/>
      <c r="AI498" s="36"/>
      <c r="AJ498" s="36"/>
      <c r="AK498" s="36"/>
      <c r="AL498" s="36"/>
      <c r="AM498" s="36"/>
      <c r="AN498" s="36"/>
      <c r="AO498" s="38">
        <v>2.17</v>
      </c>
      <c r="AP498" s="36"/>
      <c r="AQ498" s="36"/>
      <c r="AR498" s="36"/>
      <c r="AS498" s="38">
        <v>32.82</v>
      </c>
      <c r="AT498" s="38">
        <v>4</v>
      </c>
      <c r="AU498" s="38">
        <v>2</v>
      </c>
      <c r="AV498" s="36"/>
      <c r="AW498" s="38">
        <v>7.5</v>
      </c>
      <c r="AX498" s="36"/>
      <c r="AY498" s="36"/>
      <c r="AZ498" s="38">
        <v>120</v>
      </c>
      <c r="BA498" s="36"/>
      <c r="BB498" s="36"/>
      <c r="BC498" s="38">
        <v>8</v>
      </c>
      <c r="BD498" s="38">
        <v>5.75</v>
      </c>
      <c r="BE498" s="36"/>
      <c r="BF498" s="38">
        <v>4.9000000000000004</v>
      </c>
      <c r="BG498" s="59">
        <v>19.8</v>
      </c>
      <c r="BH498" s="59">
        <v>3.71</v>
      </c>
      <c r="BI498" s="59">
        <v>0.56531788688072615</v>
      </c>
      <c r="BJ498" s="59">
        <v>10</v>
      </c>
      <c r="BK498" s="38">
        <v>6.3615999999999993</v>
      </c>
      <c r="BL498" s="59">
        <v>2.02</v>
      </c>
      <c r="BM498" s="36"/>
      <c r="BN498" s="38">
        <v>62</v>
      </c>
      <c r="BO498" s="36"/>
      <c r="BP498" s="39">
        <f t="shared" si="326"/>
        <v>0.46399193548387102</v>
      </c>
      <c r="BQ498" s="37"/>
      <c r="BR498" s="39">
        <f t="shared" si="327"/>
        <v>0.55362225232474482</v>
      </c>
      <c r="BS498" s="39">
        <f t="shared" si="354"/>
        <v>1.2530867408766955</v>
      </c>
      <c r="BT498" s="39">
        <f t="shared" si="340"/>
        <v>30.445665057996788</v>
      </c>
      <c r="BU498" s="37"/>
      <c r="BV498" s="39">
        <f t="shared" si="334"/>
        <v>0.39107101662611299</v>
      </c>
      <c r="BW498" s="39">
        <f t="shared" si="322"/>
        <v>3.2529252294775235</v>
      </c>
      <c r="BX498" s="39">
        <f t="shared" si="335"/>
        <v>0.38466481961789145</v>
      </c>
      <c r="BY498" s="39">
        <f t="shared" si="353"/>
        <v>6.1375947725990994</v>
      </c>
      <c r="BZ498" s="39">
        <f t="shared" si="341"/>
        <v>8.7679925322844312</v>
      </c>
      <c r="CA498" s="39">
        <f t="shared" si="323"/>
        <v>6.5074871508944065</v>
      </c>
      <c r="CB498" s="39">
        <f t="shared" si="324"/>
        <v>2.0663235734416969</v>
      </c>
      <c r="CC498" s="39">
        <f t="shared" si="356"/>
        <v>0.37119354838709678</v>
      </c>
      <c r="CD498" s="37"/>
      <c r="CE498" s="37"/>
      <c r="CF498" s="39">
        <f t="shared" si="346"/>
        <v>11.135806451612904</v>
      </c>
      <c r="CG498" s="39">
        <f t="shared" si="342"/>
        <v>2.6554615384615388</v>
      </c>
      <c r="CH498" s="39">
        <f t="shared" si="349"/>
        <v>7.6719596380205841</v>
      </c>
      <c r="CI498" s="39">
        <f t="shared" si="351"/>
        <v>4.0917118069443115</v>
      </c>
      <c r="CJ498" s="39">
        <f t="shared" si="338"/>
        <v>0.13573785192443963</v>
      </c>
      <c r="CK498" s="39">
        <f t="shared" si="347"/>
        <v>4.9377653614408205E-2</v>
      </c>
      <c r="CL498" s="37"/>
      <c r="CM498" s="39">
        <f t="shared" si="348"/>
        <v>0.17447934139366858</v>
      </c>
      <c r="CN498" s="37"/>
      <c r="CO498" s="39">
        <f>0.063495+(0.016949+0.014096)*Wages!P496+1.22592*BR498</f>
        <v>1.2607582585054349</v>
      </c>
      <c r="CP498" s="39"/>
      <c r="CQ498" s="39">
        <f t="shared" si="355"/>
        <v>1.2530867408766955</v>
      </c>
      <c r="CR498" s="39">
        <f t="shared" si="343"/>
        <v>0.39107101662611299</v>
      </c>
      <c r="CS498" s="39">
        <f t="shared" si="343"/>
        <v>3.2529252294775235</v>
      </c>
      <c r="CT498" s="39">
        <f t="shared" si="325"/>
        <v>6.5074871508944065</v>
      </c>
      <c r="CU498" s="39">
        <f t="shared" si="325"/>
        <v>2.0663235734416969</v>
      </c>
      <c r="CV498" s="39">
        <f t="shared" si="325"/>
        <v>0.37119354838709678</v>
      </c>
      <c r="CW498" s="39">
        <f t="shared" si="319"/>
        <v>0.15224735383064519</v>
      </c>
      <c r="CX498" s="39">
        <f t="shared" si="352"/>
        <v>4.0917118069443115</v>
      </c>
      <c r="CY498" s="39">
        <f t="shared" si="328"/>
        <v>8.7679925322844312</v>
      </c>
      <c r="CZ498" s="39">
        <f t="shared" si="329"/>
        <v>0.38466481961789145</v>
      </c>
      <c r="DA498" s="39">
        <f t="shared" si="350"/>
        <v>7.6719596380205841</v>
      </c>
      <c r="DB498" s="39">
        <f t="shared" si="344"/>
        <v>4.8713064092794864</v>
      </c>
      <c r="DC498" s="39">
        <f t="shared" si="330"/>
        <v>6.1375947725990994</v>
      </c>
      <c r="DD498" s="39">
        <f t="shared" si="345"/>
        <v>2.6554615384615388</v>
      </c>
      <c r="DE498" s="39">
        <f t="shared" si="316"/>
        <v>4.9377653614408205E-2</v>
      </c>
      <c r="DF498" s="39">
        <v>0.13573785192443966</v>
      </c>
      <c r="DG498" s="39">
        <f t="shared" si="331"/>
        <v>0</v>
      </c>
      <c r="DH498" s="39">
        <f t="shared" si="332"/>
        <v>5.5895012015404353</v>
      </c>
      <c r="DI498" s="39">
        <f t="shared" si="339"/>
        <v>5.6022886592281838</v>
      </c>
      <c r="DJ498" s="37"/>
      <c r="DK498" s="37"/>
      <c r="DL498" s="37"/>
      <c r="DM498" s="39">
        <f t="shared" si="336"/>
        <v>1.3545029006969067</v>
      </c>
      <c r="DN498" s="39"/>
      <c r="DO498" s="39">
        <f t="shared" si="337"/>
        <v>1.3545029006969067</v>
      </c>
      <c r="DP498" s="37"/>
      <c r="DQ498" s="37">
        <f>DO498/'Conversions, Sources &amp; Comments'!E496</f>
        <v>2.9192380235755002</v>
      </c>
    </row>
    <row r="499" spans="1:121">
      <c r="A499" s="42">
        <f t="shared" si="333"/>
        <v>1747</v>
      </c>
      <c r="B499" s="36"/>
      <c r="C499" s="38">
        <v>26.98</v>
      </c>
      <c r="D499" s="38">
        <v>0</v>
      </c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8">
        <v>8</v>
      </c>
      <c r="W499" s="36"/>
      <c r="X499" s="36"/>
      <c r="Y499" s="36"/>
      <c r="Z499" s="36"/>
      <c r="AA499" s="36"/>
      <c r="AB499" s="59">
        <v>6</v>
      </c>
      <c r="AC499" s="38">
        <v>2</v>
      </c>
      <c r="AD499" s="38">
        <v>6</v>
      </c>
      <c r="AE499" s="38">
        <v>2</v>
      </c>
      <c r="AF499" s="38">
        <v>6</v>
      </c>
      <c r="AG499" s="36"/>
      <c r="AH499" s="36"/>
      <c r="AI499" s="36"/>
      <c r="AJ499" s="36"/>
      <c r="AK499" s="36"/>
      <c r="AL499" s="36"/>
      <c r="AM499" s="36"/>
      <c r="AN499" s="36"/>
      <c r="AO499" s="38">
        <v>2.33</v>
      </c>
      <c r="AP499" s="36"/>
      <c r="AQ499" s="36"/>
      <c r="AR499" s="36"/>
      <c r="AS499" s="38">
        <v>31.06</v>
      </c>
      <c r="AT499" s="38">
        <v>4</v>
      </c>
      <c r="AU499" s="38">
        <v>2</v>
      </c>
      <c r="AV499" s="36"/>
      <c r="AW499" s="38">
        <v>7.5</v>
      </c>
      <c r="AX499" s="36"/>
      <c r="AY499" s="36"/>
      <c r="AZ499" s="38">
        <v>120</v>
      </c>
      <c r="BA499" s="36"/>
      <c r="BB499" s="36"/>
      <c r="BC499" s="38">
        <v>8</v>
      </c>
      <c r="BD499" s="38">
        <v>5.75</v>
      </c>
      <c r="BE499" s="38">
        <v>6.63</v>
      </c>
      <c r="BF499" s="38">
        <v>4.8</v>
      </c>
      <c r="BG499" s="59">
        <v>19.8</v>
      </c>
      <c r="BH499" s="59">
        <v>3.71</v>
      </c>
      <c r="BI499" s="59">
        <v>0.56531788688072615</v>
      </c>
      <c r="BJ499" s="59">
        <v>10</v>
      </c>
      <c r="BK499" s="38">
        <v>6.1912000000000003</v>
      </c>
      <c r="BL499" s="59">
        <v>2.02</v>
      </c>
      <c r="BM499" s="36"/>
      <c r="BN499" s="38">
        <v>62</v>
      </c>
      <c r="BO499" s="36"/>
      <c r="BP499" s="39">
        <f t="shared" si="326"/>
        <v>0.46399193548387102</v>
      </c>
      <c r="BQ499" s="37"/>
      <c r="BR499" s="39">
        <f t="shared" si="327"/>
        <v>0.53288363780669334</v>
      </c>
      <c r="BS499" s="39">
        <f t="shared" si="354"/>
        <v>1.2275135420832934</v>
      </c>
      <c r="BT499" s="39">
        <f t="shared" si="340"/>
        <v>30.445665057996788</v>
      </c>
      <c r="BU499" s="37"/>
      <c r="BV499" s="39">
        <f t="shared" si="334"/>
        <v>0.39107101662611299</v>
      </c>
      <c r="BW499" s="39">
        <f t="shared" si="322"/>
        <v>3.2529252294775235</v>
      </c>
      <c r="BX499" s="39">
        <f t="shared" si="335"/>
        <v>0.38466481961789145</v>
      </c>
      <c r="BY499" s="39">
        <f t="shared" si="353"/>
        <v>6.1375947725990994</v>
      </c>
      <c r="BZ499" s="39">
        <f t="shared" si="341"/>
        <v>8.7679925322844312</v>
      </c>
      <c r="CA499" s="39">
        <f t="shared" si="323"/>
        <v>6.3331794593525927</v>
      </c>
      <c r="CB499" s="39">
        <f t="shared" si="324"/>
        <v>2.0663235734416969</v>
      </c>
      <c r="CC499" s="39">
        <f t="shared" si="356"/>
        <v>0.37119354838709678</v>
      </c>
      <c r="CD499" s="37"/>
      <c r="CE499" s="37"/>
      <c r="CF499" s="39">
        <f t="shared" si="346"/>
        <v>11.135806451612904</v>
      </c>
      <c r="CG499" s="39">
        <f t="shared" si="342"/>
        <v>2.8512559376107767</v>
      </c>
      <c r="CH499" s="39">
        <f t="shared" si="349"/>
        <v>7.6719596380205841</v>
      </c>
      <c r="CI499" s="39">
        <f t="shared" si="351"/>
        <v>4.0917118069443115</v>
      </c>
      <c r="CJ499" s="39">
        <f t="shared" si="338"/>
        <v>0.12845879587974085</v>
      </c>
      <c r="CK499" s="39">
        <f t="shared" si="347"/>
        <v>4.9377653614408205E-2</v>
      </c>
      <c r="CL499" s="37"/>
      <c r="CM499" s="39">
        <f t="shared" si="348"/>
        <v>0.17447934139366858</v>
      </c>
      <c r="CN499" s="37"/>
      <c r="CO499" s="39">
        <f>0.063495+(0.016949+0.014096)*Wages!P497+1.22592*BR499</f>
        <v>1.2353343761954654</v>
      </c>
      <c r="CP499" s="39"/>
      <c r="CQ499" s="39">
        <f t="shared" si="355"/>
        <v>1.2275135420832934</v>
      </c>
      <c r="CR499" s="39">
        <f t="shared" si="343"/>
        <v>0.39107101662611299</v>
      </c>
      <c r="CS499" s="39">
        <f t="shared" si="343"/>
        <v>3.2529252294775235</v>
      </c>
      <c r="CT499" s="39">
        <f t="shared" si="325"/>
        <v>6.3331794593525927</v>
      </c>
      <c r="CU499" s="39">
        <f t="shared" si="325"/>
        <v>2.0663235734416969</v>
      </c>
      <c r="CV499" s="39">
        <f t="shared" si="325"/>
        <v>0.37119354838709678</v>
      </c>
      <c r="CW499" s="39">
        <f t="shared" si="319"/>
        <v>0.15224735383064519</v>
      </c>
      <c r="CX499" s="39">
        <f t="shared" si="352"/>
        <v>4.0917118069443115</v>
      </c>
      <c r="CY499" s="39">
        <f t="shared" si="328"/>
        <v>8.7679925322844312</v>
      </c>
      <c r="CZ499" s="39">
        <f t="shared" si="329"/>
        <v>0.38466481961789145</v>
      </c>
      <c r="DA499" s="39">
        <f t="shared" si="350"/>
        <v>7.6719596380205841</v>
      </c>
      <c r="DB499" s="39">
        <f t="shared" si="344"/>
        <v>4.8713064092794864</v>
      </c>
      <c r="DC499" s="39">
        <f t="shared" si="330"/>
        <v>6.1375947725990994</v>
      </c>
      <c r="DD499" s="39">
        <f t="shared" si="345"/>
        <v>2.8512559376107767</v>
      </c>
      <c r="DE499" s="39">
        <f t="shared" si="316"/>
        <v>4.9377653614408205E-2</v>
      </c>
      <c r="DF499" s="39">
        <v>0.12845879587974088</v>
      </c>
      <c r="DG499" s="39">
        <f t="shared" si="331"/>
        <v>0</v>
      </c>
      <c r="DH499" s="39">
        <f t="shared" si="332"/>
        <v>5.5895012015404353</v>
      </c>
      <c r="DI499" s="39">
        <f t="shared" si="339"/>
        <v>5.3018612356985795</v>
      </c>
      <c r="DJ499" s="37"/>
      <c r="DK499" s="37"/>
      <c r="DL499" s="37"/>
      <c r="DM499" s="39">
        <f t="shared" si="336"/>
        <v>1.3423272618273985</v>
      </c>
      <c r="DN499" s="39"/>
      <c r="DO499" s="39">
        <f t="shared" si="337"/>
        <v>1.3423272618273985</v>
      </c>
      <c r="DP499" s="37"/>
      <c r="DQ499" s="37">
        <f>DO499/'Conversions, Sources &amp; Comments'!E497</f>
        <v>2.8929969664829649</v>
      </c>
    </row>
    <row r="500" spans="1:121">
      <c r="A500" s="42">
        <f t="shared" si="333"/>
        <v>1748</v>
      </c>
      <c r="B500" s="36"/>
      <c r="C500" s="38">
        <v>28.58</v>
      </c>
      <c r="D500" s="38">
        <v>0</v>
      </c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8">
        <v>8</v>
      </c>
      <c r="W500" s="36"/>
      <c r="X500" s="36"/>
      <c r="Y500" s="36"/>
      <c r="Z500" s="36"/>
      <c r="AA500" s="36"/>
      <c r="AB500" s="59">
        <v>6.333333333333333</v>
      </c>
      <c r="AC500" s="38">
        <v>2</v>
      </c>
      <c r="AD500" s="38">
        <v>6</v>
      </c>
      <c r="AE500" s="38">
        <v>2</v>
      </c>
      <c r="AF500" s="38">
        <v>6</v>
      </c>
      <c r="AG500" s="36"/>
      <c r="AH500" s="36"/>
      <c r="AI500" s="36"/>
      <c r="AJ500" s="36"/>
      <c r="AK500" s="36"/>
      <c r="AL500" s="36"/>
      <c r="AM500" s="36"/>
      <c r="AN500" s="36"/>
      <c r="AO500" s="38">
        <v>2</v>
      </c>
      <c r="AP500" s="36"/>
      <c r="AQ500" s="36"/>
      <c r="AR500" s="36"/>
      <c r="AS500" s="38">
        <v>32.119999999999997</v>
      </c>
      <c r="AT500" s="38">
        <v>4</v>
      </c>
      <c r="AU500" s="38">
        <v>2</v>
      </c>
      <c r="AV500" s="36"/>
      <c r="AW500" s="36"/>
      <c r="AX500" s="36"/>
      <c r="AY500" s="36"/>
      <c r="AZ500" s="38">
        <v>120</v>
      </c>
      <c r="BA500" s="36"/>
      <c r="BB500" s="36"/>
      <c r="BC500" s="38">
        <v>8</v>
      </c>
      <c r="BD500" s="38">
        <v>5.75</v>
      </c>
      <c r="BE500" s="36"/>
      <c r="BF500" s="38">
        <v>5</v>
      </c>
      <c r="BG500" s="59">
        <v>19.8</v>
      </c>
      <c r="BH500" s="59">
        <v>3.71</v>
      </c>
      <c r="BI500" s="59">
        <v>0.56531788688072615</v>
      </c>
      <c r="BJ500" s="59">
        <v>10</v>
      </c>
      <c r="BK500" s="38">
        <v>6.3048000000000002</v>
      </c>
      <c r="BL500" s="59">
        <v>2.02</v>
      </c>
      <c r="BM500" s="36"/>
      <c r="BN500" s="38">
        <v>62</v>
      </c>
      <c r="BO500" s="36"/>
      <c r="BP500" s="39">
        <f t="shared" si="326"/>
        <v>0.46399193548387102</v>
      </c>
      <c r="BQ500" s="37"/>
      <c r="BR500" s="39">
        <f t="shared" si="327"/>
        <v>0.56448533611991458</v>
      </c>
      <c r="BS500" s="39">
        <f t="shared" si="354"/>
        <v>1.2786599396700973</v>
      </c>
      <c r="BT500" s="39">
        <f t="shared" si="340"/>
        <v>30.445665057996788</v>
      </c>
      <c r="BU500" s="37"/>
      <c r="BV500" s="39">
        <f t="shared" si="334"/>
        <v>0.39107101662611299</v>
      </c>
      <c r="BW500" s="39">
        <f t="shared" si="322"/>
        <v>3.2529252294775235</v>
      </c>
      <c r="BX500" s="39">
        <f t="shared" si="335"/>
        <v>0.38466481961789145</v>
      </c>
      <c r="BY500" s="39">
        <f t="shared" si="353"/>
        <v>6.4785722599657172</v>
      </c>
      <c r="BZ500" s="39">
        <f t="shared" si="341"/>
        <v>8.7679925322844312</v>
      </c>
      <c r="CA500" s="39">
        <f t="shared" si="323"/>
        <v>6.4493845870471347</v>
      </c>
      <c r="CB500" s="39">
        <f t="shared" si="324"/>
        <v>2.0663235734416969</v>
      </c>
      <c r="CC500" s="39">
        <f t="shared" si="356"/>
        <v>0.37119354838709678</v>
      </c>
      <c r="CD500" s="37"/>
      <c r="CE500" s="37"/>
      <c r="CF500" s="39">
        <f t="shared" si="346"/>
        <v>11.135806451612904</v>
      </c>
      <c r="CG500" s="39">
        <f t="shared" si="342"/>
        <v>2.4474299893654736</v>
      </c>
      <c r="CH500" s="37"/>
      <c r="CI500" s="39">
        <f t="shared" si="351"/>
        <v>4.0917118069443115</v>
      </c>
      <c r="CJ500" s="39">
        <f t="shared" si="338"/>
        <v>0.1328427728157526</v>
      </c>
      <c r="CK500" s="39">
        <f t="shared" si="347"/>
        <v>4.9377653614408205E-2</v>
      </c>
      <c r="CL500" s="37"/>
      <c r="CM500" s="39">
        <f t="shared" si="348"/>
        <v>0.17447934139366858</v>
      </c>
      <c r="CN500" s="37"/>
      <c r="CO500" s="39">
        <f>0.063495+(0.016949+0.014096)*Wages!P498+1.22592*BR500</f>
        <v>1.2740755301916096</v>
      </c>
      <c r="CP500" s="39"/>
      <c r="CQ500" s="39">
        <f t="shared" si="355"/>
        <v>1.2786599396700973</v>
      </c>
      <c r="CR500" s="39">
        <f t="shared" si="343"/>
        <v>0.39107101662611299</v>
      </c>
      <c r="CS500" s="39">
        <f t="shared" si="343"/>
        <v>3.2529252294775235</v>
      </c>
      <c r="CT500" s="39">
        <f t="shared" si="325"/>
        <v>6.4493845870471347</v>
      </c>
      <c r="CU500" s="39">
        <f t="shared" si="325"/>
        <v>2.0663235734416969</v>
      </c>
      <c r="CV500" s="39">
        <f t="shared" si="325"/>
        <v>0.37119354838709678</v>
      </c>
      <c r="CW500" s="39">
        <f t="shared" si="319"/>
        <v>0.15224735383064519</v>
      </c>
      <c r="CX500" s="39">
        <f t="shared" si="352"/>
        <v>4.0917118069443115</v>
      </c>
      <c r="CY500" s="39">
        <f t="shared" si="328"/>
        <v>8.7679925322844312</v>
      </c>
      <c r="CZ500" s="39">
        <f t="shared" si="329"/>
        <v>0.38466481961789145</v>
      </c>
      <c r="DA500" s="39">
        <v>6</v>
      </c>
      <c r="DB500" s="39">
        <f t="shared" si="344"/>
        <v>4.8713064092794864</v>
      </c>
      <c r="DC500" s="39">
        <f t="shared" si="330"/>
        <v>6.4785722599657172</v>
      </c>
      <c r="DD500" s="39">
        <f t="shared" si="345"/>
        <v>2.4474299893654736</v>
      </c>
      <c r="DE500" s="39">
        <f t="shared" si="316"/>
        <v>4.9377653614408205E-2</v>
      </c>
      <c r="DF500" s="39">
        <v>0.13284277281575263</v>
      </c>
      <c r="DG500" s="39">
        <f t="shared" si="331"/>
        <v>0</v>
      </c>
      <c r="DH500" s="39">
        <f t="shared" si="332"/>
        <v>5.5895012015404353</v>
      </c>
      <c r="DI500" s="39">
        <f t="shared" si="339"/>
        <v>5.482800479415272</v>
      </c>
      <c r="DJ500" s="37"/>
      <c r="DK500" s="37"/>
      <c r="DL500" s="37"/>
      <c r="DM500" s="39">
        <f t="shared" si="336"/>
        <v>1.3553482955584557</v>
      </c>
      <c r="DN500" s="39"/>
      <c r="DO500" s="39">
        <f t="shared" si="337"/>
        <v>1.3553482955584557</v>
      </c>
      <c r="DP500" s="37"/>
      <c r="DQ500" s="37">
        <f>DO500/'Conversions, Sources &amp; Comments'!E498</f>
        <v>2.9210600269270617</v>
      </c>
    </row>
    <row r="501" spans="1:121">
      <c r="A501" s="42">
        <f t="shared" si="333"/>
        <v>1749</v>
      </c>
      <c r="B501" s="36"/>
      <c r="C501" s="38">
        <v>26.78</v>
      </c>
      <c r="D501" s="38">
        <v>0</v>
      </c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8">
        <v>8</v>
      </c>
      <c r="W501" s="36"/>
      <c r="X501" s="36"/>
      <c r="Y501" s="36"/>
      <c r="Z501" s="36"/>
      <c r="AA501" s="36"/>
      <c r="AB501" s="59">
        <v>6</v>
      </c>
      <c r="AC501" s="38">
        <v>2</v>
      </c>
      <c r="AD501" s="38">
        <v>6</v>
      </c>
      <c r="AE501" s="38">
        <v>2</v>
      </c>
      <c r="AF501" s="38">
        <v>6</v>
      </c>
      <c r="AG501" s="36"/>
      <c r="AH501" s="36"/>
      <c r="AI501" s="36"/>
      <c r="AJ501" s="36"/>
      <c r="AK501" s="36"/>
      <c r="AL501" s="36"/>
      <c r="AM501" s="36"/>
      <c r="AN501" s="36"/>
      <c r="AO501" s="38">
        <v>2.0699999999999998</v>
      </c>
      <c r="AP501" s="36"/>
      <c r="AQ501" s="36"/>
      <c r="AR501" s="36"/>
      <c r="AS501" s="38">
        <v>31.77</v>
      </c>
      <c r="AT501" s="38">
        <v>4</v>
      </c>
      <c r="AU501" s="38">
        <v>2</v>
      </c>
      <c r="AV501" s="36"/>
      <c r="AW501" s="36"/>
      <c r="AX501" s="36"/>
      <c r="AY501" s="36"/>
      <c r="AZ501" s="38">
        <v>120</v>
      </c>
      <c r="BA501" s="36"/>
      <c r="BB501" s="36"/>
      <c r="BC501" s="38">
        <v>8</v>
      </c>
      <c r="BD501" s="38">
        <v>5.75</v>
      </c>
      <c r="BE501" s="38">
        <v>6.63</v>
      </c>
      <c r="BF501" s="38">
        <v>4.9000000000000004</v>
      </c>
      <c r="BG501" s="59">
        <v>19.8</v>
      </c>
      <c r="BH501" s="59">
        <v>3.71</v>
      </c>
      <c r="BI501" s="59">
        <v>0.56531788688072615</v>
      </c>
      <c r="BJ501" s="59">
        <v>10</v>
      </c>
      <c r="BK501" s="38">
        <v>6.3615999999999993</v>
      </c>
      <c r="BL501" s="59">
        <v>2.02</v>
      </c>
      <c r="BM501" s="36"/>
      <c r="BN501" s="38">
        <v>62</v>
      </c>
      <c r="BO501" s="36"/>
      <c r="BP501" s="39">
        <f t="shared" si="326"/>
        <v>0.46399193548387102</v>
      </c>
      <c r="BQ501" s="37"/>
      <c r="BR501" s="39">
        <f t="shared" si="327"/>
        <v>0.52893342551754063</v>
      </c>
      <c r="BS501" s="39">
        <f t="shared" si="354"/>
        <v>1.2530867408766955</v>
      </c>
      <c r="BT501" s="39">
        <f t="shared" si="340"/>
        <v>30.445665057996788</v>
      </c>
      <c r="BU501" s="37"/>
      <c r="BV501" s="39">
        <f t="shared" si="334"/>
        <v>0.39107101662611299</v>
      </c>
      <c r="BW501" s="39">
        <f t="shared" si="322"/>
        <v>3.2529252294775235</v>
      </c>
      <c r="BX501" s="39">
        <f t="shared" si="335"/>
        <v>0.38466481961789145</v>
      </c>
      <c r="BY501" s="39">
        <f t="shared" si="353"/>
        <v>6.1375947725990994</v>
      </c>
      <c r="BZ501" s="39">
        <f t="shared" si="341"/>
        <v>8.7679925322844312</v>
      </c>
      <c r="CA501" s="39">
        <f t="shared" si="323"/>
        <v>6.5074871508944065</v>
      </c>
      <c r="CB501" s="39">
        <f t="shared" si="324"/>
        <v>2.0663235734416969</v>
      </c>
      <c r="CC501" s="39">
        <f t="shared" si="356"/>
        <v>0.37119354838709678</v>
      </c>
      <c r="CD501" s="37"/>
      <c r="CE501" s="37"/>
      <c r="CF501" s="39">
        <f t="shared" si="346"/>
        <v>11.135806451612904</v>
      </c>
      <c r="CG501" s="39">
        <f t="shared" si="342"/>
        <v>2.5330900389932647</v>
      </c>
      <c r="CH501" s="37"/>
      <c r="CI501" s="39">
        <f t="shared" si="351"/>
        <v>4.0917118069443115</v>
      </c>
      <c r="CJ501" s="39">
        <f t="shared" si="338"/>
        <v>0.13139523326140912</v>
      </c>
      <c r="CK501" s="39">
        <f t="shared" si="347"/>
        <v>4.9377653614408205E-2</v>
      </c>
      <c r="CL501" s="37"/>
      <c r="CM501" s="39">
        <f t="shared" si="348"/>
        <v>0.17447934139366858</v>
      </c>
      <c r="CN501" s="37"/>
      <c r="CO501" s="39">
        <f>0.063495+(0.016949+0.014096)*Wages!P499+1.22592*BR501</f>
        <v>1.2304917319459472</v>
      </c>
      <c r="CP501" s="39"/>
      <c r="CQ501" s="39">
        <f t="shared" si="355"/>
        <v>1.2530867408766955</v>
      </c>
      <c r="CR501" s="39">
        <f t="shared" si="343"/>
        <v>0.39107101662611299</v>
      </c>
      <c r="CS501" s="39">
        <f t="shared" si="343"/>
        <v>3.2529252294775235</v>
      </c>
      <c r="CT501" s="39">
        <f t="shared" si="325"/>
        <v>6.5074871508944065</v>
      </c>
      <c r="CU501" s="39">
        <f t="shared" si="325"/>
        <v>2.0663235734416969</v>
      </c>
      <c r="CV501" s="39">
        <f t="shared" si="325"/>
        <v>0.37119354838709678</v>
      </c>
      <c r="CW501" s="39">
        <f t="shared" si="319"/>
        <v>0.15224735383064519</v>
      </c>
      <c r="CX501" s="39">
        <f t="shared" si="352"/>
        <v>4.0917118069443115</v>
      </c>
      <c r="CY501" s="39">
        <f t="shared" si="328"/>
        <v>8.7679925322844312</v>
      </c>
      <c r="CZ501" s="39">
        <f t="shared" si="329"/>
        <v>0.38466481961789145</v>
      </c>
      <c r="DA501" s="39">
        <v>6</v>
      </c>
      <c r="DB501" s="39">
        <f t="shared" si="344"/>
        <v>4.8713064092794864</v>
      </c>
      <c r="DC501" s="39">
        <f t="shared" si="330"/>
        <v>6.1375947725990994</v>
      </c>
      <c r="DD501" s="39">
        <f t="shared" si="345"/>
        <v>2.5330900389932647</v>
      </c>
      <c r="DE501" s="39">
        <f t="shared" si="316"/>
        <v>4.9377653614408205E-2</v>
      </c>
      <c r="DF501" s="39">
        <v>0.13139523326140914</v>
      </c>
      <c r="DG501" s="39">
        <f t="shared" si="331"/>
        <v>0</v>
      </c>
      <c r="DH501" s="39">
        <f t="shared" si="332"/>
        <v>5.5895012015404353</v>
      </c>
      <c r="DI501" s="39">
        <f t="shared" si="339"/>
        <v>5.423056389508818</v>
      </c>
      <c r="DJ501" s="37"/>
      <c r="DK501" s="37"/>
      <c r="DL501" s="37"/>
      <c r="DM501" s="39">
        <f t="shared" si="336"/>
        <v>1.343258563326192</v>
      </c>
      <c r="DN501" s="39"/>
      <c r="DO501" s="39">
        <f t="shared" si="337"/>
        <v>1.343258563326192</v>
      </c>
      <c r="DP501" s="37"/>
      <c r="DQ501" s="37">
        <f>DO501/'Conversions, Sources &amp; Comments'!E499</f>
        <v>2.8950041166672076</v>
      </c>
    </row>
    <row r="502" spans="1:121">
      <c r="A502" s="42">
        <f t="shared" si="333"/>
        <v>1750</v>
      </c>
      <c r="B502" s="36"/>
      <c r="C502" s="38">
        <v>27.61</v>
      </c>
      <c r="D502" s="38">
        <v>0</v>
      </c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8">
        <v>8</v>
      </c>
      <c r="W502" s="36"/>
      <c r="X502" s="36"/>
      <c r="Y502" s="36"/>
      <c r="Z502" s="36"/>
      <c r="AA502" s="36"/>
      <c r="AB502" s="59">
        <v>6</v>
      </c>
      <c r="AC502" s="38">
        <v>2</v>
      </c>
      <c r="AD502" s="38">
        <v>6</v>
      </c>
      <c r="AE502" s="38">
        <v>2</v>
      </c>
      <c r="AF502" s="38">
        <v>6</v>
      </c>
      <c r="AG502" s="36"/>
      <c r="AH502" s="36"/>
      <c r="AI502" s="36"/>
      <c r="AJ502" s="36"/>
      <c r="AK502" s="36"/>
      <c r="AL502" s="36"/>
      <c r="AM502" s="36"/>
      <c r="AN502" s="36"/>
      <c r="AO502" s="38">
        <v>2.4700000000000002</v>
      </c>
      <c r="AP502" s="36"/>
      <c r="AQ502" s="36"/>
      <c r="AR502" s="36"/>
      <c r="AS502" s="38">
        <v>29.9</v>
      </c>
      <c r="AT502" s="38">
        <v>4</v>
      </c>
      <c r="AU502" s="38">
        <v>2</v>
      </c>
      <c r="AV502" s="36"/>
      <c r="AW502" s="38">
        <v>4.71</v>
      </c>
      <c r="AX502" s="36"/>
      <c r="AY502" s="36"/>
      <c r="AZ502" s="38">
        <v>120</v>
      </c>
      <c r="BA502" s="36"/>
      <c r="BB502" s="36"/>
      <c r="BC502" s="38">
        <v>8</v>
      </c>
      <c r="BD502" s="38">
        <v>5.75</v>
      </c>
      <c r="BE502" s="38">
        <v>6.69</v>
      </c>
      <c r="BF502" s="38">
        <v>4.9000000000000004</v>
      </c>
      <c r="BG502" s="59">
        <v>18.54</v>
      </c>
      <c r="BH502" s="59">
        <v>3.46</v>
      </c>
      <c r="BI502" s="59">
        <v>0.56531788688072615</v>
      </c>
      <c r="BJ502" s="59">
        <v>9</v>
      </c>
      <c r="BK502" s="38">
        <v>5.8008852173913041</v>
      </c>
      <c r="BL502" s="59">
        <v>2.02</v>
      </c>
      <c r="BM502" s="36"/>
      <c r="BN502" s="38">
        <v>62</v>
      </c>
      <c r="BO502" s="36"/>
      <c r="BP502" s="39">
        <f t="shared" si="326"/>
        <v>0.46399193548387102</v>
      </c>
      <c r="BQ502" s="37"/>
      <c r="BR502" s="39">
        <f t="shared" si="327"/>
        <v>0.54532680651752419</v>
      </c>
      <c r="BS502" s="39">
        <f t="shared" si="354"/>
        <v>1.2530867408766955</v>
      </c>
      <c r="BT502" s="39">
        <f t="shared" si="340"/>
        <v>30.445665057996788</v>
      </c>
      <c r="BU502" s="37"/>
      <c r="BV502" s="39">
        <f t="shared" si="334"/>
        <v>0.36618467920445119</v>
      </c>
      <c r="BW502" s="39">
        <f t="shared" si="322"/>
        <v>3.0337254161704128</v>
      </c>
      <c r="BX502" s="39">
        <f t="shared" si="335"/>
        <v>0.38466481961789145</v>
      </c>
      <c r="BY502" s="39">
        <f t="shared" si="353"/>
        <v>6.1375947725990994</v>
      </c>
      <c r="BZ502" s="39">
        <f t="shared" si="341"/>
        <v>7.8911932790559876</v>
      </c>
      <c r="CA502" s="39">
        <f t="shared" si="323"/>
        <v>5.9339137977847107</v>
      </c>
      <c r="CB502" s="39">
        <f t="shared" si="324"/>
        <v>2.0663235734416969</v>
      </c>
      <c r="CC502" s="39">
        <f t="shared" si="356"/>
        <v>0.37119354838709678</v>
      </c>
      <c r="CD502" s="37"/>
      <c r="CE502" s="37"/>
      <c r="CF502" s="39">
        <f t="shared" si="346"/>
        <v>11.135806451612904</v>
      </c>
      <c r="CG502" s="39">
        <f t="shared" si="342"/>
        <v>3.0225760368663601</v>
      </c>
      <c r="CH502" s="39">
        <f t="shared" ref="CH502:CH513" si="357">BP502*12*AW502/(12*0.453592)</f>
        <v>4.8179906526769267</v>
      </c>
      <c r="CI502" s="39">
        <f t="shared" si="351"/>
        <v>4.0917118069443115</v>
      </c>
      <c r="CJ502" s="39">
        <f t="shared" si="338"/>
        <v>0.12366123621391667</v>
      </c>
      <c r="CK502" s="39">
        <f t="shared" si="347"/>
        <v>4.9377653614408205E-2</v>
      </c>
      <c r="CL502" s="37"/>
      <c r="CM502" s="39">
        <f t="shared" si="348"/>
        <v>0.17447934139366858</v>
      </c>
      <c r="CN502" s="37"/>
      <c r="CO502" s="39">
        <f>0.063495+(0.016949+0.014096)*Wages!P500+1.22592*BR502</f>
        <v>1.2505887055814471</v>
      </c>
      <c r="CP502" s="39"/>
      <c r="CQ502" s="39">
        <f t="shared" si="355"/>
        <v>1.2530867408766955</v>
      </c>
      <c r="CR502" s="39">
        <f t="shared" si="343"/>
        <v>0.36618467920445119</v>
      </c>
      <c r="CS502" s="39">
        <f t="shared" si="343"/>
        <v>3.0337254161704128</v>
      </c>
      <c r="CT502" s="39">
        <f t="shared" si="325"/>
        <v>5.9339137977847107</v>
      </c>
      <c r="CU502" s="39">
        <f t="shared" si="325"/>
        <v>2.0663235734416969</v>
      </c>
      <c r="CV502" s="39">
        <f t="shared" si="325"/>
        <v>0.37119354838709678</v>
      </c>
      <c r="CW502" s="39">
        <f t="shared" si="319"/>
        <v>0.15224735383064519</v>
      </c>
      <c r="CX502" s="39">
        <f t="shared" si="352"/>
        <v>4.0917118069443115</v>
      </c>
      <c r="CY502" s="39">
        <f t="shared" si="328"/>
        <v>7.8911932790559876</v>
      </c>
      <c r="CZ502" s="39">
        <f t="shared" si="329"/>
        <v>0.38466481961789145</v>
      </c>
      <c r="DA502" s="39">
        <f t="shared" ref="DA502:DA513" si="358">CH502</f>
        <v>4.8179906526769267</v>
      </c>
      <c r="DB502" s="39">
        <f t="shared" si="344"/>
        <v>4.8713064092794864</v>
      </c>
      <c r="DC502" s="39">
        <f t="shared" si="330"/>
        <v>6.1375947725990994</v>
      </c>
      <c r="DD502" s="39">
        <f t="shared" si="345"/>
        <v>3.0225760368663601</v>
      </c>
      <c r="DE502" s="39">
        <f t="shared" si="316"/>
        <v>4.9377653614408205E-2</v>
      </c>
      <c r="DF502" s="39">
        <v>0.12366123621391668</v>
      </c>
      <c r="DG502" s="39">
        <f t="shared" si="331"/>
        <v>0</v>
      </c>
      <c r="DH502" s="39">
        <f t="shared" si="332"/>
        <v>5.5895012015404353</v>
      </c>
      <c r="DI502" s="39">
        <f t="shared" si="339"/>
        <v>5.1038522520086129</v>
      </c>
      <c r="DJ502" s="37"/>
      <c r="DK502" s="37"/>
      <c r="DL502" s="37"/>
      <c r="DM502" s="39">
        <f t="shared" si="336"/>
        <v>1.3148747027919179</v>
      </c>
      <c r="DN502" s="39"/>
      <c r="DO502" s="39">
        <f t="shared" si="337"/>
        <v>1.3148747027919179</v>
      </c>
      <c r="DP502" s="37"/>
      <c r="DQ502" s="37">
        <f>DO502/'Conversions, Sources &amp; Comments'!E500</f>
        <v>2.8338309402311253</v>
      </c>
    </row>
    <row r="503" spans="1:121">
      <c r="A503" s="42">
        <f t="shared" si="333"/>
        <v>1751</v>
      </c>
      <c r="B503" s="36"/>
      <c r="C503" s="38">
        <v>34.93</v>
      </c>
      <c r="D503" s="38">
        <v>0</v>
      </c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8">
        <v>8</v>
      </c>
      <c r="W503" s="36"/>
      <c r="X503" s="36"/>
      <c r="Y503" s="36"/>
      <c r="Z503" s="36"/>
      <c r="AA503" s="36"/>
      <c r="AB503" s="59">
        <v>5</v>
      </c>
      <c r="AC503" s="38">
        <v>2</v>
      </c>
      <c r="AD503" s="38">
        <v>6</v>
      </c>
      <c r="AE503" s="38">
        <v>2</v>
      </c>
      <c r="AF503" s="38">
        <v>6</v>
      </c>
      <c r="AG503" s="36"/>
      <c r="AH503" s="36"/>
      <c r="AI503" s="36"/>
      <c r="AJ503" s="36"/>
      <c r="AK503" s="36"/>
      <c r="AL503" s="36"/>
      <c r="AM503" s="36"/>
      <c r="AN503" s="36"/>
      <c r="AO503" s="38">
        <v>2.4700000000000002</v>
      </c>
      <c r="AP503" s="36"/>
      <c r="AQ503" s="36"/>
      <c r="AR503" s="36"/>
      <c r="AS503" s="38">
        <v>31.13</v>
      </c>
      <c r="AT503" s="38">
        <v>4</v>
      </c>
      <c r="AU503" s="38">
        <v>2</v>
      </c>
      <c r="AV503" s="36"/>
      <c r="AW503" s="38">
        <v>5.36</v>
      </c>
      <c r="AX503" s="36"/>
      <c r="AY503" s="36"/>
      <c r="AZ503" s="38">
        <v>120</v>
      </c>
      <c r="BA503" s="36"/>
      <c r="BB503" s="36"/>
      <c r="BC503" s="38">
        <v>8</v>
      </c>
      <c r="BD503" s="38">
        <v>5.75</v>
      </c>
      <c r="BE503" s="38">
        <v>6.75</v>
      </c>
      <c r="BF503" s="38">
        <v>5.4</v>
      </c>
      <c r="BG503" s="59">
        <v>20.64</v>
      </c>
      <c r="BH503" s="59">
        <v>3.5</v>
      </c>
      <c r="BI503" s="59">
        <v>0.56531788688072615</v>
      </c>
      <c r="BJ503" s="59">
        <v>9</v>
      </c>
      <c r="BK503" s="38">
        <v>5.7874260869565228</v>
      </c>
      <c r="BL503" s="59">
        <v>2.02</v>
      </c>
      <c r="BM503" s="36"/>
      <c r="BN503" s="38">
        <v>62</v>
      </c>
      <c r="BO503" s="36"/>
      <c r="BP503" s="39">
        <f t="shared" si="326"/>
        <v>0.46399193548387102</v>
      </c>
      <c r="BQ503" s="37"/>
      <c r="BR503" s="39">
        <f t="shared" si="327"/>
        <v>0.6899045763005115</v>
      </c>
      <c r="BS503" s="39">
        <f t="shared" si="354"/>
        <v>1.3809527348437054</v>
      </c>
      <c r="BT503" s="39">
        <f t="shared" si="340"/>
        <v>30.445665057996788</v>
      </c>
      <c r="BU503" s="37"/>
      <c r="BV503" s="39">
        <f t="shared" si="334"/>
        <v>0.40766190824055415</v>
      </c>
      <c r="BW503" s="39">
        <f t="shared" si="322"/>
        <v>3.0687973862995501</v>
      </c>
      <c r="BX503" s="39">
        <f t="shared" si="335"/>
        <v>0.38466481961789145</v>
      </c>
      <c r="BY503" s="39">
        <f t="shared" si="353"/>
        <v>5.1146623104992504</v>
      </c>
      <c r="BZ503" s="39">
        <f t="shared" si="341"/>
        <v>7.8911932790559876</v>
      </c>
      <c r="CA503" s="39">
        <f t="shared" si="323"/>
        <v>5.920146016351338</v>
      </c>
      <c r="CB503" s="39">
        <f t="shared" si="324"/>
        <v>2.0663235734416969</v>
      </c>
      <c r="CC503" s="39">
        <f t="shared" si="356"/>
        <v>0.37119354838709678</v>
      </c>
      <c r="CD503" s="37"/>
      <c r="CE503" s="37"/>
      <c r="CF503" s="39">
        <f t="shared" si="346"/>
        <v>11.135806451612904</v>
      </c>
      <c r="CG503" s="39">
        <f t="shared" si="342"/>
        <v>3.0225760368663601</v>
      </c>
      <c r="CH503" s="39">
        <f t="shared" si="357"/>
        <v>5.4828938213053773</v>
      </c>
      <c r="CI503" s="39">
        <f t="shared" si="351"/>
        <v>4.0917118069443115</v>
      </c>
      <c r="CJ503" s="39">
        <f t="shared" si="338"/>
        <v>0.12874830379060956</v>
      </c>
      <c r="CK503" s="39">
        <f t="shared" si="347"/>
        <v>4.9377653614408205E-2</v>
      </c>
      <c r="CL503" s="37"/>
      <c r="CM503" s="39">
        <f t="shared" si="348"/>
        <v>0.17447934139366858</v>
      </c>
      <c r="CN503" s="37"/>
      <c r="CO503" s="39">
        <f>0.063495+(0.016949+0.014096)*Wages!P501+1.22592*BR503</f>
        <v>1.4278294851138069</v>
      </c>
      <c r="CP503" s="39"/>
      <c r="CQ503" s="39">
        <f t="shared" si="355"/>
        <v>1.3809527348437054</v>
      </c>
      <c r="CR503" s="39">
        <f t="shared" si="343"/>
        <v>0.40766190824055415</v>
      </c>
      <c r="CS503" s="39">
        <f t="shared" si="343"/>
        <v>3.0687973862995501</v>
      </c>
      <c r="CT503" s="39">
        <f t="shared" si="325"/>
        <v>5.920146016351338</v>
      </c>
      <c r="CU503" s="39">
        <f t="shared" si="325"/>
        <v>2.0663235734416969</v>
      </c>
      <c r="CV503" s="39">
        <f t="shared" si="325"/>
        <v>0.37119354838709678</v>
      </c>
      <c r="CW503" s="39">
        <f t="shared" si="319"/>
        <v>0.15224735383064519</v>
      </c>
      <c r="CX503" s="39">
        <f t="shared" si="352"/>
        <v>4.0917118069443115</v>
      </c>
      <c r="CY503" s="39">
        <f t="shared" si="328"/>
        <v>7.8911932790559876</v>
      </c>
      <c r="CZ503" s="39">
        <f t="shared" si="329"/>
        <v>0.38466481961789145</v>
      </c>
      <c r="DA503" s="39">
        <f t="shared" si="358"/>
        <v>5.4828938213053773</v>
      </c>
      <c r="DB503" s="39">
        <f t="shared" si="344"/>
        <v>4.8713064092794864</v>
      </c>
      <c r="DC503" s="39">
        <f t="shared" si="330"/>
        <v>5.1146623104992504</v>
      </c>
      <c r="DD503" s="39">
        <f t="shared" si="345"/>
        <v>3.0225760368663601</v>
      </c>
      <c r="DE503" s="39">
        <f t="shared" si="316"/>
        <v>4.9377653614408205E-2</v>
      </c>
      <c r="DF503" s="39">
        <v>0.12874830379060959</v>
      </c>
      <c r="DG503" s="39">
        <f t="shared" si="331"/>
        <v>0</v>
      </c>
      <c r="DH503" s="39">
        <f t="shared" si="332"/>
        <v>5.5895012015404353</v>
      </c>
      <c r="DI503" s="39">
        <f t="shared" si="339"/>
        <v>5.3138100536798705</v>
      </c>
      <c r="DJ503" s="37"/>
      <c r="DK503" s="37"/>
      <c r="DL503" s="37"/>
      <c r="DM503" s="39">
        <f t="shared" si="336"/>
        <v>1.3759446203615597</v>
      </c>
      <c r="DN503" s="39"/>
      <c r="DO503" s="39">
        <f t="shared" si="337"/>
        <v>1.3759446203615597</v>
      </c>
      <c r="DP503" s="37"/>
      <c r="DQ503" s="37">
        <f>DO503/'Conversions, Sources &amp; Comments'!E501</f>
        <v>2.9654494294748135</v>
      </c>
    </row>
    <row r="504" spans="1:121">
      <c r="A504" s="42">
        <f t="shared" si="333"/>
        <v>1752</v>
      </c>
      <c r="B504" s="36"/>
      <c r="C504" s="38">
        <v>34.590000000000003</v>
      </c>
      <c r="D504" s="38">
        <v>0</v>
      </c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8">
        <v>8</v>
      </c>
      <c r="W504" s="36"/>
      <c r="X504" s="36"/>
      <c r="Y504" s="36"/>
      <c r="Z504" s="36"/>
      <c r="AA504" s="36"/>
      <c r="AB504" s="59">
        <v>6</v>
      </c>
      <c r="AC504" s="38">
        <v>2</v>
      </c>
      <c r="AD504" s="38">
        <v>6</v>
      </c>
      <c r="AE504" s="38">
        <v>2</v>
      </c>
      <c r="AF504" s="38">
        <v>6</v>
      </c>
      <c r="AG504" s="36"/>
      <c r="AH504" s="36"/>
      <c r="AI504" s="36"/>
      <c r="AJ504" s="36"/>
      <c r="AK504" s="36"/>
      <c r="AL504" s="36"/>
      <c r="AM504" s="36"/>
      <c r="AN504" s="36"/>
      <c r="AO504" s="38">
        <v>2.66</v>
      </c>
      <c r="AP504" s="36"/>
      <c r="AQ504" s="36"/>
      <c r="AR504" s="36"/>
      <c r="AS504" s="38">
        <v>32.04</v>
      </c>
      <c r="AT504" s="38">
        <v>4</v>
      </c>
      <c r="AU504" s="38">
        <v>2</v>
      </c>
      <c r="AV504" s="36"/>
      <c r="AW504" s="38">
        <v>5.36</v>
      </c>
      <c r="AX504" s="36"/>
      <c r="AY504" s="36"/>
      <c r="AZ504" s="38">
        <v>120</v>
      </c>
      <c r="BA504" s="36"/>
      <c r="BB504" s="36"/>
      <c r="BC504" s="38">
        <v>8</v>
      </c>
      <c r="BD504" s="38">
        <v>5.25</v>
      </c>
      <c r="BE504" s="38">
        <v>6.83</v>
      </c>
      <c r="BF504" s="38">
        <v>5.6</v>
      </c>
      <c r="BG504" s="59">
        <v>16.43</v>
      </c>
      <c r="BH504" s="59">
        <v>3.5</v>
      </c>
      <c r="BI504" s="59">
        <v>0.56531788688072615</v>
      </c>
      <c r="BJ504" s="59">
        <v>9</v>
      </c>
      <c r="BK504" s="38">
        <v>5.7201304347826101</v>
      </c>
      <c r="BL504" s="59">
        <v>2.02</v>
      </c>
      <c r="BM504" s="36"/>
      <c r="BN504" s="38">
        <v>62</v>
      </c>
      <c r="BO504" s="36"/>
      <c r="BP504" s="39">
        <f t="shared" si="326"/>
        <v>0.46399193548387102</v>
      </c>
      <c r="BQ504" s="37"/>
      <c r="BR504" s="39">
        <f t="shared" si="327"/>
        <v>0.68318921540895206</v>
      </c>
      <c r="BS504" s="39">
        <f t="shared" si="354"/>
        <v>1.432099132430509</v>
      </c>
      <c r="BT504" s="39">
        <f t="shared" si="340"/>
        <v>30.445665057996788</v>
      </c>
      <c r="BU504" s="37"/>
      <c r="BV504" s="39">
        <f t="shared" si="334"/>
        <v>0.32450993955389074</v>
      </c>
      <c r="BW504" s="39">
        <f t="shared" si="322"/>
        <v>3.0687973862995501</v>
      </c>
      <c r="BX504" s="39">
        <f t="shared" si="335"/>
        <v>0.38466481961789145</v>
      </c>
      <c r="BY504" s="39">
        <f t="shared" si="353"/>
        <v>6.1375947725990994</v>
      </c>
      <c r="BZ504" s="39">
        <f t="shared" si="341"/>
        <v>7.8911932790559876</v>
      </c>
      <c r="CA504" s="39">
        <f t="shared" si="323"/>
        <v>5.8513071091844608</v>
      </c>
      <c r="CB504" s="39">
        <f t="shared" si="324"/>
        <v>2.0663235734416969</v>
      </c>
      <c r="CC504" s="39">
        <f t="shared" si="356"/>
        <v>0.37119354838709678</v>
      </c>
      <c r="CD504" s="37"/>
      <c r="CE504" s="37"/>
      <c r="CF504" s="39">
        <f t="shared" si="346"/>
        <v>11.135806451612904</v>
      </c>
      <c r="CG504" s="39">
        <f t="shared" si="342"/>
        <v>3.2550818858560802</v>
      </c>
      <c r="CH504" s="39">
        <f t="shared" si="357"/>
        <v>5.4828938213053773</v>
      </c>
      <c r="CI504" s="39">
        <f t="shared" si="351"/>
        <v>4.0917118069443115</v>
      </c>
      <c r="CJ504" s="39">
        <f t="shared" si="338"/>
        <v>0.13251190663190268</v>
      </c>
      <c r="CK504" s="39">
        <f t="shared" si="347"/>
        <v>4.9377653614408205E-2</v>
      </c>
      <c r="CL504" s="37"/>
      <c r="CM504" s="39">
        <f t="shared" si="348"/>
        <v>0.17447934139366858</v>
      </c>
      <c r="CN504" s="37"/>
      <c r="CO504" s="39">
        <f>0.063495+(0.016949+0.014096)*Wages!P502+1.22592*BR504</f>
        <v>1.4195969898896263</v>
      </c>
      <c r="CP504" s="39"/>
      <c r="CQ504" s="39">
        <f t="shared" si="355"/>
        <v>1.432099132430509</v>
      </c>
      <c r="CR504" s="39">
        <f t="shared" si="343"/>
        <v>0.32450993955389074</v>
      </c>
      <c r="CS504" s="39">
        <f t="shared" si="343"/>
        <v>3.0687973862995501</v>
      </c>
      <c r="CT504" s="39">
        <f t="shared" si="325"/>
        <v>5.8513071091844608</v>
      </c>
      <c r="CU504" s="39">
        <f t="shared" si="325"/>
        <v>2.0663235734416969</v>
      </c>
      <c r="CV504" s="39">
        <f t="shared" si="325"/>
        <v>0.37119354838709678</v>
      </c>
      <c r="CW504" s="39">
        <f t="shared" si="319"/>
        <v>0.15224735383064519</v>
      </c>
      <c r="CX504" s="39">
        <f t="shared" si="352"/>
        <v>4.0917118069443115</v>
      </c>
      <c r="CY504" s="39">
        <f t="shared" si="328"/>
        <v>7.8911932790559876</v>
      </c>
      <c r="CZ504" s="39">
        <f t="shared" si="329"/>
        <v>0.38466481961789145</v>
      </c>
      <c r="DA504" s="39">
        <f t="shared" si="358"/>
        <v>5.4828938213053773</v>
      </c>
      <c r="DB504" s="39">
        <f t="shared" si="344"/>
        <v>4.8713064092794864</v>
      </c>
      <c r="DC504" s="39">
        <f t="shared" si="330"/>
        <v>6.1375947725990994</v>
      </c>
      <c r="DD504" s="39">
        <f t="shared" si="345"/>
        <v>3.2550818858560802</v>
      </c>
      <c r="DE504" s="39">
        <f t="shared" si="316"/>
        <v>4.9377653614408205E-2</v>
      </c>
      <c r="DF504" s="39">
        <v>0.13251190663190271</v>
      </c>
      <c r="DG504" s="39">
        <f t="shared" si="331"/>
        <v>0</v>
      </c>
      <c r="DH504" s="39">
        <f t="shared" si="332"/>
        <v>5.5895012015404353</v>
      </c>
      <c r="DI504" s="39">
        <f t="shared" si="339"/>
        <v>5.4691446874366552</v>
      </c>
      <c r="DJ504" s="37"/>
      <c r="DK504" s="37"/>
      <c r="DL504" s="37"/>
      <c r="DM504" s="39">
        <f t="shared" si="336"/>
        <v>1.3949635261345998</v>
      </c>
      <c r="DN504" s="39"/>
      <c r="DO504" s="39">
        <f t="shared" si="337"/>
        <v>1.3949635261345998</v>
      </c>
      <c r="DP504" s="37"/>
      <c r="DQ504" s="37">
        <f>DO504/'Conversions, Sources &amp; Comments'!E502</f>
        <v>3.0064391629562937</v>
      </c>
    </row>
    <row r="505" spans="1:121">
      <c r="A505" s="42">
        <f t="shared" si="333"/>
        <v>1753</v>
      </c>
      <c r="B505" s="36"/>
      <c r="C505" s="38">
        <v>33.19</v>
      </c>
      <c r="D505" s="38">
        <v>0</v>
      </c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8">
        <v>8</v>
      </c>
      <c r="W505" s="36"/>
      <c r="X505" s="36"/>
      <c r="Y505" s="36"/>
      <c r="Z505" s="36"/>
      <c r="AA505" s="36"/>
      <c r="AB505" s="59">
        <v>7</v>
      </c>
      <c r="AC505" s="38">
        <v>2</v>
      </c>
      <c r="AD505" s="38">
        <v>6</v>
      </c>
      <c r="AE505" s="38">
        <v>2</v>
      </c>
      <c r="AF505" s="38">
        <v>6</v>
      </c>
      <c r="AG505" s="36"/>
      <c r="AH505" s="36"/>
      <c r="AI505" s="36"/>
      <c r="AJ505" s="36"/>
      <c r="AK505" s="36"/>
      <c r="AL505" s="36"/>
      <c r="AM505" s="36"/>
      <c r="AN505" s="36"/>
      <c r="AO505" s="38">
        <v>2.25</v>
      </c>
      <c r="AP505" s="36"/>
      <c r="AQ505" s="36"/>
      <c r="AR505" s="36"/>
      <c r="AS505" s="38">
        <v>32.1</v>
      </c>
      <c r="AT505" s="38">
        <v>4</v>
      </c>
      <c r="AU505" s="38">
        <v>2</v>
      </c>
      <c r="AV505" s="36"/>
      <c r="AW505" s="38">
        <v>6.25</v>
      </c>
      <c r="AX505" s="36"/>
      <c r="AY505" s="36"/>
      <c r="AZ505" s="38">
        <v>120</v>
      </c>
      <c r="BA505" s="36"/>
      <c r="BB505" s="36"/>
      <c r="BC505" s="38">
        <v>8</v>
      </c>
      <c r="BD505" s="38">
        <v>5.25</v>
      </c>
      <c r="BE505" s="36"/>
      <c r="BF505" s="38">
        <v>5</v>
      </c>
      <c r="BG505" s="59">
        <v>20.43</v>
      </c>
      <c r="BH505" s="59">
        <v>3.67</v>
      </c>
      <c r="BI505" s="59">
        <v>0.56531788688072615</v>
      </c>
      <c r="BJ505" s="59">
        <v>9</v>
      </c>
      <c r="BK505" s="38">
        <v>7.200634782608696</v>
      </c>
      <c r="BL505" s="59">
        <v>2.02</v>
      </c>
      <c r="BM505" s="36"/>
      <c r="BN505" s="38">
        <v>62</v>
      </c>
      <c r="BO505" s="36"/>
      <c r="BP505" s="39">
        <f t="shared" si="326"/>
        <v>0.46399193548387102</v>
      </c>
      <c r="BQ505" s="37"/>
      <c r="BR505" s="39">
        <f t="shared" si="327"/>
        <v>0.65553772938488331</v>
      </c>
      <c r="BS505" s="39">
        <f t="shared" si="354"/>
        <v>1.2786599396700973</v>
      </c>
      <c r="BT505" s="39">
        <f t="shared" si="340"/>
        <v>30.445665057996788</v>
      </c>
      <c r="BU505" s="37"/>
      <c r="BV505" s="39">
        <f t="shared" si="334"/>
        <v>0.40351418533694383</v>
      </c>
      <c r="BW505" s="39">
        <f t="shared" si="322"/>
        <v>3.2178532593483857</v>
      </c>
      <c r="BX505" s="39">
        <f t="shared" si="335"/>
        <v>0.38466481961789145</v>
      </c>
      <c r="BY505" s="39">
        <f t="shared" si="353"/>
        <v>7.1605272346989501</v>
      </c>
      <c r="BZ505" s="39">
        <f t="shared" si="341"/>
        <v>7.8911932790559876</v>
      </c>
      <c r="CA505" s="39">
        <f t="shared" si="323"/>
        <v>7.3657630668557328</v>
      </c>
      <c r="CB505" s="39">
        <f t="shared" si="324"/>
        <v>2.0663235734416969</v>
      </c>
      <c r="CC505" s="39">
        <f t="shared" si="356"/>
        <v>0.37119354838709678</v>
      </c>
      <c r="CD505" s="37"/>
      <c r="CE505" s="37"/>
      <c r="CF505" s="39">
        <f t="shared" si="346"/>
        <v>11.135806451612904</v>
      </c>
      <c r="CG505" s="39">
        <f t="shared" si="342"/>
        <v>2.7533587380361579</v>
      </c>
      <c r="CH505" s="39">
        <f t="shared" si="357"/>
        <v>6.3932996983504866</v>
      </c>
      <c r="CI505" s="39">
        <f t="shared" si="351"/>
        <v>4.0917118069443115</v>
      </c>
      <c r="CJ505" s="39">
        <f t="shared" si="338"/>
        <v>0.13276005626979015</v>
      </c>
      <c r="CK505" s="39">
        <f t="shared" si="347"/>
        <v>4.9377653614408205E-2</v>
      </c>
      <c r="CL505" s="37"/>
      <c r="CM505" s="39">
        <f t="shared" si="348"/>
        <v>0.17447934139366858</v>
      </c>
      <c r="CN505" s="37"/>
      <c r="CO505" s="39">
        <f>0.063495+(0.016949+0.014096)*Wages!P503+1.22592*BR505</f>
        <v>1.3856984801430001</v>
      </c>
      <c r="CP505" s="39"/>
      <c r="CQ505" s="39">
        <f t="shared" si="355"/>
        <v>1.2786599396700973</v>
      </c>
      <c r="CR505" s="39">
        <f t="shared" si="343"/>
        <v>0.40351418533694383</v>
      </c>
      <c r="CS505" s="39">
        <f t="shared" si="343"/>
        <v>3.2178532593483857</v>
      </c>
      <c r="CT505" s="39">
        <f t="shared" si="325"/>
        <v>7.3657630668557328</v>
      </c>
      <c r="CU505" s="39">
        <f t="shared" si="325"/>
        <v>2.0663235734416969</v>
      </c>
      <c r="CV505" s="39">
        <f t="shared" si="325"/>
        <v>0.37119354838709678</v>
      </c>
      <c r="CW505" s="39">
        <f t="shared" si="319"/>
        <v>0.15224735383064519</v>
      </c>
      <c r="CX505" s="39">
        <f t="shared" si="352"/>
        <v>4.0917118069443115</v>
      </c>
      <c r="CY505" s="39">
        <f t="shared" si="328"/>
        <v>7.8911932790559876</v>
      </c>
      <c r="CZ505" s="39">
        <f t="shared" si="329"/>
        <v>0.38466481961789145</v>
      </c>
      <c r="DA505" s="39">
        <f t="shared" si="358"/>
        <v>6.3932996983504866</v>
      </c>
      <c r="DB505" s="39">
        <f t="shared" si="344"/>
        <v>4.8713064092794864</v>
      </c>
      <c r="DC505" s="39">
        <f t="shared" si="330"/>
        <v>7.1605272346989501</v>
      </c>
      <c r="DD505" s="39">
        <f t="shared" si="345"/>
        <v>2.7533587380361579</v>
      </c>
      <c r="DE505" s="39">
        <f t="shared" si="316"/>
        <v>4.9377653614408205E-2</v>
      </c>
      <c r="DF505" s="39">
        <v>0.13276005626979018</v>
      </c>
      <c r="DG505" s="39">
        <f t="shared" si="331"/>
        <v>0</v>
      </c>
      <c r="DH505" s="39">
        <f t="shared" si="332"/>
        <v>5.5895012015404353</v>
      </c>
      <c r="DI505" s="39">
        <f t="shared" si="339"/>
        <v>5.4793865314206185</v>
      </c>
      <c r="DJ505" s="37"/>
      <c r="DK505" s="37"/>
      <c r="DL505" s="37"/>
      <c r="DM505" s="39">
        <f t="shared" si="336"/>
        <v>1.3748504500389873</v>
      </c>
      <c r="DN505" s="39"/>
      <c r="DO505" s="39">
        <f t="shared" si="337"/>
        <v>1.3748504500389873</v>
      </c>
      <c r="DP505" s="37"/>
      <c r="DQ505" s="37">
        <f>DO505/'Conversions, Sources &amp; Comments'!E503</f>
        <v>2.9630912627936805</v>
      </c>
    </row>
    <row r="506" spans="1:121">
      <c r="A506" s="42">
        <f t="shared" si="333"/>
        <v>1754</v>
      </c>
      <c r="B506" s="36"/>
      <c r="C506" s="38">
        <v>25.94</v>
      </c>
      <c r="D506" s="38">
        <v>0</v>
      </c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8">
        <v>8</v>
      </c>
      <c r="W506" s="36"/>
      <c r="X506" s="36"/>
      <c r="Y506" s="36"/>
      <c r="Z506" s="36"/>
      <c r="AA506" s="36"/>
      <c r="AB506" s="59">
        <v>7</v>
      </c>
      <c r="AC506" s="38">
        <v>2</v>
      </c>
      <c r="AD506" s="38">
        <v>6</v>
      </c>
      <c r="AE506" s="38">
        <v>2</v>
      </c>
      <c r="AF506" s="38">
        <v>6</v>
      </c>
      <c r="AG506" s="36"/>
      <c r="AH506" s="36"/>
      <c r="AI506" s="36"/>
      <c r="AJ506" s="36"/>
      <c r="AK506" s="36"/>
      <c r="AL506" s="36"/>
      <c r="AM506" s="36"/>
      <c r="AN506" s="36"/>
      <c r="AO506" s="38">
        <v>2.17</v>
      </c>
      <c r="AP506" s="36"/>
      <c r="AQ506" s="36"/>
      <c r="AR506" s="36"/>
      <c r="AS506" s="38">
        <v>34.58</v>
      </c>
      <c r="AT506" s="38">
        <v>4</v>
      </c>
      <c r="AU506" s="38">
        <v>2</v>
      </c>
      <c r="AV506" s="36"/>
      <c r="AW506" s="38">
        <v>6.25</v>
      </c>
      <c r="AX506" s="36"/>
      <c r="AY506" s="36"/>
      <c r="AZ506" s="38">
        <v>120</v>
      </c>
      <c r="BA506" s="36"/>
      <c r="BB506" s="36"/>
      <c r="BC506" s="38">
        <v>8</v>
      </c>
      <c r="BD506" s="38">
        <v>5.25</v>
      </c>
      <c r="BE506" s="38">
        <v>6.67</v>
      </c>
      <c r="BF506" s="38">
        <v>4.5</v>
      </c>
      <c r="BG506" s="59">
        <v>16.43</v>
      </c>
      <c r="BH506" s="59">
        <v>3.67</v>
      </c>
      <c r="BI506" s="59">
        <v>0.56531788688072615</v>
      </c>
      <c r="BJ506" s="59">
        <v>9</v>
      </c>
      <c r="BK506" s="38">
        <v>7.3352260869565225</v>
      </c>
      <c r="BL506" s="59">
        <v>2.02</v>
      </c>
      <c r="BM506" s="36"/>
      <c r="BN506" s="38">
        <v>62</v>
      </c>
      <c r="BO506" s="36"/>
      <c r="BP506" s="39">
        <f t="shared" si="326"/>
        <v>0.46399193548387102</v>
      </c>
      <c r="BQ506" s="37"/>
      <c r="BR506" s="39">
        <f t="shared" si="327"/>
        <v>0.51234253390309958</v>
      </c>
      <c r="BS506" s="39">
        <f t="shared" si="354"/>
        <v>1.1507939457030876</v>
      </c>
      <c r="BT506" s="39">
        <f t="shared" si="340"/>
        <v>30.445665057996788</v>
      </c>
      <c r="BU506" s="37"/>
      <c r="BV506" s="39">
        <f t="shared" si="334"/>
        <v>0.32450993955389074</v>
      </c>
      <c r="BW506" s="39">
        <f t="shared" si="322"/>
        <v>3.2178532593483857</v>
      </c>
      <c r="BX506" s="39">
        <f t="shared" si="335"/>
        <v>0.38466481961789145</v>
      </c>
      <c r="BY506" s="39">
        <f t="shared" si="353"/>
        <v>7.1605272346989501</v>
      </c>
      <c r="BZ506" s="39">
        <f t="shared" si="341"/>
        <v>7.8911932790559876</v>
      </c>
      <c r="CA506" s="39">
        <f t="shared" si="323"/>
        <v>7.5034408811894853</v>
      </c>
      <c r="CB506" s="39">
        <f t="shared" si="324"/>
        <v>2.0663235734416969</v>
      </c>
      <c r="CC506" s="39">
        <f t="shared" si="356"/>
        <v>0.37119354838709678</v>
      </c>
      <c r="CD506" s="37"/>
      <c r="CE506" s="37"/>
      <c r="CF506" s="39">
        <f t="shared" si="346"/>
        <v>11.135806451612904</v>
      </c>
      <c r="CG506" s="39">
        <f t="shared" si="342"/>
        <v>2.6554615384615388</v>
      </c>
      <c r="CH506" s="39">
        <f t="shared" si="357"/>
        <v>6.3932996983504866</v>
      </c>
      <c r="CI506" s="39">
        <f t="shared" si="351"/>
        <v>4.0917118069443115</v>
      </c>
      <c r="CJ506" s="39">
        <f t="shared" si="338"/>
        <v>0.14301690796913841</v>
      </c>
      <c r="CK506" s="39">
        <f t="shared" si="347"/>
        <v>4.9377653614408205E-2</v>
      </c>
      <c r="CL506" s="37"/>
      <c r="CM506" s="39">
        <f t="shared" si="348"/>
        <v>0.17447934139366858</v>
      </c>
      <c r="CN506" s="37"/>
      <c r="CO506" s="39">
        <f>0.063495+(0.016949+0.014096)*Wages!P504+1.22592*BR506</f>
        <v>1.2101526260979716</v>
      </c>
      <c r="CP506" s="39"/>
      <c r="CQ506" s="39">
        <f t="shared" si="355"/>
        <v>1.1507939457030876</v>
      </c>
      <c r="CR506" s="39">
        <f t="shared" si="343"/>
        <v>0.32450993955389074</v>
      </c>
      <c r="CS506" s="39">
        <f t="shared" si="343"/>
        <v>3.2178532593483857</v>
      </c>
      <c r="CT506" s="39">
        <f t="shared" si="325"/>
        <v>7.5034408811894853</v>
      </c>
      <c r="CU506" s="39">
        <f t="shared" si="325"/>
        <v>2.0663235734416969</v>
      </c>
      <c r="CV506" s="39">
        <f t="shared" si="325"/>
        <v>0.37119354838709678</v>
      </c>
      <c r="CW506" s="39">
        <f t="shared" si="319"/>
        <v>0.15224735383064519</v>
      </c>
      <c r="CX506" s="39">
        <f t="shared" si="352"/>
        <v>4.0917118069443115</v>
      </c>
      <c r="CY506" s="39">
        <f t="shared" si="328"/>
        <v>7.8911932790559876</v>
      </c>
      <c r="CZ506" s="39">
        <f t="shared" si="329"/>
        <v>0.38466481961789145</v>
      </c>
      <c r="DA506" s="39">
        <f t="shared" si="358"/>
        <v>6.3932996983504866</v>
      </c>
      <c r="DB506" s="39">
        <f t="shared" si="344"/>
        <v>4.8713064092794864</v>
      </c>
      <c r="DC506" s="39">
        <f t="shared" si="330"/>
        <v>7.1605272346989501</v>
      </c>
      <c r="DD506" s="39">
        <f t="shared" si="345"/>
        <v>2.6554615384615388</v>
      </c>
      <c r="DE506" s="39">
        <f t="shared" si="316"/>
        <v>4.9377653614408205E-2</v>
      </c>
      <c r="DF506" s="39">
        <v>0.14301690796913843</v>
      </c>
      <c r="DG506" s="39">
        <f t="shared" si="331"/>
        <v>0</v>
      </c>
      <c r="DH506" s="39">
        <f t="shared" si="332"/>
        <v>5.5895012015404353</v>
      </c>
      <c r="DI506" s="39">
        <f t="shared" si="339"/>
        <v>5.9027160827577871</v>
      </c>
      <c r="DJ506" s="37"/>
      <c r="DK506" s="37"/>
      <c r="DL506" s="37"/>
      <c r="DM506" s="39">
        <f t="shared" si="336"/>
        <v>1.3099709028939299</v>
      </c>
      <c r="DN506" s="39"/>
      <c r="DO506" s="39">
        <f t="shared" si="337"/>
        <v>1.3099709028939299</v>
      </c>
      <c r="DP506" s="37"/>
      <c r="DQ506" s="37">
        <f>DO506/'Conversions, Sources &amp; Comments'!E504</f>
        <v>2.823262222279435</v>
      </c>
    </row>
    <row r="507" spans="1:121">
      <c r="A507" s="42">
        <f t="shared" si="333"/>
        <v>1755</v>
      </c>
      <c r="B507" s="36"/>
      <c r="C507" s="38">
        <v>30.4</v>
      </c>
      <c r="D507" s="38">
        <v>0</v>
      </c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8">
        <v>8</v>
      </c>
      <c r="W507" s="36"/>
      <c r="X507" s="36"/>
      <c r="Y507" s="36"/>
      <c r="Z507" s="36"/>
      <c r="AA507" s="36"/>
      <c r="AB507" s="59">
        <v>7</v>
      </c>
      <c r="AC507" s="38">
        <v>2</v>
      </c>
      <c r="AD507" s="38">
        <v>6</v>
      </c>
      <c r="AE507" s="38">
        <v>2</v>
      </c>
      <c r="AF507" s="38">
        <v>6</v>
      </c>
      <c r="AG507" s="36"/>
      <c r="AH507" s="36"/>
      <c r="AI507" s="36"/>
      <c r="AJ507" s="36"/>
      <c r="AK507" s="36"/>
      <c r="AL507" s="36"/>
      <c r="AM507" s="36"/>
      <c r="AN507" s="36"/>
      <c r="AO507" s="38">
        <v>2.17</v>
      </c>
      <c r="AP507" s="36"/>
      <c r="AQ507" s="36"/>
      <c r="AR507" s="36"/>
      <c r="AS507" s="38">
        <v>40.590000000000003</v>
      </c>
      <c r="AT507" s="38">
        <v>4</v>
      </c>
      <c r="AU507" s="36"/>
      <c r="AV507" s="36"/>
      <c r="AW507" s="38">
        <v>6.75</v>
      </c>
      <c r="AX507" s="36"/>
      <c r="AY507" s="36"/>
      <c r="AZ507" s="38">
        <v>120</v>
      </c>
      <c r="BA507" s="36"/>
      <c r="BB507" s="36"/>
      <c r="BC507" s="38">
        <v>8</v>
      </c>
      <c r="BD507" s="38">
        <v>5.25</v>
      </c>
      <c r="BE507" s="38">
        <v>6.67</v>
      </c>
      <c r="BF507" s="38">
        <v>5</v>
      </c>
      <c r="BG507" s="59">
        <v>16.64</v>
      </c>
      <c r="BH507" s="59">
        <v>3.95</v>
      </c>
      <c r="BI507" s="59">
        <v>0.56531788688072615</v>
      </c>
      <c r="BJ507" s="59">
        <v>9</v>
      </c>
      <c r="BK507" s="38">
        <v>7.4563582608695667</v>
      </c>
      <c r="BL507" s="59">
        <v>2.02</v>
      </c>
      <c r="BM507" s="36"/>
      <c r="BN507" s="38">
        <v>62</v>
      </c>
      <c r="BO507" s="36"/>
      <c r="BP507" s="39">
        <f t="shared" si="326"/>
        <v>0.46399193548387102</v>
      </c>
      <c r="BQ507" s="37"/>
      <c r="BR507" s="39">
        <f t="shared" si="327"/>
        <v>0.60043226795120375</v>
      </c>
      <c r="BS507" s="39">
        <f t="shared" si="354"/>
        <v>1.2786599396700973</v>
      </c>
      <c r="BT507" s="39">
        <f t="shared" ref="BT507:BT532" si="359">BP507*12*AZ507/(24*0.9144)</f>
        <v>30.445665057996788</v>
      </c>
      <c r="BU507" s="37"/>
      <c r="BV507" s="39">
        <f t="shared" si="334"/>
        <v>0.328657662457501</v>
      </c>
      <c r="BW507" s="39">
        <f t="shared" si="322"/>
        <v>3.4633570502523496</v>
      </c>
      <c r="BX507" s="39">
        <f t="shared" si="335"/>
        <v>0.38466481961789145</v>
      </c>
      <c r="BY507" s="39">
        <f t="shared" si="353"/>
        <v>7.1605272346989501</v>
      </c>
      <c r="BZ507" s="39">
        <f t="shared" ref="BZ507:BZ538" si="360">$BP507*12*$BJ507/(14*0.45359)</f>
        <v>7.8911932790559876</v>
      </c>
      <c r="CA507" s="39">
        <f t="shared" si="323"/>
        <v>7.6273509140898623</v>
      </c>
      <c r="CB507" s="39">
        <f t="shared" si="324"/>
        <v>2.0663235734416969</v>
      </c>
      <c r="CC507" s="39">
        <f t="shared" si="356"/>
        <v>0.37119354838709678</v>
      </c>
      <c r="CD507" s="37"/>
      <c r="CE507" s="37"/>
      <c r="CF507" s="37"/>
      <c r="CG507" s="39">
        <f t="shared" si="342"/>
        <v>2.6554615384615388</v>
      </c>
      <c r="CH507" s="39">
        <f t="shared" si="357"/>
        <v>6.9047636742185254</v>
      </c>
      <c r="CI507" s="39">
        <f t="shared" si="351"/>
        <v>4.0917118069443115</v>
      </c>
      <c r="CJ507" s="39">
        <f t="shared" si="338"/>
        <v>0.16787323003086552</v>
      </c>
      <c r="CK507" s="39">
        <f t="shared" si="347"/>
        <v>4.9377653614408205E-2</v>
      </c>
      <c r="CL507" s="37"/>
      <c r="CM507" s="39">
        <f t="shared" si="348"/>
        <v>0.17447934139366858</v>
      </c>
      <c r="CN507" s="37"/>
      <c r="CO507" s="39">
        <f>0.063495+(0.016949+0.014096)*Wages!P505+1.22592*BR507</f>
        <v>1.3181435928622234</v>
      </c>
      <c r="CP507" s="39"/>
      <c r="CQ507" s="39">
        <f t="shared" si="355"/>
        <v>1.2786599396700973</v>
      </c>
      <c r="CR507" s="39">
        <f t="shared" si="343"/>
        <v>0.328657662457501</v>
      </c>
      <c r="CS507" s="39">
        <f t="shared" si="343"/>
        <v>3.4633570502523496</v>
      </c>
      <c r="CT507" s="39">
        <f t="shared" si="325"/>
        <v>7.6273509140898623</v>
      </c>
      <c r="CU507" s="39">
        <f t="shared" si="325"/>
        <v>2.0663235734416969</v>
      </c>
      <c r="CV507" s="39">
        <f t="shared" si="325"/>
        <v>0.37119354838709678</v>
      </c>
      <c r="CW507" s="39">
        <v>0.15224699999999999</v>
      </c>
      <c r="CX507" s="39">
        <f t="shared" si="352"/>
        <v>4.0917118069443115</v>
      </c>
      <c r="CY507" s="39">
        <f t="shared" si="328"/>
        <v>7.8911932790559876</v>
      </c>
      <c r="CZ507" s="39">
        <f t="shared" si="329"/>
        <v>0.38466481961789145</v>
      </c>
      <c r="DA507" s="39">
        <f t="shared" si="358"/>
        <v>6.9047636742185254</v>
      </c>
      <c r="DB507" s="39">
        <f t="shared" ref="DB507:DB532" si="361">DB$424*BT507/BT$424</f>
        <v>4.8713064092794864</v>
      </c>
      <c r="DC507" s="39">
        <f t="shared" si="330"/>
        <v>7.1605272346989501</v>
      </c>
      <c r="DD507" s="39">
        <f t="shared" si="345"/>
        <v>2.6554615384615388</v>
      </c>
      <c r="DE507" s="39">
        <f t="shared" si="316"/>
        <v>4.9377653614408205E-2</v>
      </c>
      <c r="DF507" s="39">
        <v>0.16787323003086552</v>
      </c>
      <c r="DG507" s="39">
        <f t="shared" si="331"/>
        <v>0</v>
      </c>
      <c r="DH507" s="39">
        <f t="shared" si="332"/>
        <v>5.5895012015404353</v>
      </c>
      <c r="DI507" s="39">
        <f t="shared" si="339"/>
        <v>6.9286074551514938</v>
      </c>
      <c r="DJ507" s="37"/>
      <c r="DK507" s="37"/>
      <c r="DL507" s="37"/>
      <c r="DM507" s="39">
        <f t="shared" si="336"/>
        <v>1.3867234440921197</v>
      </c>
      <c r="DN507" s="39"/>
      <c r="DO507" s="39">
        <f t="shared" si="337"/>
        <v>1.3867234440921197</v>
      </c>
      <c r="DP507" s="37"/>
      <c r="DQ507" s="37">
        <f>DO507/'Conversions, Sources &amp; Comments'!E505</f>
        <v>2.9886800567901766</v>
      </c>
    </row>
    <row r="508" spans="1:121">
      <c r="A508" s="42">
        <f t="shared" si="333"/>
        <v>1756</v>
      </c>
      <c r="B508" s="36"/>
      <c r="C508" s="38">
        <v>49.92</v>
      </c>
      <c r="D508" s="38">
        <v>0</v>
      </c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8">
        <v>8</v>
      </c>
      <c r="W508" s="36"/>
      <c r="X508" s="36"/>
      <c r="Y508" s="36"/>
      <c r="Z508" s="36"/>
      <c r="AA508" s="36"/>
      <c r="AB508" s="59">
        <v>6.666666666666667</v>
      </c>
      <c r="AC508" s="38">
        <v>2</v>
      </c>
      <c r="AD508" s="38">
        <v>6</v>
      </c>
      <c r="AE508" s="38">
        <v>2</v>
      </c>
      <c r="AF508" s="38">
        <v>6</v>
      </c>
      <c r="AG508" s="36"/>
      <c r="AH508" s="36"/>
      <c r="AI508" s="36"/>
      <c r="AJ508" s="36"/>
      <c r="AK508" s="36"/>
      <c r="AL508" s="36"/>
      <c r="AM508" s="36"/>
      <c r="AN508" s="36"/>
      <c r="AO508" s="38">
        <v>2.44</v>
      </c>
      <c r="AP508" s="36"/>
      <c r="AQ508" s="36"/>
      <c r="AR508" s="36"/>
      <c r="AS508" s="38">
        <v>38.24</v>
      </c>
      <c r="AT508" s="38">
        <v>4</v>
      </c>
      <c r="AU508" s="36"/>
      <c r="AV508" s="36"/>
      <c r="AW508" s="38">
        <v>7</v>
      </c>
      <c r="AX508" s="36"/>
      <c r="AY508" s="36"/>
      <c r="AZ508" s="38">
        <v>120</v>
      </c>
      <c r="BA508" s="36"/>
      <c r="BB508" s="36"/>
      <c r="BC508" s="38">
        <v>8</v>
      </c>
      <c r="BD508" s="38">
        <v>5.25</v>
      </c>
      <c r="BE508" s="38">
        <v>6.67</v>
      </c>
      <c r="BF508" s="38">
        <v>7.2</v>
      </c>
      <c r="BG508" s="59">
        <v>29.49</v>
      </c>
      <c r="BH508" s="59">
        <v>4.0199999999999996</v>
      </c>
      <c r="BI508" s="59">
        <v>0.56531788688072615</v>
      </c>
      <c r="BJ508" s="59">
        <v>9</v>
      </c>
      <c r="BK508" s="38">
        <v>7.3217669565217394</v>
      </c>
      <c r="BL508" s="59">
        <v>2.02</v>
      </c>
      <c r="BM508" s="36"/>
      <c r="BN508" s="38">
        <v>62</v>
      </c>
      <c r="BO508" s="36"/>
      <c r="BP508" s="39">
        <f t="shared" si="326"/>
        <v>0.46399193548387102</v>
      </c>
      <c r="BQ508" s="37"/>
      <c r="BR508" s="39">
        <f t="shared" si="327"/>
        <v>0.98597298737250294</v>
      </c>
      <c r="BS508" s="39">
        <f t="shared" si="354"/>
        <v>1.8412703131249402</v>
      </c>
      <c r="BT508" s="39">
        <f t="shared" si="359"/>
        <v>30.445665057996788</v>
      </c>
      <c r="BU508" s="37"/>
      <c r="BV508" s="39">
        <f t="shared" si="334"/>
        <v>0.58245880203555911</v>
      </c>
      <c r="BW508" s="39">
        <f t="shared" si="322"/>
        <v>3.5247329979783402</v>
      </c>
      <c r="BX508" s="39">
        <f t="shared" si="335"/>
        <v>0.38466481961789145</v>
      </c>
      <c r="BY508" s="39">
        <f t="shared" si="353"/>
        <v>6.8195497473323341</v>
      </c>
      <c r="BZ508" s="39">
        <f t="shared" si="360"/>
        <v>7.8911932790559876</v>
      </c>
      <c r="CA508" s="39">
        <f t="shared" si="323"/>
        <v>7.489673099756109</v>
      </c>
      <c r="CB508" s="39">
        <f t="shared" si="324"/>
        <v>2.0663235734416969</v>
      </c>
      <c r="CC508" s="39">
        <f t="shared" si="356"/>
        <v>0.37119354838709678</v>
      </c>
      <c r="CD508" s="37"/>
      <c r="CE508" s="37"/>
      <c r="CF508" s="37"/>
      <c r="CG508" s="39">
        <f t="shared" si="342"/>
        <v>2.985864587025878</v>
      </c>
      <c r="CH508" s="39">
        <f t="shared" si="357"/>
        <v>7.1604956621525444</v>
      </c>
      <c r="CI508" s="39">
        <f t="shared" si="351"/>
        <v>4.0917118069443115</v>
      </c>
      <c r="CJ508" s="39">
        <f t="shared" si="338"/>
        <v>0.15815403588027338</v>
      </c>
      <c r="CK508" s="39">
        <f t="shared" si="347"/>
        <v>4.9377653614408205E-2</v>
      </c>
      <c r="CL508" s="37"/>
      <c r="CM508" s="39">
        <f t="shared" si="348"/>
        <v>0.17447934139366858</v>
      </c>
      <c r="CN508" s="37"/>
      <c r="CO508" s="39">
        <f>0.063495+(0.016949+0.014096)*Wages!P506+1.22592*BR508</f>
        <v>1.7907856716151827</v>
      </c>
      <c r="CP508" s="39"/>
      <c r="CQ508" s="39">
        <f t="shared" si="355"/>
        <v>1.8412703131249402</v>
      </c>
      <c r="CR508" s="39">
        <f t="shared" si="343"/>
        <v>0.58245880203555911</v>
      </c>
      <c r="CS508" s="39">
        <f t="shared" si="343"/>
        <v>3.5247329979783402</v>
      </c>
      <c r="CT508" s="39">
        <f t="shared" si="325"/>
        <v>7.489673099756109</v>
      </c>
      <c r="CU508" s="39">
        <f t="shared" si="325"/>
        <v>2.0663235734416969</v>
      </c>
      <c r="CV508" s="39">
        <f t="shared" si="325"/>
        <v>0.37119354838709678</v>
      </c>
      <c r="CW508" s="39">
        <v>0.15224699999999999</v>
      </c>
      <c r="CX508" s="39">
        <f t="shared" si="352"/>
        <v>4.0917118069443115</v>
      </c>
      <c r="CY508" s="39">
        <f t="shared" si="328"/>
        <v>7.8911932790559876</v>
      </c>
      <c r="CZ508" s="39">
        <f t="shared" si="329"/>
        <v>0.38466481961789145</v>
      </c>
      <c r="DA508" s="39">
        <f t="shared" si="358"/>
        <v>7.1604956621525444</v>
      </c>
      <c r="DB508" s="39">
        <f t="shared" si="361"/>
        <v>4.8713064092794864</v>
      </c>
      <c r="DC508" s="39">
        <f t="shared" si="330"/>
        <v>6.8195497473323341</v>
      </c>
      <c r="DD508" s="39">
        <f t="shared" si="345"/>
        <v>2.985864587025878</v>
      </c>
      <c r="DE508" s="39">
        <f t="shared" si="316"/>
        <v>4.9377653614408205E-2</v>
      </c>
      <c r="DF508" s="39">
        <v>0.15815403588027338</v>
      </c>
      <c r="DG508" s="39">
        <f t="shared" si="331"/>
        <v>0</v>
      </c>
      <c r="DH508" s="39">
        <f t="shared" si="332"/>
        <v>5.5895012015404353</v>
      </c>
      <c r="DI508" s="39">
        <f t="shared" si="339"/>
        <v>6.5274685657795768</v>
      </c>
      <c r="DJ508" s="37"/>
      <c r="DK508" s="37"/>
      <c r="DL508" s="37"/>
      <c r="DM508" s="39">
        <f t="shared" si="336"/>
        <v>1.6689851307662964</v>
      </c>
      <c r="DN508" s="39"/>
      <c r="DO508" s="39">
        <f t="shared" si="337"/>
        <v>1.6689851307662964</v>
      </c>
      <c r="DP508" s="37"/>
      <c r="DQ508" s="37">
        <f>DO508/'Conversions, Sources &amp; Comments'!E506</f>
        <v>3.5970132304687708</v>
      </c>
    </row>
    <row r="509" spans="1:121">
      <c r="A509" s="42">
        <f t="shared" si="333"/>
        <v>1757</v>
      </c>
      <c r="B509" s="36"/>
      <c r="C509" s="38">
        <v>42.12</v>
      </c>
      <c r="D509" s="38">
        <v>0</v>
      </c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8">
        <v>8</v>
      </c>
      <c r="W509" s="36"/>
      <c r="X509" s="36"/>
      <c r="Y509" s="36"/>
      <c r="Z509" s="36"/>
      <c r="AA509" s="36"/>
      <c r="AB509" s="59">
        <v>6.666666666666667</v>
      </c>
      <c r="AC509" s="38">
        <v>2</v>
      </c>
      <c r="AD509" s="38">
        <v>6</v>
      </c>
      <c r="AE509" s="38">
        <v>2</v>
      </c>
      <c r="AF509" s="38">
        <v>6</v>
      </c>
      <c r="AG509" s="36"/>
      <c r="AH509" s="36"/>
      <c r="AI509" s="36"/>
      <c r="AJ509" s="36"/>
      <c r="AK509" s="36"/>
      <c r="AL509" s="36"/>
      <c r="AM509" s="36"/>
      <c r="AN509" s="36"/>
      <c r="AO509" s="38">
        <v>3.07</v>
      </c>
      <c r="AP509" s="36"/>
      <c r="AQ509" s="36"/>
      <c r="AR509" s="36"/>
      <c r="AS509" s="38">
        <v>38.39</v>
      </c>
      <c r="AT509" s="38">
        <v>4</v>
      </c>
      <c r="AU509" s="38">
        <v>2</v>
      </c>
      <c r="AV509" s="36"/>
      <c r="AW509" s="38">
        <v>7</v>
      </c>
      <c r="AX509" s="36"/>
      <c r="AY509" s="36"/>
      <c r="AZ509" s="38">
        <v>120</v>
      </c>
      <c r="BA509" s="36"/>
      <c r="BB509" s="36"/>
      <c r="BC509" s="38">
        <v>8</v>
      </c>
      <c r="BD509" s="38">
        <v>5.25</v>
      </c>
      <c r="BE509" s="36"/>
      <c r="BF509" s="38">
        <v>6.1</v>
      </c>
      <c r="BG509" s="59">
        <v>29.49</v>
      </c>
      <c r="BH509" s="59">
        <v>3.99</v>
      </c>
      <c r="BI509" s="59">
        <v>0.56531788688072615</v>
      </c>
      <c r="BJ509" s="59">
        <v>9</v>
      </c>
      <c r="BK509" s="38">
        <v>7.3890626086956521</v>
      </c>
      <c r="BL509" s="59">
        <v>2.02</v>
      </c>
      <c r="BM509" s="36"/>
      <c r="BN509" s="38">
        <v>62</v>
      </c>
      <c r="BO509" s="36"/>
      <c r="BP509" s="39">
        <f t="shared" si="326"/>
        <v>0.46399193548387102</v>
      </c>
      <c r="BQ509" s="37"/>
      <c r="BR509" s="39">
        <f t="shared" si="327"/>
        <v>0.83191470809554935</v>
      </c>
      <c r="BS509" s="39">
        <f t="shared" si="354"/>
        <v>1.5599651263975187</v>
      </c>
      <c r="BT509" s="39">
        <f t="shared" si="359"/>
        <v>30.445665057996788</v>
      </c>
      <c r="BU509" s="37"/>
      <c r="BV509" s="39">
        <f t="shared" si="334"/>
        <v>0.58245880203555911</v>
      </c>
      <c r="BW509" s="39">
        <f t="shared" si="322"/>
        <v>3.4984290203814878</v>
      </c>
      <c r="BX509" s="39">
        <f t="shared" si="335"/>
        <v>0.38466481961789145</v>
      </c>
      <c r="BY509" s="39">
        <f t="shared" si="353"/>
        <v>6.8195497473323341</v>
      </c>
      <c r="BZ509" s="39">
        <f t="shared" si="360"/>
        <v>7.8911932790559876</v>
      </c>
      <c r="CA509" s="39">
        <f t="shared" si="323"/>
        <v>7.5585120069229852</v>
      </c>
      <c r="CB509" s="39">
        <f t="shared" si="324"/>
        <v>2.0663235734416969</v>
      </c>
      <c r="CC509" s="39">
        <f t="shared" si="356"/>
        <v>0.37119354838709678</v>
      </c>
      <c r="CD509" s="37"/>
      <c r="CE509" s="37"/>
      <c r="CF509" s="39">
        <f>$BP509*12*$AU509</f>
        <v>11.135806451612904</v>
      </c>
      <c r="CG509" s="39">
        <f t="shared" si="342"/>
        <v>3.7568050336760015</v>
      </c>
      <c r="CH509" s="39">
        <f t="shared" si="357"/>
        <v>7.1604956621525444</v>
      </c>
      <c r="CI509" s="39">
        <f t="shared" si="351"/>
        <v>4.0917118069443115</v>
      </c>
      <c r="CJ509" s="39">
        <f t="shared" si="338"/>
        <v>0.15877440997499201</v>
      </c>
      <c r="CK509" s="39">
        <f t="shared" si="347"/>
        <v>4.9377653614408205E-2</v>
      </c>
      <c r="CL509" s="37"/>
      <c r="CM509" s="39">
        <f t="shared" si="348"/>
        <v>0.17447934139366858</v>
      </c>
      <c r="CN509" s="37"/>
      <c r="CO509" s="39">
        <f>0.063495+(0.016949+0.014096)*Wages!P507+1.22592*BR509</f>
        <v>1.6019225458839796</v>
      </c>
      <c r="CP509" s="39"/>
      <c r="CQ509" s="39">
        <f t="shared" si="355"/>
        <v>1.5599651263975187</v>
      </c>
      <c r="CR509" s="39">
        <f t="shared" si="343"/>
        <v>0.58245880203555911</v>
      </c>
      <c r="CS509" s="39">
        <f t="shared" si="343"/>
        <v>3.4984290203814878</v>
      </c>
      <c r="CT509" s="39">
        <f t="shared" si="325"/>
        <v>7.5585120069229852</v>
      </c>
      <c r="CU509" s="39">
        <f t="shared" si="325"/>
        <v>2.0663235734416969</v>
      </c>
      <c r="CV509" s="39">
        <f t="shared" si="325"/>
        <v>0.37119354838709678</v>
      </c>
      <c r="CW509" s="39">
        <f t="shared" ref="CW509:CW572" si="362">CW$454*CF509/CF$454</f>
        <v>0.15224735383064519</v>
      </c>
      <c r="CX509" s="39">
        <f t="shared" si="352"/>
        <v>4.0917118069443115</v>
      </c>
      <c r="CY509" s="39">
        <f t="shared" si="328"/>
        <v>7.8911932790559876</v>
      </c>
      <c r="CZ509" s="39">
        <f t="shared" si="329"/>
        <v>0.38466481961789145</v>
      </c>
      <c r="DA509" s="39">
        <f t="shared" si="358"/>
        <v>7.1604956621525444</v>
      </c>
      <c r="DB509" s="39">
        <f t="shared" si="361"/>
        <v>4.8713064092794864</v>
      </c>
      <c r="DC509" s="39">
        <f t="shared" si="330"/>
        <v>6.8195497473323341</v>
      </c>
      <c r="DD509" s="39">
        <f t="shared" si="345"/>
        <v>3.7568050336760015</v>
      </c>
      <c r="DE509" s="39">
        <f t="shared" si="316"/>
        <v>4.9377653614408205E-2</v>
      </c>
      <c r="DF509" s="39">
        <v>0.15877440997499204</v>
      </c>
      <c r="DG509" s="39">
        <f t="shared" si="331"/>
        <v>0</v>
      </c>
      <c r="DH509" s="39">
        <f t="shared" si="332"/>
        <v>5.5895012015404353</v>
      </c>
      <c r="DI509" s="39">
        <f t="shared" si="339"/>
        <v>6.5530731757394873</v>
      </c>
      <c r="DJ509" s="37"/>
      <c r="DK509" s="37"/>
      <c r="DL509" s="37"/>
      <c r="DM509" s="39">
        <f t="shared" si="336"/>
        <v>1.5496330095777977</v>
      </c>
      <c r="DN509" s="39"/>
      <c r="DO509" s="39">
        <f t="shared" si="337"/>
        <v>1.5496330095777977</v>
      </c>
      <c r="DP509" s="37"/>
      <c r="DQ509" s="37">
        <f>DO509/'Conversions, Sources &amp; Comments'!E507</f>
        <v>3.3397843606091402</v>
      </c>
    </row>
    <row r="510" spans="1:121">
      <c r="A510" s="42">
        <f t="shared" si="333"/>
        <v>1758</v>
      </c>
      <c r="B510" s="36"/>
      <c r="C510" s="38">
        <v>31.24</v>
      </c>
      <c r="D510" s="38">
        <v>0</v>
      </c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8">
        <v>8</v>
      </c>
      <c r="W510" s="36"/>
      <c r="X510" s="36"/>
      <c r="Y510" s="36"/>
      <c r="Z510" s="36"/>
      <c r="AA510" s="36"/>
      <c r="AB510" s="59">
        <v>6.666666666666667</v>
      </c>
      <c r="AC510" s="38">
        <v>2</v>
      </c>
      <c r="AD510" s="38">
        <v>6</v>
      </c>
      <c r="AE510" s="38">
        <v>2</v>
      </c>
      <c r="AF510" s="38">
        <v>6</v>
      </c>
      <c r="AG510" s="38">
        <v>13</v>
      </c>
      <c r="AH510" s="38">
        <v>0</v>
      </c>
      <c r="AI510" s="38">
        <v>13</v>
      </c>
      <c r="AJ510" s="38">
        <v>0</v>
      </c>
      <c r="AK510" s="36"/>
      <c r="AL510" s="36"/>
      <c r="AM510" s="36"/>
      <c r="AN510" s="36"/>
      <c r="AO510" s="38">
        <v>3.17</v>
      </c>
      <c r="AP510" s="36"/>
      <c r="AQ510" s="36"/>
      <c r="AR510" s="36"/>
      <c r="AS510" s="38">
        <v>36.78</v>
      </c>
      <c r="AT510" s="38">
        <v>4</v>
      </c>
      <c r="AU510" s="38">
        <v>2</v>
      </c>
      <c r="AV510" s="36"/>
      <c r="AW510" s="38">
        <v>7.25</v>
      </c>
      <c r="AX510" s="36"/>
      <c r="AY510" s="36"/>
      <c r="AZ510" s="38">
        <v>120</v>
      </c>
      <c r="BA510" s="36"/>
      <c r="BB510" s="36"/>
      <c r="BC510" s="38">
        <v>8</v>
      </c>
      <c r="BD510" s="38">
        <v>5.25</v>
      </c>
      <c r="BE510" s="36"/>
      <c r="BF510" s="38">
        <v>5.2</v>
      </c>
      <c r="BG510" s="59">
        <v>25.28</v>
      </c>
      <c r="BH510" s="59">
        <v>4.0199999999999996</v>
      </c>
      <c r="BI510" s="59">
        <v>0.56531788688072615</v>
      </c>
      <c r="BJ510" s="59">
        <v>9</v>
      </c>
      <c r="BK510" s="38">
        <v>7.3217669565217394</v>
      </c>
      <c r="BL510" s="59">
        <v>2.02</v>
      </c>
      <c r="BM510" s="36"/>
      <c r="BN510" s="38">
        <v>62</v>
      </c>
      <c r="BO510" s="36"/>
      <c r="BP510" s="39">
        <f t="shared" si="326"/>
        <v>0.46399193548387102</v>
      </c>
      <c r="BQ510" s="37"/>
      <c r="BR510" s="39">
        <f t="shared" si="327"/>
        <v>0.61702315956564491</v>
      </c>
      <c r="BS510" s="39">
        <f t="shared" si="354"/>
        <v>1.3298063372569013</v>
      </c>
      <c r="BT510" s="39">
        <f t="shared" si="359"/>
        <v>30.445665057996788</v>
      </c>
      <c r="BU510" s="37"/>
      <c r="BV510" s="39">
        <f t="shared" si="334"/>
        <v>0.49930683334889581</v>
      </c>
      <c r="BW510" s="39">
        <f t="shared" si="322"/>
        <v>3.5247329979783402</v>
      </c>
      <c r="BX510" s="39">
        <f t="shared" si="335"/>
        <v>0.38466481961789145</v>
      </c>
      <c r="BY510" s="39">
        <f t="shared" si="353"/>
        <v>6.8195497473323341</v>
      </c>
      <c r="BZ510" s="39">
        <f t="shared" si="360"/>
        <v>7.8911932790559876</v>
      </c>
      <c r="CA510" s="39">
        <f t="shared" si="323"/>
        <v>7.489673099756109</v>
      </c>
      <c r="CB510" s="39">
        <f t="shared" si="324"/>
        <v>2.0663235734416969</v>
      </c>
      <c r="CC510" s="39">
        <f t="shared" si="356"/>
        <v>0.37119354838709678</v>
      </c>
      <c r="CD510" s="37"/>
      <c r="CE510" s="37"/>
      <c r="CF510" s="39">
        <f>$BP510*12*$AU510</f>
        <v>11.135806451612904</v>
      </c>
      <c r="CG510" s="39">
        <f t="shared" si="342"/>
        <v>3.8791765331442751</v>
      </c>
      <c r="CH510" s="39">
        <f t="shared" si="357"/>
        <v>7.4162276500865634</v>
      </c>
      <c r="CI510" s="39">
        <f t="shared" si="351"/>
        <v>4.0917118069443115</v>
      </c>
      <c r="CJ510" s="39">
        <f t="shared" si="338"/>
        <v>0.15211572802501189</v>
      </c>
      <c r="CK510" s="39">
        <f t="shared" si="347"/>
        <v>4.9377653614408205E-2</v>
      </c>
      <c r="CL510" s="39">
        <f>BP510*(12*AG510+AH510)/100</f>
        <v>0.72382741935483874</v>
      </c>
      <c r="CM510" s="39">
        <f t="shared" si="348"/>
        <v>0.17447934139366858</v>
      </c>
      <c r="CN510" s="37"/>
      <c r="CO510" s="39">
        <f>0.063495+(0.016949+0.014096)*Wages!P508+1.22592*BR510</f>
        <v>1.3384826987101992</v>
      </c>
      <c r="CP510" s="39"/>
      <c r="CQ510" s="39">
        <f t="shared" si="355"/>
        <v>1.3298063372569013</v>
      </c>
      <c r="CR510" s="39">
        <f t="shared" si="343"/>
        <v>0.49930683334889581</v>
      </c>
      <c r="CS510" s="39">
        <f t="shared" si="343"/>
        <v>3.5247329979783402</v>
      </c>
      <c r="CT510" s="39">
        <f t="shared" si="325"/>
        <v>7.489673099756109</v>
      </c>
      <c r="CU510" s="39">
        <f t="shared" si="325"/>
        <v>2.0663235734416969</v>
      </c>
      <c r="CV510" s="39">
        <f t="shared" si="325"/>
        <v>0.37119354838709678</v>
      </c>
      <c r="CW510" s="39">
        <f t="shared" si="362"/>
        <v>0.15224735383064519</v>
      </c>
      <c r="CX510" s="39">
        <f t="shared" si="352"/>
        <v>4.0917118069443115</v>
      </c>
      <c r="CY510" s="39">
        <f t="shared" si="328"/>
        <v>7.8911932790559876</v>
      </c>
      <c r="CZ510" s="39">
        <f t="shared" si="329"/>
        <v>0.38466481961789145</v>
      </c>
      <c r="DA510" s="39">
        <f t="shared" si="358"/>
        <v>7.4162276500865634</v>
      </c>
      <c r="DB510" s="39">
        <f t="shared" si="361"/>
        <v>4.8713064092794864</v>
      </c>
      <c r="DC510" s="39">
        <f t="shared" si="330"/>
        <v>6.8195497473323341</v>
      </c>
      <c r="DD510" s="39">
        <f t="shared" si="345"/>
        <v>3.8791765331442751</v>
      </c>
      <c r="DE510" s="39">
        <f t="shared" si="316"/>
        <v>4.9377653614408205E-2</v>
      </c>
      <c r="DF510" s="39">
        <v>0.15211572802501191</v>
      </c>
      <c r="DG510" s="39">
        <f t="shared" si="331"/>
        <v>0.72382741935483874</v>
      </c>
      <c r="DH510" s="39">
        <f t="shared" si="332"/>
        <v>5.5895012015404353</v>
      </c>
      <c r="DI510" s="39">
        <f t="shared" si="339"/>
        <v>6.2782503621697936</v>
      </c>
      <c r="DJ510" s="37"/>
      <c r="DK510" s="37"/>
      <c r="DL510" s="37"/>
      <c r="DM510" s="39">
        <f t="shared" si="336"/>
        <v>1.4414046834157666</v>
      </c>
      <c r="DN510" s="39"/>
      <c r="DO510" s="39">
        <f t="shared" si="337"/>
        <v>1.4414046834157666</v>
      </c>
      <c r="DP510" s="37"/>
      <c r="DQ510" s="37">
        <f>DO510/'Conversions, Sources &amp; Comments'!E508</f>
        <v>3.106529603607457</v>
      </c>
    </row>
    <row r="511" spans="1:121">
      <c r="A511" s="42">
        <f t="shared" si="333"/>
        <v>1759</v>
      </c>
      <c r="B511" s="36"/>
      <c r="C511" s="38">
        <v>29</v>
      </c>
      <c r="D511" s="38">
        <v>0</v>
      </c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8">
        <v>8</v>
      </c>
      <c r="W511" s="36"/>
      <c r="X511" s="36"/>
      <c r="Y511" s="36"/>
      <c r="Z511" s="36"/>
      <c r="AA511" s="36"/>
      <c r="AB511" s="59">
        <v>7.333333333333333</v>
      </c>
      <c r="AC511" s="38">
        <v>2</v>
      </c>
      <c r="AD511" s="38">
        <v>6</v>
      </c>
      <c r="AE511" s="38">
        <v>2</v>
      </c>
      <c r="AF511" s="38">
        <v>6</v>
      </c>
      <c r="AG511" s="36"/>
      <c r="AH511" s="36"/>
      <c r="AI511" s="36"/>
      <c r="AJ511" s="36"/>
      <c r="AK511" s="36"/>
      <c r="AL511" s="36"/>
      <c r="AM511" s="36"/>
      <c r="AN511" s="36"/>
      <c r="AO511" s="38">
        <v>3.19</v>
      </c>
      <c r="AP511" s="36"/>
      <c r="AQ511" s="36"/>
      <c r="AR511" s="36"/>
      <c r="AS511" s="38">
        <v>34.369999999999997</v>
      </c>
      <c r="AT511" s="38">
        <v>4</v>
      </c>
      <c r="AU511" s="38">
        <v>2</v>
      </c>
      <c r="AV511" s="36"/>
      <c r="AW511" s="38">
        <v>7.5</v>
      </c>
      <c r="AX511" s="36"/>
      <c r="AY511" s="36"/>
      <c r="AZ511" s="38">
        <v>120</v>
      </c>
      <c r="BA511" s="36"/>
      <c r="BB511" s="36"/>
      <c r="BC511" s="38">
        <v>8</v>
      </c>
      <c r="BD511" s="38">
        <v>5.25</v>
      </c>
      <c r="BE511" s="38">
        <v>6.67</v>
      </c>
      <c r="BF511" s="38">
        <v>4.7</v>
      </c>
      <c r="BG511" s="59">
        <v>19.59</v>
      </c>
      <c r="BH511" s="59">
        <v>4.16</v>
      </c>
      <c r="BI511" s="59">
        <v>0.56531788688072615</v>
      </c>
      <c r="BJ511" s="59">
        <v>9</v>
      </c>
      <c r="BK511" s="38">
        <v>6.0566086956521747</v>
      </c>
      <c r="BL511" s="59">
        <v>2.02</v>
      </c>
      <c r="BM511" s="36"/>
      <c r="BN511" s="38">
        <v>62</v>
      </c>
      <c r="BO511" s="36"/>
      <c r="BP511" s="39">
        <f t="shared" si="326"/>
        <v>0.46399193548387102</v>
      </c>
      <c r="BQ511" s="37"/>
      <c r="BR511" s="39">
        <f t="shared" si="327"/>
        <v>0.57278078192713522</v>
      </c>
      <c r="BS511" s="39">
        <f t="shared" si="354"/>
        <v>1.2019403432898916</v>
      </c>
      <c r="BT511" s="39">
        <f t="shared" si="359"/>
        <v>30.445665057996788</v>
      </c>
      <c r="BU511" s="37"/>
      <c r="BV511" s="39">
        <f t="shared" si="334"/>
        <v>0.38692329372250267</v>
      </c>
      <c r="BW511" s="39">
        <f t="shared" si="322"/>
        <v>3.6474848934303226</v>
      </c>
      <c r="BX511" s="39">
        <f t="shared" si="335"/>
        <v>0.38466481961789145</v>
      </c>
      <c r="BY511" s="39">
        <f t="shared" si="353"/>
        <v>7.5015047220655671</v>
      </c>
      <c r="BZ511" s="39">
        <f t="shared" si="360"/>
        <v>7.8911932790559876</v>
      </c>
      <c r="CA511" s="39">
        <f t="shared" si="323"/>
        <v>6.1955016450188412</v>
      </c>
      <c r="CB511" s="39">
        <f t="shared" si="324"/>
        <v>2.0663235734416969</v>
      </c>
      <c r="CC511" s="39">
        <f t="shared" si="356"/>
        <v>0.37119354838709678</v>
      </c>
      <c r="CD511" s="37"/>
      <c r="CE511" s="37"/>
      <c r="CF511" s="39">
        <f>$BP511*12*$AU511</f>
        <v>11.135806451612904</v>
      </c>
      <c r="CG511" s="39">
        <f t="shared" si="342"/>
        <v>3.9036508330379309</v>
      </c>
      <c r="CH511" s="39">
        <f t="shared" si="357"/>
        <v>7.6719596380205841</v>
      </c>
      <c r="CI511" s="39">
        <f t="shared" si="351"/>
        <v>4.0917118069443115</v>
      </c>
      <c r="CJ511" s="39">
        <f t="shared" si="338"/>
        <v>0.14214838423653231</v>
      </c>
      <c r="CK511" s="39">
        <f t="shared" si="347"/>
        <v>4.9377653614408205E-2</v>
      </c>
      <c r="CL511" s="37"/>
      <c r="CM511" s="39">
        <f t="shared" si="348"/>
        <v>0.17447934139366858</v>
      </c>
      <c r="CN511" s="37"/>
      <c r="CO511" s="39">
        <f>0.063495+(0.016949+0.014096)*Wages!P509+1.22592*BR511</f>
        <v>1.2842450831155974</v>
      </c>
      <c r="CP511" s="39"/>
      <c r="CQ511" s="39">
        <f t="shared" si="355"/>
        <v>1.2019403432898916</v>
      </c>
      <c r="CR511" s="39">
        <f t="shared" si="343"/>
        <v>0.38692329372250267</v>
      </c>
      <c r="CS511" s="39">
        <f t="shared" si="343"/>
        <v>3.6474848934303226</v>
      </c>
      <c r="CT511" s="39">
        <f t="shared" si="325"/>
        <v>6.1955016450188412</v>
      </c>
      <c r="CU511" s="39">
        <f t="shared" si="325"/>
        <v>2.0663235734416969</v>
      </c>
      <c r="CV511" s="39">
        <f t="shared" si="325"/>
        <v>0.37119354838709678</v>
      </c>
      <c r="CW511" s="39">
        <f t="shared" si="362"/>
        <v>0.15224735383064519</v>
      </c>
      <c r="CX511" s="39">
        <f t="shared" si="352"/>
        <v>4.0917118069443115</v>
      </c>
      <c r="CY511" s="39">
        <f t="shared" si="328"/>
        <v>7.8911932790559876</v>
      </c>
      <c r="CZ511" s="39">
        <f t="shared" si="329"/>
        <v>0.38466481961789145</v>
      </c>
      <c r="DA511" s="39">
        <f t="shared" si="358"/>
        <v>7.6719596380205841</v>
      </c>
      <c r="DB511" s="39">
        <f t="shared" si="361"/>
        <v>4.8713064092794864</v>
      </c>
      <c r="DC511" s="39">
        <f t="shared" si="330"/>
        <v>7.5015047220655671</v>
      </c>
      <c r="DD511" s="39">
        <f t="shared" si="345"/>
        <v>3.9036508330379309</v>
      </c>
      <c r="DE511" s="39">
        <f t="shared" si="316"/>
        <v>4.9377653614408205E-2</v>
      </c>
      <c r="DF511" s="39">
        <v>0.14214838423653231</v>
      </c>
      <c r="DG511" s="39">
        <f t="shared" si="331"/>
        <v>0</v>
      </c>
      <c r="DH511" s="39">
        <f t="shared" si="332"/>
        <v>5.5895012015404353</v>
      </c>
      <c r="DI511" s="39">
        <f t="shared" si="339"/>
        <v>5.8668696288139133</v>
      </c>
      <c r="DJ511" s="37"/>
      <c r="DK511" s="37"/>
      <c r="DL511" s="37"/>
      <c r="DM511" s="39">
        <f t="shared" si="336"/>
        <v>1.3687313345650902</v>
      </c>
      <c r="DN511" s="39"/>
      <c r="DO511" s="39">
        <f t="shared" si="337"/>
        <v>1.3687313345650902</v>
      </c>
      <c r="DP511" s="37"/>
      <c r="DQ511" s="37">
        <f>DO511/'Conversions, Sources &amp; Comments'!E509</f>
        <v>2.9499032847148894</v>
      </c>
    </row>
    <row r="512" spans="1:121">
      <c r="A512" s="42">
        <f t="shared" si="333"/>
        <v>1760</v>
      </c>
      <c r="B512" s="36"/>
      <c r="C512" s="38">
        <v>28.59</v>
      </c>
      <c r="D512" s="38">
        <v>0</v>
      </c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8">
        <v>7</v>
      </c>
      <c r="W512" s="36"/>
      <c r="X512" s="36"/>
      <c r="Y512" s="36"/>
      <c r="Z512" s="36"/>
      <c r="AA512" s="36"/>
      <c r="AB512" s="59">
        <v>7</v>
      </c>
      <c r="AC512" s="38">
        <v>2</v>
      </c>
      <c r="AD512" s="38">
        <v>6</v>
      </c>
      <c r="AE512" s="38">
        <v>2</v>
      </c>
      <c r="AF512" s="38">
        <v>6</v>
      </c>
      <c r="AG512" s="36"/>
      <c r="AH512" s="36"/>
      <c r="AI512" s="36"/>
      <c r="AJ512" s="36"/>
      <c r="AK512" s="36"/>
      <c r="AL512" s="36"/>
      <c r="AM512" s="36"/>
      <c r="AN512" s="36"/>
      <c r="AO512" s="38">
        <v>3.25</v>
      </c>
      <c r="AP512" s="36"/>
      <c r="AQ512" s="36"/>
      <c r="AR512" s="36"/>
      <c r="AS512" s="38">
        <v>36.39</v>
      </c>
      <c r="AT512" s="38">
        <v>4</v>
      </c>
      <c r="AU512" s="38">
        <v>2</v>
      </c>
      <c r="AV512" s="36"/>
      <c r="AW512" s="38">
        <v>7.5</v>
      </c>
      <c r="AX512" s="36"/>
      <c r="AY512" s="36"/>
      <c r="AZ512" s="38">
        <v>120</v>
      </c>
      <c r="BA512" s="36"/>
      <c r="BB512" s="36"/>
      <c r="BC512" s="38">
        <v>8</v>
      </c>
      <c r="BD512" s="38">
        <v>5.25</v>
      </c>
      <c r="BE512" s="38">
        <v>6.67</v>
      </c>
      <c r="BF512" s="38">
        <v>4.7</v>
      </c>
      <c r="BG512" s="59">
        <v>20.22</v>
      </c>
      <c r="BH512" s="59">
        <v>3.95</v>
      </c>
      <c r="BI512" s="59">
        <v>0.56531788688072615</v>
      </c>
      <c r="BJ512" s="59">
        <v>9</v>
      </c>
      <c r="BK512" s="38">
        <v>7.3486852173913055</v>
      </c>
      <c r="BL512" s="59">
        <v>1.68</v>
      </c>
      <c r="BM512" s="36"/>
      <c r="BN512" s="38">
        <v>62</v>
      </c>
      <c r="BO512" s="36"/>
      <c r="BP512" s="39">
        <f t="shared" si="326"/>
        <v>0.46399193548387102</v>
      </c>
      <c r="BQ512" s="37"/>
      <c r="BR512" s="39">
        <f t="shared" si="327"/>
        <v>0.56468284673437219</v>
      </c>
      <c r="BS512" s="39">
        <f t="shared" si="354"/>
        <v>1.2019403432898916</v>
      </c>
      <c r="BT512" s="39">
        <f t="shared" si="359"/>
        <v>30.445665057996788</v>
      </c>
      <c r="BU512" s="37"/>
      <c r="BV512" s="39">
        <f t="shared" si="334"/>
        <v>0.39936646243333351</v>
      </c>
      <c r="BW512" s="39">
        <f t="shared" si="322"/>
        <v>3.4633570502523496</v>
      </c>
      <c r="BX512" s="39">
        <f t="shared" si="335"/>
        <v>0.38466481961789145</v>
      </c>
      <c r="BY512" s="39">
        <f t="shared" si="353"/>
        <v>7.1605272346989501</v>
      </c>
      <c r="BZ512" s="39">
        <f t="shared" si="360"/>
        <v>7.8911932790559876</v>
      </c>
      <c r="CA512" s="39">
        <f t="shared" si="323"/>
        <v>7.5172086626228607</v>
      </c>
      <c r="CB512" s="39">
        <f t="shared" si="324"/>
        <v>1.718526536327748</v>
      </c>
      <c r="CC512" s="39">
        <f t="shared" si="356"/>
        <v>0.32479435483870966</v>
      </c>
      <c r="CD512" s="37"/>
      <c r="CE512" s="37"/>
      <c r="CF512" s="39">
        <f>$BP512*12*$AU512</f>
        <v>11.135806451612904</v>
      </c>
      <c r="CG512" s="39">
        <f t="shared" si="342"/>
        <v>3.9770737327188947</v>
      </c>
      <c r="CH512" s="39">
        <f t="shared" si="357"/>
        <v>7.6719596380205841</v>
      </c>
      <c r="CI512" s="39">
        <f t="shared" si="351"/>
        <v>4.0917118069443115</v>
      </c>
      <c r="CJ512" s="39">
        <f t="shared" si="338"/>
        <v>0.15050275537874341</v>
      </c>
      <c r="CK512" s="39">
        <f t="shared" si="347"/>
        <v>4.9377653614408205E-2</v>
      </c>
      <c r="CL512" s="37"/>
      <c r="CM512" s="39">
        <f t="shared" si="348"/>
        <v>0.17447934139366858</v>
      </c>
      <c r="CN512" s="37"/>
      <c r="CO512" s="39">
        <f>0.063495+(0.016949+0.014096)*Wages!P510+1.22592*BR512</f>
        <v>1.2743176624040853</v>
      </c>
      <c r="CP512" s="39"/>
      <c r="CQ512" s="39">
        <f t="shared" si="355"/>
        <v>1.2019403432898916</v>
      </c>
      <c r="CR512" s="39">
        <f t="shared" si="343"/>
        <v>0.39936646243333351</v>
      </c>
      <c r="CS512" s="39">
        <f t="shared" si="343"/>
        <v>3.4633570502523496</v>
      </c>
      <c r="CT512" s="39">
        <f t="shared" si="325"/>
        <v>7.5172086626228607</v>
      </c>
      <c r="CU512" s="39">
        <f t="shared" si="325"/>
        <v>1.718526536327748</v>
      </c>
      <c r="CV512" s="39">
        <f t="shared" si="325"/>
        <v>0.32479435483870966</v>
      </c>
      <c r="CW512" s="39">
        <f t="shared" si="362"/>
        <v>0.15224735383064519</v>
      </c>
      <c r="CX512" s="39">
        <f t="shared" si="352"/>
        <v>4.0917118069443115</v>
      </c>
      <c r="CY512" s="39">
        <f t="shared" si="328"/>
        <v>7.8911932790559876</v>
      </c>
      <c r="CZ512" s="39">
        <f t="shared" si="329"/>
        <v>0.38466481961789145</v>
      </c>
      <c r="DA512" s="39">
        <f t="shared" si="358"/>
        <v>7.6719596380205841</v>
      </c>
      <c r="DB512" s="39">
        <f t="shared" si="361"/>
        <v>4.8713064092794864</v>
      </c>
      <c r="DC512" s="39">
        <f t="shared" si="330"/>
        <v>7.1605272346989501</v>
      </c>
      <c r="DD512" s="39">
        <f t="shared" si="345"/>
        <v>3.9770737327188947</v>
      </c>
      <c r="DE512" s="39">
        <f t="shared" si="316"/>
        <v>4.9377653614408205E-2</v>
      </c>
      <c r="DF512" s="39">
        <v>0.15050275537874341</v>
      </c>
      <c r="DG512" s="39">
        <f t="shared" si="331"/>
        <v>0</v>
      </c>
      <c r="DH512" s="39">
        <f t="shared" si="332"/>
        <v>5.5895012015404353</v>
      </c>
      <c r="DI512" s="39">
        <f t="shared" si="339"/>
        <v>6.211678376274028</v>
      </c>
      <c r="DJ512" s="37"/>
      <c r="DK512" s="37"/>
      <c r="DL512" s="37"/>
      <c r="DM512" s="39">
        <f t="shared" si="336"/>
        <v>1.3634665621191546</v>
      </c>
      <c r="DN512" s="39"/>
      <c r="DO512" s="39">
        <f t="shared" si="337"/>
        <v>1.3634665621191546</v>
      </c>
      <c r="DP512" s="37"/>
      <c r="DQ512" s="37">
        <f>DO512/'Conversions, Sources &amp; Comments'!E510</f>
        <v>2.9385565951642505</v>
      </c>
    </row>
    <row r="513" spans="1:121">
      <c r="A513" s="42">
        <f t="shared" si="333"/>
        <v>1761</v>
      </c>
      <c r="B513" s="36"/>
      <c r="C513" s="38">
        <v>28.59</v>
      </c>
      <c r="D513" s="38">
        <v>0</v>
      </c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8">
        <v>8</v>
      </c>
      <c r="W513" s="36"/>
      <c r="X513" s="36"/>
      <c r="Y513" s="36"/>
      <c r="Z513" s="36"/>
      <c r="AA513" s="36"/>
      <c r="AB513" s="59">
        <v>7</v>
      </c>
      <c r="AC513" s="38">
        <v>2</v>
      </c>
      <c r="AD513" s="38">
        <v>6</v>
      </c>
      <c r="AE513" s="38">
        <v>2</v>
      </c>
      <c r="AF513" s="38">
        <v>6</v>
      </c>
      <c r="AG513" s="36"/>
      <c r="AH513" s="36"/>
      <c r="AI513" s="36"/>
      <c r="AJ513" s="36"/>
      <c r="AK513" s="36"/>
      <c r="AL513" s="36"/>
      <c r="AM513" s="36"/>
      <c r="AN513" s="36"/>
      <c r="AO513" s="38">
        <v>3.33</v>
      </c>
      <c r="AP513" s="36"/>
      <c r="AQ513" s="36"/>
      <c r="AR513" s="36"/>
      <c r="AS513" s="38">
        <v>37.299999999999997</v>
      </c>
      <c r="AT513" s="38">
        <v>3</v>
      </c>
      <c r="AU513" s="36"/>
      <c r="AV513" s="36"/>
      <c r="AW513" s="38">
        <v>7.5</v>
      </c>
      <c r="AX513" s="36"/>
      <c r="AY513" s="36"/>
      <c r="AZ513" s="38">
        <v>120</v>
      </c>
      <c r="BA513" s="36"/>
      <c r="BB513" s="36"/>
      <c r="BC513" s="38">
        <v>8</v>
      </c>
      <c r="BD513" s="38">
        <v>5.25</v>
      </c>
      <c r="BE513" s="38">
        <v>6.67</v>
      </c>
      <c r="BF513" s="38">
        <v>4.0999999999999996</v>
      </c>
      <c r="BG513" s="59">
        <v>20.85</v>
      </c>
      <c r="BH513" s="59">
        <v>3.85</v>
      </c>
      <c r="BI513" s="59">
        <v>0.56531788688072615</v>
      </c>
      <c r="BJ513" s="59">
        <v>7.5</v>
      </c>
      <c r="BK513" s="38">
        <v>6.729565217391305</v>
      </c>
      <c r="BL513" s="59">
        <v>1.35</v>
      </c>
      <c r="BM513" s="36"/>
      <c r="BN513" s="38">
        <v>62</v>
      </c>
      <c r="BO513" s="36"/>
      <c r="BP513" s="39">
        <f t="shared" si="326"/>
        <v>0.46399193548387102</v>
      </c>
      <c r="BQ513" s="37"/>
      <c r="BR513" s="39">
        <f t="shared" si="327"/>
        <v>0.56468284673437219</v>
      </c>
      <c r="BS513" s="39">
        <f t="shared" si="354"/>
        <v>1.0485011505294797</v>
      </c>
      <c r="BT513" s="39">
        <f t="shared" si="359"/>
        <v>30.445665057996788</v>
      </c>
      <c r="BU513" s="37"/>
      <c r="BV513" s="39">
        <f t="shared" si="334"/>
        <v>0.41180963114416447</v>
      </c>
      <c r="BW513" s="39">
        <f t="shared" si="322"/>
        <v>3.3756771249295059</v>
      </c>
      <c r="BX513" s="39">
        <f t="shared" si="335"/>
        <v>0.38466481961789145</v>
      </c>
      <c r="BY513" s="39">
        <f t="shared" si="353"/>
        <v>7.1605272346989501</v>
      </c>
      <c r="BZ513" s="39">
        <f t="shared" si="360"/>
        <v>6.5759943992133225</v>
      </c>
      <c r="CA513" s="39">
        <f t="shared" si="323"/>
        <v>6.8838907166876009</v>
      </c>
      <c r="CB513" s="39">
        <f t="shared" si="324"/>
        <v>1.3809588238347976</v>
      </c>
      <c r="CC513" s="39">
        <f t="shared" si="356"/>
        <v>0.37119354838709678</v>
      </c>
      <c r="CD513" s="37"/>
      <c r="CE513" s="37"/>
      <c r="CF513" s="37"/>
      <c r="CG513" s="39">
        <f t="shared" si="342"/>
        <v>4.0749709322935139</v>
      </c>
      <c r="CH513" s="39">
        <f t="shared" si="357"/>
        <v>7.6719596380205841</v>
      </c>
      <c r="CI513" s="39">
        <f t="shared" si="351"/>
        <v>3.0687838552082329</v>
      </c>
      <c r="CJ513" s="39">
        <f t="shared" si="338"/>
        <v>0.15426635822003651</v>
      </c>
      <c r="CK513" s="39">
        <f t="shared" si="347"/>
        <v>4.9377653614408205E-2</v>
      </c>
      <c r="CL513" s="37"/>
      <c r="CM513" s="39">
        <f t="shared" si="348"/>
        <v>0.17447934139366858</v>
      </c>
      <c r="CN513" s="37"/>
      <c r="CO513" s="39">
        <f>0.063495+(0.016949+0.014096)*Wages!P511+1.22592*BR513</f>
        <v>1.2743176624040853</v>
      </c>
      <c r="CP513" s="39"/>
      <c r="CQ513" s="39">
        <f t="shared" si="355"/>
        <v>1.0485011505294797</v>
      </c>
      <c r="CR513" s="39">
        <f t="shared" si="343"/>
        <v>0.41180963114416447</v>
      </c>
      <c r="CS513" s="39">
        <f t="shared" si="343"/>
        <v>3.3756771249295059</v>
      </c>
      <c r="CT513" s="39">
        <f t="shared" si="325"/>
        <v>6.8838907166876009</v>
      </c>
      <c r="CU513" s="39">
        <f t="shared" si="325"/>
        <v>1.3809588238347976</v>
      </c>
      <c r="CV513" s="39">
        <f t="shared" si="325"/>
        <v>0.37119354838709678</v>
      </c>
      <c r="CW513" s="39">
        <f t="shared" si="362"/>
        <v>0</v>
      </c>
      <c r="CX513" s="39">
        <f t="shared" si="352"/>
        <v>3.0687838552082329</v>
      </c>
      <c r="CY513" s="39">
        <f t="shared" si="328"/>
        <v>6.5759943992133225</v>
      </c>
      <c r="CZ513" s="39">
        <f t="shared" si="329"/>
        <v>0.38466481961789145</v>
      </c>
      <c r="DA513" s="39">
        <f t="shared" si="358"/>
        <v>7.6719596380205841</v>
      </c>
      <c r="DB513" s="39">
        <f t="shared" si="361"/>
        <v>4.8713064092794864</v>
      </c>
      <c r="DC513" s="39">
        <f t="shared" si="330"/>
        <v>7.1605272346989501</v>
      </c>
      <c r="DD513" s="39">
        <f t="shared" si="345"/>
        <v>4.0749709322935139</v>
      </c>
      <c r="DE513" s="39">
        <f t="shared" si="316"/>
        <v>4.9377653614408205E-2</v>
      </c>
      <c r="DF513" s="39">
        <v>0.15426635822003654</v>
      </c>
      <c r="DG513" s="39">
        <f t="shared" si="331"/>
        <v>0</v>
      </c>
      <c r="DH513" s="39">
        <f t="shared" si="332"/>
        <v>5.5895012015404353</v>
      </c>
      <c r="DI513" s="39">
        <f t="shared" si="339"/>
        <v>6.3670130100308118</v>
      </c>
      <c r="DJ513" s="37"/>
      <c r="DK513" s="37"/>
      <c r="DL513" s="37"/>
      <c r="DM513" s="39">
        <f t="shared" si="336"/>
        <v>1.2864842023088148</v>
      </c>
      <c r="DN513" s="39"/>
      <c r="DO513" s="39">
        <f t="shared" si="337"/>
        <v>1.2864842023088148</v>
      </c>
      <c r="DP513" s="37"/>
      <c r="DQ513" s="37">
        <f>DO513/'Conversions, Sources &amp; Comments'!E511</f>
        <v>2.7726434533117756</v>
      </c>
    </row>
    <row r="514" spans="1:121">
      <c r="A514" s="42">
        <f t="shared" si="333"/>
        <v>1762</v>
      </c>
      <c r="B514" s="36"/>
      <c r="C514" s="38">
        <v>30.54</v>
      </c>
      <c r="D514" s="38">
        <v>0</v>
      </c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8">
        <v>6</v>
      </c>
      <c r="W514" s="36"/>
      <c r="X514" s="36"/>
      <c r="Y514" s="36"/>
      <c r="Z514" s="36"/>
      <c r="AA514" s="36"/>
      <c r="AB514" s="59">
        <v>6.666666666666667</v>
      </c>
      <c r="AC514" s="38">
        <v>2</v>
      </c>
      <c r="AD514" s="38">
        <v>6</v>
      </c>
      <c r="AE514" s="38">
        <v>2</v>
      </c>
      <c r="AF514" s="38">
        <v>6</v>
      </c>
      <c r="AG514" s="36"/>
      <c r="AH514" s="36"/>
      <c r="AI514" s="36"/>
      <c r="AJ514" s="36"/>
      <c r="AK514" s="36"/>
      <c r="AL514" s="36"/>
      <c r="AM514" s="36"/>
      <c r="AN514" s="36"/>
      <c r="AO514" s="38">
        <v>3.5</v>
      </c>
      <c r="AP514" s="36"/>
      <c r="AQ514" s="36"/>
      <c r="AR514" s="36"/>
      <c r="AS514" s="38">
        <v>33.97</v>
      </c>
      <c r="AT514" s="38">
        <v>3</v>
      </c>
      <c r="AU514" s="36"/>
      <c r="AV514" s="36"/>
      <c r="AW514" s="36"/>
      <c r="AX514" s="36"/>
      <c r="AY514" s="36"/>
      <c r="AZ514" s="38">
        <v>120</v>
      </c>
      <c r="BA514" s="36"/>
      <c r="BB514" s="36"/>
      <c r="BC514" s="38">
        <v>8</v>
      </c>
      <c r="BD514" s="38">
        <v>5.25</v>
      </c>
      <c r="BE514" s="38">
        <v>6.67</v>
      </c>
      <c r="BF514" s="38">
        <v>4.9000000000000004</v>
      </c>
      <c r="BG514" s="59">
        <v>20.010000000000002</v>
      </c>
      <c r="BH514" s="59">
        <v>3.64</v>
      </c>
      <c r="BI514" s="59">
        <v>0.56531788688072615</v>
      </c>
      <c r="BJ514" s="59">
        <v>7.5</v>
      </c>
      <c r="BK514" s="38">
        <v>6.9987478260869569</v>
      </c>
      <c r="BL514" s="59">
        <v>1.35</v>
      </c>
      <c r="BM514" s="36"/>
      <c r="BN514" s="38">
        <v>62</v>
      </c>
      <c r="BO514" s="36"/>
      <c r="BP514" s="39">
        <f t="shared" si="326"/>
        <v>0.46399193548387102</v>
      </c>
      <c r="BQ514" s="37"/>
      <c r="BR514" s="39">
        <f t="shared" si="327"/>
        <v>0.6031974165536107</v>
      </c>
      <c r="BS514" s="39">
        <f t="shared" si="354"/>
        <v>1.2530867408766955</v>
      </c>
      <c r="BT514" s="39">
        <f t="shared" si="359"/>
        <v>30.445665057996788</v>
      </c>
      <c r="BU514" s="37"/>
      <c r="BV514" s="39">
        <f t="shared" si="334"/>
        <v>0.39521873952972331</v>
      </c>
      <c r="BW514" s="39">
        <f t="shared" si="322"/>
        <v>3.1915492817515325</v>
      </c>
      <c r="BX514" s="39">
        <f t="shared" si="335"/>
        <v>0.38466481961789145</v>
      </c>
      <c r="BY514" s="39">
        <f t="shared" si="353"/>
        <v>6.8195497473323341</v>
      </c>
      <c r="BZ514" s="39">
        <f t="shared" si="360"/>
        <v>6.5759943992133225</v>
      </c>
      <c r="CA514" s="39">
        <f t="shared" si="323"/>
        <v>7.1592463453551041</v>
      </c>
      <c r="CB514" s="39">
        <f t="shared" si="324"/>
        <v>1.3809588238347976</v>
      </c>
      <c r="CC514" s="39">
        <f t="shared" si="356"/>
        <v>0.27839516129032255</v>
      </c>
      <c r="CD514" s="37"/>
      <c r="CE514" s="37"/>
      <c r="CF514" s="37"/>
      <c r="CG514" s="39">
        <f t="shared" si="342"/>
        <v>4.2830024813895786</v>
      </c>
      <c r="CH514" s="37"/>
      <c r="CI514" s="39">
        <f t="shared" si="351"/>
        <v>3.0687838552082329</v>
      </c>
      <c r="CJ514" s="39">
        <f t="shared" si="338"/>
        <v>0.1404940533172826</v>
      </c>
      <c r="CK514" s="39">
        <f t="shared" si="347"/>
        <v>4.9377653614408205E-2</v>
      </c>
      <c r="CL514" s="37"/>
      <c r="CM514" s="39">
        <f t="shared" si="348"/>
        <v>0.17447934139366858</v>
      </c>
      <c r="CN514" s="37"/>
      <c r="CO514" s="39">
        <f>0.063495+(0.016949+0.014096)*Wages!P512+1.22592*BR514</f>
        <v>1.3215334438368864</v>
      </c>
      <c r="CP514" s="39"/>
      <c r="CQ514" s="39">
        <f t="shared" si="355"/>
        <v>1.2530867408766955</v>
      </c>
      <c r="CR514" s="39">
        <f t="shared" si="343"/>
        <v>0.39521873952972331</v>
      </c>
      <c r="CS514" s="39">
        <f t="shared" si="343"/>
        <v>3.1915492817515325</v>
      </c>
      <c r="CT514" s="39">
        <f t="shared" si="325"/>
        <v>7.1592463453551041</v>
      </c>
      <c r="CU514" s="39">
        <f t="shared" si="325"/>
        <v>1.3809588238347976</v>
      </c>
      <c r="CV514" s="39">
        <f t="shared" si="325"/>
        <v>0.27839516129032255</v>
      </c>
      <c r="CW514" s="39">
        <f t="shared" si="362"/>
        <v>0</v>
      </c>
      <c r="CX514" s="39">
        <f t="shared" si="352"/>
        <v>3.0687838552082329</v>
      </c>
      <c r="CY514" s="39">
        <f t="shared" si="328"/>
        <v>6.5759943992133225</v>
      </c>
      <c r="CZ514" s="39">
        <f t="shared" si="329"/>
        <v>0.38466481961789145</v>
      </c>
      <c r="DA514" s="39">
        <v>7.6719596380205841</v>
      </c>
      <c r="DB514" s="39">
        <f t="shared" si="361"/>
        <v>4.8713064092794864</v>
      </c>
      <c r="DC514" s="39">
        <f t="shared" si="330"/>
        <v>6.8195497473323341</v>
      </c>
      <c r="DD514" s="39">
        <f t="shared" si="345"/>
        <v>4.2830024813895786</v>
      </c>
      <c r="DE514" s="39">
        <f t="shared" si="316"/>
        <v>4.9377653614408205E-2</v>
      </c>
      <c r="DF514" s="39">
        <v>0.1404940533172826</v>
      </c>
      <c r="DG514" s="39">
        <f t="shared" si="331"/>
        <v>0</v>
      </c>
      <c r="DH514" s="39">
        <f t="shared" si="332"/>
        <v>5.5895012015404353</v>
      </c>
      <c r="DI514" s="39">
        <f t="shared" si="339"/>
        <v>5.7985906689208226</v>
      </c>
      <c r="DJ514" s="37"/>
      <c r="DK514" s="37"/>
      <c r="DL514" s="37"/>
      <c r="DM514" s="39">
        <f t="shared" si="336"/>
        <v>1.3535974539462634</v>
      </c>
      <c r="DN514" s="39"/>
      <c r="DO514" s="39">
        <f t="shared" si="337"/>
        <v>1.3535974539462634</v>
      </c>
      <c r="DP514" s="37"/>
      <c r="DQ514" s="37">
        <f>DO514/'Conversions, Sources &amp; Comments'!E512</f>
        <v>2.9172865957997156</v>
      </c>
    </row>
    <row r="515" spans="1:121">
      <c r="A515" s="42">
        <f t="shared" si="333"/>
        <v>1763</v>
      </c>
      <c r="B515" s="36"/>
      <c r="C515" s="38">
        <v>37.93</v>
      </c>
      <c r="D515" s="38">
        <v>0</v>
      </c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8">
        <v>7</v>
      </c>
      <c r="W515" s="36"/>
      <c r="X515" s="36"/>
      <c r="Y515" s="36"/>
      <c r="Z515" s="36"/>
      <c r="AA515" s="36"/>
      <c r="AB515" s="59">
        <v>6.666666666666667</v>
      </c>
      <c r="AC515" s="38">
        <v>2</v>
      </c>
      <c r="AD515" s="38">
        <v>6</v>
      </c>
      <c r="AE515" s="38">
        <v>2</v>
      </c>
      <c r="AF515" s="38">
        <v>6</v>
      </c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8">
        <v>35.93</v>
      </c>
      <c r="AT515" s="38">
        <v>3</v>
      </c>
      <c r="AU515" s="36"/>
      <c r="AV515" s="36"/>
      <c r="AW515" s="36"/>
      <c r="AX515" s="36"/>
      <c r="AY515" s="36"/>
      <c r="AZ515" s="38">
        <v>120</v>
      </c>
      <c r="BA515" s="36"/>
      <c r="BB515" s="36"/>
      <c r="BC515" s="38">
        <v>8</v>
      </c>
      <c r="BD515" s="38">
        <v>5.25</v>
      </c>
      <c r="BE515" s="38">
        <v>6.85</v>
      </c>
      <c r="BF515" s="38">
        <v>5.0999999999999996</v>
      </c>
      <c r="BG515" s="59">
        <v>18.96</v>
      </c>
      <c r="BH515" s="59">
        <v>3.57</v>
      </c>
      <c r="BI515" s="59">
        <v>0.56531788688072615</v>
      </c>
      <c r="BJ515" s="59">
        <v>7.25</v>
      </c>
      <c r="BK515" s="38">
        <v>7.3621443478260868</v>
      </c>
      <c r="BL515" s="59">
        <v>1.43</v>
      </c>
      <c r="BM515" s="36"/>
      <c r="BN515" s="38">
        <v>62</v>
      </c>
      <c r="BO515" s="36"/>
      <c r="BP515" s="39">
        <f t="shared" si="326"/>
        <v>0.46399193548387102</v>
      </c>
      <c r="BQ515" s="37"/>
      <c r="BR515" s="39">
        <f t="shared" si="327"/>
        <v>0.74915776063780126</v>
      </c>
      <c r="BS515" s="39">
        <f t="shared" si="354"/>
        <v>1.3042331384634991</v>
      </c>
      <c r="BT515" s="39">
        <f t="shared" si="359"/>
        <v>30.445665057996788</v>
      </c>
      <c r="BU515" s="37"/>
      <c r="BV515" s="39">
        <f t="shared" si="334"/>
        <v>0.37448012501167183</v>
      </c>
      <c r="BW515" s="39">
        <f t="shared" si="322"/>
        <v>3.1301733340255415</v>
      </c>
      <c r="BX515" s="39">
        <f t="shared" si="335"/>
        <v>0.38466481961789145</v>
      </c>
      <c r="BY515" s="39">
        <f t="shared" si="353"/>
        <v>6.8195497473323341</v>
      </c>
      <c r="BZ515" s="39">
        <f t="shared" si="360"/>
        <v>6.3567945859062114</v>
      </c>
      <c r="CA515" s="39">
        <f t="shared" si="323"/>
        <v>7.5309764440562343</v>
      </c>
      <c r="CB515" s="39">
        <f t="shared" si="324"/>
        <v>1.4627934208027855</v>
      </c>
      <c r="CC515" s="39">
        <f t="shared" si="356"/>
        <v>0.32479435483870966</v>
      </c>
      <c r="CD515" s="37"/>
      <c r="CE515" s="37"/>
      <c r="CF515" s="37"/>
      <c r="CG515" s="37"/>
      <c r="CH515" s="37"/>
      <c r="CI515" s="39">
        <f t="shared" si="351"/>
        <v>3.0687838552082329</v>
      </c>
      <c r="CJ515" s="39">
        <f t="shared" si="338"/>
        <v>0.14860027482160623</v>
      </c>
      <c r="CK515" s="39">
        <f t="shared" ref="CK515:CK546" si="363">BP515*(12*AC515+AD515)/(35.238*8)</f>
        <v>4.9377653614408205E-2</v>
      </c>
      <c r="CL515" s="37"/>
      <c r="CM515" s="39">
        <f t="shared" ref="CM515:CM546" si="364">BP515*(12*$AC515+$AD515)/(35.238*8)/0.283</f>
        <v>0.17447934139366858</v>
      </c>
      <c r="CN515" s="37"/>
      <c r="CO515" s="39">
        <f>0.063495+(0.016949+0.014096)*Wages!P513+1.22592*BR515</f>
        <v>1.5004691488565771</v>
      </c>
      <c r="CP515" s="39"/>
      <c r="CQ515" s="39">
        <f t="shared" si="355"/>
        <v>1.3042331384634991</v>
      </c>
      <c r="CR515" s="39">
        <f t="shared" si="343"/>
        <v>0.37448012501167183</v>
      </c>
      <c r="CS515" s="39">
        <f t="shared" si="343"/>
        <v>3.1301733340255415</v>
      </c>
      <c r="CT515" s="39">
        <f t="shared" si="325"/>
        <v>7.5309764440562343</v>
      </c>
      <c r="CU515" s="39">
        <f t="shared" si="325"/>
        <v>1.4627934208027855</v>
      </c>
      <c r="CV515" s="39">
        <f t="shared" si="325"/>
        <v>0.32479435483870966</v>
      </c>
      <c r="CW515" s="39">
        <f t="shared" si="362"/>
        <v>0</v>
      </c>
      <c r="CX515" s="39">
        <f t="shared" si="352"/>
        <v>3.0687838552082329</v>
      </c>
      <c r="CY515" s="39">
        <f t="shared" si="328"/>
        <v>6.3567945859062114</v>
      </c>
      <c r="CZ515" s="39">
        <f t="shared" si="329"/>
        <v>0.38466481961789145</v>
      </c>
      <c r="DA515" s="39">
        <v>7.6719596380205841</v>
      </c>
      <c r="DB515" s="39">
        <f t="shared" si="361"/>
        <v>4.8713064092794864</v>
      </c>
      <c r="DC515" s="39">
        <f t="shared" si="330"/>
        <v>6.8195497473323341</v>
      </c>
      <c r="DD515" s="39">
        <v>4.2830024813895786</v>
      </c>
      <c r="DE515" s="39">
        <f t="shared" ref="DE515:DE578" si="365">CK515</f>
        <v>4.9377653614408205E-2</v>
      </c>
      <c r="DF515" s="39">
        <v>0.14860027482160623</v>
      </c>
      <c r="DG515" s="39">
        <f t="shared" si="331"/>
        <v>0</v>
      </c>
      <c r="DH515" s="39">
        <f t="shared" si="332"/>
        <v>5.5895012015404353</v>
      </c>
      <c r="DI515" s="39">
        <f t="shared" si="339"/>
        <v>6.1331575723969722</v>
      </c>
      <c r="DJ515" s="37"/>
      <c r="DK515" s="37"/>
      <c r="DL515" s="37"/>
      <c r="DM515" s="39">
        <f t="shared" si="336"/>
        <v>1.3810879142609847</v>
      </c>
      <c r="DN515" s="39"/>
      <c r="DO515" s="39">
        <f t="shared" si="337"/>
        <v>1.3810879142609847</v>
      </c>
      <c r="DP515" s="37"/>
      <c r="DQ515" s="37">
        <f>DO515/'Conversions, Sources &amp; Comments'!E513</f>
        <v>2.9765343072627459</v>
      </c>
    </row>
    <row r="516" spans="1:121">
      <c r="A516" s="42">
        <f t="shared" si="333"/>
        <v>1764</v>
      </c>
      <c r="B516" s="36"/>
      <c r="C516" s="38">
        <v>39.119999999999997</v>
      </c>
      <c r="D516" s="38">
        <v>0</v>
      </c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8">
        <v>7.5</v>
      </c>
      <c r="W516" s="36"/>
      <c r="X516" s="36"/>
      <c r="Y516" s="36"/>
      <c r="Z516" s="36"/>
      <c r="AA516" s="36"/>
      <c r="AB516" s="59">
        <v>6.666666666666667</v>
      </c>
      <c r="AC516" s="38">
        <v>2</v>
      </c>
      <c r="AD516" s="38">
        <v>6</v>
      </c>
      <c r="AE516" s="38">
        <v>2</v>
      </c>
      <c r="AF516" s="38">
        <v>6</v>
      </c>
      <c r="AG516" s="36"/>
      <c r="AH516" s="36"/>
      <c r="AI516" s="36"/>
      <c r="AJ516" s="36"/>
      <c r="AK516" s="36"/>
      <c r="AL516" s="36"/>
      <c r="AM516" s="36"/>
      <c r="AN516" s="36"/>
      <c r="AO516" s="38">
        <v>3.5</v>
      </c>
      <c r="AP516" s="36"/>
      <c r="AQ516" s="36"/>
      <c r="AR516" s="36"/>
      <c r="AS516" s="38">
        <v>36.020000000000003</v>
      </c>
      <c r="AT516" s="38">
        <v>3</v>
      </c>
      <c r="AU516" s="36"/>
      <c r="AV516" s="36"/>
      <c r="AW516" s="38">
        <v>7.5</v>
      </c>
      <c r="AX516" s="36"/>
      <c r="AY516" s="36"/>
      <c r="AZ516" s="38">
        <v>120</v>
      </c>
      <c r="BA516" s="36"/>
      <c r="BB516" s="36"/>
      <c r="BC516" s="38">
        <v>8</v>
      </c>
      <c r="BD516" s="38">
        <v>5.25</v>
      </c>
      <c r="BE516" s="38">
        <v>6.97</v>
      </c>
      <c r="BF516" s="38">
        <v>5.8</v>
      </c>
      <c r="BG516" s="59">
        <v>21.06</v>
      </c>
      <c r="BH516" s="59">
        <v>3.6</v>
      </c>
      <c r="BI516" s="59">
        <v>0.56531788688072615</v>
      </c>
      <c r="BJ516" s="59">
        <v>7</v>
      </c>
      <c r="BK516" s="38">
        <v>7.7389999999999999</v>
      </c>
      <c r="BL516" s="59">
        <v>1.6</v>
      </c>
      <c r="BM516" s="36"/>
      <c r="BN516" s="38">
        <v>62</v>
      </c>
      <c r="BO516" s="36"/>
      <c r="BP516" s="39">
        <f t="shared" si="326"/>
        <v>0.46399193548387102</v>
      </c>
      <c r="BQ516" s="37"/>
      <c r="BR516" s="39">
        <f t="shared" si="327"/>
        <v>0.77266152375825958</v>
      </c>
      <c r="BS516" s="39">
        <f t="shared" si="354"/>
        <v>1.4832455300173129</v>
      </c>
      <c r="BT516" s="39">
        <f t="shared" si="359"/>
        <v>30.445665057996788</v>
      </c>
      <c r="BU516" s="37"/>
      <c r="BV516" s="39">
        <f t="shared" si="334"/>
        <v>0.41595735404777467</v>
      </c>
      <c r="BW516" s="39">
        <f t="shared" si="322"/>
        <v>3.1564773116223948</v>
      </c>
      <c r="BX516" s="39">
        <f t="shared" si="335"/>
        <v>0.38466481961789145</v>
      </c>
      <c r="BY516" s="39">
        <f t="shared" si="353"/>
        <v>6.8195497473323341</v>
      </c>
      <c r="BZ516" s="39">
        <f t="shared" si="360"/>
        <v>6.1375947725991002</v>
      </c>
      <c r="CA516" s="39">
        <f t="shared" si="323"/>
        <v>7.91647432419074</v>
      </c>
      <c r="CB516" s="39">
        <f t="shared" si="324"/>
        <v>1.6366919393597601</v>
      </c>
      <c r="CC516" s="39">
        <f t="shared" si="356"/>
        <v>0.34799395161290325</v>
      </c>
      <c r="CD516" s="37"/>
      <c r="CE516" s="37"/>
      <c r="CF516" s="37"/>
      <c r="CG516" s="39">
        <f>BP516*(12*AO516+AP516)/4.55</f>
        <v>4.2830024813895786</v>
      </c>
      <c r="CH516" s="39">
        <f>BP516*12*AW516/(12*0.453592)</f>
        <v>7.6719596380205841</v>
      </c>
      <c r="CI516" s="39">
        <f t="shared" si="351"/>
        <v>3.0687838552082329</v>
      </c>
      <c r="CJ516" s="39">
        <f t="shared" si="338"/>
        <v>0.14897249927843742</v>
      </c>
      <c r="CK516" s="39">
        <f t="shared" si="363"/>
        <v>4.9377653614408205E-2</v>
      </c>
      <c r="CL516" s="37"/>
      <c r="CM516" s="39">
        <f t="shared" si="364"/>
        <v>0.17447934139366858</v>
      </c>
      <c r="CN516" s="37"/>
      <c r="CO516" s="39">
        <f>0.063495+(0.016949+0.014096)*Wages!P514+1.22592*BR516</f>
        <v>1.5292828821412094</v>
      </c>
      <c r="CP516" s="39"/>
      <c r="CQ516" s="39">
        <f t="shared" si="355"/>
        <v>1.4832455300173129</v>
      </c>
      <c r="CR516" s="39">
        <f t="shared" si="343"/>
        <v>0.41595735404777467</v>
      </c>
      <c r="CS516" s="39">
        <f t="shared" si="343"/>
        <v>3.1564773116223948</v>
      </c>
      <c r="CT516" s="39">
        <f t="shared" si="325"/>
        <v>7.91647432419074</v>
      </c>
      <c r="CU516" s="39">
        <f t="shared" si="325"/>
        <v>1.6366919393597601</v>
      </c>
      <c r="CV516" s="39">
        <f t="shared" si="325"/>
        <v>0.34799395161290325</v>
      </c>
      <c r="CW516" s="39">
        <f t="shared" si="362"/>
        <v>0</v>
      </c>
      <c r="CX516" s="39">
        <f t="shared" si="352"/>
        <v>3.0687838552082329</v>
      </c>
      <c r="CY516" s="39">
        <f t="shared" si="328"/>
        <v>6.1375947725991002</v>
      </c>
      <c r="CZ516" s="39">
        <f t="shared" si="329"/>
        <v>0.38466481961789145</v>
      </c>
      <c r="DA516" s="39">
        <f>CH516</f>
        <v>7.6719596380205841</v>
      </c>
      <c r="DB516" s="39">
        <f t="shared" si="361"/>
        <v>4.8713064092794864</v>
      </c>
      <c r="DC516" s="39">
        <f t="shared" si="330"/>
        <v>6.8195497473323341</v>
      </c>
      <c r="DD516" s="39">
        <f>CG516</f>
        <v>4.2830024813895786</v>
      </c>
      <c r="DE516" s="39">
        <f t="shared" si="365"/>
        <v>4.9377653614408205E-2</v>
      </c>
      <c r="DF516" s="39">
        <v>0.14897249927843745</v>
      </c>
      <c r="DG516" s="39">
        <f t="shared" si="331"/>
        <v>0</v>
      </c>
      <c r="DH516" s="39">
        <f t="shared" si="332"/>
        <v>5.5895012015404353</v>
      </c>
      <c r="DI516" s="39">
        <f t="shared" si="339"/>
        <v>6.1485203383729194</v>
      </c>
      <c r="DJ516" s="37"/>
      <c r="DK516" s="37"/>
      <c r="DL516" s="37"/>
      <c r="DM516" s="39">
        <f t="shared" si="336"/>
        <v>1.4763791622105282</v>
      </c>
      <c r="DN516" s="39"/>
      <c r="DO516" s="39">
        <f t="shared" si="337"/>
        <v>1.4763791622105282</v>
      </c>
      <c r="DP516" s="37"/>
      <c r="DQ516" s="37">
        <f>DO516/'Conversions, Sources &amp; Comments'!E514</f>
        <v>3.1819069455827842</v>
      </c>
    </row>
    <row r="517" spans="1:121">
      <c r="A517" s="42">
        <f t="shared" si="333"/>
        <v>1765</v>
      </c>
      <c r="B517" s="36"/>
      <c r="C517" s="38">
        <v>38.35</v>
      </c>
      <c r="D517" s="38">
        <v>0</v>
      </c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8">
        <v>7.5</v>
      </c>
      <c r="W517" s="36"/>
      <c r="X517" s="36"/>
      <c r="Y517" s="36"/>
      <c r="Z517" s="36"/>
      <c r="AA517" s="36"/>
      <c r="AB517" s="59">
        <v>7.333333333333333</v>
      </c>
      <c r="AC517" s="38">
        <v>2</v>
      </c>
      <c r="AD517" s="38">
        <v>6</v>
      </c>
      <c r="AE517" s="38">
        <v>2</v>
      </c>
      <c r="AF517" s="38">
        <v>6</v>
      </c>
      <c r="AG517" s="36"/>
      <c r="AH517" s="36"/>
      <c r="AI517" s="36"/>
      <c r="AJ517" s="36"/>
      <c r="AK517" s="36"/>
      <c r="AL517" s="36"/>
      <c r="AM517" s="36"/>
      <c r="AN517" s="36"/>
      <c r="AO517" s="38">
        <v>3.5</v>
      </c>
      <c r="AP517" s="36"/>
      <c r="AQ517" s="36"/>
      <c r="AR517" s="36"/>
      <c r="AS517" s="38">
        <v>34.56</v>
      </c>
      <c r="AT517" s="38">
        <v>3</v>
      </c>
      <c r="AU517" s="36"/>
      <c r="AV517" s="36"/>
      <c r="AW517" s="36"/>
      <c r="AX517" s="36"/>
      <c r="AY517" s="36"/>
      <c r="AZ517" s="38">
        <v>120</v>
      </c>
      <c r="BA517" s="36"/>
      <c r="BB517" s="36"/>
      <c r="BC517" s="38">
        <v>8</v>
      </c>
      <c r="BD517" s="38">
        <v>5.25</v>
      </c>
      <c r="BE517" s="38">
        <v>7</v>
      </c>
      <c r="BF517" s="38">
        <v>6.7</v>
      </c>
      <c r="BG517" s="59">
        <v>25.7</v>
      </c>
      <c r="BH517" s="59">
        <v>4.0199999999999996</v>
      </c>
      <c r="BI517" s="59">
        <v>0.56531788688072615</v>
      </c>
      <c r="BJ517" s="59">
        <v>7</v>
      </c>
      <c r="BK517" s="38">
        <v>6.9987478260869569</v>
      </c>
      <c r="BL517" s="59">
        <v>1.68</v>
      </c>
      <c r="BM517" s="36"/>
      <c r="BN517" s="38">
        <v>62</v>
      </c>
      <c r="BO517" s="36"/>
      <c r="BP517" s="39">
        <f t="shared" si="326"/>
        <v>0.46399193548387102</v>
      </c>
      <c r="BQ517" s="37"/>
      <c r="BR517" s="39">
        <f t="shared" si="327"/>
        <v>0.75745320644502201</v>
      </c>
      <c r="BS517" s="39">
        <f t="shared" si="354"/>
        <v>1.7134043191579305</v>
      </c>
      <c r="BT517" s="39">
        <f t="shared" si="359"/>
        <v>30.445665057996788</v>
      </c>
      <c r="BU517" s="37"/>
      <c r="BV517" s="39">
        <f t="shared" si="334"/>
        <v>0.50760227915611633</v>
      </c>
      <c r="BW517" s="39">
        <f t="shared" si="322"/>
        <v>3.5247329979783402</v>
      </c>
      <c r="BX517" s="39">
        <f t="shared" si="335"/>
        <v>0.38466481961789145</v>
      </c>
      <c r="BY517" s="39">
        <f t="shared" si="353"/>
        <v>7.5015047220655671</v>
      </c>
      <c r="BZ517" s="39">
        <f t="shared" si="360"/>
        <v>6.1375947725991002</v>
      </c>
      <c r="CA517" s="39">
        <f t="shared" si="323"/>
        <v>7.1592463453551041</v>
      </c>
      <c r="CB517" s="39">
        <f t="shared" si="324"/>
        <v>1.718526536327748</v>
      </c>
      <c r="CC517" s="39">
        <f t="shared" si="356"/>
        <v>0.34799395161290325</v>
      </c>
      <c r="CD517" s="37"/>
      <c r="CE517" s="37"/>
      <c r="CF517" s="37"/>
      <c r="CG517" s="39">
        <f>BP517*(12*AO517+AP517)/4.55</f>
        <v>4.2830024813895786</v>
      </c>
      <c r="CH517" s="37"/>
      <c r="CI517" s="39">
        <f t="shared" ref="CI517:CI548" si="366">BP517*12*AT517/(12*0.453592)</f>
        <v>3.0687838552082329</v>
      </c>
      <c r="CJ517" s="39">
        <f t="shared" si="338"/>
        <v>0.14293419142317595</v>
      </c>
      <c r="CK517" s="39">
        <f t="shared" si="363"/>
        <v>4.9377653614408205E-2</v>
      </c>
      <c r="CL517" s="37"/>
      <c r="CM517" s="39">
        <f t="shared" si="364"/>
        <v>0.17447934139366858</v>
      </c>
      <c r="CN517" s="37"/>
      <c r="CO517" s="39">
        <f>0.063495+(0.016949+0.014096)*Wages!P515+1.22592*BR517</f>
        <v>1.5106387017805651</v>
      </c>
      <c r="CP517" s="39"/>
      <c r="CQ517" s="39">
        <f t="shared" si="355"/>
        <v>1.7134043191579305</v>
      </c>
      <c r="CR517" s="39">
        <f t="shared" si="343"/>
        <v>0.50760227915611633</v>
      </c>
      <c r="CS517" s="39">
        <f t="shared" si="343"/>
        <v>3.5247329979783402</v>
      </c>
      <c r="CT517" s="39">
        <f t="shared" si="325"/>
        <v>7.1592463453551041</v>
      </c>
      <c r="CU517" s="39">
        <f t="shared" si="325"/>
        <v>1.718526536327748</v>
      </c>
      <c r="CV517" s="39">
        <f t="shared" si="325"/>
        <v>0.34799395161290325</v>
      </c>
      <c r="CW517" s="39">
        <f t="shared" si="362"/>
        <v>0</v>
      </c>
      <c r="CX517" s="39">
        <f t="shared" si="352"/>
        <v>3.0687838552082329</v>
      </c>
      <c r="CY517" s="39">
        <f t="shared" si="328"/>
        <v>6.1375947725991002</v>
      </c>
      <c r="CZ517" s="39">
        <f t="shared" si="329"/>
        <v>0.38466481961789145</v>
      </c>
      <c r="DA517" s="39">
        <v>7.6719596380205841</v>
      </c>
      <c r="DB517" s="39">
        <f t="shared" si="361"/>
        <v>4.8713064092794864</v>
      </c>
      <c r="DC517" s="39">
        <f t="shared" si="330"/>
        <v>7.5015047220655671</v>
      </c>
      <c r="DD517" s="39">
        <f>CG517</f>
        <v>4.2830024813895786</v>
      </c>
      <c r="DE517" s="39">
        <f t="shared" si="365"/>
        <v>4.9377653614408205E-2</v>
      </c>
      <c r="DF517" s="39">
        <v>0.14293419142317595</v>
      </c>
      <c r="DG517" s="39">
        <f t="shared" si="331"/>
        <v>0</v>
      </c>
      <c r="DH517" s="39">
        <f t="shared" si="332"/>
        <v>5.5895012015404353</v>
      </c>
      <c r="DI517" s="39">
        <f t="shared" si="339"/>
        <v>5.8993021347631327</v>
      </c>
      <c r="DJ517" s="37"/>
      <c r="DK517" s="37"/>
      <c r="DL517" s="37"/>
      <c r="DM517" s="39">
        <f t="shared" si="336"/>
        <v>1.6077127164566016</v>
      </c>
      <c r="DN517" s="39"/>
      <c r="DO517" s="39">
        <f t="shared" si="337"/>
        <v>1.6077127164566016</v>
      </c>
      <c r="DP517" s="37"/>
      <c r="DQ517" s="37">
        <f>DO517/'Conversions, Sources &amp; Comments'!E515</f>
        <v>3.464958318251822</v>
      </c>
    </row>
    <row r="518" spans="1:121">
      <c r="A518" s="42">
        <f t="shared" si="333"/>
        <v>1766</v>
      </c>
      <c r="B518" s="36"/>
      <c r="C518" s="38">
        <v>51.6</v>
      </c>
      <c r="D518" s="38">
        <v>0</v>
      </c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8">
        <v>9.5</v>
      </c>
      <c r="W518" s="36"/>
      <c r="X518" s="36"/>
      <c r="Y518" s="36"/>
      <c r="Z518" s="36"/>
      <c r="AA518" s="36"/>
      <c r="AB518" s="59">
        <v>7.666666666666667</v>
      </c>
      <c r="AC518" s="38">
        <v>2</v>
      </c>
      <c r="AD518" s="38">
        <v>6</v>
      </c>
      <c r="AE518" s="38">
        <v>2</v>
      </c>
      <c r="AF518" s="38">
        <v>6</v>
      </c>
      <c r="AG518" s="36"/>
      <c r="AH518" s="36"/>
      <c r="AI518" s="36"/>
      <c r="AJ518" s="36"/>
      <c r="AK518" s="36"/>
      <c r="AL518" s="36"/>
      <c r="AM518" s="36"/>
      <c r="AN518" s="36"/>
      <c r="AO518" s="38">
        <v>3.5</v>
      </c>
      <c r="AP518" s="36"/>
      <c r="AQ518" s="36"/>
      <c r="AR518" s="36"/>
      <c r="AS518" s="38">
        <v>33.049999999999997</v>
      </c>
      <c r="AT518" s="38">
        <v>3</v>
      </c>
      <c r="AU518" s="36"/>
      <c r="AV518" s="36"/>
      <c r="AW518" s="38">
        <v>7.5</v>
      </c>
      <c r="AX518" s="36"/>
      <c r="AY518" s="36"/>
      <c r="AZ518" s="38">
        <v>120</v>
      </c>
      <c r="BA518" s="36"/>
      <c r="BB518" s="36"/>
      <c r="BC518" s="38">
        <v>8</v>
      </c>
      <c r="BD518" s="38">
        <v>5.25</v>
      </c>
      <c r="BE518" s="36"/>
      <c r="BF518" s="38">
        <v>6</v>
      </c>
      <c r="BG518" s="59">
        <v>24.64</v>
      </c>
      <c r="BH518" s="59">
        <v>4.4400000000000004</v>
      </c>
      <c r="BI518" s="59">
        <v>0.56531788688072615</v>
      </c>
      <c r="BJ518" s="59">
        <v>7</v>
      </c>
      <c r="BK518" s="38">
        <v>7.2410121739130444</v>
      </c>
      <c r="BL518" s="59">
        <v>1.68</v>
      </c>
      <c r="BM518" s="36"/>
      <c r="BN518" s="38">
        <v>62</v>
      </c>
      <c r="BO518" s="36"/>
      <c r="BP518" s="39">
        <f t="shared" si="326"/>
        <v>0.46399193548387102</v>
      </c>
      <c r="BQ518" s="37"/>
      <c r="BR518" s="39">
        <f t="shared" si="327"/>
        <v>1.0191547706013855</v>
      </c>
      <c r="BS518" s="39">
        <f t="shared" si="354"/>
        <v>1.5343919276041167</v>
      </c>
      <c r="BT518" s="39">
        <f t="shared" si="359"/>
        <v>30.445665057996788</v>
      </c>
      <c r="BU518" s="37"/>
      <c r="BV518" s="39">
        <f t="shared" si="334"/>
        <v>0.48666615402360724</v>
      </c>
      <c r="BW518" s="39">
        <f t="shared" si="322"/>
        <v>3.8929886843342874</v>
      </c>
      <c r="BX518" s="39">
        <f t="shared" si="335"/>
        <v>0.38466481961789145</v>
      </c>
      <c r="BY518" s="39">
        <f t="shared" si="353"/>
        <v>7.8424822094321849</v>
      </c>
      <c r="BZ518" s="39">
        <f t="shared" si="360"/>
        <v>6.1375947725991002</v>
      </c>
      <c r="CA518" s="39">
        <f t="shared" si="323"/>
        <v>7.4070664111558591</v>
      </c>
      <c r="CB518" s="39">
        <f t="shared" si="324"/>
        <v>1.718526536327748</v>
      </c>
      <c r="CC518" s="39">
        <f t="shared" si="356"/>
        <v>0.44079233870967743</v>
      </c>
      <c r="CD518" s="37"/>
      <c r="CE518" s="37"/>
      <c r="CF518" s="37"/>
      <c r="CG518" s="39">
        <f>BP518*(12*AO518+AP518)/4.55</f>
        <v>4.2830024813895786</v>
      </c>
      <c r="CH518" s="39">
        <f>BP518*12*AW518/(12*0.453592)</f>
        <v>7.6719596380205841</v>
      </c>
      <c r="CI518" s="39">
        <f t="shared" si="366"/>
        <v>3.0687838552082329</v>
      </c>
      <c r="CJ518" s="39">
        <f t="shared" si="338"/>
        <v>0.13668909220300823</v>
      </c>
      <c r="CK518" s="39">
        <f t="shared" si="363"/>
        <v>4.9377653614408205E-2</v>
      </c>
      <c r="CL518" s="37"/>
      <c r="CM518" s="39">
        <f t="shared" si="364"/>
        <v>0.17447934139366858</v>
      </c>
      <c r="CN518" s="37"/>
      <c r="CO518" s="39">
        <f>0.063495+(0.016949+0.014096)*Wages!P516+1.22592*BR518</f>
        <v>1.8314638833111343</v>
      </c>
      <c r="CP518" s="39"/>
      <c r="CQ518" s="39">
        <f t="shared" si="355"/>
        <v>1.5343919276041167</v>
      </c>
      <c r="CR518" s="39">
        <f t="shared" si="343"/>
        <v>0.48666615402360724</v>
      </c>
      <c r="CS518" s="39">
        <f t="shared" si="343"/>
        <v>3.8929886843342874</v>
      </c>
      <c r="CT518" s="39">
        <f t="shared" si="325"/>
        <v>7.4070664111558591</v>
      </c>
      <c r="CU518" s="39">
        <f t="shared" si="325"/>
        <v>1.718526536327748</v>
      </c>
      <c r="CV518" s="39">
        <f t="shared" si="325"/>
        <v>0.44079233870967743</v>
      </c>
      <c r="CW518" s="39">
        <f t="shared" si="362"/>
        <v>0</v>
      </c>
      <c r="CX518" s="39">
        <f t="shared" si="352"/>
        <v>3.0687838552082329</v>
      </c>
      <c r="CY518" s="39">
        <f t="shared" si="328"/>
        <v>6.1375947725991002</v>
      </c>
      <c r="CZ518" s="39">
        <f t="shared" si="329"/>
        <v>0.38466481961789145</v>
      </c>
      <c r="DA518" s="39">
        <f>CH518</f>
        <v>7.6719596380205841</v>
      </c>
      <c r="DB518" s="39">
        <f t="shared" si="361"/>
        <v>4.8713064092794864</v>
      </c>
      <c r="DC518" s="39">
        <f t="shared" si="330"/>
        <v>7.8424822094321849</v>
      </c>
      <c r="DD518" s="39">
        <f>CG518</f>
        <v>4.2830024813895786</v>
      </c>
      <c r="DE518" s="39">
        <f t="shared" si="365"/>
        <v>4.9377653614408205E-2</v>
      </c>
      <c r="DF518" s="39">
        <v>0.13668909220300823</v>
      </c>
      <c r="DG518" s="39">
        <f t="shared" si="331"/>
        <v>0</v>
      </c>
      <c r="DH518" s="39">
        <f t="shared" si="332"/>
        <v>5.5895012015404353</v>
      </c>
      <c r="DI518" s="39">
        <f t="shared" si="339"/>
        <v>5.6415490611667112</v>
      </c>
      <c r="DJ518" s="37"/>
      <c r="DK518" s="37"/>
      <c r="DL518" s="37"/>
      <c r="DM518" s="39">
        <f t="shared" si="336"/>
        <v>1.5665133490300942</v>
      </c>
      <c r="DN518" s="39"/>
      <c r="DO518" s="39">
        <f t="shared" si="337"/>
        <v>1.5665133490300942</v>
      </c>
      <c r="DP518" s="37"/>
      <c r="DQ518" s="37">
        <f>DO518/'Conversions, Sources &amp; Comments'!E516</f>
        <v>3.3761650348436891</v>
      </c>
    </row>
    <row r="519" spans="1:121">
      <c r="A519" s="42">
        <f t="shared" si="333"/>
        <v>1767</v>
      </c>
      <c r="B519" s="36"/>
      <c r="C519" s="38">
        <v>51.46</v>
      </c>
      <c r="D519" s="38">
        <v>0</v>
      </c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8">
        <v>9.5</v>
      </c>
      <c r="W519" s="36"/>
      <c r="X519" s="36"/>
      <c r="Y519" s="36"/>
      <c r="Z519" s="36"/>
      <c r="AA519" s="36"/>
      <c r="AB519" s="59">
        <v>7.666666666666667</v>
      </c>
      <c r="AC519" s="38">
        <v>2</v>
      </c>
      <c r="AD519" s="38">
        <v>6</v>
      </c>
      <c r="AE519" s="38">
        <v>2</v>
      </c>
      <c r="AF519" s="38">
        <v>6</v>
      </c>
      <c r="AG519" s="36"/>
      <c r="AH519" s="36"/>
      <c r="AI519" s="36"/>
      <c r="AJ519" s="36"/>
      <c r="AK519" s="36"/>
      <c r="AL519" s="36"/>
      <c r="AM519" s="36"/>
      <c r="AN519" s="36"/>
      <c r="AO519" s="38">
        <v>3.5</v>
      </c>
      <c r="AP519" s="36"/>
      <c r="AQ519" s="36"/>
      <c r="AR519" s="36"/>
      <c r="AS519" s="38">
        <v>33.049999999999997</v>
      </c>
      <c r="AT519" s="38">
        <v>3</v>
      </c>
      <c r="AU519" s="36"/>
      <c r="AV519" s="36"/>
      <c r="AW519" s="38">
        <v>7.5</v>
      </c>
      <c r="AX519" s="36"/>
      <c r="AY519" s="36"/>
      <c r="AZ519" s="38">
        <v>120</v>
      </c>
      <c r="BA519" s="36"/>
      <c r="BB519" s="36"/>
      <c r="BC519" s="38">
        <v>8</v>
      </c>
      <c r="BD519" s="38">
        <v>5.25</v>
      </c>
      <c r="BE519" s="38">
        <v>6.5</v>
      </c>
      <c r="BF519" s="38">
        <v>7.3</v>
      </c>
      <c r="BG519" s="59">
        <v>24.64</v>
      </c>
      <c r="BH519" s="59">
        <v>4.79</v>
      </c>
      <c r="BI519" s="59">
        <v>0.56531788688072615</v>
      </c>
      <c r="BJ519" s="59">
        <v>7</v>
      </c>
      <c r="BK519" s="38">
        <v>7.4025217391304352</v>
      </c>
      <c r="BL519" s="59">
        <v>1.77</v>
      </c>
      <c r="BM519" s="36"/>
      <c r="BN519" s="38">
        <v>62</v>
      </c>
      <c r="BO519" s="36"/>
      <c r="BP519" s="39">
        <f t="shared" si="326"/>
        <v>0.46399193548387102</v>
      </c>
      <c r="BQ519" s="37"/>
      <c r="BR519" s="39">
        <f t="shared" si="327"/>
        <v>1.0163896219989785</v>
      </c>
      <c r="BS519" s="39">
        <f t="shared" si="354"/>
        <v>1.866843511918342</v>
      </c>
      <c r="BT519" s="39">
        <f t="shared" si="359"/>
        <v>30.445665057996788</v>
      </c>
      <c r="BU519" s="37"/>
      <c r="BV519" s="39">
        <f t="shared" si="334"/>
        <v>0.48666615402360724</v>
      </c>
      <c r="BW519" s="39">
        <f t="shared" si="322"/>
        <v>4.1998684229642418</v>
      </c>
      <c r="BX519" s="39">
        <f t="shared" si="335"/>
        <v>0.38466481961789145</v>
      </c>
      <c r="BY519" s="39">
        <f t="shared" ref="BY519:BY550" si="367">$BP519*12*$AB519/(12*0.45359)</f>
        <v>7.8424822094321849</v>
      </c>
      <c r="BZ519" s="39">
        <f t="shared" si="360"/>
        <v>6.1375947725991002</v>
      </c>
      <c r="CA519" s="39">
        <f t="shared" si="323"/>
        <v>7.5722797883563606</v>
      </c>
      <c r="CB519" s="39">
        <f t="shared" si="324"/>
        <v>1.8105904579167347</v>
      </c>
      <c r="CC519" s="39">
        <f t="shared" si="356"/>
        <v>0.44079233870967743</v>
      </c>
      <c r="CD519" s="37"/>
      <c r="CE519" s="37"/>
      <c r="CF519" s="37"/>
      <c r="CG519" s="39">
        <f>BP519*(12*AO519+AP519)/4.55</f>
        <v>4.2830024813895786</v>
      </c>
      <c r="CH519" s="39">
        <f>BP519*12*AW519/(12*0.453592)</f>
        <v>7.6719596380205841</v>
      </c>
      <c r="CI519" s="39">
        <f t="shared" si="366"/>
        <v>3.0687838552082329</v>
      </c>
      <c r="CJ519" s="39">
        <f t="shared" si="338"/>
        <v>0.13668909220300823</v>
      </c>
      <c r="CK519" s="39">
        <f t="shared" si="363"/>
        <v>4.9377653614408205E-2</v>
      </c>
      <c r="CL519" s="37"/>
      <c r="CM519" s="39">
        <f t="shared" si="364"/>
        <v>0.17447934139366858</v>
      </c>
      <c r="CN519" s="37"/>
      <c r="CO519" s="39">
        <f>0.063495+(0.016949+0.014096)*Wages!P517+1.22592*BR519</f>
        <v>1.8280740323364715</v>
      </c>
      <c r="CP519" s="39"/>
      <c r="CQ519" s="39">
        <f t="shared" si="355"/>
        <v>1.866843511918342</v>
      </c>
      <c r="CR519" s="39">
        <f t="shared" si="343"/>
        <v>0.48666615402360724</v>
      </c>
      <c r="CS519" s="39">
        <f t="shared" si="343"/>
        <v>4.1998684229642418</v>
      </c>
      <c r="CT519" s="39">
        <f t="shared" si="325"/>
        <v>7.5722797883563606</v>
      </c>
      <c r="CU519" s="39">
        <f t="shared" si="325"/>
        <v>1.8105904579167347</v>
      </c>
      <c r="CV519" s="39">
        <f t="shared" si="325"/>
        <v>0.44079233870967743</v>
      </c>
      <c r="CW519" s="39">
        <f t="shared" si="362"/>
        <v>0</v>
      </c>
      <c r="CX519" s="39">
        <f t="shared" si="352"/>
        <v>3.0687838552082329</v>
      </c>
      <c r="CY519" s="39">
        <f t="shared" si="328"/>
        <v>6.1375947725991002</v>
      </c>
      <c r="CZ519" s="39">
        <f t="shared" si="329"/>
        <v>0.38466481961789145</v>
      </c>
      <c r="DA519" s="39">
        <f>CH519</f>
        <v>7.6719596380205841</v>
      </c>
      <c r="DB519" s="39">
        <f t="shared" si="361"/>
        <v>4.8713064092794864</v>
      </c>
      <c r="DC519" s="39">
        <f t="shared" si="330"/>
        <v>7.8424822094321849</v>
      </c>
      <c r="DD519" s="39">
        <f>CG519</f>
        <v>4.2830024813895786</v>
      </c>
      <c r="DE519" s="39">
        <f t="shared" si="365"/>
        <v>4.9377653614408205E-2</v>
      </c>
      <c r="DF519" s="39">
        <v>0.13668909220300823</v>
      </c>
      <c r="DG519" s="39">
        <f t="shared" si="331"/>
        <v>0</v>
      </c>
      <c r="DH519" s="39">
        <f t="shared" si="332"/>
        <v>5.5895012015404353</v>
      </c>
      <c r="DI519" s="39">
        <f t="shared" si="339"/>
        <v>5.6415490611667112</v>
      </c>
      <c r="DJ519" s="37"/>
      <c r="DK519" s="37"/>
      <c r="DL519" s="37"/>
      <c r="DM519" s="39">
        <f t="shared" si="336"/>
        <v>1.7348023880250898</v>
      </c>
      <c r="DN519" s="39"/>
      <c r="DO519" s="39">
        <f t="shared" si="337"/>
        <v>1.7348023880250898</v>
      </c>
      <c r="DP519" s="37"/>
      <c r="DQ519" s="37">
        <f>DO519/'Conversions, Sources &amp; Comments'!E517</f>
        <v>3.7388632330774505</v>
      </c>
    </row>
    <row r="520" spans="1:121">
      <c r="A520" s="42">
        <f t="shared" si="333"/>
        <v>1768</v>
      </c>
      <c r="B520" s="36"/>
      <c r="C520" s="38">
        <v>40.72</v>
      </c>
      <c r="D520" s="38">
        <v>0</v>
      </c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8">
        <v>9.5</v>
      </c>
      <c r="W520" s="36"/>
      <c r="X520" s="36"/>
      <c r="Y520" s="36"/>
      <c r="Z520" s="36"/>
      <c r="AA520" s="36"/>
      <c r="AB520" s="59">
        <v>7.666666666666667</v>
      </c>
      <c r="AC520" s="38">
        <v>2</v>
      </c>
      <c r="AD520" s="38">
        <v>6</v>
      </c>
      <c r="AE520" s="38">
        <v>2</v>
      </c>
      <c r="AF520" s="38">
        <v>6</v>
      </c>
      <c r="AG520" s="36"/>
      <c r="AH520" s="36"/>
      <c r="AI520" s="36"/>
      <c r="AJ520" s="36"/>
      <c r="AK520" s="36"/>
      <c r="AL520" s="36"/>
      <c r="AM520" s="36"/>
      <c r="AN520" s="36"/>
      <c r="AO520" s="38">
        <v>3.5</v>
      </c>
      <c r="AP520" s="36"/>
      <c r="AQ520" s="36"/>
      <c r="AR520" s="36"/>
      <c r="AS520" s="38">
        <v>32.07</v>
      </c>
      <c r="AT520" s="38">
        <v>3</v>
      </c>
      <c r="AU520" s="36"/>
      <c r="AV520" s="36"/>
      <c r="AW520" s="38">
        <v>7.5</v>
      </c>
      <c r="AX520" s="36"/>
      <c r="AY520" s="36"/>
      <c r="AZ520" s="38">
        <v>120</v>
      </c>
      <c r="BA520" s="36"/>
      <c r="BB520" s="36"/>
      <c r="BC520" s="38">
        <v>8</v>
      </c>
      <c r="BD520" s="38">
        <v>5.25</v>
      </c>
      <c r="BE520" s="38">
        <v>6.5</v>
      </c>
      <c r="BF520" s="38">
        <v>7.1</v>
      </c>
      <c r="BG520" s="59">
        <v>19.170000000000002</v>
      </c>
      <c r="BH520" s="59">
        <v>4.55</v>
      </c>
      <c r="BI520" s="59">
        <v>0.56531788688072615</v>
      </c>
      <c r="BJ520" s="59">
        <v>7</v>
      </c>
      <c r="BK520" s="38">
        <v>7.483276521739131</v>
      </c>
      <c r="BL520" s="59">
        <v>1.85</v>
      </c>
      <c r="BM520" s="36"/>
      <c r="BN520" s="38">
        <v>62</v>
      </c>
      <c r="BO520" s="36"/>
      <c r="BP520" s="39">
        <f t="shared" si="326"/>
        <v>0.46399193548387102</v>
      </c>
      <c r="BQ520" s="37"/>
      <c r="BR520" s="39">
        <f t="shared" si="327"/>
        <v>0.80426322207148082</v>
      </c>
      <c r="BS520" s="39">
        <f t="shared" si="354"/>
        <v>1.8156971143315381</v>
      </c>
      <c r="BT520" s="39">
        <f t="shared" si="359"/>
        <v>30.445665057996788</v>
      </c>
      <c r="BU520" s="37"/>
      <c r="BV520" s="39">
        <f t="shared" si="334"/>
        <v>0.37862784791528215</v>
      </c>
      <c r="BW520" s="39">
        <f t="shared" si="322"/>
        <v>3.9894366021894152</v>
      </c>
      <c r="BX520" s="39">
        <f t="shared" si="335"/>
        <v>0.38466481961789145</v>
      </c>
      <c r="BY520" s="39">
        <f t="shared" si="367"/>
        <v>7.8424822094321849</v>
      </c>
      <c r="BZ520" s="39">
        <f t="shared" si="360"/>
        <v>6.1375947725991002</v>
      </c>
      <c r="CA520" s="39">
        <f t="shared" si="323"/>
        <v>7.6548864769566123</v>
      </c>
      <c r="CB520" s="39">
        <f t="shared" si="324"/>
        <v>1.8924250548847228</v>
      </c>
      <c r="CC520" s="39">
        <f t="shared" si="356"/>
        <v>0.44079233870967743</v>
      </c>
      <c r="CD520" s="37"/>
      <c r="CE520" s="37"/>
      <c r="CF520" s="37"/>
      <c r="CG520" s="39">
        <f>BP520*(12*AO520+AP520)/4.55</f>
        <v>4.2830024813895786</v>
      </c>
      <c r="CH520" s="39">
        <f>BP520*12*AW520/(12*0.453592)</f>
        <v>7.6719596380205841</v>
      </c>
      <c r="CI520" s="39">
        <f t="shared" si="366"/>
        <v>3.0687838552082329</v>
      </c>
      <c r="CJ520" s="39">
        <f t="shared" si="338"/>
        <v>0.13263598145084643</v>
      </c>
      <c r="CK520" s="39">
        <f t="shared" si="363"/>
        <v>4.9377653614408205E-2</v>
      </c>
      <c r="CL520" s="37"/>
      <c r="CM520" s="39">
        <f t="shared" si="364"/>
        <v>0.17447934139366858</v>
      </c>
      <c r="CN520" s="37"/>
      <c r="CO520" s="39">
        <f>0.063495+(0.016949+0.014096)*Wages!P518+1.22592*BR520</f>
        <v>1.5680240361373534</v>
      </c>
      <c r="CP520" s="39"/>
      <c r="CQ520" s="39">
        <f t="shared" si="355"/>
        <v>1.8156971143315381</v>
      </c>
      <c r="CR520" s="39">
        <f t="shared" si="343"/>
        <v>0.37862784791528215</v>
      </c>
      <c r="CS520" s="39">
        <f t="shared" si="343"/>
        <v>3.9894366021894152</v>
      </c>
      <c r="CT520" s="39">
        <f t="shared" si="325"/>
        <v>7.6548864769566123</v>
      </c>
      <c r="CU520" s="39">
        <f t="shared" si="325"/>
        <v>1.8924250548847228</v>
      </c>
      <c r="CV520" s="39">
        <f t="shared" si="325"/>
        <v>0.44079233870967743</v>
      </c>
      <c r="CW520" s="39">
        <f t="shared" si="362"/>
        <v>0</v>
      </c>
      <c r="CX520" s="39">
        <f t="shared" si="352"/>
        <v>3.0687838552082329</v>
      </c>
      <c r="CY520" s="39">
        <f t="shared" si="328"/>
        <v>6.1375947725991002</v>
      </c>
      <c r="CZ520" s="39">
        <f t="shared" si="329"/>
        <v>0.38466481961789145</v>
      </c>
      <c r="DA520" s="39">
        <f>CH520</f>
        <v>7.6719596380205841</v>
      </c>
      <c r="DB520" s="39">
        <f t="shared" si="361"/>
        <v>4.8713064092794864</v>
      </c>
      <c r="DC520" s="39">
        <f t="shared" si="330"/>
        <v>7.8424822094321849</v>
      </c>
      <c r="DD520" s="39">
        <f>CG520</f>
        <v>4.2830024813895786</v>
      </c>
      <c r="DE520" s="39">
        <f t="shared" si="365"/>
        <v>4.9377653614408205E-2</v>
      </c>
      <c r="DF520" s="39">
        <v>0.13263598145084643</v>
      </c>
      <c r="DG520" s="39">
        <f t="shared" si="331"/>
        <v>0</v>
      </c>
      <c r="DH520" s="39">
        <f t="shared" si="332"/>
        <v>5.5895012015404353</v>
      </c>
      <c r="DI520" s="39">
        <f t="shared" si="339"/>
        <v>5.4742656094286364</v>
      </c>
      <c r="DJ520" s="37"/>
      <c r="DK520" s="37"/>
      <c r="DL520" s="37"/>
      <c r="DM520" s="39">
        <f t="shared" si="336"/>
        <v>1.6876998809947665</v>
      </c>
      <c r="DN520" s="39"/>
      <c r="DO520" s="39">
        <f t="shared" si="337"/>
        <v>1.6876998809947665</v>
      </c>
      <c r="DP520" s="37"/>
      <c r="DQ520" s="37">
        <f>DO520/'Conversions, Sources &amp; Comments'!E518</f>
        <v>3.6373474449178937</v>
      </c>
    </row>
    <row r="521" spans="1:121">
      <c r="A521" s="42">
        <f t="shared" si="333"/>
        <v>1769</v>
      </c>
      <c r="B521" s="36"/>
      <c r="C521" s="38">
        <v>35</v>
      </c>
      <c r="D521" s="38">
        <v>0</v>
      </c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8">
        <v>9.5</v>
      </c>
      <c r="W521" s="36"/>
      <c r="X521" s="36"/>
      <c r="Y521" s="36"/>
      <c r="Z521" s="36"/>
      <c r="AA521" s="36"/>
      <c r="AB521" s="59">
        <v>7.666666666666667</v>
      </c>
      <c r="AC521" s="38">
        <v>2</v>
      </c>
      <c r="AD521" s="38">
        <v>6</v>
      </c>
      <c r="AE521" s="38">
        <v>2</v>
      </c>
      <c r="AF521" s="38">
        <v>6</v>
      </c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8">
        <v>32.54</v>
      </c>
      <c r="AT521" s="38">
        <v>3</v>
      </c>
      <c r="AU521" s="36"/>
      <c r="AV521" s="36"/>
      <c r="AW521" s="36"/>
      <c r="AX521" s="36"/>
      <c r="AY521" s="36"/>
      <c r="AZ521" s="38">
        <v>120</v>
      </c>
      <c r="BA521" s="36"/>
      <c r="BB521" s="36"/>
      <c r="BC521" s="38">
        <v>8</v>
      </c>
      <c r="BD521" s="38">
        <v>5.25</v>
      </c>
      <c r="BE521" s="38">
        <v>6.25</v>
      </c>
      <c r="BF521" s="38">
        <v>5.7</v>
      </c>
      <c r="BG521" s="59">
        <v>23.17</v>
      </c>
      <c r="BH521" s="59">
        <v>4.3</v>
      </c>
      <c r="BI521" s="59">
        <v>0.56531788688072615</v>
      </c>
      <c r="BJ521" s="59">
        <v>7</v>
      </c>
      <c r="BK521" s="38">
        <v>7.9139686956521738</v>
      </c>
      <c r="BL521" s="59">
        <v>1.85</v>
      </c>
      <c r="BM521" s="36"/>
      <c r="BN521" s="38">
        <v>62</v>
      </c>
      <c r="BO521" s="36"/>
      <c r="BP521" s="39">
        <f t="shared" si="326"/>
        <v>0.46399193548387102</v>
      </c>
      <c r="BQ521" s="37"/>
      <c r="BR521" s="39">
        <f t="shared" si="327"/>
        <v>0.69128715060171486</v>
      </c>
      <c r="BS521" s="39">
        <f t="shared" si="354"/>
        <v>1.457672331223911</v>
      </c>
      <c r="BT521" s="39">
        <f t="shared" si="359"/>
        <v>30.445665057996788</v>
      </c>
      <c r="BU521" s="37"/>
      <c r="BV521" s="39">
        <f t="shared" si="334"/>
        <v>0.4576320936983353</v>
      </c>
      <c r="BW521" s="39">
        <f t="shared" si="322"/>
        <v>3.7702367888823045</v>
      </c>
      <c r="BX521" s="39">
        <f t="shared" si="335"/>
        <v>0.38466481961789145</v>
      </c>
      <c r="BY521" s="39">
        <f t="shared" si="367"/>
        <v>7.8424822094321849</v>
      </c>
      <c r="BZ521" s="39">
        <f t="shared" si="360"/>
        <v>6.1375947725991002</v>
      </c>
      <c r="CA521" s="39">
        <f t="shared" si="323"/>
        <v>8.095455482824617</v>
      </c>
      <c r="CB521" s="39">
        <f t="shared" si="324"/>
        <v>1.8924250548847228</v>
      </c>
      <c r="CC521" s="39">
        <f t="shared" si="356"/>
        <v>0.44079233870967743</v>
      </c>
      <c r="CD521" s="37"/>
      <c r="CE521" s="37"/>
      <c r="CF521" s="37"/>
      <c r="CG521" s="37"/>
      <c r="CH521" s="37"/>
      <c r="CI521" s="39">
        <f t="shared" si="366"/>
        <v>3.0687838552082329</v>
      </c>
      <c r="CJ521" s="39">
        <f t="shared" si="338"/>
        <v>0.13457982028096482</v>
      </c>
      <c r="CK521" s="39">
        <f t="shared" si="363"/>
        <v>4.9377653614408205E-2</v>
      </c>
      <c r="CL521" s="37"/>
      <c r="CM521" s="39">
        <f t="shared" si="364"/>
        <v>0.17447934139366858</v>
      </c>
      <c r="CN521" s="37"/>
      <c r="CO521" s="39">
        <f>0.063495+(0.016949+0.014096)*Wages!P519+1.22592*BR521</f>
        <v>1.4295244106011382</v>
      </c>
      <c r="CP521" s="39"/>
      <c r="CQ521" s="39">
        <f t="shared" si="355"/>
        <v>1.457672331223911</v>
      </c>
      <c r="CR521" s="39">
        <f t="shared" si="343"/>
        <v>0.4576320936983353</v>
      </c>
      <c r="CS521" s="39">
        <f t="shared" si="343"/>
        <v>3.7702367888823045</v>
      </c>
      <c r="CT521" s="39">
        <f t="shared" si="325"/>
        <v>8.095455482824617</v>
      </c>
      <c r="CU521" s="39">
        <f t="shared" si="325"/>
        <v>1.8924250548847228</v>
      </c>
      <c r="CV521" s="39">
        <f t="shared" si="325"/>
        <v>0.44079233870967743</v>
      </c>
      <c r="CW521" s="39">
        <f t="shared" si="362"/>
        <v>0</v>
      </c>
      <c r="CX521" s="39">
        <f t="shared" si="352"/>
        <v>3.0687838552082329</v>
      </c>
      <c r="CY521" s="39">
        <f t="shared" si="328"/>
        <v>6.1375947725991002</v>
      </c>
      <c r="CZ521" s="39">
        <f t="shared" si="329"/>
        <v>0.38466481961789145</v>
      </c>
      <c r="DA521" s="39">
        <f t="shared" ref="DA521:DA582" si="368">DC521</f>
        <v>7.8424822094321849</v>
      </c>
      <c r="DB521" s="39">
        <f t="shared" si="361"/>
        <v>4.8713064092794864</v>
      </c>
      <c r="DC521" s="39">
        <f t="shared" si="330"/>
        <v>7.8424822094321849</v>
      </c>
      <c r="DD521" s="39">
        <v>4</v>
      </c>
      <c r="DE521" s="39">
        <f t="shared" si="365"/>
        <v>4.9377653614408205E-2</v>
      </c>
      <c r="DF521" s="39">
        <v>0.13457982028096485</v>
      </c>
      <c r="DG521" s="39">
        <f t="shared" si="331"/>
        <v>0</v>
      </c>
      <c r="DH521" s="39">
        <f t="shared" si="332"/>
        <v>5.5895012015404353</v>
      </c>
      <c r="DI521" s="39">
        <f t="shared" si="339"/>
        <v>5.5544933873030189</v>
      </c>
      <c r="DJ521" s="37"/>
      <c r="DK521" s="37"/>
      <c r="DL521" s="37"/>
      <c r="DM521" s="39">
        <f t="shared" si="336"/>
        <v>1.5316305227965288</v>
      </c>
      <c r="DN521" s="39"/>
      <c r="DO521" s="39">
        <f t="shared" si="337"/>
        <v>1.5316305227965288</v>
      </c>
      <c r="DP521" s="37"/>
      <c r="DQ521" s="37">
        <f>DO521/'Conversions, Sources &amp; Comments'!E519</f>
        <v>3.3009852233730692</v>
      </c>
    </row>
    <row r="522" spans="1:121">
      <c r="A522" s="42">
        <f t="shared" si="333"/>
        <v>1770</v>
      </c>
      <c r="B522" s="36"/>
      <c r="C522" s="38">
        <v>43.37</v>
      </c>
      <c r="D522" s="38">
        <v>0</v>
      </c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8">
        <v>9.5</v>
      </c>
      <c r="W522" s="36"/>
      <c r="X522" s="36"/>
      <c r="Y522" s="36"/>
      <c r="Z522" s="36"/>
      <c r="AA522" s="36"/>
      <c r="AB522" s="59">
        <v>7.666666666666667</v>
      </c>
      <c r="AC522" s="38">
        <v>2</v>
      </c>
      <c r="AD522" s="38">
        <v>6</v>
      </c>
      <c r="AE522" s="38">
        <v>2</v>
      </c>
      <c r="AF522" s="38">
        <v>6</v>
      </c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8">
        <v>33.880000000000003</v>
      </c>
      <c r="AT522" s="38">
        <v>3</v>
      </c>
      <c r="AU522" s="36"/>
      <c r="AV522" s="36"/>
      <c r="AW522" s="36"/>
      <c r="AX522" s="36"/>
      <c r="AY522" s="36"/>
      <c r="AZ522" s="38">
        <v>120</v>
      </c>
      <c r="BA522" s="36"/>
      <c r="BB522" s="36"/>
      <c r="BC522" s="38">
        <v>8</v>
      </c>
      <c r="BD522" s="38">
        <v>5.75</v>
      </c>
      <c r="BE522" s="38">
        <v>6.25</v>
      </c>
      <c r="BF522" s="38">
        <v>5.8</v>
      </c>
      <c r="BG522" s="59">
        <v>26.12</v>
      </c>
      <c r="BH522" s="59">
        <v>4.37</v>
      </c>
      <c r="BI522" s="59">
        <v>0.56531788688072615</v>
      </c>
      <c r="BJ522" s="59">
        <v>7</v>
      </c>
      <c r="BK522" s="38">
        <v>8.4523339130434803</v>
      </c>
      <c r="BL522" s="59">
        <v>1.85</v>
      </c>
      <c r="BM522" s="36"/>
      <c r="BN522" s="38">
        <v>62</v>
      </c>
      <c r="BO522" s="36"/>
      <c r="BP522" s="39">
        <f t="shared" si="326"/>
        <v>0.46399193548387102</v>
      </c>
      <c r="BQ522" s="37"/>
      <c r="BR522" s="39">
        <f t="shared" si="327"/>
        <v>0.85660353490275343</v>
      </c>
      <c r="BS522" s="39">
        <f t="shared" si="354"/>
        <v>1.4832455300173129</v>
      </c>
      <c r="BT522" s="39">
        <f t="shared" si="359"/>
        <v>30.445665057996788</v>
      </c>
      <c r="BU522" s="37"/>
      <c r="BV522" s="39">
        <f t="shared" si="334"/>
        <v>0.51589772496333697</v>
      </c>
      <c r="BW522" s="39">
        <f t="shared" ref="BW522:BW585" si="369">$BP522*12*$BH522/(14*0.45359)</f>
        <v>3.8316127366082959</v>
      </c>
      <c r="BX522" s="39">
        <f t="shared" si="335"/>
        <v>0.38466481961789145</v>
      </c>
      <c r="BY522" s="39">
        <f t="shared" si="367"/>
        <v>7.8424822094321849</v>
      </c>
      <c r="BZ522" s="39">
        <f t="shared" si="360"/>
        <v>6.1375947725991002</v>
      </c>
      <c r="CA522" s="39">
        <f t="shared" ref="CA522:CA585" si="370">$BP522*$BK522/0.45359</f>
        <v>8.6461667401596269</v>
      </c>
      <c r="CB522" s="39">
        <f t="shared" ref="CB522:CB585" si="371">$BP522*12*$BL522/(12*0.45359)</f>
        <v>1.8924250548847228</v>
      </c>
      <c r="CC522" s="39">
        <f t="shared" si="356"/>
        <v>0.44079233870967743</v>
      </c>
      <c r="CD522" s="37"/>
      <c r="CE522" s="37"/>
      <c r="CF522" s="37"/>
      <c r="CG522" s="37"/>
      <c r="CH522" s="37"/>
      <c r="CI522" s="39">
        <f t="shared" si="366"/>
        <v>3.0687838552082329</v>
      </c>
      <c r="CJ522" s="39">
        <f t="shared" si="338"/>
        <v>0.14012182886045141</v>
      </c>
      <c r="CK522" s="39">
        <f t="shared" si="363"/>
        <v>4.9377653614408205E-2</v>
      </c>
      <c r="CL522" s="37"/>
      <c r="CM522" s="39">
        <f t="shared" si="364"/>
        <v>0.17447934139366858</v>
      </c>
      <c r="CN522" s="37"/>
      <c r="CO522" s="39">
        <f>0.063495+(0.016949+0.014096)*Wages!P520+1.22592*BR522</f>
        <v>1.6321890724434673</v>
      </c>
      <c r="CP522" s="39"/>
      <c r="CQ522" s="39">
        <f t="shared" si="355"/>
        <v>1.4832455300173129</v>
      </c>
      <c r="CR522" s="39">
        <f t="shared" si="343"/>
        <v>0.51589772496333697</v>
      </c>
      <c r="CS522" s="39">
        <f t="shared" si="343"/>
        <v>3.8316127366082959</v>
      </c>
      <c r="CT522" s="39">
        <f t="shared" ref="CT522:CV582" si="372">CA522</f>
        <v>8.6461667401596269</v>
      </c>
      <c r="CU522" s="39">
        <f t="shared" si="372"/>
        <v>1.8924250548847228</v>
      </c>
      <c r="CV522" s="39">
        <f t="shared" si="372"/>
        <v>0.44079233870967743</v>
      </c>
      <c r="CW522" s="39">
        <f t="shared" si="362"/>
        <v>0</v>
      </c>
      <c r="CX522" s="39">
        <f t="shared" si="352"/>
        <v>3.0687838552082329</v>
      </c>
      <c r="CY522" s="39">
        <f t="shared" si="328"/>
        <v>6.1375947725991002</v>
      </c>
      <c r="CZ522" s="39">
        <f t="shared" si="329"/>
        <v>0.38466481961789145</v>
      </c>
      <c r="DA522" s="39">
        <f t="shared" si="368"/>
        <v>7.8424822094321849</v>
      </c>
      <c r="DB522" s="39">
        <f t="shared" si="361"/>
        <v>4.8713064092794864</v>
      </c>
      <c r="DC522" s="39">
        <f t="shared" si="330"/>
        <v>7.8424822094321849</v>
      </c>
      <c r="DD522" s="39">
        <v>4</v>
      </c>
      <c r="DE522" s="39">
        <f t="shared" si="365"/>
        <v>4.9377653614408205E-2</v>
      </c>
      <c r="DF522" s="39">
        <v>0.14012182886045144</v>
      </c>
      <c r="DG522" s="39">
        <f t="shared" si="331"/>
        <v>0</v>
      </c>
      <c r="DH522" s="39">
        <f t="shared" si="332"/>
        <v>5.5895012015404353</v>
      </c>
      <c r="DI522" s="39">
        <f t="shared" si="339"/>
        <v>5.7832279029448781</v>
      </c>
      <c r="DJ522" s="37"/>
      <c r="DK522" s="37"/>
      <c r="DL522" s="37"/>
      <c r="DM522" s="39">
        <f t="shared" si="336"/>
        <v>1.5608993736875947</v>
      </c>
      <c r="DN522" s="39"/>
      <c r="DO522" s="39">
        <f t="shared" si="337"/>
        <v>1.5608993736875947</v>
      </c>
      <c r="DP522" s="37"/>
      <c r="DQ522" s="37">
        <f>DO522/'Conversions, Sources &amp; Comments'!E520</f>
        <v>3.3640657397629568</v>
      </c>
    </row>
    <row r="523" spans="1:121">
      <c r="A523" s="42">
        <f t="shared" si="333"/>
        <v>1771</v>
      </c>
      <c r="B523" s="36"/>
      <c r="C523" s="38">
        <v>49.79</v>
      </c>
      <c r="D523" s="38">
        <v>0</v>
      </c>
      <c r="E523" s="36"/>
      <c r="F523" s="36"/>
      <c r="G523" s="38">
        <v>17</v>
      </c>
      <c r="H523" s="38">
        <v>2</v>
      </c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8">
        <v>10</v>
      </c>
      <c r="W523" s="36"/>
      <c r="X523" s="36"/>
      <c r="Y523" s="36"/>
      <c r="Z523" s="36"/>
      <c r="AA523" s="36"/>
      <c r="AB523" s="59">
        <v>8.3333333333333339</v>
      </c>
      <c r="AC523" s="38">
        <v>2</v>
      </c>
      <c r="AD523" s="38">
        <v>6</v>
      </c>
      <c r="AE523" s="38">
        <v>2</v>
      </c>
      <c r="AF523" s="38">
        <v>6</v>
      </c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8">
        <v>36.56</v>
      </c>
      <c r="AT523" s="38">
        <v>3</v>
      </c>
      <c r="AU523" s="36"/>
      <c r="AV523" s="36"/>
      <c r="AW523" s="36"/>
      <c r="AX523" s="36"/>
      <c r="AY523" s="36"/>
      <c r="AZ523" s="38">
        <v>120</v>
      </c>
      <c r="BA523" s="36"/>
      <c r="BB523" s="36"/>
      <c r="BC523" s="38">
        <v>8</v>
      </c>
      <c r="BD523" s="38">
        <v>5.75</v>
      </c>
      <c r="BE523" s="38">
        <v>6.5</v>
      </c>
      <c r="BF523" s="38">
        <v>6.5</v>
      </c>
      <c r="BG523" s="59">
        <v>29.33</v>
      </c>
      <c r="BH523" s="59">
        <v>4.55</v>
      </c>
      <c r="BI523" s="59">
        <v>0.56531788688072615</v>
      </c>
      <c r="BJ523" s="59">
        <v>7</v>
      </c>
      <c r="BK523" s="38">
        <v>8.7484347826086974</v>
      </c>
      <c r="BL523" s="59">
        <v>2.02</v>
      </c>
      <c r="BM523" s="36"/>
      <c r="BN523" s="38">
        <v>62</v>
      </c>
      <c r="BO523" s="36"/>
      <c r="BP523" s="39">
        <f t="shared" ref="BP523:BP586" si="373">(31.1*0.925/$BN523)</f>
        <v>0.46399193548387102</v>
      </c>
      <c r="BQ523" s="37"/>
      <c r="BR523" s="39">
        <f t="shared" ref="BR523:BR569" si="374">(31.1*0.925/$BN523)*(12*C523+D523)/35.238/8</f>
        <v>0.98340534938455393</v>
      </c>
      <c r="BS523" s="39">
        <f t="shared" si="354"/>
        <v>1.6622579215711264</v>
      </c>
      <c r="BT523" s="39">
        <f t="shared" si="359"/>
        <v>30.445665057996788</v>
      </c>
      <c r="BU523" s="37"/>
      <c r="BV523" s="39">
        <f t="shared" ref="BV523:BV554" si="375">$BP523*12*$BG523/(8*36.3687)</f>
        <v>0.56128828365085648</v>
      </c>
      <c r="BW523" s="39">
        <f t="shared" si="369"/>
        <v>3.9894366021894152</v>
      </c>
      <c r="BX523" s="39">
        <f t="shared" si="335"/>
        <v>0.38466481961789145</v>
      </c>
      <c r="BY523" s="39">
        <f t="shared" si="367"/>
        <v>8.5244371841654178</v>
      </c>
      <c r="BZ523" s="39">
        <f t="shared" si="360"/>
        <v>6.1375947725991002</v>
      </c>
      <c r="CA523" s="39">
        <f t="shared" si="370"/>
        <v>8.949057931693881</v>
      </c>
      <c r="CB523" s="39">
        <f t="shared" si="371"/>
        <v>2.0663235734416969</v>
      </c>
      <c r="CC523" s="39">
        <f t="shared" si="356"/>
        <v>0.46399193548387102</v>
      </c>
      <c r="CD523" s="37"/>
      <c r="CE523" s="37"/>
      <c r="CF523" s="37"/>
      <c r="CG523" s="37"/>
      <c r="CH523" s="37"/>
      <c r="CI523" s="39">
        <f t="shared" si="366"/>
        <v>3.0687838552082329</v>
      </c>
      <c r="CJ523" s="39">
        <f t="shared" si="338"/>
        <v>0.15120584601942455</v>
      </c>
      <c r="CK523" s="39">
        <f t="shared" si="363"/>
        <v>4.9377653614408205E-2</v>
      </c>
      <c r="CL523" s="37"/>
      <c r="CM523" s="39">
        <f t="shared" si="364"/>
        <v>0.17447934139366858</v>
      </c>
      <c r="CN523" s="37"/>
      <c r="CO523" s="39">
        <f>0.063495+(0.016949+0.014096)*Wages!P521+1.22592*BR523</f>
        <v>1.7876379528529962</v>
      </c>
      <c r="CP523" s="39"/>
      <c r="CQ523" s="39">
        <f t="shared" si="355"/>
        <v>1.6622579215711264</v>
      </c>
      <c r="CR523" s="39">
        <f t="shared" si="343"/>
        <v>0.56128828365085648</v>
      </c>
      <c r="CS523" s="39">
        <f t="shared" si="343"/>
        <v>3.9894366021894152</v>
      </c>
      <c r="CT523" s="39">
        <f t="shared" si="372"/>
        <v>8.949057931693881</v>
      </c>
      <c r="CU523" s="39">
        <f t="shared" si="372"/>
        <v>2.0663235734416969</v>
      </c>
      <c r="CV523" s="39">
        <f t="shared" si="372"/>
        <v>0.46399193548387102</v>
      </c>
      <c r="CW523" s="39">
        <f t="shared" si="362"/>
        <v>0</v>
      </c>
      <c r="CX523" s="39">
        <f t="shared" si="352"/>
        <v>3.0687838552082329</v>
      </c>
      <c r="CY523" s="39">
        <f t="shared" ref="CY523:CY582" si="376">BZ523</f>
        <v>6.1375947725991002</v>
      </c>
      <c r="CZ523" s="39">
        <f t="shared" ref="CZ523:CZ582" si="377">BX523</f>
        <v>0.38466481961789145</v>
      </c>
      <c r="DA523" s="39">
        <f t="shared" si="368"/>
        <v>8.5244371841654178</v>
      </c>
      <c r="DB523" s="39">
        <f t="shared" si="361"/>
        <v>4.8713064092794864</v>
      </c>
      <c r="DC523" s="39">
        <f t="shared" ref="DC523:DC582" si="378">BY523</f>
        <v>8.5244371841654178</v>
      </c>
      <c r="DD523" s="39">
        <v>4</v>
      </c>
      <c r="DE523" s="39">
        <f t="shared" si="365"/>
        <v>4.9377653614408205E-2</v>
      </c>
      <c r="DF523" s="39">
        <v>0.15120584601942455</v>
      </c>
      <c r="DG523" s="39">
        <f t="shared" ref="DG523:DG582" si="379">CL523</f>
        <v>0</v>
      </c>
      <c r="DH523" s="39">
        <f t="shared" ref="DH523:DH582" si="380">1000*DE523/8.834</f>
        <v>5.5895012015404353</v>
      </c>
      <c r="DI523" s="39">
        <f t="shared" si="339"/>
        <v>6.2406969342285912</v>
      </c>
      <c r="DJ523" s="37"/>
      <c r="DK523" s="37"/>
      <c r="DL523" s="37"/>
      <c r="DM523" s="39">
        <f t="shared" si="336"/>
        <v>1.6724346381099688</v>
      </c>
      <c r="DN523" s="39"/>
      <c r="DO523" s="39">
        <f t="shared" si="337"/>
        <v>1.6724346381099688</v>
      </c>
      <c r="DP523" s="37"/>
      <c r="DQ523" s="37">
        <f>DO523/'Conversions, Sources &amp; Comments'!E521</f>
        <v>3.6044476427502583</v>
      </c>
    </row>
    <row r="524" spans="1:121">
      <c r="A524" s="42">
        <f t="shared" ref="A524:A587" si="381">A523+1</f>
        <v>1772</v>
      </c>
      <c r="B524" s="36"/>
      <c r="C524" s="38">
        <v>54.94</v>
      </c>
      <c r="D524" s="38">
        <v>0</v>
      </c>
      <c r="E524" s="36"/>
      <c r="F524" s="36"/>
      <c r="G524" s="38">
        <v>16</v>
      </c>
      <c r="H524" s="38">
        <v>8</v>
      </c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8">
        <v>10.83</v>
      </c>
      <c r="W524" s="36"/>
      <c r="X524" s="36"/>
      <c r="Y524" s="36"/>
      <c r="Z524" s="36"/>
      <c r="AA524" s="36"/>
      <c r="AB524" s="59">
        <v>8</v>
      </c>
      <c r="AC524" s="38">
        <v>2</v>
      </c>
      <c r="AD524" s="38">
        <v>6</v>
      </c>
      <c r="AE524" s="38">
        <v>2</v>
      </c>
      <c r="AF524" s="38">
        <v>6</v>
      </c>
      <c r="AG524" s="38">
        <v>21</v>
      </c>
      <c r="AH524" s="38">
        <v>0</v>
      </c>
      <c r="AI524" s="38">
        <v>21</v>
      </c>
      <c r="AJ524" s="38">
        <v>0</v>
      </c>
      <c r="AK524" s="36"/>
      <c r="AL524" s="36"/>
      <c r="AM524" s="36"/>
      <c r="AN524" s="36"/>
      <c r="AO524" s="36"/>
      <c r="AP524" s="36"/>
      <c r="AQ524" s="36"/>
      <c r="AR524" s="36"/>
      <c r="AS524" s="38">
        <v>34.549999999999997</v>
      </c>
      <c r="AT524" s="38">
        <v>3</v>
      </c>
      <c r="AU524" s="36"/>
      <c r="AV524" s="36"/>
      <c r="AW524" s="36"/>
      <c r="AX524" s="36"/>
      <c r="AY524" s="36"/>
      <c r="AZ524" s="38">
        <v>120</v>
      </c>
      <c r="BA524" s="36"/>
      <c r="BB524" s="36"/>
      <c r="BC524" s="38">
        <v>8</v>
      </c>
      <c r="BD524" s="38">
        <v>5.75</v>
      </c>
      <c r="BE524" s="38">
        <v>6.25</v>
      </c>
      <c r="BF524" s="38">
        <v>7.3</v>
      </c>
      <c r="BG524" s="59">
        <v>30.92</v>
      </c>
      <c r="BH524" s="59">
        <v>5.07</v>
      </c>
      <c r="BI524" s="59">
        <v>0.63598262274081696</v>
      </c>
      <c r="BJ524" s="59">
        <v>8</v>
      </c>
      <c r="BK524" s="38">
        <v>9.2868000000000013</v>
      </c>
      <c r="BL524" s="59">
        <v>2.02</v>
      </c>
      <c r="BM524" s="36"/>
      <c r="BN524" s="38">
        <v>62</v>
      </c>
      <c r="BO524" s="36"/>
      <c r="BP524" s="39">
        <f t="shared" si="373"/>
        <v>0.46399193548387102</v>
      </c>
      <c r="BQ524" s="37"/>
      <c r="BR524" s="39">
        <f t="shared" si="374"/>
        <v>1.0851233158302347</v>
      </c>
      <c r="BS524" s="39">
        <f t="shared" si="354"/>
        <v>1.866843511918342</v>
      </c>
      <c r="BT524" s="39">
        <f t="shared" si="359"/>
        <v>30.445665057996788</v>
      </c>
      <c r="BU524" s="37"/>
      <c r="BV524" s="39">
        <f t="shared" si="375"/>
        <v>0.5917161176435215</v>
      </c>
      <c r="BW524" s="39">
        <f t="shared" si="369"/>
        <v>4.4453722138682066</v>
      </c>
      <c r="BX524" s="39">
        <f t="shared" si="335"/>
        <v>0.43274792207012791</v>
      </c>
      <c r="BY524" s="39">
        <f t="shared" si="367"/>
        <v>8.1834596967988009</v>
      </c>
      <c r="BZ524" s="39">
        <f t="shared" si="360"/>
        <v>7.0143940258275439</v>
      </c>
      <c r="CA524" s="39">
        <f t="shared" si="370"/>
        <v>9.4997691890288891</v>
      </c>
      <c r="CB524" s="39">
        <f t="shared" si="371"/>
        <v>2.0663235734416969</v>
      </c>
      <c r="CC524" s="39">
        <f t="shared" si="356"/>
        <v>0.50250326612903229</v>
      </c>
      <c r="CD524" s="37"/>
      <c r="CE524" s="37"/>
      <c r="CF524" s="37"/>
      <c r="CG524" s="37"/>
      <c r="CH524" s="37"/>
      <c r="CI524" s="39">
        <f t="shared" si="366"/>
        <v>3.0687838552082329</v>
      </c>
      <c r="CJ524" s="39">
        <f t="shared" si="338"/>
        <v>0.14289283315019469</v>
      </c>
      <c r="CK524" s="39">
        <f t="shared" si="363"/>
        <v>4.9377653614408205E-2</v>
      </c>
      <c r="CL524" s="39">
        <f>BP524*(12*AG524+AH524)/100</f>
        <v>1.1692596774193549</v>
      </c>
      <c r="CM524" s="39">
        <f t="shared" si="364"/>
        <v>0.17447934139366858</v>
      </c>
      <c r="CN524" s="37"/>
      <c r="CO524" s="39">
        <f>0.063495+(0.016949+0.014096)*Wages!P522+1.22592*BR524</f>
        <v>1.9123360422780851</v>
      </c>
      <c r="CP524" s="39"/>
      <c r="CQ524" s="39">
        <f t="shared" si="355"/>
        <v>1.866843511918342</v>
      </c>
      <c r="CR524" s="39">
        <f t="shared" si="343"/>
        <v>0.5917161176435215</v>
      </c>
      <c r="CS524" s="39">
        <f t="shared" si="343"/>
        <v>4.4453722138682066</v>
      </c>
      <c r="CT524" s="39">
        <f t="shared" si="372"/>
        <v>9.4997691890288891</v>
      </c>
      <c r="CU524" s="39">
        <f t="shared" si="372"/>
        <v>2.0663235734416969</v>
      </c>
      <c r="CV524" s="39">
        <f t="shared" si="372"/>
        <v>0.50250326612903229</v>
      </c>
      <c r="CW524" s="39">
        <f t="shared" si="362"/>
        <v>0</v>
      </c>
      <c r="CX524" s="39">
        <f t="shared" si="352"/>
        <v>3.0687838552082329</v>
      </c>
      <c r="CY524" s="39">
        <f t="shared" si="376"/>
        <v>7.0143940258275439</v>
      </c>
      <c r="CZ524" s="39">
        <f t="shared" si="377"/>
        <v>0.43274792207012791</v>
      </c>
      <c r="DA524" s="39">
        <f t="shared" si="368"/>
        <v>8.1834596967988009</v>
      </c>
      <c r="DB524" s="39">
        <f t="shared" si="361"/>
        <v>4.8713064092794864</v>
      </c>
      <c r="DC524" s="39">
        <f t="shared" si="378"/>
        <v>8.1834596967988009</v>
      </c>
      <c r="DD524" s="39">
        <v>4</v>
      </c>
      <c r="DE524" s="39">
        <f t="shared" si="365"/>
        <v>4.9377653614408205E-2</v>
      </c>
      <c r="DF524" s="39">
        <v>0.14289283315019469</v>
      </c>
      <c r="DG524" s="39">
        <f t="shared" si="379"/>
        <v>1.1692596774193549</v>
      </c>
      <c r="DH524" s="39">
        <f t="shared" si="380"/>
        <v>5.5895012015404353</v>
      </c>
      <c r="DI524" s="39">
        <f t="shared" si="339"/>
        <v>5.897595160765805</v>
      </c>
      <c r="DJ524" s="37"/>
      <c r="DK524" s="37"/>
      <c r="DL524" s="37"/>
      <c r="DM524" s="39">
        <f t="shared" si="336"/>
        <v>1.8231111289212234</v>
      </c>
      <c r="DN524" s="39"/>
      <c r="DO524" s="39">
        <f t="shared" si="337"/>
        <v>1.8231111289212234</v>
      </c>
      <c r="DP524" s="37"/>
      <c r="DQ524" s="37">
        <f>DO524/'Conversions, Sources &amp; Comments'!E522</f>
        <v>3.9291871032629127</v>
      </c>
    </row>
    <row r="525" spans="1:121">
      <c r="A525" s="42">
        <f t="shared" si="381"/>
        <v>1773</v>
      </c>
      <c r="B525" s="36"/>
      <c r="C525" s="38">
        <v>49.37</v>
      </c>
      <c r="D525" s="38">
        <v>0</v>
      </c>
      <c r="E525" s="36"/>
      <c r="F525" s="36"/>
      <c r="G525" s="38">
        <v>17</v>
      </c>
      <c r="H525" s="38">
        <v>8</v>
      </c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8">
        <v>11</v>
      </c>
      <c r="W525" s="36"/>
      <c r="X525" s="36"/>
      <c r="Y525" s="36"/>
      <c r="Z525" s="36"/>
      <c r="AA525" s="36"/>
      <c r="AB525" s="59">
        <v>7.666666666666667</v>
      </c>
      <c r="AC525" s="38">
        <v>2</v>
      </c>
      <c r="AD525" s="38">
        <v>6</v>
      </c>
      <c r="AE525" s="38">
        <v>2</v>
      </c>
      <c r="AF525" s="38">
        <v>6</v>
      </c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8">
        <v>34.39</v>
      </c>
      <c r="AT525" s="38">
        <v>3</v>
      </c>
      <c r="AU525" s="36"/>
      <c r="AV525" s="36"/>
      <c r="AW525" s="36"/>
      <c r="AX525" s="36"/>
      <c r="AY525" s="36"/>
      <c r="AZ525" s="38">
        <v>120</v>
      </c>
      <c r="BA525" s="36"/>
      <c r="BB525" s="36"/>
      <c r="BC525" s="38">
        <v>8</v>
      </c>
      <c r="BD525" s="38">
        <v>5.75</v>
      </c>
      <c r="BE525" s="38">
        <v>6.25</v>
      </c>
      <c r="BF525" s="38">
        <v>7.3</v>
      </c>
      <c r="BG525" s="59">
        <v>34</v>
      </c>
      <c r="BH525" s="59">
        <v>4.72</v>
      </c>
      <c r="BI525" s="59">
        <v>0.70664735860090777</v>
      </c>
      <c r="BJ525" s="59">
        <v>8</v>
      </c>
      <c r="BK525" s="38">
        <v>8.883026086956523</v>
      </c>
      <c r="BL525" s="59">
        <v>2.02</v>
      </c>
      <c r="BM525" s="36"/>
      <c r="BN525" s="38">
        <v>62</v>
      </c>
      <c r="BO525" s="36"/>
      <c r="BP525" s="39">
        <f t="shared" si="373"/>
        <v>0.46399193548387102</v>
      </c>
      <c r="BQ525" s="37"/>
      <c r="BR525" s="39">
        <f t="shared" si="374"/>
        <v>0.97510990357733318</v>
      </c>
      <c r="BS525" s="39">
        <f t="shared" si="354"/>
        <v>1.866843511918342</v>
      </c>
      <c r="BT525" s="39">
        <f t="shared" si="359"/>
        <v>30.445665057996788</v>
      </c>
      <c r="BU525" s="37"/>
      <c r="BV525" s="39">
        <f t="shared" si="375"/>
        <v>0.65065808537774028</v>
      </c>
      <c r="BW525" s="39">
        <f t="shared" si="369"/>
        <v>4.1384924752382508</v>
      </c>
      <c r="BX525" s="39">
        <f t="shared" si="335"/>
        <v>0.48083102452236437</v>
      </c>
      <c r="BY525" s="39">
        <f t="shared" si="367"/>
        <v>7.8424822094321849</v>
      </c>
      <c r="BZ525" s="39">
        <f t="shared" si="360"/>
        <v>7.0143940258275439</v>
      </c>
      <c r="CA525" s="39">
        <f t="shared" si="370"/>
        <v>9.0867357460276352</v>
      </c>
      <c r="CB525" s="39">
        <f t="shared" si="371"/>
        <v>2.0663235734416969</v>
      </c>
      <c r="CC525" s="39">
        <f t="shared" si="356"/>
        <v>0.51039112903225814</v>
      </c>
      <c r="CD525" s="37"/>
      <c r="CE525" s="37"/>
      <c r="CF525" s="37"/>
      <c r="CG525" s="37"/>
      <c r="CH525" s="37"/>
      <c r="CI525" s="39">
        <f t="shared" si="366"/>
        <v>3.0687838552082329</v>
      </c>
      <c r="CJ525" s="39">
        <f t="shared" si="338"/>
        <v>0.14223110078249482</v>
      </c>
      <c r="CK525" s="39">
        <f t="shared" si="363"/>
        <v>4.9377653614408205E-2</v>
      </c>
      <c r="CL525" s="37"/>
      <c r="CM525" s="39">
        <f t="shared" si="364"/>
        <v>0.17447934139366858</v>
      </c>
      <c r="CN525" s="37"/>
      <c r="CO525" s="39">
        <f>0.063495+(0.016949+0.014096)*Wages!P523+1.22592*BR525</f>
        <v>1.7774683999290082</v>
      </c>
      <c r="CP525" s="39"/>
      <c r="CQ525" s="39">
        <f t="shared" si="355"/>
        <v>1.866843511918342</v>
      </c>
      <c r="CR525" s="39">
        <f t="shared" si="343"/>
        <v>0.65065808537774028</v>
      </c>
      <c r="CS525" s="39">
        <f t="shared" si="343"/>
        <v>4.1384924752382508</v>
      </c>
      <c r="CT525" s="39">
        <f t="shared" si="372"/>
        <v>9.0867357460276352</v>
      </c>
      <c r="CU525" s="39">
        <f t="shared" si="372"/>
        <v>2.0663235734416969</v>
      </c>
      <c r="CV525" s="39">
        <f t="shared" si="372"/>
        <v>0.51039112903225814</v>
      </c>
      <c r="CW525" s="39">
        <f t="shared" si="362"/>
        <v>0</v>
      </c>
      <c r="CX525" s="39">
        <f t="shared" si="352"/>
        <v>3.0687838552082329</v>
      </c>
      <c r="CY525" s="39">
        <f t="shared" si="376"/>
        <v>7.0143940258275439</v>
      </c>
      <c r="CZ525" s="39">
        <f t="shared" si="377"/>
        <v>0.48083102452236437</v>
      </c>
      <c r="DA525" s="39">
        <f t="shared" si="368"/>
        <v>7.8424822094321849</v>
      </c>
      <c r="DB525" s="39">
        <f t="shared" si="361"/>
        <v>4.8713064092794864</v>
      </c>
      <c r="DC525" s="39">
        <f t="shared" si="378"/>
        <v>7.8424822094321849</v>
      </c>
      <c r="DD525" s="39">
        <v>4</v>
      </c>
      <c r="DE525" s="39">
        <f t="shared" si="365"/>
        <v>4.9377653614408205E-2</v>
      </c>
      <c r="DF525" s="39">
        <v>0.14223110078249482</v>
      </c>
      <c r="DG525" s="39">
        <f t="shared" si="379"/>
        <v>0</v>
      </c>
      <c r="DH525" s="39">
        <f t="shared" si="380"/>
        <v>5.5895012015404353</v>
      </c>
      <c r="DI525" s="39">
        <f t="shared" si="339"/>
        <v>5.8702835768085695</v>
      </c>
      <c r="DJ525" s="37"/>
      <c r="DK525" s="37"/>
      <c r="DL525" s="37"/>
      <c r="DM525" s="39">
        <f t="shared" si="336"/>
        <v>1.8238981783797115</v>
      </c>
      <c r="DN525" s="39"/>
      <c r="DO525" s="39">
        <f t="shared" si="337"/>
        <v>1.8238981783797115</v>
      </c>
      <c r="DP525" s="37"/>
      <c r="DQ525" s="37">
        <f>DO525/'Conversions, Sources &amp; Comments'!E523</f>
        <v>3.9308833600257964</v>
      </c>
    </row>
    <row r="526" spans="1:121">
      <c r="A526" s="42">
        <f t="shared" si="381"/>
        <v>1774</v>
      </c>
      <c r="B526" s="36"/>
      <c r="C526" s="38">
        <v>56.34</v>
      </c>
      <c r="D526" s="38">
        <v>0</v>
      </c>
      <c r="E526" s="36"/>
      <c r="F526" s="36"/>
      <c r="G526" s="38">
        <v>18</v>
      </c>
      <c r="H526" s="38">
        <v>4</v>
      </c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8">
        <v>11</v>
      </c>
      <c r="W526" s="36"/>
      <c r="X526" s="36"/>
      <c r="Y526" s="36"/>
      <c r="Z526" s="36"/>
      <c r="AA526" s="36"/>
      <c r="AB526" s="59">
        <v>7.666666666666667</v>
      </c>
      <c r="AC526" s="38">
        <v>2</v>
      </c>
      <c r="AD526" s="38">
        <v>6</v>
      </c>
      <c r="AE526" s="38">
        <v>2</v>
      </c>
      <c r="AF526" s="38">
        <v>6</v>
      </c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8">
        <v>36.93</v>
      </c>
      <c r="AT526" s="38">
        <v>3</v>
      </c>
      <c r="AU526" s="36"/>
      <c r="AV526" s="36"/>
      <c r="AW526" s="36"/>
      <c r="AX526" s="36"/>
      <c r="AY526" s="36"/>
      <c r="AZ526" s="38">
        <v>120</v>
      </c>
      <c r="BA526" s="36"/>
      <c r="BB526" s="36"/>
      <c r="BC526" s="38">
        <v>8</v>
      </c>
      <c r="BD526" s="38">
        <v>5.75</v>
      </c>
      <c r="BE526" s="38">
        <v>6.25</v>
      </c>
      <c r="BF526" s="38">
        <v>7</v>
      </c>
      <c r="BG526" s="59">
        <v>32.08</v>
      </c>
      <c r="BH526" s="59">
        <v>5.1100000000000003</v>
      </c>
      <c r="BI526" s="59">
        <v>0.70664735860090777</v>
      </c>
      <c r="BJ526" s="59">
        <v>8</v>
      </c>
      <c r="BK526" s="38">
        <v>7.3621443478260868</v>
      </c>
      <c r="BL526" s="59">
        <v>2.02</v>
      </c>
      <c r="BM526" s="36"/>
      <c r="BN526" s="38">
        <v>62</v>
      </c>
      <c r="BO526" s="36"/>
      <c r="BP526" s="39">
        <f t="shared" si="373"/>
        <v>0.46399193548387102</v>
      </c>
      <c r="BQ526" s="37"/>
      <c r="BR526" s="39">
        <f t="shared" si="374"/>
        <v>1.1127748018543033</v>
      </c>
      <c r="BS526" s="39">
        <f t="shared" si="354"/>
        <v>1.7901239155381363</v>
      </c>
      <c r="BT526" s="39">
        <f t="shared" si="359"/>
        <v>30.445665057996788</v>
      </c>
      <c r="BU526" s="37"/>
      <c r="BV526" s="39">
        <f t="shared" si="375"/>
        <v>0.613915040556409</v>
      </c>
      <c r="BW526" s="39">
        <f t="shared" si="369"/>
        <v>4.4804441839973439</v>
      </c>
      <c r="BX526" s="39">
        <f t="shared" si="335"/>
        <v>0.48083102452236437</v>
      </c>
      <c r="BY526" s="39">
        <f t="shared" si="367"/>
        <v>7.8424822094321849</v>
      </c>
      <c r="BZ526" s="39">
        <f t="shared" si="360"/>
        <v>7.0143940258275439</v>
      </c>
      <c r="CA526" s="39">
        <f t="shared" si="370"/>
        <v>7.5309764440562343</v>
      </c>
      <c r="CB526" s="39">
        <f t="shared" si="371"/>
        <v>2.0663235734416969</v>
      </c>
      <c r="CC526" s="39">
        <f t="shared" si="356"/>
        <v>0.51039112903225814</v>
      </c>
      <c r="CD526" s="37"/>
      <c r="CE526" s="37"/>
      <c r="CF526" s="37"/>
      <c r="CG526" s="37"/>
      <c r="CH526" s="37"/>
      <c r="CI526" s="39">
        <f t="shared" si="366"/>
        <v>3.0687838552082329</v>
      </c>
      <c r="CJ526" s="39">
        <f t="shared" si="338"/>
        <v>0.15273610211973052</v>
      </c>
      <c r="CK526" s="39">
        <f t="shared" si="363"/>
        <v>4.9377653614408205E-2</v>
      </c>
      <c r="CL526" s="37"/>
      <c r="CM526" s="39">
        <f t="shared" si="364"/>
        <v>0.17447934139366858</v>
      </c>
      <c r="CN526" s="37"/>
      <c r="CO526" s="39">
        <f>0.063495+(0.016949+0.014096)*Wages!P524+1.22592*BR526</f>
        <v>1.9462345520247113</v>
      </c>
      <c r="CP526" s="39"/>
      <c r="CQ526" s="39">
        <f t="shared" si="355"/>
        <v>1.7901239155381363</v>
      </c>
      <c r="CR526" s="39">
        <f t="shared" si="343"/>
        <v>0.613915040556409</v>
      </c>
      <c r="CS526" s="39">
        <f t="shared" si="343"/>
        <v>4.4804441839973439</v>
      </c>
      <c r="CT526" s="39">
        <f t="shared" si="372"/>
        <v>7.5309764440562343</v>
      </c>
      <c r="CU526" s="39">
        <f t="shared" si="372"/>
        <v>2.0663235734416969</v>
      </c>
      <c r="CV526" s="39">
        <f t="shared" si="372"/>
        <v>0.51039112903225814</v>
      </c>
      <c r="CW526" s="39">
        <f t="shared" si="362"/>
        <v>0</v>
      </c>
      <c r="CX526" s="39">
        <f t="shared" si="352"/>
        <v>3.0687838552082329</v>
      </c>
      <c r="CY526" s="39">
        <f t="shared" si="376"/>
        <v>7.0143940258275439</v>
      </c>
      <c r="CZ526" s="39">
        <f t="shared" si="377"/>
        <v>0.48083102452236437</v>
      </c>
      <c r="DA526" s="39">
        <f t="shared" si="368"/>
        <v>7.8424822094321849</v>
      </c>
      <c r="DB526" s="39">
        <f t="shared" si="361"/>
        <v>4.8713064092794864</v>
      </c>
      <c r="DC526" s="39">
        <f t="shared" si="378"/>
        <v>7.8424822094321849</v>
      </c>
      <c r="DD526" s="39">
        <v>4</v>
      </c>
      <c r="DE526" s="39">
        <f t="shared" si="365"/>
        <v>4.9377653614408205E-2</v>
      </c>
      <c r="DF526" s="39">
        <v>0.15273610211973054</v>
      </c>
      <c r="DG526" s="39">
        <f t="shared" si="379"/>
        <v>0</v>
      </c>
      <c r="DH526" s="39">
        <f t="shared" si="380"/>
        <v>5.5895012015404353</v>
      </c>
      <c r="DI526" s="39">
        <f t="shared" si="339"/>
        <v>6.3038549721297015</v>
      </c>
      <c r="DJ526" s="37"/>
      <c r="DK526" s="37"/>
      <c r="DL526" s="37"/>
      <c r="DM526" s="39">
        <f t="shared" si="336"/>
        <v>1.7875692893896484</v>
      </c>
      <c r="DN526" s="39"/>
      <c r="DO526" s="39">
        <f t="shared" si="337"/>
        <v>1.7875692893896484</v>
      </c>
      <c r="DP526" s="37"/>
      <c r="DQ526" s="37">
        <f>DO526/'Conversions, Sources &amp; Comments'!E524</f>
        <v>3.8525869798264774</v>
      </c>
    </row>
    <row r="527" spans="1:121">
      <c r="A527" s="42">
        <f t="shared" si="381"/>
        <v>1775</v>
      </c>
      <c r="B527" s="36"/>
      <c r="C527" s="38">
        <v>37.369999999999997</v>
      </c>
      <c r="D527" s="38">
        <v>0</v>
      </c>
      <c r="E527" s="36"/>
      <c r="F527" s="36"/>
      <c r="G527" s="38">
        <v>17</v>
      </c>
      <c r="H527" s="38">
        <v>0</v>
      </c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8">
        <v>11</v>
      </c>
      <c r="W527" s="36"/>
      <c r="X527" s="36"/>
      <c r="Y527" s="36"/>
      <c r="Z527" s="36"/>
      <c r="AA527" s="36"/>
      <c r="AB527" s="59">
        <v>7.666666666666667</v>
      </c>
      <c r="AC527" s="38">
        <v>2</v>
      </c>
      <c r="AD527" s="38">
        <v>6</v>
      </c>
      <c r="AE527" s="38">
        <v>2</v>
      </c>
      <c r="AF527" s="38">
        <v>6</v>
      </c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8">
        <v>38.93</v>
      </c>
      <c r="AT527" s="38">
        <v>3</v>
      </c>
      <c r="AU527" s="36"/>
      <c r="AV527" s="36"/>
      <c r="AW527" s="36"/>
      <c r="AX527" s="36"/>
      <c r="AY527" s="36"/>
      <c r="AZ527" s="38">
        <v>120</v>
      </c>
      <c r="BA527" s="36"/>
      <c r="BB527" s="36"/>
      <c r="BC527" s="38">
        <v>8</v>
      </c>
      <c r="BD527" s="38">
        <v>5.75</v>
      </c>
      <c r="BE527" s="38">
        <v>6</v>
      </c>
      <c r="BF527" s="38">
        <v>6.9</v>
      </c>
      <c r="BG527" s="59">
        <v>29.5</v>
      </c>
      <c r="BH527" s="59">
        <v>5</v>
      </c>
      <c r="BI527" s="59">
        <v>0.70664735860090777</v>
      </c>
      <c r="BJ527" s="59">
        <v>8</v>
      </c>
      <c r="BK527" s="38">
        <v>8.2908243478260868</v>
      </c>
      <c r="BL527" s="59">
        <v>2.02</v>
      </c>
      <c r="BM527" s="36"/>
      <c r="BN527" s="38">
        <v>62</v>
      </c>
      <c r="BO527" s="36"/>
      <c r="BP527" s="39">
        <f t="shared" si="373"/>
        <v>0.46399193548387102</v>
      </c>
      <c r="BQ527" s="37"/>
      <c r="BR527" s="39">
        <f t="shared" si="374"/>
        <v>0.73809716622817378</v>
      </c>
      <c r="BS527" s="39">
        <f t="shared" si="354"/>
        <v>1.7645507167447343</v>
      </c>
      <c r="BT527" s="39">
        <f t="shared" si="359"/>
        <v>30.445665057996788</v>
      </c>
      <c r="BU527" s="37"/>
      <c r="BV527" s="39">
        <f t="shared" si="375"/>
        <v>0.5645415740777453</v>
      </c>
      <c r="BW527" s="39">
        <f t="shared" si="369"/>
        <v>4.3839962661422156</v>
      </c>
      <c r="BX527" s="39">
        <f t="shared" si="335"/>
        <v>0.48083102452236437</v>
      </c>
      <c r="BY527" s="39">
        <f t="shared" si="367"/>
        <v>7.8424822094321849</v>
      </c>
      <c r="BZ527" s="39">
        <f t="shared" si="360"/>
        <v>7.0143940258275439</v>
      </c>
      <c r="CA527" s="39">
        <f t="shared" si="370"/>
        <v>8.4809533629591236</v>
      </c>
      <c r="CB527" s="39">
        <f t="shared" si="371"/>
        <v>2.0663235734416969</v>
      </c>
      <c r="CC527" s="39">
        <f t="shared" ref="CC527:CC558" si="382">BP527*12*V527/120</f>
        <v>0.51039112903225814</v>
      </c>
      <c r="CD527" s="37"/>
      <c r="CE527" s="37"/>
      <c r="CF527" s="37"/>
      <c r="CG527" s="37"/>
      <c r="CH527" s="37"/>
      <c r="CI527" s="39">
        <f t="shared" si="366"/>
        <v>3.0687838552082329</v>
      </c>
      <c r="CJ527" s="39">
        <f t="shared" si="338"/>
        <v>0.16100775671597914</v>
      </c>
      <c r="CK527" s="39">
        <f t="shared" si="363"/>
        <v>4.9377653614408205E-2</v>
      </c>
      <c r="CL527" s="37"/>
      <c r="CM527" s="39">
        <f t="shared" si="364"/>
        <v>0.17447934139366858</v>
      </c>
      <c r="CN527" s="37"/>
      <c r="CO527" s="39">
        <f>0.063495+(0.016949+0.014096)*Wages!P525+1.22592*BR527</f>
        <v>1.4869097449579267</v>
      </c>
      <c r="CP527" s="39"/>
      <c r="CQ527" s="39">
        <f t="shared" si="355"/>
        <v>1.7645507167447343</v>
      </c>
      <c r="CR527" s="39">
        <f t="shared" si="343"/>
        <v>0.5645415740777453</v>
      </c>
      <c r="CS527" s="39">
        <f t="shared" si="343"/>
        <v>4.3839962661422156</v>
      </c>
      <c r="CT527" s="39">
        <f t="shared" si="372"/>
        <v>8.4809533629591236</v>
      </c>
      <c r="CU527" s="39">
        <f t="shared" si="372"/>
        <v>2.0663235734416969</v>
      </c>
      <c r="CV527" s="39">
        <f t="shared" si="372"/>
        <v>0.51039112903225814</v>
      </c>
      <c r="CW527" s="39">
        <f t="shared" si="362"/>
        <v>0</v>
      </c>
      <c r="CX527" s="39">
        <f t="shared" si="352"/>
        <v>3.0687838552082329</v>
      </c>
      <c r="CY527" s="39">
        <f t="shared" si="376"/>
        <v>7.0143940258275439</v>
      </c>
      <c r="CZ527" s="39">
        <f t="shared" si="377"/>
        <v>0.48083102452236437</v>
      </c>
      <c r="DA527" s="39">
        <f t="shared" si="368"/>
        <v>7.8424822094321849</v>
      </c>
      <c r="DB527" s="39">
        <f t="shared" si="361"/>
        <v>4.8713064092794864</v>
      </c>
      <c r="DC527" s="39">
        <f t="shared" si="378"/>
        <v>7.8424822094321849</v>
      </c>
      <c r="DD527" s="39">
        <v>4</v>
      </c>
      <c r="DE527" s="39">
        <f t="shared" si="365"/>
        <v>4.9377653614408205E-2</v>
      </c>
      <c r="DF527" s="39">
        <v>0.16100775671597917</v>
      </c>
      <c r="DG527" s="39">
        <f t="shared" si="379"/>
        <v>0</v>
      </c>
      <c r="DH527" s="39">
        <f t="shared" si="380"/>
        <v>5.5895012015404353</v>
      </c>
      <c r="DI527" s="39">
        <f t="shared" si="339"/>
        <v>6.6452497715951608</v>
      </c>
      <c r="DJ527" s="37"/>
      <c r="DK527" s="37"/>
      <c r="DL527" s="37"/>
      <c r="DM527" s="39">
        <f t="shared" si="336"/>
        <v>1.7760254876779822</v>
      </c>
      <c r="DN527" s="39"/>
      <c r="DO527" s="39">
        <f t="shared" si="337"/>
        <v>1.7760254876779822</v>
      </c>
      <c r="DP527" s="37"/>
      <c r="DQ527" s="37">
        <f>DO527/'Conversions, Sources &amp; Comments'!E525</f>
        <v>3.8277076644141785</v>
      </c>
    </row>
    <row r="528" spans="1:121">
      <c r="A528" s="42">
        <f t="shared" si="381"/>
        <v>1776</v>
      </c>
      <c r="B528" s="36"/>
      <c r="C528" s="38">
        <v>40.79</v>
      </c>
      <c r="D528" s="38">
        <v>0</v>
      </c>
      <c r="E528" s="36"/>
      <c r="F528" s="36"/>
      <c r="G528" s="38">
        <v>15</v>
      </c>
      <c r="H528" s="38">
        <v>5</v>
      </c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8">
        <v>11</v>
      </c>
      <c r="W528" s="36"/>
      <c r="X528" s="36"/>
      <c r="Y528" s="36"/>
      <c r="Z528" s="36"/>
      <c r="AA528" s="36"/>
      <c r="AB528" s="59">
        <v>7.666666666666667</v>
      </c>
      <c r="AC528" s="38">
        <v>2</v>
      </c>
      <c r="AD528" s="38">
        <v>6</v>
      </c>
      <c r="AE528" s="38">
        <v>2</v>
      </c>
      <c r="AF528" s="38">
        <v>6</v>
      </c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8">
        <v>38.44</v>
      </c>
      <c r="AT528" s="38">
        <v>3</v>
      </c>
      <c r="AU528" s="36"/>
      <c r="AV528" s="36"/>
      <c r="AW528" s="36"/>
      <c r="AX528" s="36"/>
      <c r="AY528" s="36"/>
      <c r="AZ528" s="38">
        <v>120</v>
      </c>
      <c r="BA528" s="36"/>
      <c r="BB528" s="36"/>
      <c r="BC528" s="38">
        <v>8</v>
      </c>
      <c r="BD528" s="38">
        <v>5.75</v>
      </c>
      <c r="BE528" s="38">
        <v>6</v>
      </c>
      <c r="BF528" s="38">
        <v>5.8</v>
      </c>
      <c r="BG528" s="59">
        <v>27.25</v>
      </c>
      <c r="BH528" s="59">
        <v>4.79</v>
      </c>
      <c r="BI528" s="59">
        <v>0.70664735860090777</v>
      </c>
      <c r="BJ528" s="59">
        <v>8</v>
      </c>
      <c r="BK528" s="38">
        <v>9.7982469565217407</v>
      </c>
      <c r="BL528" s="59">
        <v>2.02</v>
      </c>
      <c r="BM528" s="36"/>
      <c r="BN528" s="38">
        <v>62</v>
      </c>
      <c r="BO528" s="36"/>
      <c r="BP528" s="39">
        <f t="shared" si="373"/>
        <v>0.46399193548387102</v>
      </c>
      <c r="BQ528" s="37"/>
      <c r="BR528" s="39">
        <f t="shared" si="374"/>
        <v>0.8056457963726843</v>
      </c>
      <c r="BS528" s="39">
        <f t="shared" si="354"/>
        <v>1.4832455300173129</v>
      </c>
      <c r="BT528" s="39">
        <f t="shared" si="359"/>
        <v>30.445665057996788</v>
      </c>
      <c r="BU528" s="37"/>
      <c r="BV528" s="39">
        <f t="shared" si="375"/>
        <v>0.52148331842774776</v>
      </c>
      <c r="BW528" s="39">
        <f t="shared" si="369"/>
        <v>4.1998684229642418</v>
      </c>
      <c r="BX528" s="39">
        <f t="shared" ref="BX528:BX591" si="383">$BP528*240*$BI528/(36*4.546)</f>
        <v>0.48083102452236437</v>
      </c>
      <c r="BY528" s="39">
        <f t="shared" si="367"/>
        <v>7.8424822094321849</v>
      </c>
      <c r="BZ528" s="39">
        <f t="shared" si="360"/>
        <v>7.0143940258275439</v>
      </c>
      <c r="CA528" s="39">
        <f t="shared" si="370"/>
        <v>10.022944883497146</v>
      </c>
      <c r="CB528" s="39">
        <f t="shared" si="371"/>
        <v>2.0663235734416969</v>
      </c>
      <c r="CC528" s="39">
        <f t="shared" si="382"/>
        <v>0.51039112903225814</v>
      </c>
      <c r="CD528" s="37"/>
      <c r="CE528" s="37"/>
      <c r="CF528" s="37"/>
      <c r="CG528" s="37"/>
      <c r="CH528" s="37"/>
      <c r="CI528" s="39">
        <f t="shared" si="366"/>
        <v>3.0687838552082329</v>
      </c>
      <c r="CJ528" s="39">
        <f t="shared" si="338"/>
        <v>0.15898120133989824</v>
      </c>
      <c r="CK528" s="39">
        <f t="shared" si="363"/>
        <v>4.9377653614408205E-2</v>
      </c>
      <c r="CL528" s="37"/>
      <c r="CM528" s="39">
        <f t="shared" si="364"/>
        <v>0.17447934139366858</v>
      </c>
      <c r="CN528" s="37"/>
      <c r="CO528" s="39">
        <f>0.063495+(0.016949+0.014096)*Wages!P526+1.22592*BR528</f>
        <v>1.627337480173072</v>
      </c>
      <c r="CP528" s="39"/>
      <c r="CQ528" s="39">
        <f t="shared" si="355"/>
        <v>1.4832455300173129</v>
      </c>
      <c r="CR528" s="39">
        <f t="shared" si="343"/>
        <v>0.52148331842774776</v>
      </c>
      <c r="CS528" s="39">
        <f t="shared" si="343"/>
        <v>4.1998684229642418</v>
      </c>
      <c r="CT528" s="39">
        <f t="shared" si="372"/>
        <v>10.022944883497146</v>
      </c>
      <c r="CU528" s="39">
        <f t="shared" si="372"/>
        <v>2.0663235734416969</v>
      </c>
      <c r="CV528" s="39">
        <f t="shared" si="372"/>
        <v>0.51039112903225814</v>
      </c>
      <c r="CW528" s="39">
        <f t="shared" si="362"/>
        <v>0</v>
      </c>
      <c r="CX528" s="39">
        <f t="shared" si="352"/>
        <v>3.0687838552082329</v>
      </c>
      <c r="CY528" s="39">
        <f t="shared" si="376"/>
        <v>7.0143940258275439</v>
      </c>
      <c r="CZ528" s="39">
        <f t="shared" si="377"/>
        <v>0.48083102452236437</v>
      </c>
      <c r="DA528" s="39">
        <f t="shared" si="368"/>
        <v>7.8424822094321849</v>
      </c>
      <c r="DB528" s="39">
        <f t="shared" si="361"/>
        <v>4.8713064092794864</v>
      </c>
      <c r="DC528" s="39">
        <f t="shared" si="378"/>
        <v>7.8424822094321849</v>
      </c>
      <c r="DD528" s="39">
        <v>4</v>
      </c>
      <c r="DE528" s="39">
        <f t="shared" si="365"/>
        <v>4.9377653614408205E-2</v>
      </c>
      <c r="DF528" s="39">
        <v>0.15898120133989824</v>
      </c>
      <c r="DG528" s="39">
        <f t="shared" si="379"/>
        <v>0</v>
      </c>
      <c r="DH528" s="39">
        <f t="shared" si="380"/>
        <v>5.5895012015404353</v>
      </c>
      <c r="DI528" s="39">
        <f t="shared" si="339"/>
        <v>6.561608045726123</v>
      </c>
      <c r="DJ528" s="37"/>
      <c r="DK528" s="37"/>
      <c r="DL528" s="37"/>
      <c r="DM528" s="39">
        <f t="shared" si="336"/>
        <v>1.6550187424314435</v>
      </c>
      <c r="DN528" s="39"/>
      <c r="DO528" s="39">
        <f t="shared" si="337"/>
        <v>1.6550187424314435</v>
      </c>
      <c r="DP528" s="37"/>
      <c r="DQ528" s="37">
        <f>DO528/'Conversions, Sources &amp; Comments'!E526</f>
        <v>3.5669127324497953</v>
      </c>
    </row>
    <row r="529" spans="1:121">
      <c r="A529" s="42">
        <f t="shared" si="381"/>
        <v>1777</v>
      </c>
      <c r="B529" s="36"/>
      <c r="C529" s="38">
        <v>46.54</v>
      </c>
      <c r="D529" s="38">
        <v>0</v>
      </c>
      <c r="E529" s="36"/>
      <c r="F529" s="36"/>
      <c r="G529" s="38">
        <v>16</v>
      </c>
      <c r="H529" s="38">
        <v>1</v>
      </c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8">
        <v>11</v>
      </c>
      <c r="W529" s="36"/>
      <c r="X529" s="36"/>
      <c r="Y529" s="36"/>
      <c r="Z529" s="36"/>
      <c r="AA529" s="36"/>
      <c r="AB529" s="59">
        <v>7.666666666666667</v>
      </c>
      <c r="AC529" s="38">
        <v>2</v>
      </c>
      <c r="AD529" s="38">
        <v>6</v>
      </c>
      <c r="AE529" s="38">
        <v>2</v>
      </c>
      <c r="AF529" s="38">
        <v>6</v>
      </c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8">
        <v>38.44</v>
      </c>
      <c r="AT529" s="38">
        <v>3</v>
      </c>
      <c r="AU529" s="36"/>
      <c r="AV529" s="36"/>
      <c r="AW529" s="36"/>
      <c r="AX529" s="36"/>
      <c r="AY529" s="36"/>
      <c r="AZ529" s="38">
        <v>120</v>
      </c>
      <c r="BA529" s="36"/>
      <c r="BB529" s="36"/>
      <c r="BC529" s="38">
        <v>8</v>
      </c>
      <c r="BD529" s="38">
        <v>5.75</v>
      </c>
      <c r="BE529" s="38">
        <v>6</v>
      </c>
      <c r="BF529" s="38">
        <v>6.6</v>
      </c>
      <c r="BG529" s="59">
        <v>29.33</v>
      </c>
      <c r="BH529" s="59">
        <v>5.07</v>
      </c>
      <c r="BI529" s="59">
        <v>0.70664735860090777</v>
      </c>
      <c r="BJ529" s="59">
        <v>9</v>
      </c>
      <c r="BK529" s="38">
        <v>10.767304347826089</v>
      </c>
      <c r="BL529" s="59">
        <v>2.02</v>
      </c>
      <c r="BM529" s="36"/>
      <c r="BN529" s="38">
        <v>62</v>
      </c>
      <c r="BO529" s="36"/>
      <c r="BP529" s="39">
        <f t="shared" si="373"/>
        <v>0.46399193548387102</v>
      </c>
      <c r="BQ529" s="37"/>
      <c r="BR529" s="39">
        <f t="shared" si="374"/>
        <v>0.91921439968582319</v>
      </c>
      <c r="BS529" s="39">
        <f t="shared" si="354"/>
        <v>1.6878311203645284</v>
      </c>
      <c r="BT529" s="39">
        <f t="shared" si="359"/>
        <v>30.445665057996788</v>
      </c>
      <c r="BU529" s="37"/>
      <c r="BV529" s="39">
        <f t="shared" si="375"/>
        <v>0.56128828365085648</v>
      </c>
      <c r="BW529" s="39">
        <f t="shared" si="369"/>
        <v>4.4453722138682066</v>
      </c>
      <c r="BX529" s="39">
        <f t="shared" si="383"/>
        <v>0.48083102452236437</v>
      </c>
      <c r="BY529" s="39">
        <f t="shared" si="367"/>
        <v>7.8424822094321849</v>
      </c>
      <c r="BZ529" s="39">
        <f t="shared" si="360"/>
        <v>7.8911932790559876</v>
      </c>
      <c r="CA529" s="39">
        <f t="shared" si="370"/>
        <v>11.014225146700163</v>
      </c>
      <c r="CB529" s="39">
        <f t="shared" si="371"/>
        <v>2.0663235734416969</v>
      </c>
      <c r="CC529" s="39">
        <f t="shared" si="382"/>
        <v>0.51039112903225814</v>
      </c>
      <c r="CD529" s="37"/>
      <c r="CE529" s="37"/>
      <c r="CF529" s="37"/>
      <c r="CG529" s="37"/>
      <c r="CH529" s="37"/>
      <c r="CI529" s="39">
        <f t="shared" si="366"/>
        <v>3.0687838552082329</v>
      </c>
      <c r="CJ529" s="39">
        <f t="shared" ref="CJ529:CJ582" si="384">$BP529*12*AS529/(26.5*112*0.453592)</f>
        <v>0.15898120133989824</v>
      </c>
      <c r="CK529" s="39">
        <f t="shared" si="363"/>
        <v>4.9377653614408205E-2</v>
      </c>
      <c r="CL529" s="37"/>
      <c r="CM529" s="39">
        <f t="shared" si="364"/>
        <v>0.17447934139366858</v>
      </c>
      <c r="CN529" s="37"/>
      <c r="CO529" s="39">
        <f>0.063495+(0.016949+0.014096)*Wages!P527+1.22592*BR529</f>
        <v>1.7665635023467152</v>
      </c>
      <c r="CP529" s="39"/>
      <c r="CQ529" s="39">
        <f t="shared" si="355"/>
        <v>1.6878311203645284</v>
      </c>
      <c r="CR529" s="39">
        <f t="shared" si="343"/>
        <v>0.56128828365085648</v>
      </c>
      <c r="CS529" s="39">
        <f t="shared" si="343"/>
        <v>4.4453722138682066</v>
      </c>
      <c r="CT529" s="39">
        <f t="shared" si="372"/>
        <v>11.014225146700163</v>
      </c>
      <c r="CU529" s="39">
        <f t="shared" si="372"/>
        <v>2.0663235734416969</v>
      </c>
      <c r="CV529" s="39">
        <f t="shared" si="372"/>
        <v>0.51039112903225814</v>
      </c>
      <c r="CW529" s="39">
        <f t="shared" si="362"/>
        <v>0</v>
      </c>
      <c r="CX529" s="39">
        <f t="shared" si="352"/>
        <v>3.0687838552082329</v>
      </c>
      <c r="CY529" s="39">
        <f t="shared" si="376"/>
        <v>7.8911932790559876</v>
      </c>
      <c r="CZ529" s="39">
        <f t="shared" si="377"/>
        <v>0.48083102452236437</v>
      </c>
      <c r="DA529" s="39">
        <f t="shared" si="368"/>
        <v>7.8424822094321849</v>
      </c>
      <c r="DB529" s="39">
        <f t="shared" si="361"/>
        <v>4.8713064092794864</v>
      </c>
      <c r="DC529" s="39">
        <f t="shared" si="378"/>
        <v>7.8424822094321849</v>
      </c>
      <c r="DD529" s="39">
        <v>4</v>
      </c>
      <c r="DE529" s="39">
        <f t="shared" si="365"/>
        <v>4.9377653614408205E-2</v>
      </c>
      <c r="DF529" s="39">
        <v>0.15898120133989824</v>
      </c>
      <c r="DG529" s="39">
        <f t="shared" si="379"/>
        <v>0</v>
      </c>
      <c r="DH529" s="39">
        <f t="shared" si="380"/>
        <v>5.5895012015404353</v>
      </c>
      <c r="DI529" s="39">
        <f t="shared" ref="DI529:DI582" si="385">1000*DF529/24.229</f>
        <v>6.561608045726123</v>
      </c>
      <c r="DJ529" s="37"/>
      <c r="DK529" s="37"/>
      <c r="DL529" s="37"/>
      <c r="DM529" s="39">
        <f t="shared" si="336"/>
        <v>1.7775599592801672</v>
      </c>
      <c r="DN529" s="39"/>
      <c r="DO529" s="39">
        <f t="shared" si="337"/>
        <v>1.7775599592801672</v>
      </c>
      <c r="DP529" s="37"/>
      <c r="DQ529" s="37">
        <f>DO529/'Conversions, Sources &amp; Comments'!E527</f>
        <v>3.8310147727598975</v>
      </c>
    </row>
    <row r="530" spans="1:121">
      <c r="A530" s="42">
        <f t="shared" si="381"/>
        <v>1778</v>
      </c>
      <c r="B530" s="36"/>
      <c r="C530" s="38">
        <v>34.619999999999997</v>
      </c>
      <c r="D530" s="38">
        <v>0</v>
      </c>
      <c r="E530" s="36"/>
      <c r="F530" s="36"/>
      <c r="G530" s="38">
        <v>15</v>
      </c>
      <c r="H530" s="38">
        <v>7</v>
      </c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8">
        <v>11</v>
      </c>
      <c r="W530" s="36"/>
      <c r="X530" s="36"/>
      <c r="Y530" s="36"/>
      <c r="Z530" s="36"/>
      <c r="AA530" s="36"/>
      <c r="AB530" s="59">
        <v>7.666666666666667</v>
      </c>
      <c r="AC530" s="38">
        <v>2</v>
      </c>
      <c r="AD530" s="38">
        <v>6</v>
      </c>
      <c r="AE530" s="38">
        <v>2</v>
      </c>
      <c r="AF530" s="38">
        <v>6</v>
      </c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8">
        <v>38.93</v>
      </c>
      <c r="AT530" s="38">
        <v>3</v>
      </c>
      <c r="AU530" s="36"/>
      <c r="AV530" s="36"/>
      <c r="AW530" s="36"/>
      <c r="AX530" s="36"/>
      <c r="AY530" s="36"/>
      <c r="AZ530" s="38">
        <v>120</v>
      </c>
      <c r="BA530" s="36"/>
      <c r="BB530" s="36"/>
      <c r="BC530" s="38">
        <v>8</v>
      </c>
      <c r="BD530" s="38">
        <v>5.75</v>
      </c>
      <c r="BE530" s="38">
        <v>6</v>
      </c>
      <c r="BF530" s="38">
        <v>6.5</v>
      </c>
      <c r="BG530" s="59">
        <v>28.5</v>
      </c>
      <c r="BH530" s="59">
        <v>4.51</v>
      </c>
      <c r="BI530" s="59">
        <v>0.70664735860090777</v>
      </c>
      <c r="BJ530" s="59">
        <v>9</v>
      </c>
      <c r="BK530" s="38">
        <v>10.027052173913043</v>
      </c>
      <c r="BL530" s="59">
        <v>2.02</v>
      </c>
      <c r="BM530" s="36"/>
      <c r="BN530" s="38">
        <v>62</v>
      </c>
      <c r="BO530" s="36"/>
      <c r="BP530" s="39">
        <f t="shared" si="373"/>
        <v>0.46399193548387102</v>
      </c>
      <c r="BQ530" s="37"/>
      <c r="BR530" s="39">
        <f t="shared" si="374"/>
        <v>0.68378174725232477</v>
      </c>
      <c r="BS530" s="39">
        <f t="shared" si="354"/>
        <v>1.6622579215711264</v>
      </c>
      <c r="BT530" s="39">
        <f t="shared" si="359"/>
        <v>30.445665057996788</v>
      </c>
      <c r="BU530" s="37"/>
      <c r="BV530" s="39">
        <f t="shared" si="375"/>
        <v>0.54540457156663524</v>
      </c>
      <c r="BW530" s="39">
        <f t="shared" si="369"/>
        <v>3.9543646320602779</v>
      </c>
      <c r="BX530" s="39">
        <f t="shared" si="383"/>
        <v>0.48083102452236437</v>
      </c>
      <c r="BY530" s="39">
        <f t="shared" si="367"/>
        <v>7.8424822094321849</v>
      </c>
      <c r="BZ530" s="39">
        <f t="shared" si="360"/>
        <v>7.8911932790559876</v>
      </c>
      <c r="CA530" s="39">
        <f t="shared" si="370"/>
        <v>10.256997167864524</v>
      </c>
      <c r="CB530" s="39">
        <f t="shared" si="371"/>
        <v>2.0663235734416969</v>
      </c>
      <c r="CC530" s="39">
        <f t="shared" si="382"/>
        <v>0.51039112903225814</v>
      </c>
      <c r="CD530" s="37"/>
      <c r="CE530" s="37"/>
      <c r="CF530" s="37"/>
      <c r="CG530" s="37"/>
      <c r="CH530" s="37"/>
      <c r="CI530" s="39">
        <f t="shared" si="366"/>
        <v>3.0687838552082329</v>
      </c>
      <c r="CJ530" s="39">
        <f t="shared" si="384"/>
        <v>0.16100775671597914</v>
      </c>
      <c r="CK530" s="39">
        <f t="shared" si="363"/>
        <v>4.9377653614408205E-2</v>
      </c>
      <c r="CL530" s="37"/>
      <c r="CM530" s="39">
        <f t="shared" si="364"/>
        <v>0.17447934139366858</v>
      </c>
      <c r="CN530" s="37"/>
      <c r="CO530" s="39">
        <f>0.063495+(0.016949+0.014096)*Wages!P528+1.22592*BR530</f>
        <v>1.4779419050754408</v>
      </c>
      <c r="CP530" s="39"/>
      <c r="CQ530" s="39">
        <f t="shared" si="355"/>
        <v>1.6622579215711264</v>
      </c>
      <c r="CR530" s="39">
        <f t="shared" si="343"/>
        <v>0.54540457156663524</v>
      </c>
      <c r="CS530" s="39">
        <f t="shared" si="343"/>
        <v>3.9543646320602779</v>
      </c>
      <c r="CT530" s="39">
        <f t="shared" si="372"/>
        <v>10.256997167864524</v>
      </c>
      <c r="CU530" s="39">
        <f t="shared" si="372"/>
        <v>2.0663235734416969</v>
      </c>
      <c r="CV530" s="39">
        <f t="shared" si="372"/>
        <v>0.51039112903225814</v>
      </c>
      <c r="CW530" s="39">
        <f t="shared" si="362"/>
        <v>0</v>
      </c>
      <c r="CX530" s="39">
        <f t="shared" si="352"/>
        <v>3.0687838552082329</v>
      </c>
      <c r="CY530" s="39">
        <f t="shared" si="376"/>
        <v>7.8911932790559876</v>
      </c>
      <c r="CZ530" s="39">
        <f t="shared" si="377"/>
        <v>0.48083102452236437</v>
      </c>
      <c r="DA530" s="39">
        <f t="shared" si="368"/>
        <v>7.8424822094321849</v>
      </c>
      <c r="DB530" s="39">
        <f t="shared" si="361"/>
        <v>4.8713064092794864</v>
      </c>
      <c r="DC530" s="39">
        <f t="shared" si="378"/>
        <v>7.8424822094321849</v>
      </c>
      <c r="DD530" s="39">
        <v>4</v>
      </c>
      <c r="DE530" s="39">
        <f t="shared" si="365"/>
        <v>4.9377653614408205E-2</v>
      </c>
      <c r="DF530" s="39">
        <v>0.16100775671597917</v>
      </c>
      <c r="DG530" s="39">
        <f t="shared" si="379"/>
        <v>0</v>
      </c>
      <c r="DH530" s="39">
        <f t="shared" si="380"/>
        <v>5.5895012015404353</v>
      </c>
      <c r="DI530" s="39">
        <f t="shared" si="385"/>
        <v>6.6452497715951608</v>
      </c>
      <c r="DJ530" s="37"/>
      <c r="DK530" s="37"/>
      <c r="DL530" s="37"/>
      <c r="DM530" s="39">
        <f t="shared" si="336"/>
        <v>1.7240913467592553</v>
      </c>
      <c r="DN530" s="39"/>
      <c r="DO530" s="39">
        <f t="shared" si="337"/>
        <v>1.7240913467592553</v>
      </c>
      <c r="DP530" s="37"/>
      <c r="DQ530" s="37">
        <f>DO530/'Conversions, Sources &amp; Comments'!E528</f>
        <v>3.7157786911992288</v>
      </c>
    </row>
    <row r="531" spans="1:121">
      <c r="A531" s="42">
        <f t="shared" si="381"/>
        <v>1779</v>
      </c>
      <c r="B531" s="36"/>
      <c r="C531" s="38">
        <v>34.340000000000003</v>
      </c>
      <c r="D531" s="38">
        <v>0</v>
      </c>
      <c r="E531" s="36"/>
      <c r="F531" s="36"/>
      <c r="G531" s="38">
        <v>14</v>
      </c>
      <c r="H531" s="38">
        <v>5</v>
      </c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8">
        <v>11</v>
      </c>
      <c r="W531" s="36"/>
      <c r="X531" s="36"/>
      <c r="Y531" s="36"/>
      <c r="Z531" s="36"/>
      <c r="AA531" s="36"/>
      <c r="AB531" s="59">
        <v>7.666666666666667</v>
      </c>
      <c r="AC531" s="38">
        <v>2</v>
      </c>
      <c r="AD531" s="38">
        <v>6</v>
      </c>
      <c r="AE531" s="38">
        <v>2</v>
      </c>
      <c r="AF531" s="38">
        <v>6</v>
      </c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8">
        <v>39.9</v>
      </c>
      <c r="AT531" s="38">
        <v>6</v>
      </c>
      <c r="AU531" s="36"/>
      <c r="AV531" s="36"/>
      <c r="AW531" s="36"/>
      <c r="AX531" s="36"/>
      <c r="AY531" s="36"/>
      <c r="AZ531" s="38">
        <v>120</v>
      </c>
      <c r="BA531" s="36"/>
      <c r="BB531" s="36"/>
      <c r="BC531" s="38">
        <v>8</v>
      </c>
      <c r="BD531" s="38">
        <v>5.75</v>
      </c>
      <c r="BE531" s="38">
        <v>6</v>
      </c>
      <c r="BF531" s="38">
        <v>5.5</v>
      </c>
      <c r="BG531" s="59">
        <v>24.92</v>
      </c>
      <c r="BH531" s="59">
        <v>5.1100000000000003</v>
      </c>
      <c r="BI531" s="59">
        <v>0.70664735860090777</v>
      </c>
      <c r="BJ531" s="59">
        <v>10</v>
      </c>
      <c r="BK531" s="38">
        <v>9.152208695652174</v>
      </c>
      <c r="BL531" s="59">
        <v>2.02</v>
      </c>
      <c r="BM531" s="36"/>
      <c r="BN531" s="38">
        <v>62</v>
      </c>
      <c r="BO531" s="36"/>
      <c r="BP531" s="39">
        <f t="shared" si="373"/>
        <v>0.46399193548387102</v>
      </c>
      <c r="BQ531" s="37"/>
      <c r="BR531" s="39">
        <f t="shared" si="374"/>
        <v>0.6782514500475112</v>
      </c>
      <c r="BS531" s="39">
        <f t="shared" si="354"/>
        <v>1.406525933637107</v>
      </c>
      <c r="BT531" s="39">
        <f t="shared" si="359"/>
        <v>30.445665057996788</v>
      </c>
      <c r="BU531" s="37"/>
      <c r="BV531" s="39">
        <f t="shared" si="375"/>
        <v>0.47689410257686138</v>
      </c>
      <c r="BW531" s="39">
        <f t="shared" si="369"/>
        <v>4.4804441839973439</v>
      </c>
      <c r="BX531" s="39">
        <f t="shared" si="383"/>
        <v>0.48083102452236437</v>
      </c>
      <c r="BY531" s="39">
        <f t="shared" si="367"/>
        <v>7.8424822094321849</v>
      </c>
      <c r="BZ531" s="39">
        <f t="shared" si="360"/>
        <v>8.7679925322844312</v>
      </c>
      <c r="CA531" s="39">
        <f t="shared" si="370"/>
        <v>9.3620913746951366</v>
      </c>
      <c r="CB531" s="39">
        <f t="shared" si="371"/>
        <v>2.0663235734416969</v>
      </c>
      <c r="CC531" s="39">
        <f t="shared" si="382"/>
        <v>0.51039112903225814</v>
      </c>
      <c r="CD531" s="37"/>
      <c r="CE531" s="37"/>
      <c r="CF531" s="37"/>
      <c r="CG531" s="37"/>
      <c r="CH531" s="37"/>
      <c r="CI531" s="39">
        <f t="shared" si="366"/>
        <v>6.1375677104164659</v>
      </c>
      <c r="CJ531" s="39">
        <f t="shared" si="384"/>
        <v>0.1650195091951597</v>
      </c>
      <c r="CK531" s="39">
        <f t="shared" si="363"/>
        <v>4.9377653614408205E-2</v>
      </c>
      <c r="CL531" s="37"/>
      <c r="CM531" s="39">
        <f t="shared" si="364"/>
        <v>0.17447934139366858</v>
      </c>
      <c r="CN531" s="37"/>
      <c r="CO531" s="39">
        <f>0.063495+(0.016949+0.014096)*Wages!P529+1.22592*BR531</f>
        <v>1.4711622031261158</v>
      </c>
      <c r="CP531" s="39"/>
      <c r="CQ531" s="39">
        <f t="shared" si="355"/>
        <v>1.406525933637107</v>
      </c>
      <c r="CR531" s="39">
        <f t="shared" si="343"/>
        <v>0.47689410257686138</v>
      </c>
      <c r="CS531" s="39">
        <f t="shared" si="343"/>
        <v>4.4804441839973439</v>
      </c>
      <c r="CT531" s="39">
        <f t="shared" si="372"/>
        <v>9.3620913746951366</v>
      </c>
      <c r="CU531" s="39">
        <f t="shared" si="372"/>
        <v>2.0663235734416969</v>
      </c>
      <c r="CV531" s="39">
        <f t="shared" si="372"/>
        <v>0.51039112903225814</v>
      </c>
      <c r="CW531" s="39">
        <f t="shared" si="362"/>
        <v>0</v>
      </c>
      <c r="CX531" s="39">
        <f t="shared" si="352"/>
        <v>6.1375677104164659</v>
      </c>
      <c r="CY531" s="39">
        <f t="shared" si="376"/>
        <v>8.7679925322844312</v>
      </c>
      <c r="CZ531" s="39">
        <f t="shared" si="377"/>
        <v>0.48083102452236437</v>
      </c>
      <c r="DA531" s="39">
        <f t="shared" si="368"/>
        <v>7.8424822094321849</v>
      </c>
      <c r="DB531" s="39">
        <f t="shared" si="361"/>
        <v>4.8713064092794864</v>
      </c>
      <c r="DC531" s="39">
        <f t="shared" si="378"/>
        <v>7.8424822094321849</v>
      </c>
      <c r="DD531" s="39">
        <v>4</v>
      </c>
      <c r="DE531" s="39">
        <f t="shared" si="365"/>
        <v>4.9377653614408205E-2</v>
      </c>
      <c r="DF531" s="39">
        <v>0.16501950919515973</v>
      </c>
      <c r="DG531" s="39">
        <f t="shared" si="379"/>
        <v>0</v>
      </c>
      <c r="DH531" s="39">
        <f t="shared" si="380"/>
        <v>5.5895012015404353</v>
      </c>
      <c r="DI531" s="39">
        <f t="shared" si="385"/>
        <v>6.8108262493359097</v>
      </c>
      <c r="DJ531" s="37"/>
      <c r="DK531" s="37"/>
      <c r="DL531" s="37"/>
      <c r="DM531" s="39">
        <f t="shared" si="336"/>
        <v>1.6250763149802288</v>
      </c>
      <c r="DN531" s="39"/>
      <c r="DO531" s="39">
        <f t="shared" si="337"/>
        <v>1.6250763149802288</v>
      </c>
      <c r="DP531" s="37"/>
      <c r="DQ531" s="37">
        <f>DO531/'Conversions, Sources &amp; Comments'!E529</f>
        <v>3.5023805172077576</v>
      </c>
    </row>
    <row r="532" spans="1:121">
      <c r="A532" s="42">
        <f t="shared" si="381"/>
        <v>1780</v>
      </c>
      <c r="B532" s="36"/>
      <c r="C532" s="38">
        <v>49.78</v>
      </c>
      <c r="D532" s="38">
        <v>0</v>
      </c>
      <c r="E532" s="36"/>
      <c r="F532" s="36"/>
      <c r="G532" s="38">
        <v>13</v>
      </c>
      <c r="H532" s="38">
        <v>2</v>
      </c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8">
        <v>11</v>
      </c>
      <c r="W532" s="36"/>
      <c r="X532" s="36"/>
      <c r="Y532" s="36"/>
      <c r="Z532" s="36"/>
      <c r="AA532" s="36"/>
      <c r="AB532" s="59">
        <v>7.666666666666667</v>
      </c>
      <c r="AC532" s="38">
        <v>2</v>
      </c>
      <c r="AD532" s="38">
        <v>6</v>
      </c>
      <c r="AE532" s="38">
        <v>2</v>
      </c>
      <c r="AF532" s="38">
        <v>6</v>
      </c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8">
        <v>39.9</v>
      </c>
      <c r="AT532" s="38">
        <v>6</v>
      </c>
      <c r="AU532" s="36"/>
      <c r="AV532" s="36"/>
      <c r="AW532" s="36"/>
      <c r="AX532" s="36"/>
      <c r="AY532" s="36"/>
      <c r="AZ532" s="38">
        <v>120</v>
      </c>
      <c r="BA532" s="36"/>
      <c r="BB532" s="36"/>
      <c r="BC532" s="38">
        <v>8</v>
      </c>
      <c r="BD532" s="38">
        <v>5.75</v>
      </c>
      <c r="BE532" s="38">
        <v>6</v>
      </c>
      <c r="BF532" s="38">
        <v>5.7</v>
      </c>
      <c r="BG532" s="59">
        <v>22.83</v>
      </c>
      <c r="BH532" s="59">
        <v>4.97</v>
      </c>
      <c r="BI532" s="59">
        <v>0.6713149906708632</v>
      </c>
      <c r="BJ532" s="59">
        <v>10</v>
      </c>
      <c r="BK532" s="38">
        <v>7.4428991304347836</v>
      </c>
      <c r="BL532" s="59">
        <v>1.85</v>
      </c>
      <c r="BM532" s="36"/>
      <c r="BN532" s="38">
        <v>62</v>
      </c>
      <c r="BO532" s="36"/>
      <c r="BP532" s="39">
        <f t="shared" si="373"/>
        <v>0.46399193548387102</v>
      </c>
      <c r="BQ532" s="37"/>
      <c r="BR532" s="39">
        <f t="shared" si="374"/>
        <v>0.98320783877009621</v>
      </c>
      <c r="BS532" s="39">
        <f t="shared" si="354"/>
        <v>1.457672331223911</v>
      </c>
      <c r="BT532" s="39">
        <f t="shared" si="359"/>
        <v>30.445665057996788</v>
      </c>
      <c r="BU532" s="37"/>
      <c r="BV532" s="39">
        <f t="shared" si="375"/>
        <v>0.43689776732864144</v>
      </c>
      <c r="BW532" s="39">
        <f t="shared" si="369"/>
        <v>4.3576922885453611</v>
      </c>
      <c r="BX532" s="39">
        <f t="shared" si="383"/>
        <v>0.4567894732962467</v>
      </c>
      <c r="BY532" s="39">
        <f t="shared" si="367"/>
        <v>7.8424822094321849</v>
      </c>
      <c r="BZ532" s="39">
        <f t="shared" si="360"/>
        <v>8.7679925322844312</v>
      </c>
      <c r="CA532" s="39">
        <f t="shared" si="370"/>
        <v>7.6135831326564869</v>
      </c>
      <c r="CB532" s="39">
        <f t="shared" si="371"/>
        <v>1.8924250548847228</v>
      </c>
      <c r="CC532" s="39">
        <f t="shared" si="382"/>
        <v>0.51039112903225814</v>
      </c>
      <c r="CD532" s="37"/>
      <c r="CE532" s="37"/>
      <c r="CF532" s="37"/>
      <c r="CG532" s="37"/>
      <c r="CH532" s="37"/>
      <c r="CI532" s="39">
        <f t="shared" si="366"/>
        <v>6.1375677104164659</v>
      </c>
      <c r="CJ532" s="39">
        <f t="shared" si="384"/>
        <v>0.1650195091951597</v>
      </c>
      <c r="CK532" s="39">
        <f t="shared" si="363"/>
        <v>4.9377653614408205E-2</v>
      </c>
      <c r="CL532" s="37"/>
      <c r="CM532" s="39">
        <f t="shared" si="364"/>
        <v>0.17447934139366858</v>
      </c>
      <c r="CN532" s="37"/>
      <c r="CO532" s="39">
        <f>0.063495+(0.016949+0.014096)*Wages!P530+1.22592*BR532</f>
        <v>1.8450143391889071</v>
      </c>
      <c r="CP532" s="39"/>
      <c r="CQ532" s="39">
        <f t="shared" si="355"/>
        <v>1.457672331223911</v>
      </c>
      <c r="CR532" s="39">
        <f t="shared" si="343"/>
        <v>0.43689776732864144</v>
      </c>
      <c r="CS532" s="39">
        <f t="shared" si="343"/>
        <v>4.3576922885453611</v>
      </c>
      <c r="CT532" s="39">
        <f t="shared" si="372"/>
        <v>7.6135831326564869</v>
      </c>
      <c r="CU532" s="39">
        <f t="shared" si="372"/>
        <v>1.8924250548847228</v>
      </c>
      <c r="CV532" s="39">
        <f t="shared" si="372"/>
        <v>0.51039112903225814</v>
      </c>
      <c r="CW532" s="39">
        <f t="shared" si="362"/>
        <v>0</v>
      </c>
      <c r="CX532" s="39">
        <f t="shared" si="352"/>
        <v>6.1375677104164659</v>
      </c>
      <c r="CY532" s="39">
        <f t="shared" si="376"/>
        <v>8.7679925322844312</v>
      </c>
      <c r="CZ532" s="39">
        <f t="shared" si="377"/>
        <v>0.4567894732962467</v>
      </c>
      <c r="DA532" s="39">
        <f t="shared" si="368"/>
        <v>7.8424822094321849</v>
      </c>
      <c r="DB532" s="39">
        <f t="shared" si="361"/>
        <v>4.8713064092794864</v>
      </c>
      <c r="DC532" s="39">
        <f t="shared" si="378"/>
        <v>7.8424822094321849</v>
      </c>
      <c r="DD532" s="39">
        <v>4</v>
      </c>
      <c r="DE532" s="39">
        <f t="shared" si="365"/>
        <v>4.9377653614408205E-2</v>
      </c>
      <c r="DF532" s="39">
        <v>0.16501950919515973</v>
      </c>
      <c r="DG532" s="39">
        <f t="shared" si="379"/>
        <v>0</v>
      </c>
      <c r="DH532" s="39">
        <f t="shared" si="380"/>
        <v>5.5895012015404353</v>
      </c>
      <c r="DI532" s="39">
        <f t="shared" si="385"/>
        <v>6.8108262493359097</v>
      </c>
      <c r="DJ532" s="37"/>
      <c r="DK532" s="39">
        <v>68.400000000000006</v>
      </c>
      <c r="DL532" s="37"/>
      <c r="DM532" s="39">
        <f t="shared" ref="DM532:DM568" si="386">(CQ$6*$CQ532+$CR$6*$CR532+$CS$6*$CS532+$CT$6*$CT532+$CU$6*$CU532+$CV$6*$CV532+$CZ$6*$CZ532+$DA$6*$DA532+$DB$6*$DB532+$DC$6*$DC532+$DD$6*$DD532+DH$6*$DH532)/414.8987</f>
        <v>1.6001671218877673</v>
      </c>
      <c r="DN532" s="39"/>
      <c r="DO532" s="39">
        <f t="shared" ref="DO532:DO563" si="387">($DK532*$DM$532/$DK$532)*$BP532/$BP$532</f>
        <v>1.6001671218877673</v>
      </c>
      <c r="DP532" s="39"/>
      <c r="DQ532" s="37">
        <f>DO532/'Conversions, Sources &amp; Comments'!E530</f>
        <v>3.4486959783450617</v>
      </c>
    </row>
    <row r="533" spans="1:121">
      <c r="A533" s="42">
        <f t="shared" si="381"/>
        <v>1781</v>
      </c>
      <c r="B533" s="36"/>
      <c r="C533" s="38">
        <v>48.07</v>
      </c>
      <c r="D533" s="38">
        <v>0</v>
      </c>
      <c r="E533" s="36"/>
      <c r="F533" s="36"/>
      <c r="G533" s="38">
        <v>14</v>
      </c>
      <c r="H533" s="38">
        <v>1</v>
      </c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8">
        <v>11</v>
      </c>
      <c r="W533" s="36"/>
      <c r="X533" s="36"/>
      <c r="Y533" s="36"/>
      <c r="Z533" s="36"/>
      <c r="AA533" s="36"/>
      <c r="AB533" s="59">
        <v>7.666666666666667</v>
      </c>
      <c r="AC533" s="38">
        <v>2</v>
      </c>
      <c r="AD533" s="38">
        <v>6</v>
      </c>
      <c r="AE533" s="38">
        <v>2</v>
      </c>
      <c r="AF533" s="38">
        <v>6</v>
      </c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8">
        <v>42.83</v>
      </c>
      <c r="AT533" s="38">
        <v>6</v>
      </c>
      <c r="AU533" s="36"/>
      <c r="AV533" s="36"/>
      <c r="AW533" s="36"/>
      <c r="AX533" s="36"/>
      <c r="AY533" s="36"/>
      <c r="AZ533" s="36"/>
      <c r="BA533" s="36"/>
      <c r="BB533" s="36"/>
      <c r="BC533" s="38">
        <v>8</v>
      </c>
      <c r="BD533" s="38">
        <v>5.75</v>
      </c>
      <c r="BE533" s="38">
        <v>6.19</v>
      </c>
      <c r="BF533" s="38">
        <v>7</v>
      </c>
      <c r="BG533" s="59">
        <v>23.67</v>
      </c>
      <c r="BH533" s="59">
        <v>4.8600000000000003</v>
      </c>
      <c r="BI533" s="59">
        <v>0.60065025481077239</v>
      </c>
      <c r="BJ533" s="59">
        <v>11.5</v>
      </c>
      <c r="BK533" s="38">
        <v>7.5774904347826091</v>
      </c>
      <c r="BL533" s="59">
        <v>1.85</v>
      </c>
      <c r="BM533" s="36"/>
      <c r="BN533" s="38">
        <v>62</v>
      </c>
      <c r="BO533" s="36"/>
      <c r="BP533" s="39">
        <f t="shared" si="373"/>
        <v>0.46399193548387102</v>
      </c>
      <c r="BQ533" s="37"/>
      <c r="BR533" s="39">
        <f t="shared" si="374"/>
        <v>0.94943352369784095</v>
      </c>
      <c r="BS533" s="39">
        <f t="shared" si="354"/>
        <v>1.7901239155381363</v>
      </c>
      <c r="BT533" s="37"/>
      <c r="BU533" s="37"/>
      <c r="BV533" s="39">
        <f t="shared" si="375"/>
        <v>0.45297284943797395</v>
      </c>
      <c r="BW533" s="39">
        <f t="shared" si="369"/>
        <v>4.2612443706902337</v>
      </c>
      <c r="BX533" s="39">
        <f t="shared" si="383"/>
        <v>0.40870637084401024</v>
      </c>
      <c r="BY533" s="39">
        <f t="shared" si="367"/>
        <v>7.8424822094321849</v>
      </c>
      <c r="BZ533" s="39">
        <f t="shared" si="360"/>
        <v>10.083191412127094</v>
      </c>
      <c r="CA533" s="39">
        <f t="shared" si="370"/>
        <v>7.7512609469902376</v>
      </c>
      <c r="CB533" s="39">
        <f t="shared" si="371"/>
        <v>1.8924250548847228</v>
      </c>
      <c r="CC533" s="39">
        <f t="shared" si="382"/>
        <v>0.51039112903225814</v>
      </c>
      <c r="CD533" s="37"/>
      <c r="CE533" s="37"/>
      <c r="CF533" s="37"/>
      <c r="CG533" s="37"/>
      <c r="CH533" s="37"/>
      <c r="CI533" s="39">
        <f t="shared" si="366"/>
        <v>6.1375677104164659</v>
      </c>
      <c r="CJ533" s="39">
        <f t="shared" si="384"/>
        <v>0.17713748317866393</v>
      </c>
      <c r="CK533" s="39">
        <f t="shared" si="363"/>
        <v>4.9377653614408205E-2</v>
      </c>
      <c r="CL533" s="37"/>
      <c r="CM533" s="39">
        <f t="shared" si="364"/>
        <v>0.17447934139366858</v>
      </c>
      <c r="CN533" s="37"/>
      <c r="CO533" s="39">
        <f>0.063495+(0.016949+0.014096)*Wages!P531+1.22592*BR533</f>
        <v>1.8036097308555281</v>
      </c>
      <c r="CP533" s="39"/>
      <c r="CQ533" s="39">
        <f t="shared" si="355"/>
        <v>1.7901239155381363</v>
      </c>
      <c r="CR533" s="39">
        <f t="shared" si="343"/>
        <v>0.45297284943797395</v>
      </c>
      <c r="CS533" s="39">
        <f t="shared" si="343"/>
        <v>4.2612443706902337</v>
      </c>
      <c r="CT533" s="39">
        <f t="shared" si="372"/>
        <v>7.7512609469902376</v>
      </c>
      <c r="CU533" s="39">
        <f t="shared" si="372"/>
        <v>1.8924250548847228</v>
      </c>
      <c r="CV533" s="39">
        <f t="shared" si="372"/>
        <v>0.51039112903225814</v>
      </c>
      <c r="CW533" s="39">
        <f t="shared" si="362"/>
        <v>0</v>
      </c>
      <c r="CX533" s="39">
        <f t="shared" si="352"/>
        <v>6.1375677104164659</v>
      </c>
      <c r="CY533" s="39">
        <f t="shared" si="376"/>
        <v>10.083191412127094</v>
      </c>
      <c r="CZ533" s="39">
        <f t="shared" si="377"/>
        <v>0.40870637084401024</v>
      </c>
      <c r="DA533" s="39">
        <f t="shared" si="368"/>
        <v>7.8424822094321849</v>
      </c>
      <c r="DB533" s="39">
        <v>4.8713064092794855</v>
      </c>
      <c r="DC533" s="39">
        <f t="shared" si="378"/>
        <v>7.8424822094321849</v>
      </c>
      <c r="DD533" s="39">
        <v>4</v>
      </c>
      <c r="DE533" s="39">
        <f t="shared" si="365"/>
        <v>4.9377653614408205E-2</v>
      </c>
      <c r="DF533" s="39">
        <v>0.17713748317866393</v>
      </c>
      <c r="DG533" s="39">
        <f t="shared" si="379"/>
        <v>0</v>
      </c>
      <c r="DH533" s="39">
        <f t="shared" si="380"/>
        <v>5.5895012015404353</v>
      </c>
      <c r="DI533" s="39">
        <f t="shared" si="385"/>
        <v>7.3109696305528056</v>
      </c>
      <c r="DJ533" s="37"/>
      <c r="DK533" s="39">
        <v>74.3</v>
      </c>
      <c r="DL533" s="37"/>
      <c r="DM533" s="39">
        <f t="shared" si="386"/>
        <v>1.7226048319574045</v>
      </c>
      <c r="DN533" s="39"/>
      <c r="DO533" s="39">
        <f t="shared" si="387"/>
        <v>1.7381932332786709</v>
      </c>
      <c r="DP533" s="37"/>
      <c r="DQ533" s="37">
        <f>DO533/'Conversions, Sources &amp; Comments'!E531</f>
        <v>3.7461712162432463</v>
      </c>
    </row>
    <row r="534" spans="1:121">
      <c r="A534" s="42">
        <f t="shared" si="381"/>
        <v>1782</v>
      </c>
      <c r="B534" s="36"/>
      <c r="C534" s="38">
        <v>51.73</v>
      </c>
      <c r="D534" s="38">
        <v>0</v>
      </c>
      <c r="E534" s="36"/>
      <c r="F534" s="36"/>
      <c r="G534" s="38">
        <v>15</v>
      </c>
      <c r="H534" s="38">
        <v>7</v>
      </c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8">
        <v>9.67</v>
      </c>
      <c r="W534" s="36"/>
      <c r="X534" s="36"/>
      <c r="Y534" s="36"/>
      <c r="Z534" s="36"/>
      <c r="AA534" s="36"/>
      <c r="AB534" s="59">
        <v>7.333333333333333</v>
      </c>
      <c r="AC534" s="38">
        <v>2</v>
      </c>
      <c r="AD534" s="38">
        <v>6</v>
      </c>
      <c r="AE534" s="38">
        <v>2</v>
      </c>
      <c r="AF534" s="38">
        <v>6</v>
      </c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8">
        <v>35.03</v>
      </c>
      <c r="AT534" s="38">
        <v>5.5</v>
      </c>
      <c r="AU534" s="36"/>
      <c r="AV534" s="36"/>
      <c r="AW534" s="36"/>
      <c r="AX534" s="36"/>
      <c r="AY534" s="36"/>
      <c r="AZ534" s="38">
        <v>120</v>
      </c>
      <c r="BA534" s="36"/>
      <c r="BB534" s="36"/>
      <c r="BC534" s="38">
        <v>8</v>
      </c>
      <c r="BD534" s="38">
        <v>5.75</v>
      </c>
      <c r="BE534" s="38">
        <v>6.25</v>
      </c>
      <c r="BF534" s="38">
        <v>7</v>
      </c>
      <c r="BG534" s="59">
        <v>26.75</v>
      </c>
      <c r="BH534" s="59">
        <v>4.97</v>
      </c>
      <c r="BI534" s="59">
        <v>0.61245126569940722</v>
      </c>
      <c r="BJ534" s="59">
        <v>10.32</v>
      </c>
      <c r="BK534" s="38">
        <v>7.846673043478261</v>
      </c>
      <c r="BL534" s="59">
        <v>2.02</v>
      </c>
      <c r="BM534" s="36"/>
      <c r="BN534" s="38">
        <v>62</v>
      </c>
      <c r="BO534" s="36"/>
      <c r="BP534" s="39">
        <f t="shared" si="373"/>
        <v>0.46399193548387102</v>
      </c>
      <c r="BQ534" s="37"/>
      <c r="BR534" s="39">
        <f t="shared" si="374"/>
        <v>1.0217224085893344</v>
      </c>
      <c r="BS534" s="39">
        <f t="shared" si="354"/>
        <v>1.7901239155381363</v>
      </c>
      <c r="BT534" s="39">
        <f>BP534*12*AZ534/(24*0.9144)</f>
        <v>30.445665057996788</v>
      </c>
      <c r="BU534" s="37"/>
      <c r="BV534" s="39">
        <f t="shared" si="375"/>
        <v>0.51191481717219278</v>
      </c>
      <c r="BW534" s="39">
        <f t="shared" si="369"/>
        <v>4.3576922885453611</v>
      </c>
      <c r="BX534" s="39">
        <f t="shared" si="383"/>
        <v>0.41673624895353351</v>
      </c>
      <c r="BY534" s="39">
        <f t="shared" si="367"/>
        <v>7.5015047220655671</v>
      </c>
      <c r="BZ534" s="39">
        <f t="shared" si="360"/>
        <v>9.0485682933175315</v>
      </c>
      <c r="CA534" s="39">
        <f t="shared" si="370"/>
        <v>8.0266165756577426</v>
      </c>
      <c r="CB534" s="39">
        <f t="shared" si="371"/>
        <v>2.0663235734416969</v>
      </c>
      <c r="CC534" s="39">
        <f t="shared" si="382"/>
        <v>0.44868020161290328</v>
      </c>
      <c r="CD534" s="37"/>
      <c r="CE534" s="37"/>
      <c r="CF534" s="37"/>
      <c r="CG534" s="37"/>
      <c r="CH534" s="37"/>
      <c r="CI534" s="39">
        <f t="shared" si="366"/>
        <v>5.6261037345484279</v>
      </c>
      <c r="CJ534" s="39">
        <f t="shared" si="384"/>
        <v>0.14487803025329435</v>
      </c>
      <c r="CK534" s="39">
        <f t="shared" si="363"/>
        <v>4.9377653614408205E-2</v>
      </c>
      <c r="CL534" s="37"/>
      <c r="CM534" s="39">
        <f t="shared" si="364"/>
        <v>0.17447934139366858</v>
      </c>
      <c r="CN534" s="37"/>
      <c r="CO534" s="39">
        <f>0.063495+(0.016949+0.014096)*Wages!P532+1.22592*BR534</f>
        <v>1.8922301206217076</v>
      </c>
      <c r="CP534" s="39"/>
      <c r="CQ534" s="39">
        <f t="shared" si="355"/>
        <v>1.7901239155381363</v>
      </c>
      <c r="CR534" s="39">
        <f t="shared" si="343"/>
        <v>0.51191481717219278</v>
      </c>
      <c r="CS534" s="39">
        <f t="shared" si="343"/>
        <v>4.3576922885453611</v>
      </c>
      <c r="CT534" s="39">
        <f t="shared" si="372"/>
        <v>8.0266165756577426</v>
      </c>
      <c r="CU534" s="39">
        <f t="shared" si="372"/>
        <v>2.0663235734416969</v>
      </c>
      <c r="CV534" s="39">
        <f t="shared" si="372"/>
        <v>0.44868020161290328</v>
      </c>
      <c r="CW534" s="39">
        <f t="shared" si="362"/>
        <v>0</v>
      </c>
      <c r="CX534" s="39">
        <f t="shared" si="352"/>
        <v>5.6261037345484279</v>
      </c>
      <c r="CY534" s="39">
        <f t="shared" si="376"/>
        <v>9.0485682933175315</v>
      </c>
      <c r="CZ534" s="39">
        <f t="shared" si="377"/>
        <v>0.41673624895353351</v>
      </c>
      <c r="DA534" s="39">
        <f t="shared" si="368"/>
        <v>7.5015047220655671</v>
      </c>
      <c r="DB534" s="39">
        <v>4.8713064092794855</v>
      </c>
      <c r="DC534" s="39">
        <f t="shared" si="378"/>
        <v>7.5015047220655671</v>
      </c>
      <c r="DD534" s="39">
        <v>4</v>
      </c>
      <c r="DE534" s="39">
        <f t="shared" si="365"/>
        <v>4.9377653614408205E-2</v>
      </c>
      <c r="DF534" s="39">
        <v>0.14487803025329438</v>
      </c>
      <c r="DG534" s="39">
        <f t="shared" si="379"/>
        <v>0</v>
      </c>
      <c r="DH534" s="39">
        <f t="shared" si="380"/>
        <v>5.5895012015404353</v>
      </c>
      <c r="DI534" s="39">
        <f t="shared" si="385"/>
        <v>5.979529912637517</v>
      </c>
      <c r="DJ534" s="37"/>
      <c r="DK534" s="39">
        <v>73.8</v>
      </c>
      <c r="DL534" s="37"/>
      <c r="DM534" s="39">
        <f t="shared" si="386"/>
        <v>1.7331812362888719</v>
      </c>
      <c r="DN534" s="39"/>
      <c r="DO534" s="39">
        <f t="shared" si="387"/>
        <v>1.7264961051946961</v>
      </c>
      <c r="DP534" s="37"/>
      <c r="DQ534" s="37">
        <f>DO534/'Conversions, Sources &amp; Comments'!E532</f>
        <v>3.7209614503196713</v>
      </c>
    </row>
    <row r="535" spans="1:121">
      <c r="A535" s="42">
        <f t="shared" si="381"/>
        <v>1783</v>
      </c>
      <c r="B535" s="36"/>
      <c r="C535" s="38">
        <v>48.59</v>
      </c>
      <c r="D535" s="38">
        <v>0</v>
      </c>
      <c r="E535" s="36"/>
      <c r="F535" s="36"/>
      <c r="G535" s="38">
        <v>20</v>
      </c>
      <c r="H535" s="38">
        <v>5</v>
      </c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8">
        <v>9</v>
      </c>
      <c r="W535" s="36"/>
      <c r="X535" s="36"/>
      <c r="Y535" s="36"/>
      <c r="Z535" s="36"/>
      <c r="AA535" s="36"/>
      <c r="AB535" s="59">
        <v>8</v>
      </c>
      <c r="AC535" s="38">
        <v>2</v>
      </c>
      <c r="AD535" s="38">
        <v>6</v>
      </c>
      <c r="AE535" s="38">
        <v>2</v>
      </c>
      <c r="AF535" s="38">
        <v>6</v>
      </c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8">
        <v>34.92</v>
      </c>
      <c r="AT535" s="38">
        <v>5</v>
      </c>
      <c r="AU535" s="36"/>
      <c r="AV535" s="36"/>
      <c r="AW535" s="36"/>
      <c r="AX535" s="36"/>
      <c r="AY535" s="36"/>
      <c r="AZ535" s="38">
        <v>120</v>
      </c>
      <c r="BA535" s="36"/>
      <c r="BB535" s="36"/>
      <c r="BC535" s="38">
        <v>8</v>
      </c>
      <c r="BD535" s="38">
        <v>5.75</v>
      </c>
      <c r="BE535" s="38">
        <v>6.31</v>
      </c>
      <c r="BF535" s="38">
        <v>7</v>
      </c>
      <c r="BG535" s="59">
        <v>35.92</v>
      </c>
      <c r="BH535" s="59">
        <v>4.97</v>
      </c>
      <c r="BI535" s="59">
        <v>0.65951397978222659</v>
      </c>
      <c r="BJ535" s="59">
        <v>9</v>
      </c>
      <c r="BK535" s="38">
        <v>8.1023965217391307</v>
      </c>
      <c r="BL535" s="59">
        <v>2.02</v>
      </c>
      <c r="BM535" s="36"/>
      <c r="BN535" s="38">
        <v>62</v>
      </c>
      <c r="BO535" s="36"/>
      <c r="BP535" s="39">
        <f t="shared" si="373"/>
        <v>0.46399193548387102</v>
      </c>
      <c r="BQ535" s="37"/>
      <c r="BR535" s="39">
        <f t="shared" si="374"/>
        <v>0.959704075649638</v>
      </c>
      <c r="BS535" s="39">
        <f t="shared" si="354"/>
        <v>1.7901239155381363</v>
      </c>
      <c r="BT535" s="39">
        <f>BP535*12*AZ535/(24*0.9144)</f>
        <v>30.445665057996788</v>
      </c>
      <c r="BU535" s="37"/>
      <c r="BV535" s="39">
        <f t="shared" si="375"/>
        <v>0.68740113019907156</v>
      </c>
      <c r="BW535" s="39">
        <f t="shared" si="369"/>
        <v>4.3576922885453611</v>
      </c>
      <c r="BX535" s="39">
        <f t="shared" si="383"/>
        <v>0.44875959518672226</v>
      </c>
      <c r="BY535" s="39">
        <f t="shared" si="367"/>
        <v>8.1834596967988009</v>
      </c>
      <c r="BZ535" s="39">
        <f t="shared" si="360"/>
        <v>7.8911932790559876</v>
      </c>
      <c r="CA535" s="39">
        <f t="shared" si="370"/>
        <v>8.2882044228918712</v>
      </c>
      <c r="CB535" s="39">
        <f t="shared" si="371"/>
        <v>2.0663235734416969</v>
      </c>
      <c r="CC535" s="39">
        <f t="shared" si="382"/>
        <v>0.4175927419354839</v>
      </c>
      <c r="CD535" s="37"/>
      <c r="CE535" s="37"/>
      <c r="CF535" s="37"/>
      <c r="CG535" s="37"/>
      <c r="CH535" s="37"/>
      <c r="CI535" s="39">
        <f t="shared" si="366"/>
        <v>5.1146397586803891</v>
      </c>
      <c r="CJ535" s="39">
        <f t="shared" si="384"/>
        <v>0.14442308925050068</v>
      </c>
      <c r="CK535" s="39">
        <f t="shared" si="363"/>
        <v>4.9377653614408205E-2</v>
      </c>
      <c r="CL535" s="37"/>
      <c r="CM535" s="39">
        <f t="shared" si="364"/>
        <v>0.17447934139366858</v>
      </c>
      <c r="CN535" s="37"/>
      <c r="CO535" s="39">
        <f>0.063495+(0.016949+0.014096)*Wages!P533+1.22592*BR535</f>
        <v>1.816200605904275</v>
      </c>
      <c r="CP535" s="39"/>
      <c r="CQ535" s="39">
        <f t="shared" si="355"/>
        <v>1.7901239155381363</v>
      </c>
      <c r="CR535" s="39">
        <f t="shared" si="343"/>
        <v>0.68740113019907156</v>
      </c>
      <c r="CS535" s="39">
        <f t="shared" si="343"/>
        <v>4.3576922885453611</v>
      </c>
      <c r="CT535" s="39">
        <f t="shared" si="372"/>
        <v>8.2882044228918712</v>
      </c>
      <c r="CU535" s="39">
        <f t="shared" si="372"/>
        <v>2.0663235734416969</v>
      </c>
      <c r="CV535" s="39">
        <f t="shared" si="372"/>
        <v>0.4175927419354839</v>
      </c>
      <c r="CW535" s="39">
        <f t="shared" si="362"/>
        <v>0</v>
      </c>
      <c r="CX535" s="39">
        <f t="shared" si="352"/>
        <v>5.1146397586803891</v>
      </c>
      <c r="CY535" s="39">
        <f t="shared" si="376"/>
        <v>7.8911932790559876</v>
      </c>
      <c r="CZ535" s="39">
        <f t="shared" si="377"/>
        <v>0.44875959518672226</v>
      </c>
      <c r="DA535" s="39">
        <f t="shared" si="368"/>
        <v>8.1834596967988009</v>
      </c>
      <c r="DB535" s="39">
        <v>4.8713064092794855</v>
      </c>
      <c r="DC535" s="39">
        <f t="shared" si="378"/>
        <v>8.1834596967988009</v>
      </c>
      <c r="DD535" s="39">
        <v>4</v>
      </c>
      <c r="DE535" s="39">
        <f t="shared" si="365"/>
        <v>4.9377653614408205E-2</v>
      </c>
      <c r="DF535" s="39">
        <v>0.14442308925050071</v>
      </c>
      <c r="DG535" s="39">
        <f t="shared" si="379"/>
        <v>0</v>
      </c>
      <c r="DH535" s="39">
        <f t="shared" si="380"/>
        <v>5.5895012015404353</v>
      </c>
      <c r="DI535" s="39">
        <f t="shared" si="385"/>
        <v>5.9607531986669162</v>
      </c>
      <c r="DJ535" s="37"/>
      <c r="DK535" s="39">
        <v>73.099999999999994</v>
      </c>
      <c r="DL535" s="37"/>
      <c r="DM535" s="39">
        <f t="shared" si="386"/>
        <v>1.7771519984600781</v>
      </c>
      <c r="DN535" s="39"/>
      <c r="DO535" s="39">
        <f t="shared" si="387"/>
        <v>1.7101201258771312</v>
      </c>
      <c r="DP535" s="37"/>
      <c r="DQ535" s="37">
        <f>DO535/'Conversions, Sources &amp; Comments'!E533</f>
        <v>3.6856677780266662</v>
      </c>
    </row>
    <row r="536" spans="1:121">
      <c r="A536" s="42">
        <f t="shared" si="381"/>
        <v>1784</v>
      </c>
      <c r="B536" s="36"/>
      <c r="C536" s="38">
        <v>44.45</v>
      </c>
      <c r="D536" s="38">
        <v>0</v>
      </c>
      <c r="E536" s="36"/>
      <c r="F536" s="36"/>
      <c r="G536" s="38">
        <v>18</v>
      </c>
      <c r="H536" s="38">
        <v>10</v>
      </c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8">
        <v>10.83</v>
      </c>
      <c r="W536" s="36"/>
      <c r="X536" s="36"/>
      <c r="Y536" s="36"/>
      <c r="Z536" s="36"/>
      <c r="AA536" s="36"/>
      <c r="AB536" s="59">
        <v>8</v>
      </c>
      <c r="AC536" s="38">
        <v>2</v>
      </c>
      <c r="AD536" s="38">
        <v>6</v>
      </c>
      <c r="AE536" s="38">
        <v>2</v>
      </c>
      <c r="AF536" s="38">
        <v>6</v>
      </c>
      <c r="AG536" s="36"/>
      <c r="AH536" s="36"/>
      <c r="AI536" s="36"/>
      <c r="AJ536" s="36"/>
      <c r="AK536" s="36"/>
      <c r="AL536" s="36"/>
      <c r="AM536" s="36"/>
      <c r="AN536" s="36"/>
      <c r="AO536" s="38">
        <v>3.08</v>
      </c>
      <c r="AP536" s="36"/>
      <c r="AQ536" s="36"/>
      <c r="AR536" s="36"/>
      <c r="AS536" s="38">
        <v>36.979999999999997</v>
      </c>
      <c r="AT536" s="38">
        <v>5</v>
      </c>
      <c r="AU536" s="36"/>
      <c r="AV536" s="36"/>
      <c r="AW536" s="36"/>
      <c r="AX536" s="36"/>
      <c r="AY536" s="36"/>
      <c r="AZ536" s="36"/>
      <c r="BA536" s="36"/>
      <c r="BB536" s="36"/>
      <c r="BC536" s="38">
        <v>8</v>
      </c>
      <c r="BD536" s="38">
        <v>5.75</v>
      </c>
      <c r="BE536" s="38">
        <v>6.33</v>
      </c>
      <c r="BF536" s="38">
        <v>6.9</v>
      </c>
      <c r="BG536" s="59">
        <v>33.17</v>
      </c>
      <c r="BH536" s="59">
        <v>4.58</v>
      </c>
      <c r="BI536" s="59">
        <v>0.65951397978222659</v>
      </c>
      <c r="BJ536" s="59">
        <v>9</v>
      </c>
      <c r="BK536" s="38">
        <v>7.8062956521739126</v>
      </c>
      <c r="BL536" s="59">
        <v>2.02</v>
      </c>
      <c r="BM536" s="36"/>
      <c r="BN536" s="38">
        <v>62</v>
      </c>
      <c r="BO536" s="36"/>
      <c r="BP536" s="39">
        <f t="shared" si="373"/>
        <v>0.46399193548387102</v>
      </c>
      <c r="BQ536" s="37"/>
      <c r="BR536" s="39">
        <f t="shared" si="374"/>
        <v>0.87793468126417806</v>
      </c>
      <c r="BS536" s="39">
        <f t="shared" si="354"/>
        <v>1.7645507167447343</v>
      </c>
      <c r="BT536" s="37"/>
      <c r="BU536" s="37"/>
      <c r="BV536" s="39">
        <f t="shared" si="375"/>
        <v>0.63477437329351893</v>
      </c>
      <c r="BW536" s="39">
        <f t="shared" si="369"/>
        <v>4.0157405797862689</v>
      </c>
      <c r="BX536" s="39">
        <f t="shared" si="383"/>
        <v>0.44875959518672226</v>
      </c>
      <c r="BY536" s="39">
        <f t="shared" si="367"/>
        <v>8.1834596967988009</v>
      </c>
      <c r="BZ536" s="39">
        <f t="shared" si="360"/>
        <v>7.8911932790559876</v>
      </c>
      <c r="CA536" s="39">
        <f t="shared" si="370"/>
        <v>7.9853132313576154</v>
      </c>
      <c r="CB536" s="39">
        <f t="shared" si="371"/>
        <v>2.0663235734416969</v>
      </c>
      <c r="CC536" s="39">
        <f t="shared" si="382"/>
        <v>0.50250326612903229</v>
      </c>
      <c r="CD536" s="37"/>
      <c r="CE536" s="37"/>
      <c r="CF536" s="37"/>
      <c r="CG536" s="39">
        <f>BP536*(12*AO536+AP536)/4.55</f>
        <v>3.7690421836228292</v>
      </c>
      <c r="CH536" s="37"/>
      <c r="CI536" s="39">
        <f t="shared" si="366"/>
        <v>5.1146397586803891</v>
      </c>
      <c r="CJ536" s="39">
        <f t="shared" si="384"/>
        <v>0.15294289348463674</v>
      </c>
      <c r="CK536" s="39">
        <f t="shared" si="363"/>
        <v>4.9377653614408205E-2</v>
      </c>
      <c r="CL536" s="37"/>
      <c r="CM536" s="39">
        <f t="shared" si="364"/>
        <v>0.17447934139366858</v>
      </c>
      <c r="CN536" s="37"/>
      <c r="CO536" s="39">
        <f>0.063495+(0.016949+0.014096)*Wages!P534+1.22592*BR536</f>
        <v>1.7159578699392521</v>
      </c>
      <c r="CP536" s="39"/>
      <c r="CQ536" s="39">
        <f t="shared" si="355"/>
        <v>1.7645507167447343</v>
      </c>
      <c r="CR536" s="39">
        <f t="shared" si="343"/>
        <v>0.63477437329351893</v>
      </c>
      <c r="CS536" s="39">
        <f t="shared" si="343"/>
        <v>4.0157405797862689</v>
      </c>
      <c r="CT536" s="39">
        <f t="shared" si="372"/>
        <v>7.9853132313576154</v>
      </c>
      <c r="CU536" s="39">
        <f t="shared" si="372"/>
        <v>2.0663235734416969</v>
      </c>
      <c r="CV536" s="39">
        <f t="shared" si="372"/>
        <v>0.50250326612903229</v>
      </c>
      <c r="CW536" s="39">
        <f t="shared" si="362"/>
        <v>0</v>
      </c>
      <c r="CX536" s="39">
        <f t="shared" si="352"/>
        <v>5.1146397586803891</v>
      </c>
      <c r="CY536" s="39">
        <f t="shared" si="376"/>
        <v>7.8911932790559876</v>
      </c>
      <c r="CZ536" s="39">
        <f t="shared" si="377"/>
        <v>0.44875959518672226</v>
      </c>
      <c r="DA536" s="39">
        <f t="shared" si="368"/>
        <v>8.1834596967988009</v>
      </c>
      <c r="DB536" s="39">
        <v>4.8713064092794855</v>
      </c>
      <c r="DC536" s="39">
        <f t="shared" si="378"/>
        <v>8.1834596967988009</v>
      </c>
      <c r="DD536" s="39">
        <f>CG536</f>
        <v>3.7690421836228292</v>
      </c>
      <c r="DE536" s="39">
        <f t="shared" si="365"/>
        <v>4.9377653614408205E-2</v>
      </c>
      <c r="DF536" s="39">
        <v>0.15294289348463674</v>
      </c>
      <c r="DG536" s="39">
        <f t="shared" si="379"/>
        <v>0</v>
      </c>
      <c r="DH536" s="39">
        <f t="shared" si="380"/>
        <v>5.5895012015404353</v>
      </c>
      <c r="DI536" s="39">
        <f t="shared" si="385"/>
        <v>6.312389842116338</v>
      </c>
      <c r="DJ536" s="37"/>
      <c r="DK536" s="39">
        <v>71.400000000000006</v>
      </c>
      <c r="DL536" s="37"/>
      <c r="DM536" s="39">
        <f t="shared" si="386"/>
        <v>1.7433079897232018</v>
      </c>
      <c r="DN536" s="39"/>
      <c r="DO536" s="39">
        <f t="shared" si="387"/>
        <v>1.6703498903916167</v>
      </c>
      <c r="DP536" s="37"/>
      <c r="DQ536" s="37">
        <f>DO536/'Conversions, Sources &amp; Comments'!E534</f>
        <v>3.5999545738865115</v>
      </c>
    </row>
    <row r="537" spans="1:121">
      <c r="A537" s="42">
        <f t="shared" si="381"/>
        <v>1785</v>
      </c>
      <c r="B537" s="36"/>
      <c r="C537" s="38">
        <v>39.56</v>
      </c>
      <c r="D537" s="38">
        <v>0</v>
      </c>
      <c r="E537" s="36"/>
      <c r="F537" s="36"/>
      <c r="G537" s="38">
        <v>17</v>
      </c>
      <c r="H537" s="38">
        <v>8</v>
      </c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8">
        <v>10</v>
      </c>
      <c r="W537" s="36"/>
      <c r="X537" s="36"/>
      <c r="Y537" s="36"/>
      <c r="Z537" s="36"/>
      <c r="AA537" s="36"/>
      <c r="AB537" s="59">
        <v>8</v>
      </c>
      <c r="AC537" s="38">
        <v>2</v>
      </c>
      <c r="AD537" s="38">
        <v>6</v>
      </c>
      <c r="AE537" s="38">
        <v>2</v>
      </c>
      <c r="AF537" s="38">
        <v>6</v>
      </c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8">
        <v>36.39</v>
      </c>
      <c r="AT537" s="38">
        <v>4</v>
      </c>
      <c r="AU537" s="36"/>
      <c r="AV537" s="36"/>
      <c r="AW537" s="36"/>
      <c r="AX537" s="36"/>
      <c r="AY537" s="36"/>
      <c r="AZ537" s="36"/>
      <c r="BA537" s="36"/>
      <c r="BB537" s="36"/>
      <c r="BC537" s="38">
        <v>8</v>
      </c>
      <c r="BD537" s="38">
        <v>5.75</v>
      </c>
      <c r="BE537" s="38">
        <v>6.45</v>
      </c>
      <c r="BF537" s="38">
        <v>6.1</v>
      </c>
      <c r="BG537" s="59">
        <v>31.58</v>
      </c>
      <c r="BH537" s="59">
        <v>5.14</v>
      </c>
      <c r="BI537" s="59">
        <v>0.65951397978222659</v>
      </c>
      <c r="BJ537" s="59">
        <v>9</v>
      </c>
      <c r="BK537" s="38">
        <v>8.2504469565217384</v>
      </c>
      <c r="BL537" s="59">
        <v>2.02</v>
      </c>
      <c r="BM537" s="36"/>
      <c r="BN537" s="38">
        <v>62</v>
      </c>
      <c r="BO537" s="36"/>
      <c r="BP537" s="39">
        <f t="shared" si="373"/>
        <v>0.46399193548387102</v>
      </c>
      <c r="BQ537" s="37"/>
      <c r="BR537" s="39">
        <f t="shared" si="374"/>
        <v>0.78135199079439543</v>
      </c>
      <c r="BS537" s="39">
        <f t="shared" si="354"/>
        <v>1.5599651263975187</v>
      </c>
      <c r="BT537" s="37"/>
      <c r="BU537" s="37"/>
      <c r="BV537" s="39">
        <f t="shared" si="375"/>
        <v>0.60434653930085402</v>
      </c>
      <c r="BW537" s="39">
        <f t="shared" si="369"/>
        <v>4.5067481615941967</v>
      </c>
      <c r="BX537" s="39">
        <f t="shared" si="383"/>
        <v>0.44875959518672226</v>
      </c>
      <c r="BY537" s="39">
        <f t="shared" si="367"/>
        <v>8.1834596967988009</v>
      </c>
      <c r="BZ537" s="39">
        <f t="shared" si="360"/>
        <v>7.8911932790559876</v>
      </c>
      <c r="CA537" s="39">
        <f t="shared" si="370"/>
        <v>8.4396500186589964</v>
      </c>
      <c r="CB537" s="39">
        <f t="shared" si="371"/>
        <v>2.0663235734416969</v>
      </c>
      <c r="CC537" s="39">
        <f t="shared" si="382"/>
        <v>0.46399193548387102</v>
      </c>
      <c r="CD537" s="37"/>
      <c r="CE537" s="37"/>
      <c r="CF537" s="37"/>
      <c r="CG537" s="37"/>
      <c r="CH537" s="37"/>
      <c r="CI537" s="39">
        <f t="shared" si="366"/>
        <v>4.0917118069443115</v>
      </c>
      <c r="CJ537" s="39">
        <f t="shared" si="384"/>
        <v>0.15050275537874341</v>
      </c>
      <c r="CK537" s="39">
        <f t="shared" si="363"/>
        <v>4.9377653614408205E-2</v>
      </c>
      <c r="CL537" s="37"/>
      <c r="CM537" s="39">
        <f t="shared" si="364"/>
        <v>0.17447934139366858</v>
      </c>
      <c r="CN537" s="37"/>
      <c r="CO537" s="39">
        <f>0.063495+(0.016949+0.014096)*Wages!P535+1.22592*BR537</f>
        <v>1.5975552180385362</v>
      </c>
      <c r="CP537" s="39"/>
      <c r="CQ537" s="39">
        <f t="shared" si="355"/>
        <v>1.5599651263975187</v>
      </c>
      <c r="CR537" s="39">
        <f t="shared" si="343"/>
        <v>0.60434653930085402</v>
      </c>
      <c r="CS537" s="39">
        <f t="shared" si="343"/>
        <v>4.5067481615941967</v>
      </c>
      <c r="CT537" s="39">
        <f t="shared" si="372"/>
        <v>8.4396500186589964</v>
      </c>
      <c r="CU537" s="39">
        <f t="shared" si="372"/>
        <v>2.0663235734416969</v>
      </c>
      <c r="CV537" s="39">
        <f t="shared" si="372"/>
        <v>0.46399193548387102</v>
      </c>
      <c r="CW537" s="39">
        <f t="shared" si="362"/>
        <v>0</v>
      </c>
      <c r="CX537" s="39">
        <f t="shared" si="352"/>
        <v>4.0917118069443115</v>
      </c>
      <c r="CY537" s="39">
        <f t="shared" si="376"/>
        <v>7.8911932790559876</v>
      </c>
      <c r="CZ537" s="39">
        <f t="shared" si="377"/>
        <v>0.44875959518672226</v>
      </c>
      <c r="DA537" s="39">
        <f t="shared" si="368"/>
        <v>8.1834596967988009</v>
      </c>
      <c r="DB537" s="39">
        <v>4.8713064092794855</v>
      </c>
      <c r="DC537" s="39">
        <f t="shared" si="378"/>
        <v>8.1834596967988009</v>
      </c>
      <c r="DD537" s="39">
        <v>4</v>
      </c>
      <c r="DE537" s="39">
        <f t="shared" si="365"/>
        <v>4.9377653614408205E-2</v>
      </c>
      <c r="DF537" s="39">
        <v>0.15050275537874341</v>
      </c>
      <c r="DG537" s="39">
        <f t="shared" si="379"/>
        <v>0</v>
      </c>
      <c r="DH537" s="39">
        <f t="shared" si="380"/>
        <v>5.5895012015404353</v>
      </c>
      <c r="DI537" s="39">
        <f t="shared" si="385"/>
        <v>6.211678376274028</v>
      </c>
      <c r="DJ537" s="37"/>
      <c r="DK537" s="39">
        <v>69.3</v>
      </c>
      <c r="DL537" s="37"/>
      <c r="DM537" s="39">
        <f t="shared" si="386"/>
        <v>1.6828349748383489</v>
      </c>
      <c r="DN537" s="39"/>
      <c r="DO537" s="39">
        <f t="shared" si="387"/>
        <v>1.621221952438922</v>
      </c>
      <c r="DP537" s="37"/>
      <c r="DQ537" s="37">
        <f>DO537/'Conversions, Sources &amp; Comments'!E535</f>
        <v>3.4940735570074963</v>
      </c>
    </row>
    <row r="538" spans="1:121">
      <c r="A538" s="42">
        <f t="shared" si="381"/>
        <v>1786</v>
      </c>
      <c r="B538" s="36"/>
      <c r="C538" s="38">
        <v>39.42</v>
      </c>
      <c r="D538" s="38">
        <v>0</v>
      </c>
      <c r="E538" s="36"/>
      <c r="F538" s="36"/>
      <c r="G538" s="38">
        <v>18</v>
      </c>
      <c r="H538" s="38">
        <v>6</v>
      </c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8">
        <v>10</v>
      </c>
      <c r="W538" s="36"/>
      <c r="X538" s="36"/>
      <c r="Y538" s="36"/>
      <c r="Z538" s="36"/>
      <c r="AA538" s="36"/>
      <c r="AB538" s="59">
        <v>8.6666666666666661</v>
      </c>
      <c r="AC538" s="38">
        <v>2</v>
      </c>
      <c r="AD538" s="38">
        <v>6</v>
      </c>
      <c r="AE538" s="38">
        <v>2</v>
      </c>
      <c r="AF538" s="38">
        <v>6</v>
      </c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8">
        <v>36.880000000000003</v>
      </c>
      <c r="AT538" s="38">
        <v>4</v>
      </c>
      <c r="AU538" s="36"/>
      <c r="AV538" s="36"/>
      <c r="AW538" s="36"/>
      <c r="AX538" s="36"/>
      <c r="AY538" s="36"/>
      <c r="AZ538" s="36"/>
      <c r="BA538" s="36"/>
      <c r="BB538" s="36"/>
      <c r="BC538" s="38">
        <v>8</v>
      </c>
      <c r="BD538" s="38">
        <v>5.75</v>
      </c>
      <c r="BE538" s="38">
        <v>6.5</v>
      </c>
      <c r="BF538" s="38">
        <v>5.5</v>
      </c>
      <c r="BG538" s="59">
        <v>34.17</v>
      </c>
      <c r="BH538" s="59">
        <v>5.25</v>
      </c>
      <c r="BI538" s="59">
        <v>0.65951397978222659</v>
      </c>
      <c r="BJ538" s="59">
        <v>9</v>
      </c>
      <c r="BK538" s="38">
        <v>8.035100869565218</v>
      </c>
      <c r="BL538" s="59">
        <v>2.02</v>
      </c>
      <c r="BM538" s="36"/>
      <c r="BN538" s="38">
        <v>62</v>
      </c>
      <c r="BO538" s="36"/>
      <c r="BP538" s="39">
        <f t="shared" si="373"/>
        <v>0.46399193548387102</v>
      </c>
      <c r="BQ538" s="37"/>
      <c r="BR538" s="39">
        <f t="shared" si="374"/>
        <v>0.77858684219198859</v>
      </c>
      <c r="BS538" s="39">
        <f t="shared" si="354"/>
        <v>1.406525933637107</v>
      </c>
      <c r="BT538" s="37"/>
      <c r="BU538" s="37"/>
      <c r="BV538" s="39">
        <f t="shared" si="375"/>
        <v>0.6539113758046291</v>
      </c>
      <c r="BW538" s="39">
        <f t="shared" si="369"/>
        <v>4.6031960794493259</v>
      </c>
      <c r="BX538" s="39">
        <f t="shared" si="383"/>
        <v>0.44875959518672226</v>
      </c>
      <c r="BY538" s="39">
        <f t="shared" si="367"/>
        <v>8.865414671532033</v>
      </c>
      <c r="BZ538" s="39">
        <f t="shared" si="360"/>
        <v>7.8911932790559876</v>
      </c>
      <c r="CA538" s="39">
        <f t="shared" si="370"/>
        <v>8.219365515724995</v>
      </c>
      <c r="CB538" s="39">
        <f t="shared" si="371"/>
        <v>2.0663235734416969</v>
      </c>
      <c r="CC538" s="39">
        <f t="shared" si="382"/>
        <v>0.46399193548387102</v>
      </c>
      <c r="CD538" s="37"/>
      <c r="CE538" s="37"/>
      <c r="CF538" s="37"/>
      <c r="CG538" s="37"/>
      <c r="CH538" s="37"/>
      <c r="CI538" s="39">
        <f t="shared" si="366"/>
        <v>4.0917118069443115</v>
      </c>
      <c r="CJ538" s="39">
        <f t="shared" si="384"/>
        <v>0.15252931075482434</v>
      </c>
      <c r="CK538" s="39">
        <f t="shared" si="363"/>
        <v>4.9377653614408205E-2</v>
      </c>
      <c r="CL538" s="37"/>
      <c r="CM538" s="39">
        <f t="shared" si="364"/>
        <v>0.17447934139366858</v>
      </c>
      <c r="CN538" s="37"/>
      <c r="CO538" s="39">
        <f>0.063495+(0.016949+0.014096)*Wages!P536+1.22592*BR538</f>
        <v>1.5941653670638736</v>
      </c>
      <c r="CP538" s="39"/>
      <c r="CQ538" s="39">
        <f t="shared" si="355"/>
        <v>1.406525933637107</v>
      </c>
      <c r="CR538" s="39">
        <f t="shared" si="343"/>
        <v>0.6539113758046291</v>
      </c>
      <c r="CS538" s="39">
        <f t="shared" si="343"/>
        <v>4.6031960794493259</v>
      </c>
      <c r="CT538" s="39">
        <f t="shared" si="372"/>
        <v>8.219365515724995</v>
      </c>
      <c r="CU538" s="39">
        <f t="shared" si="372"/>
        <v>2.0663235734416969</v>
      </c>
      <c r="CV538" s="39">
        <f t="shared" si="372"/>
        <v>0.46399193548387102</v>
      </c>
      <c r="CW538" s="39">
        <f t="shared" si="362"/>
        <v>0</v>
      </c>
      <c r="CX538" s="39">
        <f t="shared" si="352"/>
        <v>4.0917118069443115</v>
      </c>
      <c r="CY538" s="39">
        <f t="shared" si="376"/>
        <v>7.8911932790559876</v>
      </c>
      <c r="CZ538" s="39">
        <f t="shared" si="377"/>
        <v>0.44875959518672226</v>
      </c>
      <c r="DA538" s="39">
        <f t="shared" si="368"/>
        <v>8.865414671532033</v>
      </c>
      <c r="DB538" s="39">
        <v>4.8713064092794855</v>
      </c>
      <c r="DC538" s="39">
        <f t="shared" si="378"/>
        <v>8.865414671532033</v>
      </c>
      <c r="DD538" s="39">
        <v>4</v>
      </c>
      <c r="DE538" s="39">
        <f t="shared" si="365"/>
        <v>4.9377653614408205E-2</v>
      </c>
      <c r="DF538" s="39">
        <v>0.15252931075482434</v>
      </c>
      <c r="DG538" s="39">
        <f t="shared" si="379"/>
        <v>0</v>
      </c>
      <c r="DH538" s="39">
        <f t="shared" si="380"/>
        <v>5.5895012015404353</v>
      </c>
      <c r="DI538" s="39">
        <f t="shared" si="385"/>
        <v>6.2953201021430658</v>
      </c>
      <c r="DJ538" s="37"/>
      <c r="DK538" s="39">
        <v>67.900000000000006</v>
      </c>
      <c r="DL538" s="37"/>
      <c r="DM538" s="39">
        <f t="shared" si="386"/>
        <v>1.6335693847880324</v>
      </c>
      <c r="DN538" s="39"/>
      <c r="DO538" s="39">
        <f t="shared" si="387"/>
        <v>1.5884699938037923</v>
      </c>
      <c r="DP538" s="37"/>
      <c r="DQ538" s="37">
        <f>DO538/'Conversions, Sources &amp; Comments'!E536</f>
        <v>3.4234862124214862</v>
      </c>
    </row>
    <row r="539" spans="1:121">
      <c r="A539" s="42">
        <f t="shared" si="381"/>
        <v>1787</v>
      </c>
      <c r="B539" s="36"/>
      <c r="C539" s="38">
        <v>46.76</v>
      </c>
      <c r="D539" s="38">
        <v>0</v>
      </c>
      <c r="E539" s="36"/>
      <c r="F539" s="36"/>
      <c r="G539" s="38">
        <v>17</v>
      </c>
      <c r="H539" s="38">
        <v>2</v>
      </c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8">
        <v>10</v>
      </c>
      <c r="W539" s="36"/>
      <c r="X539" s="36"/>
      <c r="Y539" s="36"/>
      <c r="Z539" s="36"/>
      <c r="AA539" s="36"/>
      <c r="AB539" s="59">
        <v>8</v>
      </c>
      <c r="AC539" s="38">
        <v>2</v>
      </c>
      <c r="AD539" s="38">
        <v>6</v>
      </c>
      <c r="AE539" s="38">
        <v>2</v>
      </c>
      <c r="AF539" s="38">
        <v>6</v>
      </c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8">
        <v>38.520000000000003</v>
      </c>
      <c r="AT539" s="38">
        <v>4</v>
      </c>
      <c r="AU539" s="36"/>
      <c r="AV539" s="36"/>
      <c r="AW539" s="36"/>
      <c r="AX539" s="36"/>
      <c r="AY539" s="36"/>
      <c r="AZ539" s="36"/>
      <c r="BA539" s="36"/>
      <c r="BB539" s="36"/>
      <c r="BC539" s="38">
        <v>8</v>
      </c>
      <c r="BD539" s="38">
        <v>5.75</v>
      </c>
      <c r="BE539" s="38">
        <v>6.5</v>
      </c>
      <c r="BF539" s="38">
        <v>5.7</v>
      </c>
      <c r="BG539" s="59">
        <v>32.75</v>
      </c>
      <c r="BH539" s="59">
        <v>5.46</v>
      </c>
      <c r="BI539" s="59">
        <v>0.65951397978222659</v>
      </c>
      <c r="BJ539" s="59">
        <v>9</v>
      </c>
      <c r="BK539" s="38">
        <v>7.6986226086956524</v>
      </c>
      <c r="BL539" s="59">
        <v>2.02</v>
      </c>
      <c r="BM539" s="36"/>
      <c r="BN539" s="38">
        <v>62</v>
      </c>
      <c r="BO539" s="36"/>
      <c r="BP539" s="39">
        <f t="shared" si="373"/>
        <v>0.46399193548387102</v>
      </c>
      <c r="BQ539" s="37"/>
      <c r="BR539" s="39">
        <f t="shared" si="374"/>
        <v>0.92355963320389112</v>
      </c>
      <c r="BS539" s="39">
        <f t="shared" si="354"/>
        <v>1.457672331223911</v>
      </c>
      <c r="BT539" s="37"/>
      <c r="BU539" s="37"/>
      <c r="BV539" s="39">
        <f t="shared" si="375"/>
        <v>0.62673683223885279</v>
      </c>
      <c r="BW539" s="39">
        <f t="shared" si="369"/>
        <v>4.7873239226272988</v>
      </c>
      <c r="BX539" s="39">
        <f t="shared" si="383"/>
        <v>0.44875959518672226</v>
      </c>
      <c r="BY539" s="39">
        <f t="shared" si="367"/>
        <v>8.1834596967988009</v>
      </c>
      <c r="BZ539" s="39">
        <f t="shared" ref="BZ539:BZ570" si="388">$BP539*12*$BJ539/(14*0.45359)</f>
        <v>7.8911932790559876</v>
      </c>
      <c r="CA539" s="39">
        <f t="shared" si="370"/>
        <v>7.8751709798906147</v>
      </c>
      <c r="CB539" s="39">
        <f t="shared" si="371"/>
        <v>2.0663235734416969</v>
      </c>
      <c r="CC539" s="39">
        <f t="shared" si="382"/>
        <v>0.46399193548387102</v>
      </c>
      <c r="CD539" s="37"/>
      <c r="CE539" s="37"/>
      <c r="CF539" s="37"/>
      <c r="CG539" s="37"/>
      <c r="CH539" s="37"/>
      <c r="CI539" s="39">
        <f t="shared" si="366"/>
        <v>4.0917118069443115</v>
      </c>
      <c r="CJ539" s="39">
        <f t="shared" si="384"/>
        <v>0.15931206752374819</v>
      </c>
      <c r="CK539" s="39">
        <f t="shared" si="363"/>
        <v>4.9377653614408205E-2</v>
      </c>
      <c r="CL539" s="37"/>
      <c r="CM539" s="39">
        <f t="shared" si="364"/>
        <v>0.17447934139366858</v>
      </c>
      <c r="CN539" s="37"/>
      <c r="CO539" s="39">
        <f>0.063495+(0.016949+0.014096)*Wages!P537+1.22592*BR539</f>
        <v>1.7718904110211851</v>
      </c>
      <c r="CP539" s="39"/>
      <c r="CQ539" s="39">
        <f t="shared" si="355"/>
        <v>1.457672331223911</v>
      </c>
      <c r="CR539" s="39">
        <f t="shared" ref="CR539:CS582" si="389">BV539</f>
        <v>0.62673683223885279</v>
      </c>
      <c r="CS539" s="39">
        <f t="shared" si="389"/>
        <v>4.7873239226272988</v>
      </c>
      <c r="CT539" s="39">
        <f t="shared" si="372"/>
        <v>7.8751709798906147</v>
      </c>
      <c r="CU539" s="39">
        <f t="shared" si="372"/>
        <v>2.0663235734416969</v>
      </c>
      <c r="CV539" s="39">
        <f t="shared" si="372"/>
        <v>0.46399193548387102</v>
      </c>
      <c r="CW539" s="39">
        <f t="shared" si="362"/>
        <v>0</v>
      </c>
      <c r="CX539" s="39">
        <f t="shared" si="352"/>
        <v>4.0917118069443115</v>
      </c>
      <c r="CY539" s="39">
        <f t="shared" si="376"/>
        <v>7.8911932790559876</v>
      </c>
      <c r="CZ539" s="39">
        <f t="shared" si="377"/>
        <v>0.44875959518672226</v>
      </c>
      <c r="DA539" s="39">
        <f t="shared" si="368"/>
        <v>8.1834596967988009</v>
      </c>
      <c r="DB539" s="39">
        <v>4.8713064092794855</v>
      </c>
      <c r="DC539" s="39">
        <f t="shared" si="378"/>
        <v>8.1834596967988009</v>
      </c>
      <c r="DD539" s="39">
        <v>4</v>
      </c>
      <c r="DE539" s="39">
        <f t="shared" si="365"/>
        <v>4.9377653614408205E-2</v>
      </c>
      <c r="DF539" s="39">
        <v>0.15931206752374821</v>
      </c>
      <c r="DG539" s="39">
        <f t="shared" si="379"/>
        <v>0</v>
      </c>
      <c r="DH539" s="39">
        <f t="shared" si="380"/>
        <v>5.5895012015404353</v>
      </c>
      <c r="DI539" s="39">
        <f t="shared" si="385"/>
        <v>6.5752638377047434</v>
      </c>
      <c r="DJ539" s="37"/>
      <c r="DK539" s="39">
        <v>69.400000000000006</v>
      </c>
      <c r="DL539" s="37"/>
      <c r="DM539" s="39">
        <f t="shared" si="386"/>
        <v>1.6512771157668318</v>
      </c>
      <c r="DN539" s="39"/>
      <c r="DO539" s="39">
        <f t="shared" si="387"/>
        <v>1.623561378055717</v>
      </c>
      <c r="DP539" s="37"/>
      <c r="DQ539" s="37">
        <f>DO539/'Conversions, Sources &amp; Comments'!E537</f>
        <v>3.4991155101922113</v>
      </c>
    </row>
    <row r="540" spans="1:121">
      <c r="A540" s="42">
        <f t="shared" si="381"/>
        <v>1788</v>
      </c>
      <c r="B540" s="36"/>
      <c r="C540" s="38">
        <v>48.13</v>
      </c>
      <c r="D540" s="38">
        <v>0</v>
      </c>
      <c r="E540" s="36"/>
      <c r="F540" s="36"/>
      <c r="G540" s="38">
        <v>16</v>
      </c>
      <c r="H540" s="38">
        <v>1</v>
      </c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8">
        <v>10</v>
      </c>
      <c r="W540" s="36"/>
      <c r="X540" s="36"/>
      <c r="Y540" s="36"/>
      <c r="Z540" s="36"/>
      <c r="AA540" s="36"/>
      <c r="AB540" s="59">
        <v>8</v>
      </c>
      <c r="AC540" s="38">
        <v>2</v>
      </c>
      <c r="AD540" s="38">
        <v>6</v>
      </c>
      <c r="AE540" s="38">
        <v>2</v>
      </c>
      <c r="AF540" s="38">
        <v>6</v>
      </c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8">
        <v>37.53</v>
      </c>
      <c r="AT540" s="38">
        <v>4</v>
      </c>
      <c r="AU540" s="36"/>
      <c r="AV540" s="36"/>
      <c r="AW540" s="36"/>
      <c r="AX540" s="36"/>
      <c r="AY540" s="36"/>
      <c r="AZ540" s="38">
        <v>120</v>
      </c>
      <c r="BA540" s="36"/>
      <c r="BB540" s="36"/>
      <c r="BC540" s="38">
        <v>8</v>
      </c>
      <c r="BD540" s="38">
        <v>5.75</v>
      </c>
      <c r="BE540" s="38">
        <v>6.5</v>
      </c>
      <c r="BF540" s="38">
        <v>6.4</v>
      </c>
      <c r="BG540" s="59">
        <v>28</v>
      </c>
      <c r="BH540" s="59">
        <v>5.39</v>
      </c>
      <c r="BI540" s="59">
        <v>0.65951397978222659</v>
      </c>
      <c r="BJ540" s="59">
        <v>9</v>
      </c>
      <c r="BK540" s="38">
        <v>6.7699426086956533</v>
      </c>
      <c r="BL540" s="59">
        <v>2.02</v>
      </c>
      <c r="BM540" s="36"/>
      <c r="BN540" s="38">
        <v>62</v>
      </c>
      <c r="BO540" s="36"/>
      <c r="BP540" s="39">
        <f t="shared" si="373"/>
        <v>0.46399193548387102</v>
      </c>
      <c r="BQ540" s="37"/>
      <c r="BR540" s="39">
        <f t="shared" si="374"/>
        <v>0.95061858738458682</v>
      </c>
      <c r="BS540" s="39">
        <f t="shared" si="354"/>
        <v>1.6366847227777246</v>
      </c>
      <c r="BT540" s="39">
        <f t="shared" ref="BT540:BT568" si="390">BP540*12*AZ540/(24*0.9144)</f>
        <v>30.445665057996788</v>
      </c>
      <c r="BU540" s="37"/>
      <c r="BV540" s="39">
        <f t="shared" si="375"/>
        <v>0.53583607031108016</v>
      </c>
      <c r="BW540" s="39">
        <f t="shared" si="369"/>
        <v>4.7259479749013069</v>
      </c>
      <c r="BX540" s="39">
        <f t="shared" si="383"/>
        <v>0.44875959518672226</v>
      </c>
      <c r="BY540" s="39">
        <f t="shared" si="367"/>
        <v>8.1834596967988009</v>
      </c>
      <c r="BZ540" s="39">
        <f t="shared" si="388"/>
        <v>7.8911932790559876</v>
      </c>
      <c r="CA540" s="39">
        <f t="shared" si="370"/>
        <v>6.9251940609877263</v>
      </c>
      <c r="CB540" s="39">
        <f t="shared" si="371"/>
        <v>2.0663235734416969</v>
      </c>
      <c r="CC540" s="39">
        <f t="shared" si="382"/>
        <v>0.46399193548387102</v>
      </c>
      <c r="CD540" s="37"/>
      <c r="CE540" s="37"/>
      <c r="CF540" s="37"/>
      <c r="CG540" s="37"/>
      <c r="CH540" s="37"/>
      <c r="CI540" s="39">
        <f t="shared" si="366"/>
        <v>4.0917118069443115</v>
      </c>
      <c r="CJ540" s="39">
        <f t="shared" si="384"/>
        <v>0.15521759849860511</v>
      </c>
      <c r="CK540" s="39">
        <f t="shared" si="363"/>
        <v>4.9377653614408205E-2</v>
      </c>
      <c r="CL540" s="37"/>
      <c r="CM540" s="39">
        <f t="shared" si="364"/>
        <v>0.17447934139366858</v>
      </c>
      <c r="CN540" s="37"/>
      <c r="CO540" s="39">
        <f>0.063495+(0.016949+0.014096)*Wages!P538+1.22592*BR540</f>
        <v>1.8050625241303835</v>
      </c>
      <c r="CP540" s="39"/>
      <c r="CQ540" s="39">
        <f t="shared" si="355"/>
        <v>1.6366847227777246</v>
      </c>
      <c r="CR540" s="39">
        <f t="shared" si="389"/>
        <v>0.53583607031108016</v>
      </c>
      <c r="CS540" s="39">
        <f t="shared" si="389"/>
        <v>4.7259479749013069</v>
      </c>
      <c r="CT540" s="39">
        <f t="shared" si="372"/>
        <v>6.9251940609877263</v>
      </c>
      <c r="CU540" s="39">
        <f t="shared" si="372"/>
        <v>2.0663235734416969</v>
      </c>
      <c r="CV540" s="39">
        <f t="shared" si="372"/>
        <v>0.46399193548387102</v>
      </c>
      <c r="CW540" s="39">
        <f t="shared" si="362"/>
        <v>0</v>
      </c>
      <c r="CX540" s="39">
        <f t="shared" si="352"/>
        <v>4.0917118069443115</v>
      </c>
      <c r="CY540" s="39">
        <f t="shared" si="376"/>
        <v>7.8911932790559876</v>
      </c>
      <c r="CZ540" s="39">
        <f t="shared" si="377"/>
        <v>0.44875959518672226</v>
      </c>
      <c r="DA540" s="39">
        <f t="shared" si="368"/>
        <v>8.1834596967988009</v>
      </c>
      <c r="DB540" s="39">
        <f t="shared" ref="DB540:DB582" si="391">DB$424*BT540/BT$424</f>
        <v>4.8713064092794864</v>
      </c>
      <c r="DC540" s="39">
        <f t="shared" si="378"/>
        <v>8.1834596967988009</v>
      </c>
      <c r="DD540" s="39">
        <v>4</v>
      </c>
      <c r="DE540" s="39">
        <f t="shared" si="365"/>
        <v>4.9377653614408205E-2</v>
      </c>
      <c r="DF540" s="39">
        <v>0.15521759849860514</v>
      </c>
      <c r="DG540" s="39">
        <f t="shared" si="379"/>
        <v>0</v>
      </c>
      <c r="DH540" s="39">
        <f t="shared" si="380"/>
        <v>5.5895012015404353</v>
      </c>
      <c r="DI540" s="39">
        <f t="shared" si="385"/>
        <v>6.4062734119693401</v>
      </c>
      <c r="DJ540" s="37"/>
      <c r="DK540" s="39">
        <v>71.8</v>
      </c>
      <c r="DL540" s="37"/>
      <c r="DM540" s="39">
        <f t="shared" si="386"/>
        <v>1.7026577564470242</v>
      </c>
      <c r="DN540" s="39"/>
      <c r="DO540" s="39">
        <f t="shared" si="387"/>
        <v>1.6797075928587963</v>
      </c>
      <c r="DP540" s="37"/>
      <c r="DQ540" s="37">
        <f>DO540/'Conversions, Sources &amp; Comments'!E538</f>
        <v>3.6201223866253711</v>
      </c>
    </row>
    <row r="541" spans="1:121">
      <c r="A541" s="42">
        <f t="shared" si="381"/>
        <v>1789</v>
      </c>
      <c r="B541" s="36"/>
      <c r="C541" s="38">
        <v>56.48</v>
      </c>
      <c r="D541" s="38">
        <v>0</v>
      </c>
      <c r="E541" s="36"/>
      <c r="F541" s="36"/>
      <c r="G541" s="38">
        <v>16</v>
      </c>
      <c r="H541" s="38">
        <v>6</v>
      </c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8">
        <v>10</v>
      </c>
      <c r="W541" s="36"/>
      <c r="X541" s="36"/>
      <c r="Y541" s="36"/>
      <c r="Z541" s="36"/>
      <c r="AA541" s="36"/>
      <c r="AB541" s="59">
        <v>8.3333333333333339</v>
      </c>
      <c r="AC541" s="38">
        <v>2</v>
      </c>
      <c r="AD541" s="38">
        <v>6</v>
      </c>
      <c r="AE541" s="38">
        <v>2</v>
      </c>
      <c r="AF541" s="38">
        <v>6</v>
      </c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8">
        <v>39</v>
      </c>
      <c r="AT541" s="38">
        <v>4</v>
      </c>
      <c r="AU541" s="36"/>
      <c r="AV541" s="36"/>
      <c r="AW541" s="36"/>
      <c r="AX541" s="36"/>
      <c r="AY541" s="36"/>
      <c r="AZ541" s="38">
        <v>120</v>
      </c>
      <c r="BA541" s="36"/>
      <c r="BB541" s="36"/>
      <c r="BC541" s="38">
        <v>8</v>
      </c>
      <c r="BD541" s="38">
        <v>5.75</v>
      </c>
      <c r="BE541" s="36"/>
      <c r="BF541" s="38">
        <v>7</v>
      </c>
      <c r="BG541" s="59">
        <v>28</v>
      </c>
      <c r="BH541" s="59">
        <v>5.39</v>
      </c>
      <c r="BI541" s="59">
        <v>0.65951397978222659</v>
      </c>
      <c r="BJ541" s="59">
        <v>9</v>
      </c>
      <c r="BK541" s="38">
        <v>7.6447860869565227</v>
      </c>
      <c r="BL541" s="59">
        <v>2.02</v>
      </c>
      <c r="BM541" s="36"/>
      <c r="BN541" s="38">
        <v>62</v>
      </c>
      <c r="BO541" s="36"/>
      <c r="BP541" s="39">
        <f t="shared" si="373"/>
        <v>0.46399193548387102</v>
      </c>
      <c r="BQ541" s="37"/>
      <c r="BR541" s="39">
        <f t="shared" si="374"/>
        <v>1.1155399504567101</v>
      </c>
      <c r="BS541" s="39">
        <f t="shared" si="354"/>
        <v>1.7901239155381363</v>
      </c>
      <c r="BT541" s="39">
        <f t="shared" si="390"/>
        <v>30.445665057996788</v>
      </c>
      <c r="BU541" s="37"/>
      <c r="BV541" s="39">
        <f t="shared" si="375"/>
        <v>0.53583607031108016</v>
      </c>
      <c r="BW541" s="39">
        <f t="shared" si="369"/>
        <v>4.7259479749013069</v>
      </c>
      <c r="BX541" s="39">
        <f t="shared" si="383"/>
        <v>0.44875959518672226</v>
      </c>
      <c r="BY541" s="39">
        <f t="shared" si="367"/>
        <v>8.5244371841654178</v>
      </c>
      <c r="BZ541" s="39">
        <f t="shared" si="388"/>
        <v>7.8911932790559876</v>
      </c>
      <c r="CA541" s="39">
        <f t="shared" si="370"/>
        <v>7.8200998541571156</v>
      </c>
      <c r="CB541" s="39">
        <f t="shared" si="371"/>
        <v>2.0663235734416969</v>
      </c>
      <c r="CC541" s="39">
        <f t="shared" si="382"/>
        <v>0.46399193548387102</v>
      </c>
      <c r="CD541" s="37"/>
      <c r="CE541" s="37"/>
      <c r="CF541" s="37"/>
      <c r="CG541" s="37"/>
      <c r="CH541" s="37"/>
      <c r="CI541" s="39">
        <f t="shared" si="366"/>
        <v>4.0917118069443115</v>
      </c>
      <c r="CJ541" s="39">
        <f t="shared" si="384"/>
        <v>0.16129726462684785</v>
      </c>
      <c r="CK541" s="39">
        <f t="shared" si="363"/>
        <v>4.9377653614408205E-2</v>
      </c>
      <c r="CL541" s="37"/>
      <c r="CM541" s="39">
        <f t="shared" si="364"/>
        <v>0.17447934139366858</v>
      </c>
      <c r="CN541" s="37"/>
      <c r="CO541" s="39">
        <f>0.063495+(0.016949+0.014096)*Wages!P539+1.22592*BR541</f>
        <v>2.0072429215477605</v>
      </c>
      <c r="CP541" s="39"/>
      <c r="CQ541" s="39">
        <f t="shared" si="355"/>
        <v>1.7901239155381363</v>
      </c>
      <c r="CR541" s="39">
        <f t="shared" si="389"/>
        <v>0.53583607031108016</v>
      </c>
      <c r="CS541" s="39">
        <f t="shared" si="389"/>
        <v>4.7259479749013069</v>
      </c>
      <c r="CT541" s="39">
        <f t="shared" si="372"/>
        <v>7.8200998541571156</v>
      </c>
      <c r="CU541" s="39">
        <f t="shared" si="372"/>
        <v>2.0663235734416969</v>
      </c>
      <c r="CV541" s="39">
        <f t="shared" si="372"/>
        <v>0.46399193548387102</v>
      </c>
      <c r="CW541" s="39">
        <f t="shared" si="362"/>
        <v>0</v>
      </c>
      <c r="CX541" s="39">
        <f t="shared" si="352"/>
        <v>4.0917118069443115</v>
      </c>
      <c r="CY541" s="39">
        <f t="shared" si="376"/>
        <v>7.8911932790559876</v>
      </c>
      <c r="CZ541" s="39">
        <f t="shared" si="377"/>
        <v>0.44875959518672226</v>
      </c>
      <c r="DA541" s="39">
        <f t="shared" si="368"/>
        <v>8.5244371841654178</v>
      </c>
      <c r="DB541" s="39">
        <f t="shared" si="391"/>
        <v>4.8713064092794864</v>
      </c>
      <c r="DC541" s="39">
        <f t="shared" si="378"/>
        <v>8.5244371841654178</v>
      </c>
      <c r="DD541" s="39">
        <v>4</v>
      </c>
      <c r="DE541" s="39">
        <f t="shared" si="365"/>
        <v>4.9377653614408205E-2</v>
      </c>
      <c r="DF541" s="39">
        <v>0.16129726462684785</v>
      </c>
      <c r="DG541" s="39">
        <f t="shared" si="379"/>
        <v>0</v>
      </c>
      <c r="DH541" s="39">
        <f t="shared" si="380"/>
        <v>5.5895012015404353</v>
      </c>
      <c r="DI541" s="39">
        <f t="shared" si="385"/>
        <v>6.6571985895764509</v>
      </c>
      <c r="DJ541" s="37"/>
      <c r="DK541" s="39">
        <v>72.8</v>
      </c>
      <c r="DL541" s="37"/>
      <c r="DM541" s="39">
        <f t="shared" si="386"/>
        <v>1.7854551384132296</v>
      </c>
      <c r="DN541" s="39"/>
      <c r="DO541" s="39">
        <f t="shared" si="387"/>
        <v>1.7031018490267464</v>
      </c>
      <c r="DP541" s="37"/>
      <c r="DQ541" s="37">
        <f>DO541/'Conversions, Sources &amp; Comments'!E539</f>
        <v>3.6705419184725216</v>
      </c>
    </row>
    <row r="542" spans="1:121">
      <c r="A542" s="42">
        <f t="shared" si="381"/>
        <v>1790</v>
      </c>
      <c r="B542" s="36"/>
      <c r="C542" s="38">
        <v>52.33</v>
      </c>
      <c r="D542" s="38">
        <v>0</v>
      </c>
      <c r="E542" s="36"/>
      <c r="F542" s="36"/>
      <c r="G542" s="38">
        <v>19</v>
      </c>
      <c r="H542" s="38">
        <v>5</v>
      </c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8">
        <v>10</v>
      </c>
      <c r="W542" s="36"/>
      <c r="X542" s="36"/>
      <c r="Y542" s="36"/>
      <c r="Z542" s="36"/>
      <c r="AA542" s="36"/>
      <c r="AB542" s="59">
        <v>7.666666666666667</v>
      </c>
      <c r="AC542" s="38">
        <v>2</v>
      </c>
      <c r="AD542" s="38">
        <v>6</v>
      </c>
      <c r="AE542" s="38">
        <v>2</v>
      </c>
      <c r="AF542" s="38">
        <v>6</v>
      </c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8">
        <v>38.53</v>
      </c>
      <c r="AT542" s="38">
        <v>4</v>
      </c>
      <c r="AU542" s="36"/>
      <c r="AV542" s="36"/>
      <c r="AW542" s="36"/>
      <c r="AX542" s="36"/>
      <c r="AY542" s="36"/>
      <c r="AZ542" s="38">
        <v>120</v>
      </c>
      <c r="BA542" s="36"/>
      <c r="BB542" s="36"/>
      <c r="BC542" s="38">
        <v>8</v>
      </c>
      <c r="BD542" s="38">
        <v>5.75</v>
      </c>
      <c r="BE542" s="38">
        <v>6.67</v>
      </c>
      <c r="BF542" s="38">
        <v>7</v>
      </c>
      <c r="BG542" s="59">
        <v>31.92</v>
      </c>
      <c r="BH542" s="59">
        <v>5.7</v>
      </c>
      <c r="BI542" s="59">
        <v>0.65951397978222659</v>
      </c>
      <c r="BJ542" s="59">
        <v>10</v>
      </c>
      <c r="BK542" s="38">
        <v>8.1158556521739129</v>
      </c>
      <c r="BL542" s="59">
        <v>2.02</v>
      </c>
      <c r="BM542" s="36"/>
      <c r="BN542" s="38">
        <v>62</v>
      </c>
      <c r="BO542" s="36"/>
      <c r="BP542" s="39">
        <f t="shared" si="373"/>
        <v>0.46399193548387102</v>
      </c>
      <c r="BQ542" s="37"/>
      <c r="BR542" s="39">
        <f t="shared" si="374"/>
        <v>1.0335730454567926</v>
      </c>
      <c r="BS542" s="39">
        <f t="shared" si="354"/>
        <v>1.7901239155381363</v>
      </c>
      <c r="BT542" s="39">
        <f t="shared" si="390"/>
        <v>30.445665057996788</v>
      </c>
      <c r="BU542" s="37"/>
      <c r="BV542" s="39">
        <f t="shared" si="375"/>
        <v>0.61085312015463156</v>
      </c>
      <c r="BW542" s="39">
        <f t="shared" si="369"/>
        <v>4.9977557434021254</v>
      </c>
      <c r="BX542" s="39">
        <f t="shared" si="383"/>
        <v>0.44875959518672226</v>
      </c>
      <c r="BY542" s="39">
        <f t="shared" si="367"/>
        <v>7.8424822094321849</v>
      </c>
      <c r="BZ542" s="39">
        <f t="shared" si="388"/>
        <v>8.7679925322844312</v>
      </c>
      <c r="CA542" s="39">
        <f t="shared" si="370"/>
        <v>8.3019722043252457</v>
      </c>
      <c r="CB542" s="39">
        <f t="shared" si="371"/>
        <v>2.0663235734416969</v>
      </c>
      <c r="CC542" s="39">
        <f t="shared" si="382"/>
        <v>0.46399193548387102</v>
      </c>
      <c r="CD542" s="37"/>
      <c r="CE542" s="37"/>
      <c r="CF542" s="37"/>
      <c r="CG542" s="37"/>
      <c r="CH542" s="37"/>
      <c r="CI542" s="39">
        <f t="shared" si="366"/>
        <v>4.0917118069443115</v>
      </c>
      <c r="CJ542" s="39">
        <f t="shared" si="384"/>
        <v>0.15935342579672943</v>
      </c>
      <c r="CK542" s="39">
        <f t="shared" si="363"/>
        <v>4.9377653614408205E-2</v>
      </c>
      <c r="CL542" s="37"/>
      <c r="CM542" s="39">
        <f t="shared" si="364"/>
        <v>0.17447934139366858</v>
      </c>
      <c r="CN542" s="37"/>
      <c r="CO542" s="39">
        <f>0.063495+(0.016949+0.014096)*Wages!P540+1.22592*BR542</f>
        <v>1.9067580533702622</v>
      </c>
      <c r="CP542" s="39"/>
      <c r="CQ542" s="39">
        <f t="shared" si="355"/>
        <v>1.7901239155381363</v>
      </c>
      <c r="CR542" s="39">
        <f t="shared" si="389"/>
        <v>0.61085312015463156</v>
      </c>
      <c r="CS542" s="39">
        <f t="shared" si="389"/>
        <v>4.9977557434021254</v>
      </c>
      <c r="CT542" s="39">
        <f t="shared" si="372"/>
        <v>8.3019722043252457</v>
      </c>
      <c r="CU542" s="39">
        <f t="shared" si="372"/>
        <v>2.0663235734416969</v>
      </c>
      <c r="CV542" s="39">
        <f t="shared" si="372"/>
        <v>0.46399193548387102</v>
      </c>
      <c r="CW542" s="39">
        <f t="shared" si="362"/>
        <v>0</v>
      </c>
      <c r="CX542" s="39">
        <f t="shared" si="352"/>
        <v>4.0917118069443115</v>
      </c>
      <c r="CY542" s="39">
        <f t="shared" si="376"/>
        <v>8.7679925322844312</v>
      </c>
      <c r="CZ542" s="39">
        <f t="shared" si="377"/>
        <v>0.44875959518672226</v>
      </c>
      <c r="DA542" s="39">
        <f t="shared" si="368"/>
        <v>7.8424822094321849</v>
      </c>
      <c r="DB542" s="39">
        <f t="shared" si="391"/>
        <v>4.8713064092794864</v>
      </c>
      <c r="DC542" s="39">
        <f t="shared" si="378"/>
        <v>7.8424822094321849</v>
      </c>
      <c r="DD542" s="39">
        <v>4</v>
      </c>
      <c r="DE542" s="39">
        <f t="shared" si="365"/>
        <v>4.9377653614408205E-2</v>
      </c>
      <c r="DF542" s="39">
        <v>0.15935342579672943</v>
      </c>
      <c r="DG542" s="39">
        <f t="shared" si="379"/>
        <v>0</v>
      </c>
      <c r="DH542" s="39">
        <f t="shared" si="380"/>
        <v>5.5895012015404353</v>
      </c>
      <c r="DI542" s="39">
        <f t="shared" si="385"/>
        <v>6.5769708117020693</v>
      </c>
      <c r="DJ542" s="37"/>
      <c r="DK542" s="39">
        <v>76.099999999999994</v>
      </c>
      <c r="DL542" s="37"/>
      <c r="DM542" s="39">
        <f t="shared" si="386"/>
        <v>1.80938256678345</v>
      </c>
      <c r="DN542" s="39"/>
      <c r="DO542" s="39">
        <f t="shared" si="387"/>
        <v>1.7803028943809807</v>
      </c>
      <c r="DP542" s="39"/>
      <c r="DQ542" s="37">
        <f>DO542/'Conversions, Sources &amp; Comments'!E540</f>
        <v>3.8369263735681165</v>
      </c>
    </row>
    <row r="543" spans="1:121">
      <c r="A543" s="42">
        <f t="shared" si="381"/>
        <v>1791</v>
      </c>
      <c r="B543" s="36"/>
      <c r="C543" s="38">
        <v>42.22</v>
      </c>
      <c r="D543" s="38">
        <v>0</v>
      </c>
      <c r="E543" s="36"/>
      <c r="F543" s="36"/>
      <c r="G543" s="38">
        <v>18</v>
      </c>
      <c r="H543" s="38">
        <v>1</v>
      </c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8">
        <v>10</v>
      </c>
      <c r="W543" s="36"/>
      <c r="X543" s="36"/>
      <c r="Y543" s="36"/>
      <c r="Z543" s="36"/>
      <c r="AA543" s="36"/>
      <c r="AB543" s="59">
        <v>7.666666666666667</v>
      </c>
      <c r="AC543" s="38">
        <v>2</v>
      </c>
      <c r="AD543" s="38">
        <v>6</v>
      </c>
      <c r="AE543" s="38">
        <v>2</v>
      </c>
      <c r="AF543" s="38">
        <v>6</v>
      </c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8">
        <v>38.520000000000003</v>
      </c>
      <c r="AT543" s="38">
        <v>4</v>
      </c>
      <c r="AU543" s="36"/>
      <c r="AV543" s="36"/>
      <c r="AW543" s="36"/>
      <c r="AX543" s="36"/>
      <c r="AY543" s="36"/>
      <c r="AZ543" s="38">
        <v>132</v>
      </c>
      <c r="BA543" s="36"/>
      <c r="BB543" s="36"/>
      <c r="BC543" s="38">
        <v>8</v>
      </c>
      <c r="BD543" s="38">
        <v>5.75</v>
      </c>
      <c r="BE543" s="38">
        <v>5.95</v>
      </c>
      <c r="BF543" s="38">
        <v>6.3</v>
      </c>
      <c r="BG543" s="59">
        <v>31.42</v>
      </c>
      <c r="BH543" s="59">
        <v>5.77</v>
      </c>
      <c r="BI543" s="59">
        <v>0.65951397978222659</v>
      </c>
      <c r="BJ543" s="59">
        <v>12.72</v>
      </c>
      <c r="BK543" s="38">
        <v>8.4792521739130446</v>
      </c>
      <c r="BL543" s="59">
        <v>2.02</v>
      </c>
      <c r="BM543" s="36"/>
      <c r="BN543" s="38">
        <v>62</v>
      </c>
      <c r="BO543" s="36"/>
      <c r="BP543" s="39">
        <f t="shared" si="373"/>
        <v>0.46399193548387102</v>
      </c>
      <c r="BQ543" s="37"/>
      <c r="BR543" s="39">
        <f t="shared" si="374"/>
        <v>0.83388981424012576</v>
      </c>
      <c r="BS543" s="39">
        <f t="shared" si="354"/>
        <v>1.6111115239843228</v>
      </c>
      <c r="BT543" s="39">
        <f t="shared" si="390"/>
        <v>33.490231563796463</v>
      </c>
      <c r="BU543" s="37"/>
      <c r="BV543" s="39">
        <f t="shared" si="375"/>
        <v>0.60128461889907658</v>
      </c>
      <c r="BW543" s="39">
        <f t="shared" si="369"/>
        <v>5.0591316911281163</v>
      </c>
      <c r="BX543" s="39">
        <f t="shared" si="383"/>
        <v>0.44875959518672226</v>
      </c>
      <c r="BY543" s="39">
        <f t="shared" si="367"/>
        <v>7.8424822094321849</v>
      </c>
      <c r="BZ543" s="39">
        <f t="shared" si="388"/>
        <v>11.152886501065796</v>
      </c>
      <c r="CA543" s="39">
        <f t="shared" si="370"/>
        <v>8.6737023030263778</v>
      </c>
      <c r="CB543" s="39">
        <f t="shared" si="371"/>
        <v>2.0663235734416969</v>
      </c>
      <c r="CC543" s="39">
        <f t="shared" si="382"/>
        <v>0.46399193548387102</v>
      </c>
      <c r="CD543" s="37"/>
      <c r="CE543" s="37"/>
      <c r="CF543" s="37"/>
      <c r="CG543" s="37"/>
      <c r="CH543" s="37"/>
      <c r="CI543" s="39">
        <f t="shared" si="366"/>
        <v>4.0917118069443115</v>
      </c>
      <c r="CJ543" s="39">
        <f t="shared" si="384"/>
        <v>0.15931206752374819</v>
      </c>
      <c r="CK543" s="39">
        <f t="shared" si="363"/>
        <v>4.9377653614408205E-2</v>
      </c>
      <c r="CL543" s="37"/>
      <c r="CM543" s="39">
        <f t="shared" si="364"/>
        <v>0.17447934139366858</v>
      </c>
      <c r="CN543" s="37"/>
      <c r="CO543" s="39">
        <f>0.063495+(0.016949+0.014096)*Wages!P541+1.22592*BR543</f>
        <v>1.6619623865571258</v>
      </c>
      <c r="CP543" s="39"/>
      <c r="CQ543" s="39">
        <f t="shared" si="355"/>
        <v>1.6111115239843228</v>
      </c>
      <c r="CR543" s="39">
        <f t="shared" si="389"/>
        <v>0.60128461889907658</v>
      </c>
      <c r="CS543" s="39">
        <f t="shared" si="389"/>
        <v>5.0591316911281163</v>
      </c>
      <c r="CT543" s="39">
        <f t="shared" si="372"/>
        <v>8.6737023030263778</v>
      </c>
      <c r="CU543" s="39">
        <f t="shared" si="372"/>
        <v>2.0663235734416969</v>
      </c>
      <c r="CV543" s="39">
        <f t="shared" si="372"/>
        <v>0.46399193548387102</v>
      </c>
      <c r="CW543" s="39">
        <f t="shared" si="362"/>
        <v>0</v>
      </c>
      <c r="CX543" s="39">
        <f t="shared" si="352"/>
        <v>4.0917118069443115</v>
      </c>
      <c r="CY543" s="39">
        <f t="shared" si="376"/>
        <v>11.152886501065796</v>
      </c>
      <c r="CZ543" s="39">
        <f t="shared" si="377"/>
        <v>0.44875959518672226</v>
      </c>
      <c r="DA543" s="39">
        <f t="shared" si="368"/>
        <v>7.8424822094321849</v>
      </c>
      <c r="DB543" s="39">
        <f t="shared" si="391"/>
        <v>5.3584370502074341</v>
      </c>
      <c r="DC543" s="39">
        <f t="shared" si="378"/>
        <v>7.8424822094321849</v>
      </c>
      <c r="DD543" s="39">
        <v>4</v>
      </c>
      <c r="DE543" s="39">
        <f t="shared" si="365"/>
        <v>4.9377653614408205E-2</v>
      </c>
      <c r="DF543" s="39">
        <v>0.15931206752374821</v>
      </c>
      <c r="DG543" s="39">
        <f t="shared" si="379"/>
        <v>0</v>
      </c>
      <c r="DH543" s="39">
        <f t="shared" si="380"/>
        <v>5.5895012015404353</v>
      </c>
      <c r="DI543" s="39">
        <f t="shared" si="385"/>
        <v>6.5752638377047434</v>
      </c>
      <c r="DJ543" s="37"/>
      <c r="DK543" s="39">
        <v>74.2</v>
      </c>
      <c r="DL543" s="37"/>
      <c r="DM543" s="39">
        <f t="shared" si="386"/>
        <v>1.7440331381896235</v>
      </c>
      <c r="DN543" s="39"/>
      <c r="DO543" s="39">
        <f t="shared" si="387"/>
        <v>1.7358538076618761</v>
      </c>
      <c r="DP543" s="37"/>
      <c r="DQ543" s="37">
        <f>DO543/'Conversions, Sources &amp; Comments'!E541</f>
        <v>3.7411292630585318</v>
      </c>
    </row>
    <row r="544" spans="1:121">
      <c r="A544" s="42">
        <f t="shared" si="381"/>
        <v>1792</v>
      </c>
      <c r="B544" s="36"/>
      <c r="C544" s="38">
        <v>51.85</v>
      </c>
      <c r="D544" s="38">
        <v>0</v>
      </c>
      <c r="E544" s="36"/>
      <c r="F544" s="36"/>
      <c r="G544" s="38">
        <v>16</v>
      </c>
      <c r="H544" s="38">
        <v>9</v>
      </c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8">
        <v>10</v>
      </c>
      <c r="W544" s="36"/>
      <c r="X544" s="36"/>
      <c r="Y544" s="36"/>
      <c r="Z544" s="36"/>
      <c r="AA544" s="36"/>
      <c r="AB544" s="59">
        <v>7.666666666666667</v>
      </c>
      <c r="AC544" s="38">
        <v>3</v>
      </c>
      <c r="AD544" s="38">
        <v>0</v>
      </c>
      <c r="AE544" s="38">
        <v>3</v>
      </c>
      <c r="AF544" s="38">
        <v>0</v>
      </c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8">
        <v>41.47</v>
      </c>
      <c r="AT544" s="38">
        <v>4</v>
      </c>
      <c r="AU544" s="36"/>
      <c r="AV544" s="36"/>
      <c r="AW544" s="36"/>
      <c r="AX544" s="36"/>
      <c r="AY544" s="36"/>
      <c r="AZ544" s="38">
        <v>138</v>
      </c>
      <c r="BA544" s="36"/>
      <c r="BB544" s="36"/>
      <c r="BC544" s="38">
        <v>8</v>
      </c>
      <c r="BD544" s="38">
        <v>5.75</v>
      </c>
      <c r="BE544" s="38">
        <v>5.9</v>
      </c>
      <c r="BF544" s="38">
        <v>5.9</v>
      </c>
      <c r="BG544" s="59">
        <v>31.58</v>
      </c>
      <c r="BH544" s="59">
        <v>5.77</v>
      </c>
      <c r="BI544" s="59">
        <v>0.65951397978222659</v>
      </c>
      <c r="BJ544" s="59">
        <v>13</v>
      </c>
      <c r="BK544" s="38">
        <v>8.4792521739130446</v>
      </c>
      <c r="BL544" s="59">
        <v>2.36</v>
      </c>
      <c r="BM544" s="36"/>
      <c r="BN544" s="38">
        <v>62</v>
      </c>
      <c r="BO544" s="36"/>
      <c r="BP544" s="39">
        <f t="shared" si="373"/>
        <v>0.46399193548387102</v>
      </c>
      <c r="BQ544" s="37"/>
      <c r="BR544" s="39">
        <f t="shared" si="374"/>
        <v>1.0240925359628263</v>
      </c>
      <c r="BS544" s="39">
        <f t="shared" si="354"/>
        <v>1.5088187288107149</v>
      </c>
      <c r="BT544" s="39">
        <f t="shared" si="390"/>
        <v>35.012514816696303</v>
      </c>
      <c r="BU544" s="37"/>
      <c r="BV544" s="39">
        <f t="shared" si="375"/>
        <v>0.60434653930085402</v>
      </c>
      <c r="BW544" s="39">
        <f t="shared" si="369"/>
        <v>5.0591316911281163</v>
      </c>
      <c r="BX544" s="39">
        <f t="shared" si="383"/>
        <v>0.44875959518672226</v>
      </c>
      <c r="BY544" s="39">
        <f t="shared" si="367"/>
        <v>7.8424822094321849</v>
      </c>
      <c r="BZ544" s="39">
        <f t="shared" si="388"/>
        <v>11.39839029196976</v>
      </c>
      <c r="CA544" s="39">
        <f t="shared" si="370"/>
        <v>8.6737023030263778</v>
      </c>
      <c r="CB544" s="39">
        <f t="shared" si="371"/>
        <v>2.4141206105556461</v>
      </c>
      <c r="CC544" s="39">
        <f t="shared" si="382"/>
        <v>0.46399193548387102</v>
      </c>
      <c r="CD544" s="37"/>
      <c r="CE544" s="37"/>
      <c r="CF544" s="37"/>
      <c r="CG544" s="37"/>
      <c r="CH544" s="37"/>
      <c r="CI544" s="39">
        <f t="shared" si="366"/>
        <v>4.0917118069443115</v>
      </c>
      <c r="CJ544" s="39">
        <f t="shared" si="384"/>
        <v>0.17151275805321486</v>
      </c>
      <c r="CK544" s="39">
        <f t="shared" si="363"/>
        <v>5.9253184337289849E-2</v>
      </c>
      <c r="CL544" s="37"/>
      <c r="CM544" s="39">
        <f t="shared" si="364"/>
        <v>0.20937520967240231</v>
      </c>
      <c r="CN544" s="37"/>
      <c r="CO544" s="39">
        <f>0.063495+(0.016949+0.014096)*Wages!P542+1.22592*BR544</f>
        <v>1.895135707171419</v>
      </c>
      <c r="CP544" s="39"/>
      <c r="CQ544" s="39">
        <f t="shared" si="355"/>
        <v>1.5088187288107149</v>
      </c>
      <c r="CR544" s="39">
        <f t="shared" si="389"/>
        <v>0.60434653930085402</v>
      </c>
      <c r="CS544" s="39">
        <f t="shared" si="389"/>
        <v>5.0591316911281163</v>
      </c>
      <c r="CT544" s="39">
        <f t="shared" si="372"/>
        <v>8.6737023030263778</v>
      </c>
      <c r="CU544" s="39">
        <f t="shared" si="372"/>
        <v>2.4141206105556461</v>
      </c>
      <c r="CV544" s="39">
        <f t="shared" si="372"/>
        <v>0.46399193548387102</v>
      </c>
      <c r="CW544" s="39">
        <f t="shared" si="362"/>
        <v>0</v>
      </c>
      <c r="CX544" s="39">
        <f t="shared" si="352"/>
        <v>4.0917118069443115</v>
      </c>
      <c r="CY544" s="39">
        <f t="shared" si="376"/>
        <v>11.39839029196976</v>
      </c>
      <c r="CZ544" s="39">
        <f t="shared" si="377"/>
        <v>0.44875959518672226</v>
      </c>
      <c r="DA544" s="39">
        <f t="shared" si="368"/>
        <v>7.8424822094321849</v>
      </c>
      <c r="DB544" s="39">
        <f t="shared" si="391"/>
        <v>5.6020023706714079</v>
      </c>
      <c r="DC544" s="39">
        <f t="shared" si="378"/>
        <v>7.8424822094321849</v>
      </c>
      <c r="DD544" s="39">
        <v>4</v>
      </c>
      <c r="DE544" s="39">
        <f t="shared" si="365"/>
        <v>5.9253184337289849E-2</v>
      </c>
      <c r="DF544" s="39">
        <v>0.17151275805321489</v>
      </c>
      <c r="DG544" s="39">
        <f t="shared" si="379"/>
        <v>0</v>
      </c>
      <c r="DH544" s="39">
        <f t="shared" si="380"/>
        <v>6.707401441848523</v>
      </c>
      <c r="DI544" s="39">
        <f t="shared" si="385"/>
        <v>7.0788211669162946</v>
      </c>
      <c r="DJ544" s="37"/>
      <c r="DK544" s="39">
        <v>72.8</v>
      </c>
      <c r="DL544" s="37"/>
      <c r="DM544" s="39">
        <f t="shared" si="386"/>
        <v>1.7203112116956352</v>
      </c>
      <c r="DN544" s="39"/>
      <c r="DO544" s="39">
        <f t="shared" si="387"/>
        <v>1.7031018490267464</v>
      </c>
      <c r="DP544" s="37"/>
      <c r="DQ544" s="37">
        <f>DO544/'Conversions, Sources &amp; Comments'!E542</f>
        <v>3.6705419184725216</v>
      </c>
    </row>
    <row r="545" spans="1:121">
      <c r="A545" s="42">
        <f t="shared" si="381"/>
        <v>1793</v>
      </c>
      <c r="B545" s="36"/>
      <c r="C545" s="38">
        <v>51.17</v>
      </c>
      <c r="D545" s="38">
        <v>0</v>
      </c>
      <c r="E545" s="36"/>
      <c r="F545" s="36"/>
      <c r="G545" s="38">
        <v>20</v>
      </c>
      <c r="H545" s="38">
        <v>6</v>
      </c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8">
        <v>10</v>
      </c>
      <c r="W545" s="36"/>
      <c r="X545" s="36"/>
      <c r="Y545" s="36"/>
      <c r="Z545" s="36"/>
      <c r="AA545" s="36"/>
      <c r="AB545" s="59">
        <v>8</v>
      </c>
      <c r="AC545" s="38">
        <v>2</v>
      </c>
      <c r="AD545" s="38">
        <v>6</v>
      </c>
      <c r="AE545" s="38">
        <v>2</v>
      </c>
      <c r="AF545" s="38">
        <v>6</v>
      </c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8">
        <v>46.47</v>
      </c>
      <c r="AT545" s="38">
        <v>4</v>
      </c>
      <c r="AU545" s="36"/>
      <c r="AV545" s="36"/>
      <c r="AW545" s="36"/>
      <c r="AX545" s="36"/>
      <c r="AY545" s="36"/>
      <c r="AZ545" s="38">
        <v>138</v>
      </c>
      <c r="BA545" s="36"/>
      <c r="BB545" s="36"/>
      <c r="BC545" s="38">
        <v>8</v>
      </c>
      <c r="BD545" s="38">
        <v>5.75</v>
      </c>
      <c r="BE545" s="38">
        <v>6.25</v>
      </c>
      <c r="BF545" s="38">
        <v>6.8</v>
      </c>
      <c r="BG545" s="59">
        <v>37.5</v>
      </c>
      <c r="BH545" s="59">
        <v>6.09</v>
      </c>
      <c r="BI545" s="59">
        <v>0.65951397978222659</v>
      </c>
      <c r="BJ545" s="59">
        <v>13</v>
      </c>
      <c r="BK545" s="38">
        <v>8.7753530434782601</v>
      </c>
      <c r="BL545" s="59">
        <v>2.19</v>
      </c>
      <c r="BM545" s="36"/>
      <c r="BN545" s="38">
        <v>62</v>
      </c>
      <c r="BO545" s="36"/>
      <c r="BP545" s="39">
        <f t="shared" si="373"/>
        <v>0.46399193548387102</v>
      </c>
      <c r="BQ545" s="37"/>
      <c r="BR545" s="39">
        <f t="shared" si="374"/>
        <v>1.010661814179707</v>
      </c>
      <c r="BS545" s="39">
        <f t="shared" si="354"/>
        <v>1.7389775179513323</v>
      </c>
      <c r="BT545" s="39">
        <f t="shared" si="390"/>
        <v>35.012514816696303</v>
      </c>
      <c r="BU545" s="37"/>
      <c r="BV545" s="39">
        <f t="shared" si="375"/>
        <v>0.71763759416662531</v>
      </c>
      <c r="BW545" s="39">
        <f t="shared" si="369"/>
        <v>5.3397074521612176</v>
      </c>
      <c r="BX545" s="39">
        <f t="shared" si="383"/>
        <v>0.44875959518672226</v>
      </c>
      <c r="BY545" s="39">
        <f t="shared" si="367"/>
        <v>8.1834596967988009</v>
      </c>
      <c r="BZ545" s="39">
        <f t="shared" si="388"/>
        <v>11.39839029196976</v>
      </c>
      <c r="CA545" s="39">
        <f t="shared" si="370"/>
        <v>8.97659349456063</v>
      </c>
      <c r="CB545" s="39">
        <f t="shared" si="371"/>
        <v>2.2402220919986715</v>
      </c>
      <c r="CC545" s="39">
        <f t="shared" si="382"/>
        <v>0.46399193548387102</v>
      </c>
      <c r="CD545" s="37"/>
      <c r="CE545" s="37"/>
      <c r="CF545" s="37"/>
      <c r="CG545" s="37"/>
      <c r="CH545" s="37"/>
      <c r="CI545" s="39">
        <f t="shared" si="366"/>
        <v>4.0917118069443115</v>
      </c>
      <c r="CJ545" s="39">
        <f t="shared" si="384"/>
        <v>0.19219189454383639</v>
      </c>
      <c r="CK545" s="39">
        <f t="shared" si="363"/>
        <v>4.9377653614408205E-2</v>
      </c>
      <c r="CL545" s="37"/>
      <c r="CM545" s="39">
        <f t="shared" si="364"/>
        <v>0.17447934139366858</v>
      </c>
      <c r="CN545" s="37"/>
      <c r="CO545" s="39">
        <f>0.063495+(0.016949+0.014096)*Wages!P543+1.22592*BR545</f>
        <v>1.8786707167230572</v>
      </c>
      <c r="CP545" s="39"/>
      <c r="CQ545" s="39">
        <f t="shared" si="355"/>
        <v>1.7389775179513323</v>
      </c>
      <c r="CR545" s="39">
        <f t="shared" si="389"/>
        <v>0.71763759416662531</v>
      </c>
      <c r="CS545" s="39">
        <f t="shared" si="389"/>
        <v>5.3397074521612176</v>
      </c>
      <c r="CT545" s="39">
        <f t="shared" si="372"/>
        <v>8.97659349456063</v>
      </c>
      <c r="CU545" s="39">
        <f t="shared" si="372"/>
        <v>2.2402220919986715</v>
      </c>
      <c r="CV545" s="39">
        <f t="shared" si="372"/>
        <v>0.46399193548387102</v>
      </c>
      <c r="CW545" s="39">
        <f t="shared" si="362"/>
        <v>0</v>
      </c>
      <c r="CX545" s="39">
        <f t="shared" si="352"/>
        <v>4.0917118069443115</v>
      </c>
      <c r="CY545" s="39">
        <f t="shared" si="376"/>
        <v>11.39839029196976</v>
      </c>
      <c r="CZ545" s="39">
        <f t="shared" si="377"/>
        <v>0.44875959518672226</v>
      </c>
      <c r="DA545" s="39">
        <f t="shared" si="368"/>
        <v>8.1834596967988009</v>
      </c>
      <c r="DB545" s="39">
        <f t="shared" si="391"/>
        <v>5.6020023706714079</v>
      </c>
      <c r="DC545" s="39">
        <f t="shared" si="378"/>
        <v>8.1834596967988009</v>
      </c>
      <c r="DD545" s="39">
        <v>4</v>
      </c>
      <c r="DE545" s="39">
        <f t="shared" si="365"/>
        <v>4.9377653614408205E-2</v>
      </c>
      <c r="DF545" s="39">
        <v>0.19219189454383639</v>
      </c>
      <c r="DG545" s="39">
        <f t="shared" si="379"/>
        <v>0</v>
      </c>
      <c r="DH545" s="39">
        <f t="shared" si="380"/>
        <v>5.5895012015404353</v>
      </c>
      <c r="DI545" s="39">
        <f t="shared" si="385"/>
        <v>7.9323081655799408</v>
      </c>
      <c r="DJ545" s="37"/>
      <c r="DK545" s="39">
        <v>77.2</v>
      </c>
      <c r="DL545" s="37"/>
      <c r="DM545" s="39">
        <f t="shared" si="386"/>
        <v>1.8454727219527671</v>
      </c>
      <c r="DN545" s="39"/>
      <c r="DO545" s="39">
        <f t="shared" si="387"/>
        <v>1.8060365761657258</v>
      </c>
      <c r="DP545" s="37"/>
      <c r="DQ545" s="37">
        <f>DO545/'Conversions, Sources &amp; Comments'!E543</f>
        <v>3.892387858599982</v>
      </c>
    </row>
    <row r="546" spans="1:121">
      <c r="A546" s="42">
        <f t="shared" si="381"/>
        <v>1794</v>
      </c>
      <c r="B546" s="36"/>
      <c r="C546" s="38">
        <v>63.08</v>
      </c>
      <c r="D546" s="38">
        <v>0</v>
      </c>
      <c r="E546" s="36"/>
      <c r="F546" s="36"/>
      <c r="G546" s="38">
        <v>21</v>
      </c>
      <c r="H546" s="38">
        <v>3</v>
      </c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8">
        <v>10.92</v>
      </c>
      <c r="W546" s="36"/>
      <c r="X546" s="36"/>
      <c r="Y546" s="36"/>
      <c r="Z546" s="36"/>
      <c r="AA546" s="36"/>
      <c r="AB546" s="59">
        <v>10.833333333333334</v>
      </c>
      <c r="AC546" s="38">
        <v>2</v>
      </c>
      <c r="AD546" s="38">
        <v>6</v>
      </c>
      <c r="AE546" s="38">
        <v>2</v>
      </c>
      <c r="AF546" s="38">
        <v>6</v>
      </c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8">
        <v>48.35</v>
      </c>
      <c r="AT546" s="38">
        <v>4.5</v>
      </c>
      <c r="AU546" s="36"/>
      <c r="AV546" s="36"/>
      <c r="AW546" s="36"/>
      <c r="AX546" s="36"/>
      <c r="AY546" s="36"/>
      <c r="AZ546" s="38">
        <v>168</v>
      </c>
      <c r="BA546" s="36"/>
      <c r="BB546" s="36"/>
      <c r="BC546" s="38">
        <v>8</v>
      </c>
      <c r="BD546" s="38">
        <v>5.75</v>
      </c>
      <c r="BE546" s="36"/>
      <c r="BF546" s="38">
        <v>7</v>
      </c>
      <c r="BG546" s="59">
        <v>39.25</v>
      </c>
      <c r="BH546" s="59">
        <v>6.61</v>
      </c>
      <c r="BI546" s="59">
        <v>0.68311600155949803</v>
      </c>
      <c r="BJ546" s="59">
        <v>13</v>
      </c>
      <c r="BK546" s="38">
        <v>10.30969391304348</v>
      </c>
      <c r="BL546" s="59">
        <v>2.02</v>
      </c>
      <c r="BM546" s="36"/>
      <c r="BN546" s="38">
        <v>62</v>
      </c>
      <c r="BO546" s="36"/>
      <c r="BP546" s="39">
        <f t="shared" si="373"/>
        <v>0.46399193548387102</v>
      </c>
      <c r="BQ546" s="37"/>
      <c r="BR546" s="39">
        <f t="shared" si="374"/>
        <v>1.2458969559987481</v>
      </c>
      <c r="BS546" s="39">
        <f t="shared" si="354"/>
        <v>1.7901239155381363</v>
      </c>
      <c r="BT546" s="39">
        <f t="shared" si="390"/>
        <v>42.623931081195501</v>
      </c>
      <c r="BU546" s="37"/>
      <c r="BV546" s="39">
        <f t="shared" si="375"/>
        <v>0.75112734856106789</v>
      </c>
      <c r="BW546" s="39">
        <f t="shared" si="369"/>
        <v>5.795643063840008</v>
      </c>
      <c r="BX546" s="39">
        <f t="shared" si="383"/>
        <v>0.46481935140576996</v>
      </c>
      <c r="BY546" s="39">
        <f t="shared" si="367"/>
        <v>11.081768339415044</v>
      </c>
      <c r="BZ546" s="39">
        <f t="shared" si="388"/>
        <v>11.39839029196976</v>
      </c>
      <c r="CA546" s="39">
        <f t="shared" si="370"/>
        <v>10.546120577965405</v>
      </c>
      <c r="CB546" s="39">
        <f t="shared" si="371"/>
        <v>2.0663235734416969</v>
      </c>
      <c r="CC546" s="39">
        <f t="shared" si="382"/>
        <v>0.50667919354838709</v>
      </c>
      <c r="CD546" s="37"/>
      <c r="CE546" s="37"/>
      <c r="CF546" s="37"/>
      <c r="CG546" s="37"/>
      <c r="CH546" s="37"/>
      <c r="CI546" s="39">
        <f t="shared" si="366"/>
        <v>4.6031757828123503</v>
      </c>
      <c r="CJ546" s="39">
        <f t="shared" si="384"/>
        <v>0.19996724986431011</v>
      </c>
      <c r="CK546" s="39">
        <f t="shared" si="363"/>
        <v>4.9377653614408205E-2</v>
      </c>
      <c r="CL546" s="37"/>
      <c r="CM546" s="39">
        <f t="shared" si="364"/>
        <v>0.17447934139366858</v>
      </c>
      <c r="CN546" s="37"/>
      <c r="CO546" s="39">
        <f>0.063495+(0.016949+0.014096)*Wages!P544+1.22592*BR546</f>
        <v>2.1670501817818559</v>
      </c>
      <c r="CP546" s="39"/>
      <c r="CQ546" s="39">
        <f t="shared" si="355"/>
        <v>1.7901239155381363</v>
      </c>
      <c r="CR546" s="39">
        <f t="shared" si="389"/>
        <v>0.75112734856106789</v>
      </c>
      <c r="CS546" s="39">
        <f t="shared" si="389"/>
        <v>5.795643063840008</v>
      </c>
      <c r="CT546" s="39">
        <f t="shared" si="372"/>
        <v>10.546120577965405</v>
      </c>
      <c r="CU546" s="39">
        <f t="shared" si="372"/>
        <v>2.0663235734416969</v>
      </c>
      <c r="CV546" s="39">
        <f t="shared" si="372"/>
        <v>0.50667919354838709</v>
      </c>
      <c r="CW546" s="39">
        <f t="shared" si="362"/>
        <v>0</v>
      </c>
      <c r="CX546" s="39">
        <f t="shared" si="352"/>
        <v>4.6031757828123503</v>
      </c>
      <c r="CY546" s="39">
        <f t="shared" si="376"/>
        <v>11.39839029196976</v>
      </c>
      <c r="CZ546" s="39">
        <f t="shared" si="377"/>
        <v>0.46481935140576996</v>
      </c>
      <c r="DA546" s="39">
        <f t="shared" si="368"/>
        <v>11.081768339415044</v>
      </c>
      <c r="DB546" s="39">
        <f t="shared" si="391"/>
        <v>6.8198289729912798</v>
      </c>
      <c r="DC546" s="39">
        <f t="shared" si="378"/>
        <v>11.081768339415044</v>
      </c>
      <c r="DD546" s="39">
        <v>4</v>
      </c>
      <c r="DE546" s="39">
        <f t="shared" si="365"/>
        <v>4.9377653614408205E-2</v>
      </c>
      <c r="DF546" s="39">
        <v>0.19996724986431011</v>
      </c>
      <c r="DG546" s="39">
        <f t="shared" si="379"/>
        <v>0</v>
      </c>
      <c r="DH546" s="39">
        <f t="shared" si="380"/>
        <v>5.5895012015404353</v>
      </c>
      <c r="DI546" s="39">
        <f t="shared" si="385"/>
        <v>8.2532192770774735</v>
      </c>
      <c r="DJ546" s="37"/>
      <c r="DK546" s="39">
        <v>80.099999999999994</v>
      </c>
      <c r="DL546" s="37"/>
      <c r="DM546" s="39">
        <f t="shared" si="386"/>
        <v>1.9815653562140747</v>
      </c>
      <c r="DN546" s="39"/>
      <c r="DO546" s="39">
        <f t="shared" si="387"/>
        <v>1.87387991905278</v>
      </c>
      <c r="DP546" s="37"/>
      <c r="DQ546" s="37">
        <f>DO546/'Conversions, Sources &amp; Comments'!E544</f>
        <v>4.0386045009567164</v>
      </c>
    </row>
    <row r="547" spans="1:121">
      <c r="A547" s="42">
        <f t="shared" si="381"/>
        <v>1795</v>
      </c>
      <c r="B547" s="36"/>
      <c r="C547" s="38">
        <v>99.83</v>
      </c>
      <c r="D547" s="38">
        <v>0</v>
      </c>
      <c r="E547" s="36"/>
      <c r="F547" s="36"/>
      <c r="G547" s="38">
        <v>24</v>
      </c>
      <c r="H547" s="38">
        <v>5</v>
      </c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8">
        <v>10.5</v>
      </c>
      <c r="W547" s="36"/>
      <c r="X547" s="36"/>
      <c r="Y547" s="36"/>
      <c r="Z547" s="36"/>
      <c r="AA547" s="36"/>
      <c r="AB547" s="59">
        <v>10.666666666666666</v>
      </c>
      <c r="AC547" s="38">
        <v>2</v>
      </c>
      <c r="AD547" s="38">
        <v>6</v>
      </c>
      <c r="AE547" s="38">
        <v>2</v>
      </c>
      <c r="AF547" s="38">
        <v>6</v>
      </c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8">
        <v>35.06</v>
      </c>
      <c r="AT547" s="38">
        <v>5.5</v>
      </c>
      <c r="AU547" s="36"/>
      <c r="AV547" s="36"/>
      <c r="AW547" s="36"/>
      <c r="AX547" s="36"/>
      <c r="AY547" s="36"/>
      <c r="AZ547" s="38">
        <v>168</v>
      </c>
      <c r="BA547" s="36"/>
      <c r="BB547" s="36"/>
      <c r="BC547" s="38">
        <v>8</v>
      </c>
      <c r="BD547" s="36"/>
      <c r="BE547" s="38">
        <v>6.33</v>
      </c>
      <c r="BF547" s="38">
        <v>9.6</v>
      </c>
      <c r="BG547" s="59">
        <v>46.17</v>
      </c>
      <c r="BH547" s="59">
        <v>7.31</v>
      </c>
      <c r="BI547" s="59">
        <v>0.68311600155949803</v>
      </c>
      <c r="BJ547" s="59">
        <v>13</v>
      </c>
      <c r="BK547" s="38">
        <v>10.444285217391304</v>
      </c>
      <c r="BL547" s="59">
        <v>2.36</v>
      </c>
      <c r="BM547" s="36"/>
      <c r="BN547" s="38">
        <v>62</v>
      </c>
      <c r="BO547" s="36"/>
      <c r="BP547" s="39">
        <f t="shared" si="373"/>
        <v>0.46399193548387102</v>
      </c>
      <c r="BQ547" s="37"/>
      <c r="BR547" s="39">
        <f t="shared" si="374"/>
        <v>1.9717484641305485</v>
      </c>
      <c r="BS547" s="39">
        <f t="shared" si="354"/>
        <v>2.4550270841665869</v>
      </c>
      <c r="BT547" s="39">
        <f t="shared" si="390"/>
        <v>42.623931081195501</v>
      </c>
      <c r="BU547" s="37"/>
      <c r="BV547" s="39">
        <f t="shared" si="375"/>
        <v>0.88355540593794912</v>
      </c>
      <c r="BW547" s="39">
        <f t="shared" si="369"/>
        <v>6.4094025410999178</v>
      </c>
      <c r="BX547" s="39">
        <f t="shared" si="383"/>
        <v>0.46481935140576996</v>
      </c>
      <c r="BY547" s="39">
        <f t="shared" si="367"/>
        <v>10.911279595731733</v>
      </c>
      <c r="BZ547" s="39">
        <f t="shared" si="388"/>
        <v>11.39839029196976</v>
      </c>
      <c r="CA547" s="39">
        <f t="shared" si="370"/>
        <v>10.683798392299154</v>
      </c>
      <c r="CB547" s="39">
        <f t="shared" si="371"/>
        <v>2.4141206105556461</v>
      </c>
      <c r="CC547" s="39">
        <f t="shared" si="382"/>
        <v>0.48719153225806455</v>
      </c>
      <c r="CD547" s="37"/>
      <c r="CE547" s="37"/>
      <c r="CF547" s="37"/>
      <c r="CG547" s="37"/>
      <c r="CH547" s="37"/>
      <c r="CI547" s="39">
        <f t="shared" si="366"/>
        <v>5.6261037345484279</v>
      </c>
      <c r="CJ547" s="39">
        <f t="shared" si="384"/>
        <v>0.1450021050722381</v>
      </c>
      <c r="CK547" s="39">
        <f t="shared" ref="CK547:CK568" si="392">BP547*(12*AC547+AD547)/(35.238*8)</f>
        <v>4.9377653614408205E-2</v>
      </c>
      <c r="CL547" s="37"/>
      <c r="CM547" s="39">
        <f t="shared" ref="CM547:CM568" si="393">BP547*(12*$AC547+$AD547)/(35.238*8)/0.283</f>
        <v>0.17447934139366858</v>
      </c>
      <c r="CN547" s="37"/>
      <c r="CO547" s="39">
        <f>0.063495+(0.016949+0.014096)*Wages!P545+1.22592*BR547</f>
        <v>3.0568860626307925</v>
      </c>
      <c r="CP547" s="39"/>
      <c r="CQ547" s="39">
        <f t="shared" si="355"/>
        <v>2.4550270841665869</v>
      </c>
      <c r="CR547" s="39">
        <f t="shared" si="389"/>
        <v>0.88355540593794912</v>
      </c>
      <c r="CS547" s="39">
        <f t="shared" si="389"/>
        <v>6.4094025410999178</v>
      </c>
      <c r="CT547" s="39">
        <f t="shared" si="372"/>
        <v>10.683798392299154</v>
      </c>
      <c r="CU547" s="39">
        <f t="shared" si="372"/>
        <v>2.4141206105556461</v>
      </c>
      <c r="CV547" s="39">
        <f t="shared" si="372"/>
        <v>0.48719153225806455</v>
      </c>
      <c r="CW547" s="39">
        <f t="shared" si="362"/>
        <v>0</v>
      </c>
      <c r="CX547" s="39">
        <f t="shared" si="352"/>
        <v>5.6261037345484279</v>
      </c>
      <c r="CY547" s="39">
        <f t="shared" si="376"/>
        <v>11.39839029196976</v>
      </c>
      <c r="CZ547" s="39">
        <f t="shared" si="377"/>
        <v>0.46481935140576996</v>
      </c>
      <c r="DA547" s="39">
        <f t="shared" si="368"/>
        <v>10.911279595731733</v>
      </c>
      <c r="DB547" s="39">
        <f t="shared" si="391"/>
        <v>6.8198289729912798</v>
      </c>
      <c r="DC547" s="39">
        <f t="shared" si="378"/>
        <v>10.911279595731733</v>
      </c>
      <c r="DD547" s="39">
        <v>4</v>
      </c>
      <c r="DE547" s="39">
        <f t="shared" si="365"/>
        <v>4.9377653614408205E-2</v>
      </c>
      <c r="DF547" s="39">
        <v>0.1450021050722381</v>
      </c>
      <c r="DG547" s="39">
        <f t="shared" si="379"/>
        <v>0</v>
      </c>
      <c r="DH547" s="39">
        <f t="shared" si="380"/>
        <v>5.5895012015404353</v>
      </c>
      <c r="DI547" s="39">
        <f t="shared" si="385"/>
        <v>5.9846508346294973</v>
      </c>
      <c r="DJ547" s="37"/>
      <c r="DK547" s="39">
        <v>93.4</v>
      </c>
      <c r="DL547" s="37"/>
      <c r="DM547" s="39">
        <f t="shared" si="386"/>
        <v>2.329797229333975</v>
      </c>
      <c r="DN547" s="39"/>
      <c r="DO547" s="39">
        <f t="shared" si="387"/>
        <v>2.1850235260865123</v>
      </c>
      <c r="DP547" s="37"/>
      <c r="DQ547" s="37">
        <f>DO547/'Conversions, Sources &amp; Comments'!E545</f>
        <v>4.7091842745238113</v>
      </c>
    </row>
    <row r="548" spans="1:121">
      <c r="A548" s="42">
        <f t="shared" si="381"/>
        <v>1796</v>
      </c>
      <c r="B548" s="36"/>
      <c r="C548" s="38">
        <v>57.25</v>
      </c>
      <c r="D548" s="38">
        <v>0</v>
      </c>
      <c r="E548" s="36"/>
      <c r="F548" s="36"/>
      <c r="G548" s="38">
        <v>21</v>
      </c>
      <c r="H548" s="38">
        <v>10</v>
      </c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8">
        <v>11.33</v>
      </c>
      <c r="W548" s="36"/>
      <c r="X548" s="36"/>
      <c r="Y548" s="36"/>
      <c r="Z548" s="36"/>
      <c r="AA548" s="36"/>
      <c r="AB548" s="59">
        <v>10</v>
      </c>
      <c r="AC548" s="38">
        <v>2</v>
      </c>
      <c r="AD548" s="38">
        <v>6</v>
      </c>
      <c r="AE548" s="38">
        <v>2</v>
      </c>
      <c r="AF548" s="38">
        <v>6</v>
      </c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8">
        <v>4</v>
      </c>
      <c r="AU548" s="36"/>
      <c r="AV548" s="36"/>
      <c r="AW548" s="36"/>
      <c r="AX548" s="36"/>
      <c r="AY548" s="36"/>
      <c r="AZ548" s="38">
        <v>168</v>
      </c>
      <c r="BA548" s="36"/>
      <c r="BB548" s="36"/>
      <c r="BC548" s="38">
        <v>8</v>
      </c>
      <c r="BD548" s="38">
        <v>5.25</v>
      </c>
      <c r="BE548" s="38">
        <v>6.33</v>
      </c>
      <c r="BF548" s="38">
        <v>9.6999999999999993</v>
      </c>
      <c r="BG548" s="59">
        <v>38.33</v>
      </c>
      <c r="BH548" s="59">
        <v>8.26</v>
      </c>
      <c r="BI548" s="59">
        <v>0.70664735860090777</v>
      </c>
      <c r="BJ548" s="59">
        <v>13.5</v>
      </c>
      <c r="BK548" s="38">
        <v>9.8655426086956535</v>
      </c>
      <c r="BL548" s="59">
        <v>2.69</v>
      </c>
      <c r="BM548" s="36"/>
      <c r="BN548" s="38">
        <v>62</v>
      </c>
      <c r="BO548" s="36"/>
      <c r="BP548" s="39">
        <f t="shared" si="373"/>
        <v>0.46399193548387102</v>
      </c>
      <c r="BQ548" s="37"/>
      <c r="BR548" s="39">
        <f t="shared" si="374"/>
        <v>1.1307482677699479</v>
      </c>
      <c r="BS548" s="39">
        <f t="shared" si="354"/>
        <v>2.4806002829599887</v>
      </c>
      <c r="BT548" s="39">
        <f t="shared" si="390"/>
        <v>42.623931081195501</v>
      </c>
      <c r="BU548" s="37"/>
      <c r="BV548" s="39">
        <f t="shared" si="375"/>
        <v>0.73352130625084655</v>
      </c>
      <c r="BW548" s="39">
        <f t="shared" si="369"/>
        <v>7.2423618316669387</v>
      </c>
      <c r="BX548" s="39">
        <f t="shared" si="383"/>
        <v>0.48083102452236437</v>
      </c>
      <c r="BY548" s="39">
        <f t="shared" si="367"/>
        <v>10.229324620998501</v>
      </c>
      <c r="BZ548" s="39">
        <f t="shared" si="388"/>
        <v>11.83678991858398</v>
      </c>
      <c r="CA548" s="39">
        <f t="shared" si="370"/>
        <v>10.091783790664023</v>
      </c>
      <c r="CB548" s="39">
        <f t="shared" si="371"/>
        <v>2.7516883230485965</v>
      </c>
      <c r="CC548" s="39">
        <f t="shared" si="382"/>
        <v>0.52570286290322588</v>
      </c>
      <c r="CD548" s="37"/>
      <c r="CE548" s="37"/>
      <c r="CF548" s="37"/>
      <c r="CG548" s="37"/>
      <c r="CH548" s="37"/>
      <c r="CI548" s="39">
        <f t="shared" si="366"/>
        <v>4.0917118069443115</v>
      </c>
      <c r="CJ548" s="39">
        <f t="shared" si="384"/>
        <v>0</v>
      </c>
      <c r="CK548" s="39">
        <f t="shared" si="392"/>
        <v>4.9377653614408205E-2</v>
      </c>
      <c r="CL548" s="37"/>
      <c r="CM548" s="39">
        <f t="shared" si="393"/>
        <v>0.17447934139366858</v>
      </c>
      <c r="CN548" s="37"/>
      <c r="CO548" s="39">
        <f>0.063495+(0.016949+0.014096)*Wages!P546+1.22592*BR548</f>
        <v>2.0546963611825988</v>
      </c>
      <c r="CP548" s="39"/>
      <c r="CQ548" s="39">
        <f t="shared" si="355"/>
        <v>2.4806002829599887</v>
      </c>
      <c r="CR548" s="39">
        <f t="shared" si="389"/>
        <v>0.73352130625084655</v>
      </c>
      <c r="CS548" s="39">
        <f t="shared" si="389"/>
        <v>7.2423618316669387</v>
      </c>
      <c r="CT548" s="39">
        <f t="shared" si="372"/>
        <v>10.091783790664023</v>
      </c>
      <c r="CU548" s="39">
        <f t="shared" si="372"/>
        <v>2.7516883230485965</v>
      </c>
      <c r="CV548" s="39">
        <f t="shared" si="372"/>
        <v>0.52570286290322588</v>
      </c>
      <c r="CW548" s="39">
        <f t="shared" si="362"/>
        <v>0</v>
      </c>
      <c r="CX548" s="39">
        <f t="shared" si="352"/>
        <v>4.0917118069443115</v>
      </c>
      <c r="CY548" s="39">
        <f t="shared" si="376"/>
        <v>11.83678991858398</v>
      </c>
      <c r="CZ548" s="39">
        <f t="shared" si="377"/>
        <v>0.48083102452236437</v>
      </c>
      <c r="DA548" s="39">
        <f t="shared" si="368"/>
        <v>10.229324620998501</v>
      </c>
      <c r="DB548" s="39">
        <f t="shared" si="391"/>
        <v>6.8198289729912798</v>
      </c>
      <c r="DC548" s="39">
        <f t="shared" si="378"/>
        <v>10.229324620998501</v>
      </c>
      <c r="DD548" s="39">
        <v>4</v>
      </c>
      <c r="DE548" s="39">
        <f t="shared" si="365"/>
        <v>4.9377653614408205E-2</v>
      </c>
      <c r="DF548" s="39">
        <v>0.17</v>
      </c>
      <c r="DG548" s="39">
        <f t="shared" si="379"/>
        <v>0</v>
      </c>
      <c r="DH548" s="39">
        <f t="shared" si="380"/>
        <v>5.5895012015404353</v>
      </c>
      <c r="DI548" s="39">
        <f t="shared" si="385"/>
        <v>7.016385323372818</v>
      </c>
      <c r="DJ548" s="37"/>
      <c r="DK548" s="39">
        <v>98.1</v>
      </c>
      <c r="DL548" s="37"/>
      <c r="DM548" s="39">
        <f t="shared" si="386"/>
        <v>2.3745236036514377</v>
      </c>
      <c r="DN548" s="39"/>
      <c r="DO548" s="39">
        <f t="shared" si="387"/>
        <v>2.2949765300758762</v>
      </c>
      <c r="DP548" s="37"/>
      <c r="DQ548" s="37">
        <f>DO548/'Conversions, Sources &amp; Comments'!E546</f>
        <v>4.9461560742054163</v>
      </c>
    </row>
    <row r="549" spans="1:121">
      <c r="A549" s="42">
        <f t="shared" si="381"/>
        <v>1797</v>
      </c>
      <c r="B549" s="36"/>
      <c r="C549" s="38">
        <v>64.75</v>
      </c>
      <c r="D549" s="38">
        <v>0</v>
      </c>
      <c r="E549" s="36"/>
      <c r="F549" s="36"/>
      <c r="G549" s="38">
        <v>16</v>
      </c>
      <c r="H549" s="38">
        <v>3</v>
      </c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8">
        <v>10.5</v>
      </c>
      <c r="W549" s="36"/>
      <c r="X549" s="36"/>
      <c r="Y549" s="36"/>
      <c r="Z549" s="36"/>
      <c r="AA549" s="36"/>
      <c r="AB549" s="59">
        <v>9.6666666666666661</v>
      </c>
      <c r="AC549" s="38">
        <v>3</v>
      </c>
      <c r="AD549" s="38">
        <v>6</v>
      </c>
      <c r="AE549" s="38">
        <v>3</v>
      </c>
      <c r="AF549" s="38">
        <v>6</v>
      </c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8">
        <v>48.31</v>
      </c>
      <c r="AT549" s="38">
        <v>4</v>
      </c>
      <c r="AU549" s="36"/>
      <c r="AV549" s="36"/>
      <c r="AW549" s="36"/>
      <c r="AX549" s="36"/>
      <c r="AY549" s="36"/>
      <c r="AZ549" s="38">
        <v>168</v>
      </c>
      <c r="BA549" s="36"/>
      <c r="BB549" s="36"/>
      <c r="BC549" s="38">
        <v>8</v>
      </c>
      <c r="BD549" s="38">
        <v>5.25</v>
      </c>
      <c r="BE549" s="38">
        <v>6.33</v>
      </c>
      <c r="BF549" s="38">
        <v>7.6</v>
      </c>
      <c r="BG549" s="59">
        <v>26.67</v>
      </c>
      <c r="BH549" s="59">
        <v>8.82</v>
      </c>
      <c r="BI549" s="59">
        <v>0.70664735860090777</v>
      </c>
      <c r="BJ549" s="59">
        <v>14</v>
      </c>
      <c r="BK549" s="38">
        <v>9.8924608695652179</v>
      </c>
      <c r="BL549" s="59">
        <v>2.86</v>
      </c>
      <c r="BM549" s="36"/>
      <c r="BN549" s="38">
        <v>62</v>
      </c>
      <c r="BO549" s="36"/>
      <c r="BP549" s="39">
        <f t="shared" si="373"/>
        <v>0.46399193548387102</v>
      </c>
      <c r="BQ549" s="37"/>
      <c r="BR549" s="39">
        <f t="shared" si="374"/>
        <v>1.2788812286131725</v>
      </c>
      <c r="BS549" s="39">
        <f t="shared" si="354"/>
        <v>1.9435631082985478</v>
      </c>
      <c r="BT549" s="39">
        <f t="shared" si="390"/>
        <v>42.623931081195501</v>
      </c>
      <c r="BU549" s="37"/>
      <c r="BV549" s="39">
        <f t="shared" si="375"/>
        <v>0.51038385697130395</v>
      </c>
      <c r="BW549" s="39">
        <f t="shared" si="369"/>
        <v>7.7333694134748674</v>
      </c>
      <c r="BX549" s="39">
        <f t="shared" si="383"/>
        <v>0.48083102452236437</v>
      </c>
      <c r="BY549" s="39">
        <f t="shared" si="367"/>
        <v>9.888347133631882</v>
      </c>
      <c r="BZ549" s="39">
        <f t="shared" si="388"/>
        <v>12.2751895451982</v>
      </c>
      <c r="CA549" s="39">
        <f t="shared" si="370"/>
        <v>10.119319353530773</v>
      </c>
      <c r="CB549" s="39">
        <f t="shared" si="371"/>
        <v>2.925586841605571</v>
      </c>
      <c r="CC549" s="39">
        <f t="shared" si="382"/>
        <v>0.48719153225806455</v>
      </c>
      <c r="CD549" s="37"/>
      <c r="CE549" s="37"/>
      <c r="CF549" s="37"/>
      <c r="CG549" s="37"/>
      <c r="CH549" s="37"/>
      <c r="CI549" s="39">
        <f t="shared" ref="CI549:CI582" si="394">BP549*12*AT549/(12*0.453592)</f>
        <v>4.0917118069443115</v>
      </c>
      <c r="CJ549" s="39">
        <f t="shared" si="384"/>
        <v>0.19980181677238512</v>
      </c>
      <c r="CK549" s="39">
        <f t="shared" si="392"/>
        <v>6.9128715060171486E-2</v>
      </c>
      <c r="CL549" s="37"/>
      <c r="CM549" s="39">
        <f t="shared" si="393"/>
        <v>0.24427107795113601</v>
      </c>
      <c r="CN549" s="37"/>
      <c r="CO549" s="39">
        <f>0.063495+(0.016949+0.014096)*Wages!P547+1.22592*BR549</f>
        <v>2.293914039087912</v>
      </c>
      <c r="CP549" s="39"/>
      <c r="CQ549" s="39">
        <f t="shared" si="355"/>
        <v>1.9435631082985478</v>
      </c>
      <c r="CR549" s="39">
        <f t="shared" si="389"/>
        <v>0.51038385697130395</v>
      </c>
      <c r="CS549" s="39">
        <f t="shared" si="389"/>
        <v>7.7333694134748674</v>
      </c>
      <c r="CT549" s="39">
        <f t="shared" si="372"/>
        <v>10.119319353530773</v>
      </c>
      <c r="CU549" s="39">
        <f t="shared" si="372"/>
        <v>2.925586841605571</v>
      </c>
      <c r="CV549" s="39">
        <f t="shared" si="372"/>
        <v>0.48719153225806455</v>
      </c>
      <c r="CW549" s="39">
        <f t="shared" si="362"/>
        <v>0</v>
      </c>
      <c r="CX549" s="39">
        <f t="shared" ref="CX549:CX582" si="395">CI549</f>
        <v>4.0917118069443115</v>
      </c>
      <c r="CY549" s="39">
        <f t="shared" si="376"/>
        <v>12.2751895451982</v>
      </c>
      <c r="CZ549" s="39">
        <f t="shared" si="377"/>
        <v>0.48083102452236437</v>
      </c>
      <c r="DA549" s="39">
        <f t="shared" si="368"/>
        <v>9.888347133631882</v>
      </c>
      <c r="DB549" s="39">
        <f t="shared" si="391"/>
        <v>6.8198289729912798</v>
      </c>
      <c r="DC549" s="39">
        <f t="shared" si="378"/>
        <v>9.888347133631882</v>
      </c>
      <c r="DD549" s="39">
        <v>4</v>
      </c>
      <c r="DE549" s="39">
        <f t="shared" si="365"/>
        <v>6.9128715060171486E-2</v>
      </c>
      <c r="DF549" s="39">
        <v>0.19980181677238515</v>
      </c>
      <c r="DG549" s="39">
        <f t="shared" si="379"/>
        <v>0</v>
      </c>
      <c r="DH549" s="39">
        <f t="shared" si="380"/>
        <v>7.8253016821566099</v>
      </c>
      <c r="DI549" s="39">
        <f t="shared" si="385"/>
        <v>8.2463913810881646</v>
      </c>
      <c r="DJ549" s="37"/>
      <c r="DK549" s="39">
        <v>87.1</v>
      </c>
      <c r="DL549" s="37"/>
      <c r="DM549" s="39">
        <f t="shared" si="386"/>
        <v>2.1621177115016601</v>
      </c>
      <c r="DN549" s="39"/>
      <c r="DO549" s="39">
        <f t="shared" si="387"/>
        <v>2.0376397122284287</v>
      </c>
      <c r="DP549" s="37"/>
      <c r="DQ549" s="37">
        <f>DO549/'Conversions, Sources &amp; Comments'!E547</f>
        <v>4.391541223886767</v>
      </c>
    </row>
    <row r="550" spans="1:121">
      <c r="A550" s="42">
        <f t="shared" si="381"/>
        <v>1798</v>
      </c>
      <c r="B550" s="36"/>
      <c r="C550" s="38">
        <v>56.83</v>
      </c>
      <c r="D550" s="38">
        <v>0</v>
      </c>
      <c r="E550" s="36"/>
      <c r="F550" s="36"/>
      <c r="G550" s="38">
        <v>19</v>
      </c>
      <c r="H550" s="38">
        <v>5</v>
      </c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8">
        <v>12.17</v>
      </c>
      <c r="W550" s="36"/>
      <c r="X550" s="36"/>
      <c r="Y550" s="36"/>
      <c r="Z550" s="36"/>
      <c r="AA550" s="36"/>
      <c r="AB550" s="59">
        <v>10.333333333333334</v>
      </c>
      <c r="AC550" s="38">
        <v>3</v>
      </c>
      <c r="AD550" s="38">
        <v>6</v>
      </c>
      <c r="AE550" s="38">
        <v>3</v>
      </c>
      <c r="AF550" s="38">
        <v>6</v>
      </c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8">
        <v>58.77</v>
      </c>
      <c r="AT550" s="38">
        <v>4.5</v>
      </c>
      <c r="AU550" s="36"/>
      <c r="AV550" s="36"/>
      <c r="AW550" s="36"/>
      <c r="AX550" s="36"/>
      <c r="AY550" s="36"/>
      <c r="AZ550" s="38">
        <v>168</v>
      </c>
      <c r="BA550" s="36"/>
      <c r="BB550" s="36"/>
      <c r="BC550" s="38">
        <v>8</v>
      </c>
      <c r="BD550" s="38">
        <v>5.25</v>
      </c>
      <c r="BE550" s="38">
        <v>6.33</v>
      </c>
      <c r="BF550" s="38">
        <v>7.7</v>
      </c>
      <c r="BG550" s="59">
        <v>30</v>
      </c>
      <c r="BH550" s="59">
        <v>8.2200000000000006</v>
      </c>
      <c r="BI550" s="59">
        <v>0.70664735860090777</v>
      </c>
      <c r="BJ550" s="59">
        <v>14.64</v>
      </c>
      <c r="BK550" s="38">
        <v>10.027052173913043</v>
      </c>
      <c r="BL550" s="59">
        <v>2.86</v>
      </c>
      <c r="BM550" s="36"/>
      <c r="BN550" s="38">
        <v>62</v>
      </c>
      <c r="BO550" s="36"/>
      <c r="BP550" s="39">
        <f t="shared" si="373"/>
        <v>0.46399193548387102</v>
      </c>
      <c r="BQ550" s="37"/>
      <c r="BR550" s="39">
        <f t="shared" si="374"/>
        <v>1.1224528219627272</v>
      </c>
      <c r="BS550" s="39">
        <f t="shared" si="354"/>
        <v>1.9691363070919501</v>
      </c>
      <c r="BT550" s="39">
        <f t="shared" si="390"/>
        <v>42.623931081195501</v>
      </c>
      <c r="BU550" s="37"/>
      <c r="BV550" s="39">
        <f t="shared" si="375"/>
        <v>0.57411007533330027</v>
      </c>
      <c r="BW550" s="39">
        <f t="shared" si="369"/>
        <v>7.2072898615378023</v>
      </c>
      <c r="BX550" s="39">
        <f t="shared" si="383"/>
        <v>0.48083102452236437</v>
      </c>
      <c r="BY550" s="39">
        <f t="shared" si="367"/>
        <v>10.570302108365118</v>
      </c>
      <c r="BZ550" s="39">
        <f t="shared" si="388"/>
        <v>12.836341067264406</v>
      </c>
      <c r="CA550" s="39">
        <f t="shared" si="370"/>
        <v>10.256997167864524</v>
      </c>
      <c r="CB550" s="39">
        <f t="shared" si="371"/>
        <v>2.925586841605571</v>
      </c>
      <c r="CC550" s="39">
        <f t="shared" si="382"/>
        <v>0.56467818548387094</v>
      </c>
      <c r="CD550" s="37"/>
      <c r="CE550" s="37"/>
      <c r="CF550" s="37"/>
      <c r="CG550" s="37"/>
      <c r="CH550" s="37"/>
      <c r="CI550" s="39">
        <f t="shared" si="394"/>
        <v>4.6031757828123503</v>
      </c>
      <c r="CJ550" s="39">
        <f t="shared" si="384"/>
        <v>0.24306257031076534</v>
      </c>
      <c r="CK550" s="39">
        <f t="shared" si="392"/>
        <v>6.9128715060171486E-2</v>
      </c>
      <c r="CL550" s="37"/>
      <c r="CM550" s="39">
        <f t="shared" si="393"/>
        <v>0.24427107795113601</v>
      </c>
      <c r="CN550" s="37"/>
      <c r="CO550" s="39">
        <f>0.063495+(0.016949+0.014096)*Wages!P548+1.22592*BR550</f>
        <v>2.1309545860811916</v>
      </c>
      <c r="CP550" s="39"/>
      <c r="CQ550" s="39">
        <f t="shared" si="355"/>
        <v>1.9691363070919501</v>
      </c>
      <c r="CR550" s="39">
        <f t="shared" si="389"/>
        <v>0.57411007533330027</v>
      </c>
      <c r="CS550" s="39">
        <f t="shared" si="389"/>
        <v>7.2072898615378023</v>
      </c>
      <c r="CT550" s="39">
        <f t="shared" si="372"/>
        <v>10.256997167864524</v>
      </c>
      <c r="CU550" s="39">
        <f t="shared" si="372"/>
        <v>2.925586841605571</v>
      </c>
      <c r="CV550" s="39">
        <f t="shared" si="372"/>
        <v>0.56467818548387094</v>
      </c>
      <c r="CW550" s="39">
        <f t="shared" si="362"/>
        <v>0</v>
      </c>
      <c r="CX550" s="39">
        <f t="shared" si="395"/>
        <v>4.6031757828123503</v>
      </c>
      <c r="CY550" s="39">
        <f t="shared" si="376"/>
        <v>12.836341067264406</v>
      </c>
      <c r="CZ550" s="39">
        <f t="shared" si="377"/>
        <v>0.48083102452236437</v>
      </c>
      <c r="DA550" s="39">
        <f t="shared" si="368"/>
        <v>10.570302108365118</v>
      </c>
      <c r="DB550" s="39">
        <f t="shared" si="391"/>
        <v>6.8198289729912798</v>
      </c>
      <c r="DC550" s="39">
        <f t="shared" si="378"/>
        <v>10.570302108365118</v>
      </c>
      <c r="DD550" s="39">
        <v>4</v>
      </c>
      <c r="DE550" s="39">
        <f t="shared" si="365"/>
        <v>6.9128715060171486E-2</v>
      </c>
      <c r="DF550" s="39">
        <v>0.24306257031076539</v>
      </c>
      <c r="DG550" s="39">
        <f t="shared" si="379"/>
        <v>0</v>
      </c>
      <c r="DH550" s="39">
        <f t="shared" si="380"/>
        <v>7.8253016821566099</v>
      </c>
      <c r="DI550" s="39">
        <f t="shared" si="385"/>
        <v>10.031886182292517</v>
      </c>
      <c r="DJ550" s="37"/>
      <c r="DK550" s="39">
        <v>87.8</v>
      </c>
      <c r="DL550" s="37"/>
      <c r="DM550" s="39">
        <f t="shared" si="386"/>
        <v>2.168339504088018</v>
      </c>
      <c r="DN550" s="39"/>
      <c r="DO550" s="39">
        <f t="shared" si="387"/>
        <v>2.0540156915459935</v>
      </c>
      <c r="DP550" s="37"/>
      <c r="DQ550" s="37">
        <f>DO550/'Conversions, Sources &amp; Comments'!E548</f>
        <v>4.4268348961797717</v>
      </c>
    </row>
    <row r="551" spans="1:121">
      <c r="A551" s="42">
        <f t="shared" si="381"/>
        <v>1799</v>
      </c>
      <c r="B551" s="36"/>
      <c r="C551" s="38">
        <v>112</v>
      </c>
      <c r="D551" s="38">
        <v>0</v>
      </c>
      <c r="E551" s="36"/>
      <c r="F551" s="36"/>
      <c r="G551" s="38">
        <v>27</v>
      </c>
      <c r="H551" s="38">
        <v>6</v>
      </c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8">
        <v>12.83</v>
      </c>
      <c r="W551" s="36"/>
      <c r="X551" s="36"/>
      <c r="Y551" s="36"/>
      <c r="Z551" s="36"/>
      <c r="AA551" s="36"/>
      <c r="AB551" s="59">
        <v>10.333333333333334</v>
      </c>
      <c r="AC551" s="38">
        <v>3</v>
      </c>
      <c r="AD551" s="38">
        <v>6</v>
      </c>
      <c r="AE551" s="38">
        <v>3</v>
      </c>
      <c r="AF551" s="38">
        <v>6</v>
      </c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8">
        <v>56.7</v>
      </c>
      <c r="AT551" s="38">
        <v>6</v>
      </c>
      <c r="AU551" s="36"/>
      <c r="AV551" s="36"/>
      <c r="AW551" s="36"/>
      <c r="AX551" s="36"/>
      <c r="AY551" s="36"/>
      <c r="AZ551" s="38">
        <v>168</v>
      </c>
      <c r="BA551" s="36"/>
      <c r="BB551" s="36"/>
      <c r="BC551" s="38">
        <v>8</v>
      </c>
      <c r="BD551" s="38">
        <v>5.25</v>
      </c>
      <c r="BE551" s="38">
        <v>6.33</v>
      </c>
      <c r="BF551" s="38">
        <v>9.6</v>
      </c>
      <c r="BG551" s="59">
        <v>44.33</v>
      </c>
      <c r="BH551" s="59">
        <v>8.64</v>
      </c>
      <c r="BI551" s="59">
        <v>0.82444547327967954</v>
      </c>
      <c r="BJ551" s="59">
        <v>13</v>
      </c>
      <c r="BK551" s="38">
        <v>11.332587826086955</v>
      </c>
      <c r="BL551" s="59">
        <v>3.24</v>
      </c>
      <c r="BM551" s="36"/>
      <c r="BN551" s="38">
        <v>62</v>
      </c>
      <c r="BO551" s="36"/>
      <c r="BP551" s="39">
        <f t="shared" si="373"/>
        <v>0.46399193548387102</v>
      </c>
      <c r="BQ551" s="37"/>
      <c r="BR551" s="39">
        <f t="shared" si="374"/>
        <v>2.2121188819254876</v>
      </c>
      <c r="BS551" s="39">
        <f t="shared" si="354"/>
        <v>2.4550270841665869</v>
      </c>
      <c r="BT551" s="39">
        <f t="shared" si="390"/>
        <v>42.623931081195501</v>
      </c>
      <c r="BU551" s="37"/>
      <c r="BV551" s="39">
        <f t="shared" si="375"/>
        <v>0.84834332131750667</v>
      </c>
      <c r="BW551" s="39">
        <f t="shared" si="369"/>
        <v>7.5755455478937481</v>
      </c>
      <c r="BX551" s="39">
        <f t="shared" si="383"/>
        <v>0.56098555631024283</v>
      </c>
      <c r="BY551" s="39">
        <f t="shared" ref="BY551:BY582" si="396">$BP551*12*$AB551/(12*0.45359)</f>
        <v>10.570302108365118</v>
      </c>
      <c r="BZ551" s="39">
        <f t="shared" si="388"/>
        <v>11.39839029196976</v>
      </c>
      <c r="CA551" s="39">
        <f t="shared" si="370"/>
        <v>11.592471966901918</v>
      </c>
      <c r="CB551" s="39">
        <f t="shared" si="371"/>
        <v>3.3143011772035145</v>
      </c>
      <c r="CC551" s="39">
        <f t="shared" si="382"/>
        <v>0.59530165322580653</v>
      </c>
      <c r="CD551" s="37"/>
      <c r="CE551" s="37"/>
      <c r="CF551" s="37"/>
      <c r="CG551" s="37"/>
      <c r="CH551" s="37"/>
      <c r="CI551" s="39">
        <f t="shared" si="394"/>
        <v>6.1375677104164659</v>
      </c>
      <c r="CJ551" s="39">
        <f t="shared" si="384"/>
        <v>0.234501407803648</v>
      </c>
      <c r="CK551" s="39">
        <f t="shared" si="392"/>
        <v>6.9128715060171486E-2</v>
      </c>
      <c r="CL551" s="37"/>
      <c r="CM551" s="39">
        <f t="shared" si="393"/>
        <v>0.24427107795113601</v>
      </c>
      <c r="CN551" s="37"/>
      <c r="CO551" s="39">
        <f>0.063495+(0.016949+0.014096)*Wages!P549+1.22592*BR551</f>
        <v>3.4956072615849325</v>
      </c>
      <c r="CP551" s="39"/>
      <c r="CQ551" s="39">
        <f t="shared" si="355"/>
        <v>2.4550270841665869</v>
      </c>
      <c r="CR551" s="39">
        <f t="shared" si="389"/>
        <v>0.84834332131750667</v>
      </c>
      <c r="CS551" s="39">
        <f t="shared" si="389"/>
        <v>7.5755455478937481</v>
      </c>
      <c r="CT551" s="39">
        <f t="shared" si="372"/>
        <v>11.592471966901918</v>
      </c>
      <c r="CU551" s="39">
        <f t="shared" si="372"/>
        <v>3.3143011772035145</v>
      </c>
      <c r="CV551" s="39">
        <f t="shared" si="372"/>
        <v>0.59530165322580653</v>
      </c>
      <c r="CW551" s="39">
        <f t="shared" si="362"/>
        <v>0</v>
      </c>
      <c r="CX551" s="39">
        <f t="shared" si="395"/>
        <v>6.1375677104164659</v>
      </c>
      <c r="CY551" s="39">
        <f t="shared" si="376"/>
        <v>11.39839029196976</v>
      </c>
      <c r="CZ551" s="39">
        <f t="shared" si="377"/>
        <v>0.56098555631024283</v>
      </c>
      <c r="DA551" s="39">
        <f t="shared" si="368"/>
        <v>10.570302108365118</v>
      </c>
      <c r="DB551" s="39">
        <f t="shared" si="391"/>
        <v>6.8198289729912798</v>
      </c>
      <c r="DC551" s="39">
        <f t="shared" si="378"/>
        <v>10.570302108365118</v>
      </c>
      <c r="DD551" s="39">
        <v>4</v>
      </c>
      <c r="DE551" s="39">
        <f t="shared" si="365"/>
        <v>6.9128715060171486E-2</v>
      </c>
      <c r="DF551" s="39">
        <v>0.23450140780364809</v>
      </c>
      <c r="DG551" s="39">
        <f t="shared" si="379"/>
        <v>0</v>
      </c>
      <c r="DH551" s="39">
        <f t="shared" si="380"/>
        <v>7.8253016821566099</v>
      </c>
      <c r="DI551" s="39">
        <f t="shared" si="385"/>
        <v>9.6785425648457668</v>
      </c>
      <c r="DJ551" s="37"/>
      <c r="DK551" s="39">
        <v>99.6</v>
      </c>
      <c r="DL551" s="37"/>
      <c r="DM551" s="39">
        <f t="shared" si="386"/>
        <v>2.4995365569399444</v>
      </c>
      <c r="DN551" s="39"/>
      <c r="DO551" s="39">
        <f t="shared" si="387"/>
        <v>2.3300679143278011</v>
      </c>
      <c r="DP551" s="37"/>
      <c r="DQ551" s="37">
        <f>DO551/'Conversions, Sources &amp; Comments'!E549</f>
        <v>5.0217853719761418</v>
      </c>
    </row>
    <row r="552" spans="1:121">
      <c r="A552" s="42">
        <f t="shared" si="381"/>
        <v>1800</v>
      </c>
      <c r="B552" s="36"/>
      <c r="C552" s="38">
        <v>148.5</v>
      </c>
      <c r="D552" s="38">
        <v>0</v>
      </c>
      <c r="E552" s="36"/>
      <c r="F552" s="36"/>
      <c r="G552" s="38">
        <v>39</v>
      </c>
      <c r="H552" s="38">
        <v>4</v>
      </c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8">
        <v>14.75</v>
      </c>
      <c r="W552" s="36"/>
      <c r="X552" s="36"/>
      <c r="Y552" s="36"/>
      <c r="Z552" s="36"/>
      <c r="AA552" s="36"/>
      <c r="AB552" s="59">
        <v>10</v>
      </c>
      <c r="AC552" s="38">
        <v>3</v>
      </c>
      <c r="AD552" s="38">
        <v>6</v>
      </c>
      <c r="AE552" s="38">
        <v>3</v>
      </c>
      <c r="AF552" s="38">
        <v>6</v>
      </c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8">
        <v>50.42</v>
      </c>
      <c r="AT552" s="38">
        <v>6.5</v>
      </c>
      <c r="AU552" s="36"/>
      <c r="AV552" s="36"/>
      <c r="AW552" s="36"/>
      <c r="AX552" s="36"/>
      <c r="AY552" s="36"/>
      <c r="AZ552" s="38">
        <v>168</v>
      </c>
      <c r="BA552" s="36"/>
      <c r="BB552" s="36"/>
      <c r="BC552" s="38">
        <v>8</v>
      </c>
      <c r="BD552" s="38">
        <v>5.25</v>
      </c>
      <c r="BE552" s="38">
        <v>6.33</v>
      </c>
      <c r="BF552" s="38">
        <v>15.3</v>
      </c>
      <c r="BG552" s="59">
        <v>68.83</v>
      </c>
      <c r="BH552" s="59">
        <v>9.5500000000000007</v>
      </c>
      <c r="BI552" s="59">
        <v>0.98930630204127079</v>
      </c>
      <c r="BJ552" s="59">
        <v>13.5</v>
      </c>
      <c r="BK552" s="38">
        <v>12.019003478260871</v>
      </c>
      <c r="BL552" s="59">
        <v>3.87</v>
      </c>
      <c r="BM552" s="36"/>
      <c r="BN552" s="38">
        <v>62</v>
      </c>
      <c r="BO552" s="36"/>
      <c r="BP552" s="39">
        <f t="shared" si="373"/>
        <v>0.46399193548387102</v>
      </c>
      <c r="BQ552" s="37"/>
      <c r="BR552" s="39">
        <f t="shared" si="374"/>
        <v>2.9330326246958474</v>
      </c>
      <c r="BS552" s="39">
        <f t="shared" si="354"/>
        <v>3.9126994153904979</v>
      </c>
      <c r="BT552" s="39">
        <f t="shared" si="390"/>
        <v>42.623931081195501</v>
      </c>
      <c r="BU552" s="37"/>
      <c r="BV552" s="39">
        <f t="shared" si="375"/>
        <v>1.3171998828397018</v>
      </c>
      <c r="BW552" s="39">
        <f t="shared" si="369"/>
        <v>8.3734328683316317</v>
      </c>
      <c r="BX552" s="39">
        <f t="shared" si="383"/>
        <v>0.67316343433130998</v>
      </c>
      <c r="BY552" s="39">
        <f t="shared" si="396"/>
        <v>10.229324620998501</v>
      </c>
      <c r="BZ552" s="39">
        <f t="shared" si="388"/>
        <v>11.83678991858398</v>
      </c>
      <c r="CA552" s="39">
        <f t="shared" si="370"/>
        <v>12.294628820004053</v>
      </c>
      <c r="CB552" s="39">
        <f t="shared" si="371"/>
        <v>3.9587486283264202</v>
      </c>
      <c r="CC552" s="39">
        <f t="shared" si="382"/>
        <v>0.68438810483870982</v>
      </c>
      <c r="CD552" s="37"/>
      <c r="CE552" s="37"/>
      <c r="CF552" s="37"/>
      <c r="CG552" s="37"/>
      <c r="CH552" s="37"/>
      <c r="CI552" s="39">
        <f t="shared" si="394"/>
        <v>6.6490316862845056</v>
      </c>
      <c r="CJ552" s="39">
        <f t="shared" si="384"/>
        <v>0.20852841237142739</v>
      </c>
      <c r="CK552" s="39">
        <f t="shared" si="392"/>
        <v>6.9128715060171486E-2</v>
      </c>
      <c r="CL552" s="37"/>
      <c r="CM552" s="39">
        <f t="shared" si="393"/>
        <v>0.24427107795113601</v>
      </c>
      <c r="CN552" s="37"/>
      <c r="CO552" s="39">
        <f>0.063495+(0.016949+0.014096)*Wages!P550+1.22592*BR552</f>
        <v>4.4081990963961655</v>
      </c>
      <c r="CP552" s="39"/>
      <c r="CQ552" s="39">
        <f t="shared" si="355"/>
        <v>3.9126994153904979</v>
      </c>
      <c r="CR552" s="39">
        <f t="shared" si="389"/>
        <v>1.3171998828397018</v>
      </c>
      <c r="CS552" s="39">
        <f t="shared" si="389"/>
        <v>8.3734328683316317</v>
      </c>
      <c r="CT552" s="39">
        <f t="shared" si="372"/>
        <v>12.294628820004053</v>
      </c>
      <c r="CU552" s="39">
        <f t="shared" si="372"/>
        <v>3.9587486283264202</v>
      </c>
      <c r="CV552" s="39">
        <f t="shared" si="372"/>
        <v>0.68438810483870982</v>
      </c>
      <c r="CW552" s="39">
        <f t="shared" si="362"/>
        <v>0</v>
      </c>
      <c r="CX552" s="39">
        <f t="shared" si="395"/>
        <v>6.6490316862845056</v>
      </c>
      <c r="CY552" s="39">
        <f t="shared" si="376"/>
        <v>11.83678991858398</v>
      </c>
      <c r="CZ552" s="39">
        <f t="shared" si="377"/>
        <v>0.67316343433130998</v>
      </c>
      <c r="DA552" s="39">
        <f t="shared" si="368"/>
        <v>10.229324620998501</v>
      </c>
      <c r="DB552" s="39">
        <f t="shared" si="391"/>
        <v>6.8198289729912798</v>
      </c>
      <c r="DC552" s="39">
        <f t="shared" si="378"/>
        <v>10.229324620998501</v>
      </c>
      <c r="DD552" s="39">
        <v>4</v>
      </c>
      <c r="DE552" s="39">
        <f t="shared" si="365"/>
        <v>6.9128715060171486E-2</v>
      </c>
      <c r="DF552" s="39">
        <v>0.20852841237142744</v>
      </c>
      <c r="DG552" s="39">
        <f t="shared" si="379"/>
        <v>0</v>
      </c>
      <c r="DH552" s="39">
        <f t="shared" si="380"/>
        <v>7.8253016821566099</v>
      </c>
      <c r="DI552" s="39">
        <f t="shared" si="385"/>
        <v>8.6065628945242256</v>
      </c>
      <c r="DJ552" s="37"/>
      <c r="DK552" s="39">
        <v>131.30000000000001</v>
      </c>
      <c r="DL552" s="37"/>
      <c r="DM552" s="39">
        <f t="shared" si="386"/>
        <v>3.3207011075752204</v>
      </c>
      <c r="DN552" s="39"/>
      <c r="DO552" s="39">
        <f t="shared" si="387"/>
        <v>3.0716658348518107</v>
      </c>
      <c r="DP552" s="39"/>
      <c r="DQ552" s="37">
        <f>DO552/'Conversions, Sources &amp; Comments'!E550</f>
        <v>6.6200845315307983</v>
      </c>
    </row>
    <row r="553" spans="1:121">
      <c r="A553" s="42">
        <f t="shared" si="381"/>
        <v>1801</v>
      </c>
      <c r="B553" s="36"/>
      <c r="C553" s="38">
        <v>83.75</v>
      </c>
      <c r="D553" s="38">
        <v>0</v>
      </c>
      <c r="E553" s="36"/>
      <c r="F553" s="36"/>
      <c r="G553" s="38">
        <v>37</v>
      </c>
      <c r="H553" s="38">
        <v>0</v>
      </c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8">
        <v>14.92</v>
      </c>
      <c r="W553" s="36"/>
      <c r="X553" s="36"/>
      <c r="Y553" s="36"/>
      <c r="Z553" s="36"/>
      <c r="AA553" s="36"/>
      <c r="AB553" s="59">
        <v>10.333333333333334</v>
      </c>
      <c r="AC553" s="38">
        <v>3</v>
      </c>
      <c r="AD553" s="38">
        <v>6</v>
      </c>
      <c r="AE553" s="38">
        <v>3</v>
      </c>
      <c r="AF553" s="38">
        <v>6</v>
      </c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8">
        <v>51.34</v>
      </c>
      <c r="AT553" s="38">
        <v>5.5</v>
      </c>
      <c r="AU553" s="36"/>
      <c r="AV553" s="36"/>
      <c r="AW553" s="36"/>
      <c r="AX553" s="36"/>
      <c r="AY553" s="36"/>
      <c r="AZ553" s="38">
        <v>168</v>
      </c>
      <c r="BA553" s="36"/>
      <c r="BB553" s="36"/>
      <c r="BC553" s="38">
        <v>8</v>
      </c>
      <c r="BD553" s="38">
        <v>5.5</v>
      </c>
      <c r="BE553" s="38">
        <v>6.33</v>
      </c>
      <c r="BF553" s="38">
        <v>15.5</v>
      </c>
      <c r="BG553" s="59">
        <v>62.17</v>
      </c>
      <c r="BH553" s="59">
        <v>9.9</v>
      </c>
      <c r="BI553" s="59">
        <v>0.94217292322258972</v>
      </c>
      <c r="BJ553" s="59">
        <v>14</v>
      </c>
      <c r="BK553" s="38">
        <v>11.992085217391304</v>
      </c>
      <c r="BL553" s="59">
        <v>3.87</v>
      </c>
      <c r="BM553" s="36"/>
      <c r="BN553" s="38">
        <v>62</v>
      </c>
      <c r="BO553" s="36"/>
      <c r="BP553" s="39">
        <f t="shared" si="373"/>
        <v>0.46399193548387102</v>
      </c>
      <c r="BQ553" s="37"/>
      <c r="BR553" s="39">
        <f t="shared" si="374"/>
        <v>1.6541513960826748</v>
      </c>
      <c r="BS553" s="39">
        <f t="shared" ref="BS553:BS616" si="397">BP553*(BF553/4)/0.453592</f>
        <v>3.9638458129773015</v>
      </c>
      <c r="BT553" s="39">
        <f t="shared" si="390"/>
        <v>42.623931081195501</v>
      </c>
      <c r="BU553" s="37"/>
      <c r="BV553" s="39">
        <f t="shared" si="375"/>
        <v>1.1897474461157092</v>
      </c>
      <c r="BW553" s="39">
        <f t="shared" si="369"/>
        <v>8.6803126069615857</v>
      </c>
      <c r="BX553" s="39">
        <f t="shared" si="383"/>
        <v>0.64109200499566799</v>
      </c>
      <c r="BY553" s="39">
        <f t="shared" si="396"/>
        <v>10.570302108365118</v>
      </c>
      <c r="BZ553" s="39">
        <f t="shared" si="388"/>
        <v>12.2751895451982</v>
      </c>
      <c r="CA553" s="39">
        <f t="shared" si="370"/>
        <v>12.267093257137304</v>
      </c>
      <c r="CB553" s="39">
        <f t="shared" si="371"/>
        <v>3.9587486283264202</v>
      </c>
      <c r="CC553" s="39">
        <f t="shared" si="382"/>
        <v>0.69227596774193545</v>
      </c>
      <c r="CD553" s="37"/>
      <c r="CE553" s="37"/>
      <c r="CF553" s="37"/>
      <c r="CG553" s="37"/>
      <c r="CH553" s="37"/>
      <c r="CI553" s="39">
        <f t="shared" si="394"/>
        <v>5.6261037345484279</v>
      </c>
      <c r="CJ553" s="39">
        <f t="shared" si="384"/>
        <v>0.21233337348570175</v>
      </c>
      <c r="CK553" s="39">
        <f t="shared" si="392"/>
        <v>6.9128715060171486E-2</v>
      </c>
      <c r="CL553" s="37"/>
      <c r="CM553" s="39">
        <f t="shared" si="393"/>
        <v>0.24427107795113601</v>
      </c>
      <c r="CN553" s="37"/>
      <c r="CO553" s="39">
        <f>0.063495+(0.016949+0.014096)*Wages!P551+1.22592*BR553</f>
        <v>2.8692022798888983</v>
      </c>
      <c r="CP553" s="39"/>
      <c r="CQ553" s="39">
        <f t="shared" ref="CQ553:CQ582" si="398">BS553</f>
        <v>3.9638458129773015</v>
      </c>
      <c r="CR553" s="39">
        <f t="shared" si="389"/>
        <v>1.1897474461157092</v>
      </c>
      <c r="CS553" s="39">
        <f t="shared" si="389"/>
        <v>8.6803126069615857</v>
      </c>
      <c r="CT553" s="39">
        <f t="shared" si="372"/>
        <v>12.267093257137304</v>
      </c>
      <c r="CU553" s="39">
        <f t="shared" si="372"/>
        <v>3.9587486283264202</v>
      </c>
      <c r="CV553" s="39">
        <f t="shared" si="372"/>
        <v>0.69227596774193545</v>
      </c>
      <c r="CW553" s="39">
        <f t="shared" si="362"/>
        <v>0</v>
      </c>
      <c r="CX553" s="39">
        <f t="shared" si="395"/>
        <v>5.6261037345484279</v>
      </c>
      <c r="CY553" s="39">
        <f t="shared" si="376"/>
        <v>12.2751895451982</v>
      </c>
      <c r="CZ553" s="39">
        <f t="shared" si="377"/>
        <v>0.64109200499566799</v>
      </c>
      <c r="DA553" s="39">
        <f t="shared" si="368"/>
        <v>10.570302108365118</v>
      </c>
      <c r="DB553" s="39">
        <f t="shared" si="391"/>
        <v>6.8198289729912798</v>
      </c>
      <c r="DC553" s="39">
        <f t="shared" si="378"/>
        <v>10.570302108365118</v>
      </c>
      <c r="DD553" s="39">
        <v>4</v>
      </c>
      <c r="DE553" s="39">
        <f t="shared" si="365"/>
        <v>6.9128715060171486E-2</v>
      </c>
      <c r="DF553" s="39">
        <v>0.2123333734857018</v>
      </c>
      <c r="DG553" s="39">
        <f t="shared" si="379"/>
        <v>0</v>
      </c>
      <c r="DH553" s="39">
        <f t="shared" si="380"/>
        <v>7.8253016821566099</v>
      </c>
      <c r="DI553" s="39">
        <f t="shared" si="385"/>
        <v>8.7636045022783353</v>
      </c>
      <c r="DJ553" s="37"/>
      <c r="DK553" s="39">
        <v>136.5</v>
      </c>
      <c r="DL553" s="37"/>
      <c r="DM553" s="39">
        <f t="shared" si="386"/>
        <v>3.3372426334821697</v>
      </c>
      <c r="DN553" s="39"/>
      <c r="DO553" s="39">
        <f t="shared" si="387"/>
        <v>3.1933159669251494</v>
      </c>
      <c r="DP553" s="37"/>
      <c r="DQ553" s="37">
        <f>DO553/'Conversions, Sources &amp; Comments'!E551</f>
        <v>6.8822660971359779</v>
      </c>
    </row>
    <row r="554" spans="1:121">
      <c r="A554" s="42">
        <f t="shared" si="381"/>
        <v>1802</v>
      </c>
      <c r="B554" s="36"/>
      <c r="C554" s="38">
        <v>61.75</v>
      </c>
      <c r="D554" s="38">
        <v>0</v>
      </c>
      <c r="E554" s="36"/>
      <c r="F554" s="36"/>
      <c r="G554" s="38">
        <v>20</v>
      </c>
      <c r="H554" s="38">
        <v>4</v>
      </c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8">
        <v>14.5</v>
      </c>
      <c r="W554" s="36"/>
      <c r="X554" s="36"/>
      <c r="Y554" s="36"/>
      <c r="Z554" s="36"/>
      <c r="AA554" s="36"/>
      <c r="AB554" s="59">
        <v>11</v>
      </c>
      <c r="AC554" s="38">
        <v>3</v>
      </c>
      <c r="AD554" s="38">
        <v>6</v>
      </c>
      <c r="AE554" s="38">
        <v>3</v>
      </c>
      <c r="AF554" s="38">
        <v>6</v>
      </c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8">
        <v>58.67</v>
      </c>
      <c r="AT554" s="38">
        <v>5.5</v>
      </c>
      <c r="AU554" s="36"/>
      <c r="AV554" s="36"/>
      <c r="AW554" s="36"/>
      <c r="AX554" s="36"/>
      <c r="AY554" s="36"/>
      <c r="AZ554" s="38">
        <v>168</v>
      </c>
      <c r="BA554" s="36"/>
      <c r="BB554" s="36"/>
      <c r="BC554" s="38">
        <v>9</v>
      </c>
      <c r="BD554" s="38">
        <v>5.75</v>
      </c>
      <c r="BE554" s="38">
        <v>6.33</v>
      </c>
      <c r="BF554" s="38">
        <v>9.5</v>
      </c>
      <c r="BG554" s="59">
        <v>36</v>
      </c>
      <c r="BH554" s="59">
        <v>9.27</v>
      </c>
      <c r="BI554" s="59">
        <v>0.89511020913977035</v>
      </c>
      <c r="BJ554" s="59">
        <v>14</v>
      </c>
      <c r="BK554" s="38">
        <v>11.171078260869567</v>
      </c>
      <c r="BL554" s="59">
        <v>3.37</v>
      </c>
      <c r="BM554" s="36"/>
      <c r="BN554" s="38">
        <v>62</v>
      </c>
      <c r="BO554" s="36"/>
      <c r="BP554" s="39">
        <f t="shared" si="373"/>
        <v>0.46399193548387102</v>
      </c>
      <c r="BQ554" s="37"/>
      <c r="BR554" s="39">
        <f t="shared" si="374"/>
        <v>1.2196280442758827</v>
      </c>
      <c r="BS554" s="39">
        <f t="shared" si="397"/>
        <v>2.4294538853731846</v>
      </c>
      <c r="BT554" s="39">
        <f t="shared" si="390"/>
        <v>42.623931081195501</v>
      </c>
      <c r="BU554" s="37"/>
      <c r="BV554" s="39">
        <f t="shared" si="375"/>
        <v>0.68893209039996028</v>
      </c>
      <c r="BW554" s="39">
        <f t="shared" si="369"/>
        <v>8.127929077427666</v>
      </c>
      <c r="BX554" s="39">
        <f t="shared" si="383"/>
        <v>0.60906865876247929</v>
      </c>
      <c r="BY554" s="39">
        <f t="shared" si="396"/>
        <v>11.25225708309835</v>
      </c>
      <c r="BZ554" s="39">
        <f t="shared" si="388"/>
        <v>12.2751895451982</v>
      </c>
      <c r="CA554" s="39">
        <f t="shared" si="370"/>
        <v>11.427258589701419</v>
      </c>
      <c r="CB554" s="39">
        <f t="shared" si="371"/>
        <v>3.4472823972764948</v>
      </c>
      <c r="CC554" s="39">
        <f t="shared" si="382"/>
        <v>0.67278830645161292</v>
      </c>
      <c r="CD554" s="37"/>
      <c r="CE554" s="37"/>
      <c r="CF554" s="37"/>
      <c r="CG554" s="37"/>
      <c r="CH554" s="37"/>
      <c r="CI554" s="39">
        <f t="shared" si="394"/>
        <v>5.6261037345484279</v>
      </c>
      <c r="CJ554" s="39">
        <f t="shared" si="384"/>
        <v>0.24264898758095291</v>
      </c>
      <c r="CK554" s="39">
        <f t="shared" si="392"/>
        <v>6.9128715060171486E-2</v>
      </c>
      <c r="CL554" s="37"/>
      <c r="CM554" s="39">
        <f t="shared" si="393"/>
        <v>0.24427107795113601</v>
      </c>
      <c r="CN554" s="37"/>
      <c r="CO554" s="39">
        <f>0.063495+(0.016949+0.014096)*Wages!P552+1.22592*BR554</f>
        <v>2.336511412441916</v>
      </c>
      <c r="CP554" s="39"/>
      <c r="CQ554" s="39">
        <f t="shared" si="398"/>
        <v>2.4294538853731846</v>
      </c>
      <c r="CR554" s="39">
        <f t="shared" si="389"/>
        <v>0.68893209039996028</v>
      </c>
      <c r="CS554" s="39">
        <f t="shared" si="389"/>
        <v>8.127929077427666</v>
      </c>
      <c r="CT554" s="39">
        <f t="shared" si="372"/>
        <v>11.427258589701419</v>
      </c>
      <c r="CU554" s="39">
        <f t="shared" si="372"/>
        <v>3.4472823972764948</v>
      </c>
      <c r="CV554" s="39">
        <f t="shared" si="372"/>
        <v>0.67278830645161292</v>
      </c>
      <c r="CW554" s="39">
        <f t="shared" si="362"/>
        <v>0</v>
      </c>
      <c r="CX554" s="39">
        <f t="shared" si="395"/>
        <v>5.6261037345484279</v>
      </c>
      <c r="CY554" s="39">
        <f t="shared" si="376"/>
        <v>12.2751895451982</v>
      </c>
      <c r="CZ554" s="39">
        <f t="shared" si="377"/>
        <v>0.60906865876247929</v>
      </c>
      <c r="DA554" s="39">
        <f t="shared" si="368"/>
        <v>11.25225708309835</v>
      </c>
      <c r="DB554" s="39">
        <f t="shared" si="391"/>
        <v>6.8198289729912798</v>
      </c>
      <c r="DC554" s="39">
        <f t="shared" si="378"/>
        <v>11.25225708309835</v>
      </c>
      <c r="DD554" s="39">
        <v>4</v>
      </c>
      <c r="DE554" s="39">
        <f t="shared" si="365"/>
        <v>6.9128715060171486E-2</v>
      </c>
      <c r="DF554" s="39">
        <v>0.24264898758095296</v>
      </c>
      <c r="DG554" s="39">
        <f t="shared" si="379"/>
        <v>0</v>
      </c>
      <c r="DH554" s="39">
        <f t="shared" si="380"/>
        <v>7.8253016821566099</v>
      </c>
      <c r="DI554" s="39">
        <f t="shared" si="385"/>
        <v>10.014816442319244</v>
      </c>
      <c r="DJ554" s="37"/>
      <c r="DK554" s="39">
        <v>102.8</v>
      </c>
      <c r="DL554" s="37"/>
      <c r="DM554" s="39">
        <f t="shared" si="386"/>
        <v>2.5419017290780324</v>
      </c>
      <c r="DN554" s="39"/>
      <c r="DO554" s="39">
        <f t="shared" si="387"/>
        <v>2.4049295340652406</v>
      </c>
      <c r="DP554" s="37"/>
      <c r="DQ554" s="37">
        <f>DO554/'Conversions, Sources &amp; Comments'!E552</f>
        <v>5.1831278738870221</v>
      </c>
    </row>
    <row r="555" spans="1:121">
      <c r="A555" s="42">
        <f t="shared" si="381"/>
        <v>1803</v>
      </c>
      <c r="B555" s="36"/>
      <c r="C555" s="38">
        <v>57.04</v>
      </c>
      <c r="D555" s="38">
        <v>0</v>
      </c>
      <c r="E555" s="36"/>
      <c r="F555" s="36"/>
      <c r="G555" s="38">
        <v>21</v>
      </c>
      <c r="H555" s="38">
        <v>6</v>
      </c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8">
        <v>13</v>
      </c>
      <c r="W555" s="36"/>
      <c r="X555" s="36"/>
      <c r="Y555" s="36"/>
      <c r="Z555" s="36"/>
      <c r="AA555" s="36"/>
      <c r="AB555" s="59">
        <v>11</v>
      </c>
      <c r="AC555" s="38">
        <v>3</v>
      </c>
      <c r="AD555" s="38">
        <v>6</v>
      </c>
      <c r="AE555" s="38">
        <v>3</v>
      </c>
      <c r="AF555" s="38">
        <v>6</v>
      </c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8">
        <v>63.1</v>
      </c>
      <c r="AT555" s="38">
        <v>6</v>
      </c>
      <c r="AU555" s="36"/>
      <c r="AV555" s="36"/>
      <c r="AW555" s="36"/>
      <c r="AX555" s="36"/>
      <c r="AY555" s="36"/>
      <c r="AZ555" s="38">
        <v>168</v>
      </c>
      <c r="BA555" s="36"/>
      <c r="BB555" s="36"/>
      <c r="BC555" s="38">
        <v>9</v>
      </c>
      <c r="BD555" s="38">
        <v>5.75</v>
      </c>
      <c r="BE555" s="38">
        <v>6.33</v>
      </c>
      <c r="BF555" s="38">
        <v>8.6999999999999993</v>
      </c>
      <c r="BG555" s="59">
        <v>34.630000000000003</v>
      </c>
      <c r="BH555" s="59">
        <v>9.48</v>
      </c>
      <c r="BI555" s="59">
        <v>0.94217292322258972</v>
      </c>
      <c r="BJ555" s="59">
        <v>13.5</v>
      </c>
      <c r="BK555" s="38">
        <v>11.171078260869567</v>
      </c>
      <c r="BL555" s="59">
        <v>3.53</v>
      </c>
      <c r="BM555" s="36"/>
      <c r="BN555" s="38">
        <v>62</v>
      </c>
      <c r="BO555" s="36"/>
      <c r="BP555" s="39">
        <f t="shared" si="373"/>
        <v>0.46399193548387102</v>
      </c>
      <c r="BQ555" s="37"/>
      <c r="BR555" s="39">
        <f t="shared" si="374"/>
        <v>1.1266005448663376</v>
      </c>
      <c r="BS555" s="39">
        <f t="shared" si="397"/>
        <v>2.2248682950259693</v>
      </c>
      <c r="BT555" s="39">
        <f t="shared" si="390"/>
        <v>42.623931081195501</v>
      </c>
      <c r="BU555" s="37"/>
      <c r="BV555" s="39">
        <f t="shared" ref="BV555:BV586" si="399">$BP555*12*$BG555/(8*36.3687)</f>
        <v>0.66271439695973966</v>
      </c>
      <c r="BW555" s="39">
        <f t="shared" si="369"/>
        <v>8.3120569206056398</v>
      </c>
      <c r="BX555" s="39">
        <f t="shared" si="383"/>
        <v>0.64109200499566799</v>
      </c>
      <c r="BY555" s="39">
        <f t="shared" si="396"/>
        <v>11.25225708309835</v>
      </c>
      <c r="BZ555" s="39">
        <f t="shared" si="388"/>
        <v>11.83678991858398</v>
      </c>
      <c r="CA555" s="39">
        <f t="shared" si="370"/>
        <v>11.427258589701419</v>
      </c>
      <c r="CB555" s="39">
        <f t="shared" si="371"/>
        <v>3.6109515912124706</v>
      </c>
      <c r="CC555" s="39">
        <f t="shared" si="382"/>
        <v>0.60318951612903227</v>
      </c>
      <c r="CD555" s="37"/>
      <c r="CE555" s="37"/>
      <c r="CF555" s="37"/>
      <c r="CG555" s="37"/>
      <c r="CH555" s="37"/>
      <c r="CI555" s="39">
        <f t="shared" si="394"/>
        <v>6.1375677104164659</v>
      </c>
      <c r="CJ555" s="39">
        <f t="shared" si="384"/>
        <v>0.26097070251164356</v>
      </c>
      <c r="CK555" s="39">
        <f t="shared" si="392"/>
        <v>6.9128715060171486E-2</v>
      </c>
      <c r="CL555" s="37"/>
      <c r="CM555" s="39">
        <f t="shared" si="393"/>
        <v>0.24427107795113601</v>
      </c>
      <c r="CN555" s="37"/>
      <c r="CO555" s="39">
        <f>0.063495+(0.016949+0.014096)*Wages!P553+1.22592*BR555</f>
        <v>2.2224671403657665</v>
      </c>
      <c r="CP555" s="39"/>
      <c r="CQ555" s="39">
        <f t="shared" si="398"/>
        <v>2.2248682950259693</v>
      </c>
      <c r="CR555" s="39">
        <f t="shared" si="389"/>
        <v>0.66271439695973966</v>
      </c>
      <c r="CS555" s="39">
        <f t="shared" si="389"/>
        <v>8.3120569206056398</v>
      </c>
      <c r="CT555" s="39">
        <f t="shared" si="372"/>
        <v>11.427258589701419</v>
      </c>
      <c r="CU555" s="39">
        <f t="shared" si="372"/>
        <v>3.6109515912124706</v>
      </c>
      <c r="CV555" s="39">
        <f t="shared" si="372"/>
        <v>0.60318951612903227</v>
      </c>
      <c r="CW555" s="39">
        <f t="shared" si="362"/>
        <v>0</v>
      </c>
      <c r="CX555" s="39">
        <f t="shared" si="395"/>
        <v>6.1375677104164659</v>
      </c>
      <c r="CY555" s="39">
        <f t="shared" si="376"/>
        <v>11.83678991858398</v>
      </c>
      <c r="CZ555" s="39">
        <f t="shared" si="377"/>
        <v>0.64109200499566799</v>
      </c>
      <c r="DA555" s="39">
        <f t="shared" si="368"/>
        <v>11.25225708309835</v>
      </c>
      <c r="DB555" s="39">
        <f t="shared" si="391"/>
        <v>6.8198289729912798</v>
      </c>
      <c r="DC555" s="39">
        <f t="shared" si="378"/>
        <v>11.25225708309835</v>
      </c>
      <c r="DD555" s="39">
        <v>4</v>
      </c>
      <c r="DE555" s="39">
        <f t="shared" si="365"/>
        <v>6.9128715060171486E-2</v>
      </c>
      <c r="DF555" s="39">
        <v>0.26097070251164356</v>
      </c>
      <c r="DG555" s="39">
        <f t="shared" si="379"/>
        <v>0</v>
      </c>
      <c r="DH555" s="39">
        <f t="shared" si="380"/>
        <v>7.8253016821566099</v>
      </c>
      <c r="DI555" s="39">
        <f t="shared" si="385"/>
        <v>10.771005923135233</v>
      </c>
      <c r="DJ555" s="37"/>
      <c r="DK555" s="39">
        <v>99.5</v>
      </c>
      <c r="DL555" s="37"/>
      <c r="DM555" s="39">
        <f t="shared" si="386"/>
        <v>2.4677863321068578</v>
      </c>
      <c r="DN555" s="39"/>
      <c r="DO555" s="39">
        <f t="shared" si="387"/>
        <v>2.3277284887110063</v>
      </c>
      <c r="DP555" s="37"/>
      <c r="DQ555" s="37">
        <f>DO555/'Conversions, Sources &amp; Comments'!E553</f>
        <v>5.0167434187914273</v>
      </c>
    </row>
    <row r="556" spans="1:121">
      <c r="A556" s="42">
        <f t="shared" si="381"/>
        <v>1804</v>
      </c>
      <c r="B556" s="36"/>
      <c r="C556" s="38">
        <v>100.5</v>
      </c>
      <c r="D556" s="38">
        <v>0</v>
      </c>
      <c r="E556" s="36"/>
      <c r="F556" s="36"/>
      <c r="G556" s="38">
        <v>24</v>
      </c>
      <c r="H556" s="38">
        <v>3</v>
      </c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8">
        <v>14.58</v>
      </c>
      <c r="W556" s="36"/>
      <c r="X556" s="36"/>
      <c r="Y556" s="36"/>
      <c r="Z556" s="36"/>
      <c r="AA556" s="36"/>
      <c r="AB556" s="59">
        <v>10.666666666666666</v>
      </c>
      <c r="AC556" s="38">
        <v>3</v>
      </c>
      <c r="AD556" s="38">
        <v>6</v>
      </c>
      <c r="AE556" s="38">
        <v>3</v>
      </c>
      <c r="AF556" s="38">
        <v>6</v>
      </c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8">
        <v>65.2</v>
      </c>
      <c r="AT556" s="38">
        <v>7</v>
      </c>
      <c r="AU556" s="36"/>
      <c r="AV556" s="36"/>
      <c r="AW556" s="36"/>
      <c r="AX556" s="36"/>
      <c r="AY556" s="36"/>
      <c r="AZ556" s="38">
        <v>168</v>
      </c>
      <c r="BA556" s="36"/>
      <c r="BB556" s="36"/>
      <c r="BC556" s="38">
        <v>9</v>
      </c>
      <c r="BD556" s="38">
        <v>5.75</v>
      </c>
      <c r="BE556" s="38">
        <v>6.79</v>
      </c>
      <c r="BF556" s="38">
        <v>9.6999999999999993</v>
      </c>
      <c r="BG556" s="59">
        <v>38.47</v>
      </c>
      <c r="BH556" s="59">
        <v>9.6199999999999992</v>
      </c>
      <c r="BI556" s="59">
        <v>0.94217292322258972</v>
      </c>
      <c r="BJ556" s="59">
        <v>15</v>
      </c>
      <c r="BK556" s="38">
        <v>11.924789565217393</v>
      </c>
      <c r="BL556" s="59">
        <v>3.7</v>
      </c>
      <c r="BM556" s="36"/>
      <c r="BN556" s="38">
        <v>62</v>
      </c>
      <c r="BO556" s="36"/>
      <c r="BP556" s="39">
        <f t="shared" si="373"/>
        <v>0.46399193548387102</v>
      </c>
      <c r="BQ556" s="37"/>
      <c r="BR556" s="39">
        <f t="shared" si="374"/>
        <v>1.98498167529921</v>
      </c>
      <c r="BS556" s="39">
        <f t="shared" si="397"/>
        <v>2.4806002829599887</v>
      </c>
      <c r="BT556" s="39">
        <f t="shared" si="390"/>
        <v>42.623931081195501</v>
      </c>
      <c r="BU556" s="37"/>
      <c r="BV556" s="39">
        <f t="shared" si="399"/>
        <v>0.736200486602402</v>
      </c>
      <c r="BW556" s="39">
        <f t="shared" si="369"/>
        <v>8.4348088160576218</v>
      </c>
      <c r="BX556" s="39">
        <f t="shared" si="383"/>
        <v>0.64109200499566799</v>
      </c>
      <c r="BY556" s="39">
        <f t="shared" si="396"/>
        <v>10.911279595731733</v>
      </c>
      <c r="BZ556" s="39">
        <f t="shared" si="388"/>
        <v>13.151988798426645</v>
      </c>
      <c r="CA556" s="39">
        <f t="shared" si="370"/>
        <v>12.19825434997043</v>
      </c>
      <c r="CB556" s="39">
        <f t="shared" si="371"/>
        <v>3.7848501097694456</v>
      </c>
      <c r="CC556" s="39">
        <f t="shared" si="382"/>
        <v>0.67650024193548397</v>
      </c>
      <c r="CD556" s="37"/>
      <c r="CE556" s="37"/>
      <c r="CF556" s="37"/>
      <c r="CG556" s="37"/>
      <c r="CH556" s="37"/>
      <c r="CI556" s="39">
        <f t="shared" si="394"/>
        <v>7.1604956621525444</v>
      </c>
      <c r="CJ556" s="39">
        <f t="shared" si="384"/>
        <v>0.26965593983770464</v>
      </c>
      <c r="CK556" s="39">
        <f t="shared" si="392"/>
        <v>6.9128715060171486E-2</v>
      </c>
      <c r="CL556" s="37"/>
      <c r="CM556" s="39">
        <f t="shared" si="393"/>
        <v>0.24427107795113601</v>
      </c>
      <c r="CN556" s="37"/>
      <c r="CO556" s="39">
        <f>0.063495+(0.016949+0.014096)*Wages!P554+1.22592*BR556</f>
        <v>3.3035829950602267</v>
      </c>
      <c r="CP556" s="39"/>
      <c r="CQ556" s="39">
        <f t="shared" si="398"/>
        <v>2.4806002829599887</v>
      </c>
      <c r="CR556" s="39">
        <f t="shared" si="389"/>
        <v>0.736200486602402</v>
      </c>
      <c r="CS556" s="39">
        <f t="shared" si="389"/>
        <v>8.4348088160576218</v>
      </c>
      <c r="CT556" s="39">
        <f t="shared" si="372"/>
        <v>12.19825434997043</v>
      </c>
      <c r="CU556" s="39">
        <f t="shared" si="372"/>
        <v>3.7848501097694456</v>
      </c>
      <c r="CV556" s="39">
        <f t="shared" si="372"/>
        <v>0.67650024193548397</v>
      </c>
      <c r="CW556" s="39">
        <f t="shared" si="362"/>
        <v>0</v>
      </c>
      <c r="CX556" s="39">
        <f t="shared" si="395"/>
        <v>7.1604956621525444</v>
      </c>
      <c r="CY556" s="39">
        <f t="shared" si="376"/>
        <v>13.151988798426645</v>
      </c>
      <c r="CZ556" s="39">
        <f t="shared" si="377"/>
        <v>0.64109200499566799</v>
      </c>
      <c r="DA556" s="39">
        <f t="shared" si="368"/>
        <v>10.911279595731733</v>
      </c>
      <c r="DB556" s="39">
        <f t="shared" si="391"/>
        <v>6.8198289729912798</v>
      </c>
      <c r="DC556" s="39">
        <f t="shared" si="378"/>
        <v>10.911279595731733</v>
      </c>
      <c r="DD556" s="39">
        <v>4</v>
      </c>
      <c r="DE556" s="39">
        <f t="shared" si="365"/>
        <v>6.9128715060171486E-2</v>
      </c>
      <c r="DF556" s="39">
        <v>0.26965593983770458</v>
      </c>
      <c r="DG556" s="39">
        <f t="shared" si="379"/>
        <v>0</v>
      </c>
      <c r="DH556" s="39">
        <f t="shared" si="380"/>
        <v>7.8253016821566099</v>
      </c>
      <c r="DI556" s="39">
        <f t="shared" si="385"/>
        <v>11.129470462573964</v>
      </c>
      <c r="DJ556" s="37"/>
      <c r="DK556" s="39">
        <v>106.5</v>
      </c>
      <c r="DL556" s="37"/>
      <c r="DM556" s="39">
        <f t="shared" si="386"/>
        <v>2.6136257208653331</v>
      </c>
      <c r="DN556" s="39"/>
      <c r="DO556" s="39">
        <f t="shared" si="387"/>
        <v>2.4914882818866548</v>
      </c>
      <c r="DP556" s="37"/>
      <c r="DQ556" s="37">
        <f>DO556/'Conversions, Sources &amp; Comments'!E554</f>
        <v>5.369680141721477</v>
      </c>
    </row>
    <row r="557" spans="1:121">
      <c r="A557" s="42">
        <f t="shared" si="381"/>
        <v>1805</v>
      </c>
      <c r="B557" s="36"/>
      <c r="C557" s="38">
        <v>82.5</v>
      </c>
      <c r="D557" s="38">
        <v>0</v>
      </c>
      <c r="E557" s="36"/>
      <c r="F557" s="36"/>
      <c r="G557" s="38">
        <v>28</v>
      </c>
      <c r="H557" s="38">
        <v>4</v>
      </c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8">
        <v>13.33</v>
      </c>
      <c r="W557" s="36"/>
      <c r="X557" s="36"/>
      <c r="Y557" s="36"/>
      <c r="Z557" s="36"/>
      <c r="AA557" s="36"/>
      <c r="AB557" s="59">
        <v>10.333333333333334</v>
      </c>
      <c r="AC557" s="38">
        <v>3</v>
      </c>
      <c r="AD557" s="38">
        <v>6</v>
      </c>
      <c r="AE557" s="38">
        <v>3</v>
      </c>
      <c r="AF557" s="38">
        <v>6</v>
      </c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8">
        <v>6.5</v>
      </c>
      <c r="AU557" s="36"/>
      <c r="AV557" s="36"/>
      <c r="AW557" s="36"/>
      <c r="AX557" s="36"/>
      <c r="AY557" s="36"/>
      <c r="AZ557" s="38">
        <v>168</v>
      </c>
      <c r="BA557" s="36"/>
      <c r="BB557" s="36"/>
      <c r="BC557" s="38">
        <v>9</v>
      </c>
      <c r="BD557" s="38">
        <v>5.75</v>
      </c>
      <c r="BE557" s="38">
        <v>6.92</v>
      </c>
      <c r="BF557" s="38">
        <v>13.1</v>
      </c>
      <c r="BG557" s="59">
        <v>47.45</v>
      </c>
      <c r="BH557" s="59">
        <v>9.83</v>
      </c>
      <c r="BI557" s="59">
        <v>0.94217292322258972</v>
      </c>
      <c r="BJ557" s="59">
        <v>14</v>
      </c>
      <c r="BK557" s="38">
        <v>11.669066086956523</v>
      </c>
      <c r="BL557" s="59">
        <v>3.7</v>
      </c>
      <c r="BM557" s="36"/>
      <c r="BN557" s="38">
        <v>62</v>
      </c>
      <c r="BO557" s="36"/>
      <c r="BP557" s="39">
        <f t="shared" si="373"/>
        <v>0.46399193548387102</v>
      </c>
      <c r="BQ557" s="37"/>
      <c r="BR557" s="39">
        <f t="shared" si="374"/>
        <v>1.629462569275471</v>
      </c>
      <c r="BS557" s="39">
        <f t="shared" si="397"/>
        <v>3.3500890419356546</v>
      </c>
      <c r="BT557" s="39">
        <f t="shared" si="390"/>
        <v>42.623931081195501</v>
      </c>
      <c r="BU557" s="37"/>
      <c r="BV557" s="39">
        <f t="shared" si="399"/>
        <v>0.90805076915216998</v>
      </c>
      <c r="BW557" s="39">
        <f t="shared" si="369"/>
        <v>8.6189366592355956</v>
      </c>
      <c r="BX557" s="39">
        <f t="shared" si="383"/>
        <v>0.64109200499566799</v>
      </c>
      <c r="BY557" s="39">
        <f t="shared" si="396"/>
        <v>10.570302108365118</v>
      </c>
      <c r="BZ557" s="39">
        <f t="shared" si="388"/>
        <v>12.2751895451982</v>
      </c>
      <c r="CA557" s="39">
        <f t="shared" si="370"/>
        <v>11.936666502736299</v>
      </c>
      <c r="CB557" s="39">
        <f t="shared" si="371"/>
        <v>3.7848501097694456</v>
      </c>
      <c r="CC557" s="39">
        <f t="shared" si="382"/>
        <v>0.61850125</v>
      </c>
      <c r="CD557" s="37"/>
      <c r="CE557" s="37"/>
      <c r="CF557" s="37"/>
      <c r="CG557" s="37"/>
      <c r="CH557" s="37"/>
      <c r="CI557" s="39">
        <f t="shared" si="394"/>
        <v>6.6490316862845056</v>
      </c>
      <c r="CJ557" s="39">
        <f t="shared" si="384"/>
        <v>0</v>
      </c>
      <c r="CK557" s="39">
        <f t="shared" si="392"/>
        <v>6.9128715060171486E-2</v>
      </c>
      <c r="CL557" s="37"/>
      <c r="CM557" s="39">
        <f t="shared" si="393"/>
        <v>0.24427107795113601</v>
      </c>
      <c r="CN557" s="37"/>
      <c r="CO557" s="39">
        <f>0.063495+(0.016949+0.014096)*Wages!P555+1.22592*BR557</f>
        <v>2.9253635311519917</v>
      </c>
      <c r="CP557" s="39"/>
      <c r="CQ557" s="39">
        <f t="shared" si="398"/>
        <v>3.3500890419356546</v>
      </c>
      <c r="CR557" s="39">
        <f t="shared" si="389"/>
        <v>0.90805076915216998</v>
      </c>
      <c r="CS557" s="39">
        <f t="shared" si="389"/>
        <v>8.6189366592355956</v>
      </c>
      <c r="CT557" s="39">
        <f t="shared" si="372"/>
        <v>11.936666502736299</v>
      </c>
      <c r="CU557" s="39">
        <f t="shared" si="372"/>
        <v>3.7848501097694456</v>
      </c>
      <c r="CV557" s="39">
        <f t="shared" si="372"/>
        <v>0.61850125</v>
      </c>
      <c r="CW557" s="39">
        <f t="shared" si="362"/>
        <v>0</v>
      </c>
      <c r="CX557" s="39">
        <f t="shared" si="395"/>
        <v>6.6490316862845056</v>
      </c>
      <c r="CY557" s="39">
        <f t="shared" si="376"/>
        <v>12.2751895451982</v>
      </c>
      <c r="CZ557" s="39">
        <f t="shared" si="377"/>
        <v>0.64109200499566799</v>
      </c>
      <c r="DA557" s="39">
        <f t="shared" si="368"/>
        <v>10.570302108365118</v>
      </c>
      <c r="DB557" s="39">
        <f t="shared" si="391"/>
        <v>6.8198289729912798</v>
      </c>
      <c r="DC557" s="39">
        <f t="shared" si="378"/>
        <v>10.570302108365118</v>
      </c>
      <c r="DD557" s="39">
        <v>4</v>
      </c>
      <c r="DE557" s="39">
        <f t="shared" si="365"/>
        <v>6.9128715060171486E-2</v>
      </c>
      <c r="DF557" s="39">
        <v>0.26965593983770458</v>
      </c>
      <c r="DG557" s="39">
        <f t="shared" si="379"/>
        <v>0</v>
      </c>
      <c r="DH557" s="39">
        <f t="shared" si="380"/>
        <v>7.8253016821566099</v>
      </c>
      <c r="DI557" s="39">
        <f t="shared" si="385"/>
        <v>11.129470462573964</v>
      </c>
      <c r="DJ557" s="37"/>
      <c r="DK557" s="39">
        <v>122.6</v>
      </c>
      <c r="DL557" s="37"/>
      <c r="DM557" s="39">
        <f t="shared" si="386"/>
        <v>3.0132924477753411</v>
      </c>
      <c r="DN557" s="39"/>
      <c r="DO557" s="39">
        <f t="shared" si="387"/>
        <v>2.8681358061906468</v>
      </c>
      <c r="DP557" s="37"/>
      <c r="DQ557" s="37">
        <f>DO557/'Conversions, Sources &amp; Comments'!E555</f>
        <v>6.1814346044605921</v>
      </c>
    </row>
    <row r="558" spans="1:121">
      <c r="A558" s="42">
        <f t="shared" si="381"/>
        <v>1806</v>
      </c>
      <c r="B558" s="36"/>
      <c r="C558" s="38">
        <v>86.21</v>
      </c>
      <c r="D558" s="38">
        <v>0</v>
      </c>
      <c r="E558" s="36"/>
      <c r="F558" s="36"/>
      <c r="G558" s="38">
        <v>27</v>
      </c>
      <c r="H558" s="38">
        <v>7</v>
      </c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8">
        <v>13.75</v>
      </c>
      <c r="W558" s="36"/>
      <c r="X558" s="36"/>
      <c r="Y558" s="36"/>
      <c r="Z558" s="36"/>
      <c r="AA558" s="36"/>
      <c r="AB558" s="59">
        <v>10</v>
      </c>
      <c r="AC558" s="38">
        <v>3</v>
      </c>
      <c r="AD558" s="38">
        <v>6</v>
      </c>
      <c r="AE558" s="38">
        <v>3</v>
      </c>
      <c r="AF558" s="38">
        <v>6</v>
      </c>
      <c r="AG558" s="38">
        <v>30</v>
      </c>
      <c r="AH558" s="38">
        <v>0</v>
      </c>
      <c r="AI558" s="38">
        <v>30</v>
      </c>
      <c r="AJ558" s="38">
        <v>0</v>
      </c>
      <c r="AK558" s="36"/>
      <c r="AL558" s="36"/>
      <c r="AM558" s="36"/>
      <c r="AN558" s="36"/>
      <c r="AO558" s="36"/>
      <c r="AP558" s="36"/>
      <c r="AQ558" s="36"/>
      <c r="AR558" s="36"/>
      <c r="AS558" s="38">
        <v>65.2</v>
      </c>
      <c r="AT558" s="38">
        <v>6</v>
      </c>
      <c r="AU558" s="36"/>
      <c r="AV558" s="36"/>
      <c r="AW558" s="36"/>
      <c r="AX558" s="36"/>
      <c r="AY558" s="36"/>
      <c r="AZ558" s="38">
        <v>168</v>
      </c>
      <c r="BA558" s="36"/>
      <c r="BB558" s="36"/>
      <c r="BC558" s="38">
        <v>9</v>
      </c>
      <c r="BD558" s="38">
        <v>5.75</v>
      </c>
      <c r="BE558" s="38">
        <v>6.92</v>
      </c>
      <c r="BF558" s="38">
        <v>11.7</v>
      </c>
      <c r="BG558" s="59">
        <v>43.81</v>
      </c>
      <c r="BH558" s="59">
        <v>9.52</v>
      </c>
      <c r="BI558" s="59">
        <v>0.94217292322258972</v>
      </c>
      <c r="BJ558" s="59">
        <v>15.24</v>
      </c>
      <c r="BK558" s="38">
        <v>11.992085217391304</v>
      </c>
      <c r="BL558" s="59">
        <v>3.7</v>
      </c>
      <c r="BM558" s="36"/>
      <c r="BN558" s="38">
        <v>62</v>
      </c>
      <c r="BO558" s="36"/>
      <c r="BP558" s="39">
        <f t="shared" si="373"/>
        <v>0.46399193548387102</v>
      </c>
      <c r="BQ558" s="37"/>
      <c r="BR558" s="39">
        <f t="shared" si="374"/>
        <v>1.7027390072392525</v>
      </c>
      <c r="BS558" s="39">
        <f t="shared" si="397"/>
        <v>2.9920642588280275</v>
      </c>
      <c r="BT558" s="39">
        <f t="shared" si="390"/>
        <v>42.623931081195501</v>
      </c>
      <c r="BU558" s="37"/>
      <c r="BV558" s="39">
        <f t="shared" si="399"/>
        <v>0.83839208001172949</v>
      </c>
      <c r="BW558" s="39">
        <f t="shared" si="369"/>
        <v>8.3471288907347763</v>
      </c>
      <c r="BX558" s="39">
        <f t="shared" si="383"/>
        <v>0.64109200499566799</v>
      </c>
      <c r="BY558" s="39">
        <f t="shared" si="396"/>
        <v>10.229324620998501</v>
      </c>
      <c r="BZ558" s="39">
        <f t="shared" si="388"/>
        <v>13.362420619201471</v>
      </c>
      <c r="CA558" s="39">
        <f t="shared" si="370"/>
        <v>12.267093257137304</v>
      </c>
      <c r="CB558" s="39">
        <f t="shared" si="371"/>
        <v>3.7848501097694456</v>
      </c>
      <c r="CC558" s="39">
        <f t="shared" si="382"/>
        <v>0.63798891129032265</v>
      </c>
      <c r="CD558" s="37"/>
      <c r="CE558" s="37"/>
      <c r="CF558" s="37"/>
      <c r="CG558" s="37"/>
      <c r="CH558" s="37"/>
      <c r="CI558" s="39">
        <f t="shared" si="394"/>
        <v>6.1375677104164659</v>
      </c>
      <c r="CJ558" s="39">
        <f t="shared" si="384"/>
        <v>0.26965593983770464</v>
      </c>
      <c r="CK558" s="39">
        <f t="shared" si="392"/>
        <v>6.9128715060171486E-2</v>
      </c>
      <c r="CL558" s="39">
        <f>BP558*(12*AG558+AH558)/100</f>
        <v>1.6703709677419356</v>
      </c>
      <c r="CM558" s="39">
        <f t="shared" si="393"/>
        <v>0.24427107795113601</v>
      </c>
      <c r="CN558" s="37"/>
      <c r="CO558" s="39">
        <f>0.063495+(0.016949+0.014096)*Wages!P556+1.22592*BR558</f>
        <v>3.015194581980551</v>
      </c>
      <c r="CP558" s="39"/>
      <c r="CQ558" s="39">
        <f t="shared" si="398"/>
        <v>2.9920642588280275</v>
      </c>
      <c r="CR558" s="39">
        <f t="shared" si="389"/>
        <v>0.83839208001172949</v>
      </c>
      <c r="CS558" s="39">
        <f t="shared" si="389"/>
        <v>8.3471288907347763</v>
      </c>
      <c r="CT558" s="39">
        <f t="shared" si="372"/>
        <v>12.267093257137304</v>
      </c>
      <c r="CU558" s="39">
        <f t="shared" si="372"/>
        <v>3.7848501097694456</v>
      </c>
      <c r="CV558" s="39">
        <f t="shared" si="372"/>
        <v>0.63798891129032265</v>
      </c>
      <c r="CW558" s="39">
        <f t="shared" si="362"/>
        <v>0</v>
      </c>
      <c r="CX558" s="39">
        <f t="shared" si="395"/>
        <v>6.1375677104164659</v>
      </c>
      <c r="CY558" s="39">
        <f t="shared" si="376"/>
        <v>13.362420619201471</v>
      </c>
      <c r="CZ558" s="39">
        <f t="shared" si="377"/>
        <v>0.64109200499566799</v>
      </c>
      <c r="DA558" s="39">
        <f t="shared" si="368"/>
        <v>10.229324620998501</v>
      </c>
      <c r="DB558" s="39">
        <f t="shared" si="391"/>
        <v>6.8198289729912798</v>
      </c>
      <c r="DC558" s="39">
        <f t="shared" si="378"/>
        <v>10.229324620998501</v>
      </c>
      <c r="DD558" s="39">
        <v>4</v>
      </c>
      <c r="DE558" s="39">
        <f t="shared" si="365"/>
        <v>6.9128715060171486E-2</v>
      </c>
      <c r="DF558" s="39">
        <v>0.26965593983770458</v>
      </c>
      <c r="DG558" s="39">
        <f t="shared" si="379"/>
        <v>1.6703709677419356</v>
      </c>
      <c r="DH558" s="39">
        <f t="shared" si="380"/>
        <v>7.8253016821566099</v>
      </c>
      <c r="DI558" s="39">
        <f t="shared" si="385"/>
        <v>11.129470462573964</v>
      </c>
      <c r="DJ558" s="37"/>
      <c r="DK558" s="39">
        <v>114.8</v>
      </c>
      <c r="DL558" s="37"/>
      <c r="DM558" s="39">
        <f t="shared" si="386"/>
        <v>2.8327874961661008</v>
      </c>
      <c r="DN558" s="39"/>
      <c r="DO558" s="39">
        <f t="shared" si="387"/>
        <v>2.6856606080806382</v>
      </c>
      <c r="DP558" s="37"/>
      <c r="DQ558" s="37">
        <f>DO558/'Conversions, Sources &amp; Comments'!E556</f>
        <v>5.7881622560528214</v>
      </c>
    </row>
    <row r="559" spans="1:121">
      <c r="A559" s="42">
        <f t="shared" si="381"/>
        <v>1807</v>
      </c>
      <c r="B559" s="36"/>
      <c r="C559" s="38">
        <v>76.5</v>
      </c>
      <c r="D559" s="38">
        <v>0</v>
      </c>
      <c r="E559" s="36"/>
      <c r="F559" s="36"/>
      <c r="G559" s="38">
        <v>28</v>
      </c>
      <c r="H559" s="38">
        <v>4</v>
      </c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8">
        <v>15.04</v>
      </c>
      <c r="W559" s="36"/>
      <c r="X559" s="36"/>
      <c r="Y559" s="36"/>
      <c r="Z559" s="36"/>
      <c r="AA559" s="36"/>
      <c r="AB559" s="59">
        <v>11</v>
      </c>
      <c r="AC559" s="38">
        <v>3</v>
      </c>
      <c r="AD559" s="38">
        <v>6</v>
      </c>
      <c r="AE559" s="38">
        <v>3</v>
      </c>
      <c r="AF559" s="38">
        <v>6</v>
      </c>
      <c r="AG559" s="38">
        <v>20</v>
      </c>
      <c r="AH559" s="38">
        <v>0</v>
      </c>
      <c r="AI559" s="38">
        <v>20</v>
      </c>
      <c r="AJ559" s="38">
        <v>0</v>
      </c>
      <c r="AK559" s="36"/>
      <c r="AL559" s="36"/>
      <c r="AM559" s="36"/>
      <c r="AN559" s="36"/>
      <c r="AO559" s="36"/>
      <c r="AP559" s="36"/>
      <c r="AQ559" s="36"/>
      <c r="AR559" s="36"/>
      <c r="AS559" s="38">
        <v>65.2</v>
      </c>
      <c r="AT559" s="38">
        <v>7</v>
      </c>
      <c r="AU559" s="36"/>
      <c r="AV559" s="36"/>
      <c r="AW559" s="36"/>
      <c r="AX559" s="36"/>
      <c r="AY559" s="36"/>
      <c r="AZ559" s="38">
        <v>168</v>
      </c>
      <c r="BA559" s="36"/>
      <c r="BB559" s="36"/>
      <c r="BC559" s="38">
        <v>9</v>
      </c>
      <c r="BD559" s="38">
        <v>5.75</v>
      </c>
      <c r="BE559" s="38">
        <v>6.67</v>
      </c>
      <c r="BF559" s="38">
        <v>10.8</v>
      </c>
      <c r="BG559" s="59">
        <v>45.54</v>
      </c>
      <c r="BH559" s="59">
        <v>9.34</v>
      </c>
      <c r="BI559" s="59">
        <v>0.94217292322258972</v>
      </c>
      <c r="BJ559" s="59">
        <v>13.5</v>
      </c>
      <c r="BK559" s="38">
        <v>14.697370434782611</v>
      </c>
      <c r="BL559" s="59">
        <v>3.7</v>
      </c>
      <c r="BM559" s="36"/>
      <c r="BN559" s="38">
        <v>62</v>
      </c>
      <c r="BO559" s="36"/>
      <c r="BP559" s="39">
        <f t="shared" si="373"/>
        <v>0.46399193548387102</v>
      </c>
      <c r="BQ559" s="37"/>
      <c r="BR559" s="39">
        <f t="shared" si="374"/>
        <v>1.5109562006008912</v>
      </c>
      <c r="BS559" s="39">
        <f t="shared" si="397"/>
        <v>2.7619054696874108</v>
      </c>
      <c r="BT559" s="39">
        <f t="shared" si="390"/>
        <v>42.623931081195501</v>
      </c>
      <c r="BU559" s="37"/>
      <c r="BV559" s="39">
        <f t="shared" si="399"/>
        <v>0.87149909435594985</v>
      </c>
      <c r="BW559" s="39">
        <f t="shared" si="369"/>
        <v>8.1893050251536561</v>
      </c>
      <c r="BX559" s="39">
        <f t="shared" si="383"/>
        <v>0.64109200499566799</v>
      </c>
      <c r="BY559" s="39">
        <f t="shared" si="396"/>
        <v>11.25225708309835</v>
      </c>
      <c r="BZ559" s="39">
        <f t="shared" si="388"/>
        <v>11.83678991858398</v>
      </c>
      <c r="CA559" s="39">
        <f t="shared" si="370"/>
        <v>15.034417325245721</v>
      </c>
      <c r="CB559" s="39">
        <f t="shared" si="371"/>
        <v>3.7848501097694456</v>
      </c>
      <c r="CC559" s="39">
        <f t="shared" ref="CC559:CC582" si="400">BP559*12*V559/120</f>
        <v>0.69784387096774192</v>
      </c>
      <c r="CD559" s="37"/>
      <c r="CE559" s="37"/>
      <c r="CF559" s="37"/>
      <c r="CG559" s="37"/>
      <c r="CH559" s="37"/>
      <c r="CI559" s="39">
        <f t="shared" si="394"/>
        <v>7.1604956621525444</v>
      </c>
      <c r="CJ559" s="39">
        <f t="shared" si="384"/>
        <v>0.26965593983770464</v>
      </c>
      <c r="CK559" s="39">
        <f t="shared" si="392"/>
        <v>6.9128715060171486E-2</v>
      </c>
      <c r="CL559" s="39">
        <f>BP559*(12*AG559+AH559)/100</f>
        <v>1.1135806451612904</v>
      </c>
      <c r="CM559" s="39">
        <f t="shared" si="393"/>
        <v>0.24427107795113601</v>
      </c>
      <c r="CN559" s="37"/>
      <c r="CO559" s="39">
        <f>0.063495+(0.016949+0.014096)*Wages!P557+1.22592*BR559</f>
        <v>2.7800842036664508</v>
      </c>
      <c r="CP559" s="39"/>
      <c r="CQ559" s="39">
        <f t="shared" si="398"/>
        <v>2.7619054696874108</v>
      </c>
      <c r="CR559" s="39">
        <f t="shared" si="389"/>
        <v>0.87149909435594985</v>
      </c>
      <c r="CS559" s="39">
        <f t="shared" si="389"/>
        <v>8.1893050251536561</v>
      </c>
      <c r="CT559" s="39">
        <f t="shared" si="372"/>
        <v>15.034417325245721</v>
      </c>
      <c r="CU559" s="39">
        <f t="shared" si="372"/>
        <v>3.7848501097694456</v>
      </c>
      <c r="CV559" s="39">
        <f t="shared" si="372"/>
        <v>0.69784387096774192</v>
      </c>
      <c r="CW559" s="39">
        <f t="shared" si="362"/>
        <v>0</v>
      </c>
      <c r="CX559" s="39">
        <f t="shared" si="395"/>
        <v>7.1604956621525444</v>
      </c>
      <c r="CY559" s="39">
        <f t="shared" si="376"/>
        <v>11.83678991858398</v>
      </c>
      <c r="CZ559" s="39">
        <f t="shared" si="377"/>
        <v>0.64109200499566799</v>
      </c>
      <c r="DA559" s="39">
        <f t="shared" si="368"/>
        <v>11.25225708309835</v>
      </c>
      <c r="DB559" s="39">
        <f t="shared" si="391"/>
        <v>6.8198289729912798</v>
      </c>
      <c r="DC559" s="39">
        <f t="shared" si="378"/>
        <v>11.25225708309835</v>
      </c>
      <c r="DD559" s="39">
        <v>4</v>
      </c>
      <c r="DE559" s="39">
        <f t="shared" si="365"/>
        <v>6.9128715060171486E-2</v>
      </c>
      <c r="DF559" s="39">
        <v>0.26965593983770464</v>
      </c>
      <c r="DG559" s="39">
        <f t="shared" si="379"/>
        <v>1.1135806451612904</v>
      </c>
      <c r="DH559" s="39">
        <f t="shared" si="380"/>
        <v>7.8253016821566099</v>
      </c>
      <c r="DI559" s="39">
        <f t="shared" si="385"/>
        <v>11.129470462573966</v>
      </c>
      <c r="DJ559" s="37"/>
      <c r="DK559" s="39">
        <v>109.6</v>
      </c>
      <c r="DL559" s="37"/>
      <c r="DM559" s="39">
        <f t="shared" si="386"/>
        <v>2.7810906276955731</v>
      </c>
      <c r="DN559" s="39"/>
      <c r="DO559" s="39">
        <f t="shared" si="387"/>
        <v>2.5640104760072995</v>
      </c>
      <c r="DP559" s="37"/>
      <c r="DQ559" s="37">
        <f>DO559/'Conversions, Sources &amp; Comments'!E557</f>
        <v>5.5259806904476418</v>
      </c>
    </row>
    <row r="560" spans="1:121">
      <c r="A560" s="42">
        <f t="shared" si="381"/>
        <v>1808</v>
      </c>
      <c r="B560" s="36"/>
      <c r="C560" s="38">
        <v>96</v>
      </c>
      <c r="D560" s="38">
        <v>0</v>
      </c>
      <c r="E560" s="36"/>
      <c r="F560" s="36"/>
      <c r="G560" s="38">
        <v>33</v>
      </c>
      <c r="H560" s="38">
        <v>4</v>
      </c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8">
        <v>15.42</v>
      </c>
      <c r="W560" s="36"/>
      <c r="X560" s="36"/>
      <c r="Y560" s="36"/>
      <c r="Z560" s="36"/>
      <c r="AA560" s="36"/>
      <c r="AB560" s="59">
        <v>14</v>
      </c>
      <c r="AC560" s="38">
        <v>3</v>
      </c>
      <c r="AD560" s="38">
        <v>6</v>
      </c>
      <c r="AE560" s="38">
        <v>3</v>
      </c>
      <c r="AF560" s="38">
        <v>6</v>
      </c>
      <c r="AG560" s="38">
        <v>20</v>
      </c>
      <c r="AH560" s="38">
        <v>0</v>
      </c>
      <c r="AI560" s="38">
        <v>20</v>
      </c>
      <c r="AJ560" s="38">
        <v>0</v>
      </c>
      <c r="AK560" s="36"/>
      <c r="AL560" s="36"/>
      <c r="AM560" s="36"/>
      <c r="AN560" s="36"/>
      <c r="AO560" s="36"/>
      <c r="AP560" s="36"/>
      <c r="AQ560" s="36"/>
      <c r="AR560" s="36"/>
      <c r="AS560" s="38">
        <v>70.41</v>
      </c>
      <c r="AT560" s="38">
        <v>7.5</v>
      </c>
      <c r="AU560" s="36"/>
      <c r="AV560" s="36"/>
      <c r="AW560" s="36"/>
      <c r="AX560" s="36"/>
      <c r="AY560" s="36"/>
      <c r="AZ560" s="38">
        <v>168</v>
      </c>
      <c r="BA560" s="36"/>
      <c r="BB560" s="36"/>
      <c r="BC560" s="38">
        <v>9</v>
      </c>
      <c r="BD560" s="38">
        <v>6</v>
      </c>
      <c r="BE560" s="38">
        <v>6.67</v>
      </c>
      <c r="BF560" s="38">
        <v>11.6</v>
      </c>
      <c r="BG560" s="59">
        <v>60.83</v>
      </c>
      <c r="BH560" s="59">
        <v>9.24</v>
      </c>
      <c r="BI560" s="59">
        <v>0.94217292322258972</v>
      </c>
      <c r="BJ560" s="59">
        <v>13</v>
      </c>
      <c r="BK560" s="38">
        <v>14.38781043478261</v>
      </c>
      <c r="BL560" s="59">
        <v>3.53</v>
      </c>
      <c r="BM560" s="36"/>
      <c r="BN560" s="38">
        <v>62</v>
      </c>
      <c r="BO560" s="36"/>
      <c r="BP560" s="39">
        <f t="shared" si="373"/>
        <v>0.46399193548387102</v>
      </c>
      <c r="BQ560" s="37"/>
      <c r="BR560" s="39">
        <f t="shared" si="374"/>
        <v>1.8961018987932752</v>
      </c>
      <c r="BS560" s="39">
        <f t="shared" si="397"/>
        <v>2.9664910600346257</v>
      </c>
      <c r="BT560" s="39">
        <f t="shared" si="390"/>
        <v>42.623931081195501</v>
      </c>
      <c r="BU560" s="37"/>
      <c r="BV560" s="39">
        <f t="shared" si="399"/>
        <v>1.1641038627508218</v>
      </c>
      <c r="BW560" s="39">
        <f t="shared" si="369"/>
        <v>8.1016250998308141</v>
      </c>
      <c r="BX560" s="39">
        <f t="shared" si="383"/>
        <v>0.64109200499566799</v>
      </c>
      <c r="BY560" s="39">
        <f t="shared" si="396"/>
        <v>14.3210544693979</v>
      </c>
      <c r="BZ560" s="39">
        <f t="shared" si="388"/>
        <v>11.39839029196976</v>
      </c>
      <c r="CA560" s="39">
        <f t="shared" si="370"/>
        <v>14.717758352278091</v>
      </c>
      <c r="CB560" s="39">
        <f t="shared" si="371"/>
        <v>3.6109515912124706</v>
      </c>
      <c r="CC560" s="39">
        <f t="shared" si="400"/>
        <v>0.71547556451612915</v>
      </c>
      <c r="CD560" s="37"/>
      <c r="CE560" s="37"/>
      <c r="CF560" s="37"/>
      <c r="CG560" s="37"/>
      <c r="CH560" s="37"/>
      <c r="CI560" s="39">
        <f t="shared" si="394"/>
        <v>7.6719596380205841</v>
      </c>
      <c r="CJ560" s="39">
        <f t="shared" si="384"/>
        <v>0.29120360006093221</v>
      </c>
      <c r="CK560" s="39">
        <f t="shared" si="392"/>
        <v>6.9128715060171486E-2</v>
      </c>
      <c r="CL560" s="39">
        <f>BP560*(12*AG560+AH560)/100</f>
        <v>1.1135806451612904</v>
      </c>
      <c r="CM560" s="39">
        <f t="shared" si="393"/>
        <v>0.24427107795113601</v>
      </c>
      <c r="CN560" s="37"/>
      <c r="CO560" s="39">
        <f>0.063495+(0.016949+0.014096)*Wages!P558+1.22592*BR560</f>
        <v>3.2522420179944582</v>
      </c>
      <c r="CP560" s="39"/>
      <c r="CQ560" s="39">
        <f t="shared" si="398"/>
        <v>2.9664910600346257</v>
      </c>
      <c r="CR560" s="39">
        <f t="shared" si="389"/>
        <v>1.1641038627508218</v>
      </c>
      <c r="CS560" s="39">
        <f t="shared" si="389"/>
        <v>8.1016250998308141</v>
      </c>
      <c r="CT560" s="39">
        <f t="shared" si="372"/>
        <v>14.717758352278091</v>
      </c>
      <c r="CU560" s="39">
        <f t="shared" si="372"/>
        <v>3.6109515912124706</v>
      </c>
      <c r="CV560" s="39">
        <f t="shared" si="372"/>
        <v>0.71547556451612915</v>
      </c>
      <c r="CW560" s="39">
        <f t="shared" si="362"/>
        <v>0</v>
      </c>
      <c r="CX560" s="39">
        <f t="shared" si="395"/>
        <v>7.6719596380205841</v>
      </c>
      <c r="CY560" s="39">
        <f t="shared" si="376"/>
        <v>11.39839029196976</v>
      </c>
      <c r="CZ560" s="39">
        <f t="shared" si="377"/>
        <v>0.64109200499566799</v>
      </c>
      <c r="DA560" s="39">
        <f t="shared" si="368"/>
        <v>14.3210544693979</v>
      </c>
      <c r="DB560" s="39">
        <f t="shared" si="391"/>
        <v>6.8198289729912798</v>
      </c>
      <c r="DC560" s="39">
        <f t="shared" si="378"/>
        <v>14.3210544693979</v>
      </c>
      <c r="DD560" s="39">
        <v>4</v>
      </c>
      <c r="DE560" s="39">
        <f t="shared" si="365"/>
        <v>6.9128715060171486E-2</v>
      </c>
      <c r="DF560" s="39">
        <v>0.29120360006093221</v>
      </c>
      <c r="DG560" s="39">
        <f t="shared" si="379"/>
        <v>1.1135806451612904</v>
      </c>
      <c r="DH560" s="39">
        <f t="shared" si="380"/>
        <v>7.8253016821566099</v>
      </c>
      <c r="DI560" s="39">
        <f t="shared" si="385"/>
        <v>12.018803915181486</v>
      </c>
      <c r="DJ560" s="37"/>
      <c r="DK560" s="39">
        <v>116.4</v>
      </c>
      <c r="DL560" s="37"/>
      <c r="DM560" s="39">
        <f t="shared" si="386"/>
        <v>2.9365359035151366</v>
      </c>
      <c r="DN560" s="39"/>
      <c r="DO560" s="39">
        <f t="shared" si="387"/>
        <v>2.7230914179493584</v>
      </c>
      <c r="DP560" s="37"/>
      <c r="DQ560" s="37">
        <f>DO560/'Conversions, Sources &amp; Comments'!E558</f>
        <v>5.8688335070082625</v>
      </c>
    </row>
    <row r="561" spans="1:121">
      <c r="A561" s="42">
        <f t="shared" si="381"/>
        <v>1809</v>
      </c>
      <c r="B561" s="36"/>
      <c r="C561" s="38">
        <v>119</v>
      </c>
      <c r="D561" s="38">
        <v>0</v>
      </c>
      <c r="E561" s="36"/>
      <c r="F561" s="36"/>
      <c r="G561" s="38">
        <v>31</v>
      </c>
      <c r="H561" s="38">
        <v>5</v>
      </c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8">
        <v>14.83</v>
      </c>
      <c r="W561" s="36"/>
      <c r="X561" s="36"/>
      <c r="Y561" s="36"/>
      <c r="Z561" s="36"/>
      <c r="AA561" s="36"/>
      <c r="AB561" s="59">
        <v>11</v>
      </c>
      <c r="AC561" s="38">
        <v>3</v>
      </c>
      <c r="AD561" s="38">
        <v>6</v>
      </c>
      <c r="AE561" s="38">
        <v>3</v>
      </c>
      <c r="AF561" s="38">
        <v>6</v>
      </c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8">
        <v>72.53</v>
      </c>
      <c r="AT561" s="38">
        <v>6.5</v>
      </c>
      <c r="AU561" s="36"/>
      <c r="AV561" s="36"/>
      <c r="AW561" s="36"/>
      <c r="AX561" s="36"/>
      <c r="AY561" s="36"/>
      <c r="AZ561" s="38">
        <v>168</v>
      </c>
      <c r="BA561" s="36"/>
      <c r="BB561" s="36"/>
      <c r="BC561" s="38">
        <v>9</v>
      </c>
      <c r="BD561" s="38">
        <v>6.25</v>
      </c>
      <c r="BE561" s="38">
        <v>6.58</v>
      </c>
      <c r="BF561" s="38">
        <v>13.7</v>
      </c>
      <c r="BG561" s="59">
        <v>60.63</v>
      </c>
      <c r="BH561" s="59">
        <v>8.82</v>
      </c>
      <c r="BI561" s="59">
        <v>0.94217292322258972</v>
      </c>
      <c r="BJ561" s="59">
        <v>13.5</v>
      </c>
      <c r="BK561" s="38">
        <v>14.253219130434784</v>
      </c>
      <c r="BL561" s="59">
        <v>3.7</v>
      </c>
      <c r="BM561" s="36"/>
      <c r="BN561" s="38">
        <v>62</v>
      </c>
      <c r="BO561" s="36"/>
      <c r="BP561" s="39">
        <f t="shared" si="373"/>
        <v>0.46399193548387102</v>
      </c>
      <c r="BQ561" s="37"/>
      <c r="BR561" s="39">
        <f t="shared" si="374"/>
        <v>2.3503763120458303</v>
      </c>
      <c r="BS561" s="39">
        <f t="shared" si="397"/>
        <v>3.5035282346960663</v>
      </c>
      <c r="BT561" s="39">
        <f t="shared" si="390"/>
        <v>42.623931081195501</v>
      </c>
      <c r="BU561" s="37"/>
      <c r="BV561" s="39">
        <f t="shared" si="399"/>
        <v>1.1602764622485997</v>
      </c>
      <c r="BW561" s="39">
        <f t="shared" si="369"/>
        <v>7.7333694134748674</v>
      </c>
      <c r="BX561" s="39">
        <f t="shared" si="383"/>
        <v>0.64109200499566799</v>
      </c>
      <c r="BY561" s="39">
        <f t="shared" si="396"/>
        <v>11.25225708309835</v>
      </c>
      <c r="BZ561" s="39">
        <f t="shared" si="388"/>
        <v>11.83678991858398</v>
      </c>
      <c r="CA561" s="39">
        <f t="shared" si="370"/>
        <v>14.58008053794434</v>
      </c>
      <c r="CB561" s="39">
        <f t="shared" si="371"/>
        <v>3.7848501097694456</v>
      </c>
      <c r="CC561" s="39">
        <f t="shared" si="400"/>
        <v>0.68810004032258076</v>
      </c>
      <c r="CD561" s="37"/>
      <c r="CE561" s="37"/>
      <c r="CF561" s="37"/>
      <c r="CG561" s="37"/>
      <c r="CH561" s="37"/>
      <c r="CI561" s="39">
        <f t="shared" si="394"/>
        <v>6.6490316862845056</v>
      </c>
      <c r="CJ561" s="39">
        <f t="shared" si="384"/>
        <v>0.29997155393295571</v>
      </c>
      <c r="CK561" s="39">
        <f t="shared" si="392"/>
        <v>6.9128715060171486E-2</v>
      </c>
      <c r="CL561" s="37"/>
      <c r="CM561" s="39">
        <f t="shared" si="393"/>
        <v>0.24427107795113601</v>
      </c>
      <c r="CN561" s="37"/>
      <c r="CO561" s="39">
        <f>0.063495+(0.016949+0.014096)*Wages!P559+1.22592*BR561</f>
        <v>3.8955738845116112</v>
      </c>
      <c r="CP561" s="39"/>
      <c r="CQ561" s="39">
        <f t="shared" si="398"/>
        <v>3.5035282346960663</v>
      </c>
      <c r="CR561" s="39">
        <f t="shared" si="389"/>
        <v>1.1602764622485997</v>
      </c>
      <c r="CS561" s="39">
        <f t="shared" si="389"/>
        <v>7.7333694134748674</v>
      </c>
      <c r="CT561" s="39">
        <f t="shared" si="372"/>
        <v>14.58008053794434</v>
      </c>
      <c r="CU561" s="39">
        <f t="shared" si="372"/>
        <v>3.7848501097694456</v>
      </c>
      <c r="CV561" s="39">
        <f t="shared" si="372"/>
        <v>0.68810004032258076</v>
      </c>
      <c r="CW561" s="39">
        <f t="shared" si="362"/>
        <v>0</v>
      </c>
      <c r="CX561" s="39">
        <f t="shared" si="395"/>
        <v>6.6490316862845056</v>
      </c>
      <c r="CY561" s="39">
        <f t="shared" si="376"/>
        <v>11.83678991858398</v>
      </c>
      <c r="CZ561" s="39">
        <f t="shared" si="377"/>
        <v>0.64109200499566799</v>
      </c>
      <c r="DA561" s="39">
        <f t="shared" si="368"/>
        <v>11.25225708309835</v>
      </c>
      <c r="DB561" s="39">
        <f t="shared" si="391"/>
        <v>6.8198289729912798</v>
      </c>
      <c r="DC561" s="39">
        <f t="shared" si="378"/>
        <v>11.25225708309835</v>
      </c>
      <c r="DD561" s="39">
        <v>4</v>
      </c>
      <c r="DE561" s="39">
        <f t="shared" si="365"/>
        <v>6.9128715060171486E-2</v>
      </c>
      <c r="DF561" s="39">
        <v>0.29997155393295577</v>
      </c>
      <c r="DG561" s="39">
        <f t="shared" si="379"/>
        <v>0</v>
      </c>
      <c r="DH561" s="39">
        <f t="shared" si="380"/>
        <v>7.8253016821566099</v>
      </c>
      <c r="DI561" s="39">
        <f t="shared" si="385"/>
        <v>12.380682402614873</v>
      </c>
      <c r="DJ561" s="37"/>
      <c r="DK561" s="39">
        <v>131.1</v>
      </c>
      <c r="DL561" s="37"/>
      <c r="DM561" s="39">
        <f t="shared" si="386"/>
        <v>3.1071177036320101</v>
      </c>
      <c r="DN561" s="39"/>
      <c r="DO561" s="39">
        <f t="shared" si="387"/>
        <v>3.0669869836182202</v>
      </c>
      <c r="DP561" s="37"/>
      <c r="DQ561" s="37">
        <f>DO561/'Conversions, Sources &amp; Comments'!E559</f>
        <v>6.6100006251613674</v>
      </c>
    </row>
    <row r="562" spans="1:121">
      <c r="A562" s="42">
        <f t="shared" si="381"/>
        <v>1810</v>
      </c>
      <c r="B562" s="36"/>
      <c r="C562" s="38">
        <v>104.5</v>
      </c>
      <c r="D562" s="38">
        <v>0</v>
      </c>
      <c r="E562" s="36"/>
      <c r="F562" s="36"/>
      <c r="G562" s="38">
        <v>28</v>
      </c>
      <c r="H562" s="38">
        <v>7</v>
      </c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8">
        <v>14.92</v>
      </c>
      <c r="W562" s="36"/>
      <c r="X562" s="36"/>
      <c r="Y562" s="36"/>
      <c r="Z562" s="36"/>
      <c r="AA562" s="36"/>
      <c r="AB562" s="59">
        <v>10.666666666666666</v>
      </c>
      <c r="AC562" s="38">
        <v>3</v>
      </c>
      <c r="AD562" s="38">
        <v>6</v>
      </c>
      <c r="AE562" s="38">
        <v>3</v>
      </c>
      <c r="AF562" s="38">
        <v>6</v>
      </c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8">
        <v>5.5</v>
      </c>
      <c r="AU562" s="36"/>
      <c r="AV562" s="36"/>
      <c r="AW562" s="36"/>
      <c r="AX562" s="36"/>
      <c r="AY562" s="36"/>
      <c r="AZ562" s="38">
        <v>168</v>
      </c>
      <c r="BA562" s="36"/>
      <c r="BB562" s="36"/>
      <c r="BC562" s="38">
        <v>10</v>
      </c>
      <c r="BD562" s="38">
        <v>6.25</v>
      </c>
      <c r="BE562" s="38">
        <v>6.58</v>
      </c>
      <c r="BF562" s="38">
        <v>14.7</v>
      </c>
      <c r="BG562" s="59">
        <v>54.33</v>
      </c>
      <c r="BH562" s="59">
        <v>9.8000000000000007</v>
      </c>
      <c r="BI562" s="59">
        <v>0.94217292322258972</v>
      </c>
      <c r="BJ562" s="59">
        <v>13</v>
      </c>
      <c r="BK562" s="38">
        <v>16.864290434782607</v>
      </c>
      <c r="BL562" s="59">
        <v>3.53</v>
      </c>
      <c r="BM562" s="36"/>
      <c r="BN562" s="38">
        <v>62</v>
      </c>
      <c r="BO562" s="36"/>
      <c r="BP562" s="39">
        <f t="shared" si="373"/>
        <v>0.46399193548387102</v>
      </c>
      <c r="BQ562" s="37"/>
      <c r="BR562" s="39">
        <f t="shared" si="374"/>
        <v>2.0639859210822631</v>
      </c>
      <c r="BS562" s="39">
        <f t="shared" si="397"/>
        <v>3.7592602226300862</v>
      </c>
      <c r="BT562" s="39">
        <f t="shared" si="390"/>
        <v>42.623931081195501</v>
      </c>
      <c r="BU562" s="37"/>
      <c r="BV562" s="39">
        <f t="shared" si="399"/>
        <v>1.0397133464286068</v>
      </c>
      <c r="BW562" s="39">
        <f t="shared" si="369"/>
        <v>8.5926326816387419</v>
      </c>
      <c r="BX562" s="39">
        <f t="shared" si="383"/>
        <v>0.64109200499566799</v>
      </c>
      <c r="BY562" s="39">
        <f t="shared" si="396"/>
        <v>10.911279595731733</v>
      </c>
      <c r="BZ562" s="39">
        <f t="shared" si="388"/>
        <v>11.39839029196976</v>
      </c>
      <c r="CA562" s="39">
        <f t="shared" si="370"/>
        <v>17.251030136019125</v>
      </c>
      <c r="CB562" s="39">
        <f t="shared" si="371"/>
        <v>3.6109515912124706</v>
      </c>
      <c r="CC562" s="39">
        <f t="shared" si="400"/>
        <v>0.69227596774193545</v>
      </c>
      <c r="CD562" s="37"/>
      <c r="CE562" s="37"/>
      <c r="CF562" s="37"/>
      <c r="CG562" s="37"/>
      <c r="CH562" s="37"/>
      <c r="CI562" s="39">
        <f t="shared" si="394"/>
        <v>5.6261037345484279</v>
      </c>
      <c r="CJ562" s="39">
        <f t="shared" si="384"/>
        <v>0</v>
      </c>
      <c r="CK562" s="39">
        <f t="shared" si="392"/>
        <v>6.9128715060171486E-2</v>
      </c>
      <c r="CL562" s="37"/>
      <c r="CM562" s="39">
        <f t="shared" si="393"/>
        <v>0.24427107795113601</v>
      </c>
      <c r="CN562" s="37"/>
      <c r="CO562" s="39">
        <f>0.063495+(0.016949+0.014096)*Wages!P560+1.22592*BR562</f>
        <v>3.6309099542441361</v>
      </c>
      <c r="CP562" s="39"/>
      <c r="CQ562" s="39">
        <f t="shared" si="398"/>
        <v>3.7592602226300862</v>
      </c>
      <c r="CR562" s="39">
        <f t="shared" si="389"/>
        <v>1.0397133464286068</v>
      </c>
      <c r="CS562" s="39">
        <f t="shared" si="389"/>
        <v>8.5926326816387419</v>
      </c>
      <c r="CT562" s="39">
        <f t="shared" si="372"/>
        <v>17.251030136019125</v>
      </c>
      <c r="CU562" s="39">
        <f t="shared" si="372"/>
        <v>3.6109515912124706</v>
      </c>
      <c r="CV562" s="39">
        <f t="shared" si="372"/>
        <v>0.69227596774193545</v>
      </c>
      <c r="CW562" s="39">
        <f t="shared" si="362"/>
        <v>0</v>
      </c>
      <c r="CX562" s="39">
        <f t="shared" si="395"/>
        <v>5.6261037345484279</v>
      </c>
      <c r="CY562" s="39">
        <f t="shared" si="376"/>
        <v>11.39839029196976</v>
      </c>
      <c r="CZ562" s="39">
        <f t="shared" si="377"/>
        <v>0.64109200499566799</v>
      </c>
      <c r="DA562" s="39">
        <f t="shared" si="368"/>
        <v>10.911279595731733</v>
      </c>
      <c r="DB562" s="39">
        <f t="shared" si="391"/>
        <v>6.8198289729912798</v>
      </c>
      <c r="DC562" s="39">
        <f t="shared" si="378"/>
        <v>10.911279595731733</v>
      </c>
      <c r="DD562" s="39">
        <v>4</v>
      </c>
      <c r="DE562" s="39">
        <f t="shared" si="365"/>
        <v>6.9128715060171486E-2</v>
      </c>
      <c r="DF562" s="39">
        <v>0.28999999999999998</v>
      </c>
      <c r="DG562" s="39">
        <f t="shared" si="379"/>
        <v>0</v>
      </c>
      <c r="DH562" s="39">
        <f t="shared" si="380"/>
        <v>7.8253016821566099</v>
      </c>
      <c r="DI562" s="39">
        <f t="shared" si="385"/>
        <v>11.96912790457716</v>
      </c>
      <c r="DJ562" s="37"/>
      <c r="DK562" s="39">
        <v>134.9</v>
      </c>
      <c r="DL562" s="37"/>
      <c r="DM562" s="39">
        <f t="shared" si="386"/>
        <v>3.2855793755018068</v>
      </c>
      <c r="DN562" s="39"/>
      <c r="DO562" s="39">
        <f t="shared" si="387"/>
        <v>3.1558851570564297</v>
      </c>
      <c r="DP562" s="39"/>
      <c r="DQ562" s="37">
        <f>DO562/'Conversions, Sources &amp; Comments'!E560</f>
        <v>6.8015948461805378</v>
      </c>
    </row>
    <row r="563" spans="1:121">
      <c r="A563" s="42">
        <f t="shared" si="381"/>
        <v>1811</v>
      </c>
      <c r="B563" s="36"/>
      <c r="C563" s="38">
        <v>134.5</v>
      </c>
      <c r="D563" s="38">
        <v>0</v>
      </c>
      <c r="E563" s="36"/>
      <c r="F563" s="36"/>
      <c r="G563" s="38">
        <v>27</v>
      </c>
      <c r="H563" s="38">
        <v>7</v>
      </c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8">
        <v>15.25</v>
      </c>
      <c r="W563" s="36"/>
      <c r="X563" s="36"/>
      <c r="Y563" s="36"/>
      <c r="Z563" s="36"/>
      <c r="AA563" s="36"/>
      <c r="AB563" s="59">
        <v>12.666666666666666</v>
      </c>
      <c r="AC563" s="38">
        <v>4</v>
      </c>
      <c r="AD563" s="38">
        <v>6</v>
      </c>
      <c r="AE563" s="38">
        <v>4</v>
      </c>
      <c r="AF563" s="38">
        <v>6</v>
      </c>
      <c r="AG563" s="38">
        <v>27</v>
      </c>
      <c r="AH563" s="38">
        <v>6</v>
      </c>
      <c r="AI563" s="38">
        <v>27</v>
      </c>
      <c r="AJ563" s="38">
        <v>6</v>
      </c>
      <c r="AK563" s="36"/>
      <c r="AL563" s="36"/>
      <c r="AM563" s="36"/>
      <c r="AN563" s="36"/>
      <c r="AO563" s="36"/>
      <c r="AP563" s="36"/>
      <c r="AQ563" s="36"/>
      <c r="AR563" s="36"/>
      <c r="AS563" s="38">
        <v>68.34</v>
      </c>
      <c r="AT563" s="38">
        <v>5.5</v>
      </c>
      <c r="AU563" s="36"/>
      <c r="AV563" s="36"/>
      <c r="AW563" s="36"/>
      <c r="AX563" s="36"/>
      <c r="AY563" s="36"/>
      <c r="AZ563" s="38">
        <v>168</v>
      </c>
      <c r="BA563" s="36"/>
      <c r="BB563" s="36"/>
      <c r="BC563" s="38">
        <v>10</v>
      </c>
      <c r="BD563" s="38">
        <v>6.25</v>
      </c>
      <c r="BE563" s="38">
        <v>7.08</v>
      </c>
      <c r="BF563" s="38">
        <v>14</v>
      </c>
      <c r="BG563" s="59">
        <v>49.33</v>
      </c>
      <c r="BH563" s="59">
        <v>11.16</v>
      </c>
      <c r="BI563" s="59">
        <v>0.94217292322258972</v>
      </c>
      <c r="BJ563" s="59">
        <v>13</v>
      </c>
      <c r="BK563" s="38">
        <v>16.554730434782613</v>
      </c>
      <c r="BL563" s="59">
        <v>3.7</v>
      </c>
      <c r="BM563" s="36"/>
      <c r="BN563" s="38">
        <v>62</v>
      </c>
      <c r="BO563" s="36"/>
      <c r="BP563" s="39">
        <f t="shared" si="373"/>
        <v>0.46399193548387102</v>
      </c>
      <c r="BQ563" s="37"/>
      <c r="BR563" s="39">
        <f t="shared" si="374"/>
        <v>2.6565177644551614</v>
      </c>
      <c r="BS563" s="39">
        <f t="shared" si="397"/>
        <v>3.5802478310762726</v>
      </c>
      <c r="BT563" s="39">
        <f t="shared" si="390"/>
        <v>42.623931081195501</v>
      </c>
      <c r="BU563" s="37"/>
      <c r="BV563" s="39">
        <f t="shared" si="399"/>
        <v>0.94402833387305662</v>
      </c>
      <c r="BW563" s="39">
        <f t="shared" si="369"/>
        <v>9.7850796660294233</v>
      </c>
      <c r="BX563" s="39">
        <f t="shared" si="383"/>
        <v>0.64109200499566799</v>
      </c>
      <c r="BY563" s="39">
        <f t="shared" si="396"/>
        <v>12.957144519931434</v>
      </c>
      <c r="BZ563" s="39">
        <f t="shared" si="388"/>
        <v>11.39839029196976</v>
      </c>
      <c r="CA563" s="39">
        <f t="shared" si="370"/>
        <v>16.934371163051502</v>
      </c>
      <c r="CB563" s="39">
        <f t="shared" si="371"/>
        <v>3.7848501097694456</v>
      </c>
      <c r="CC563" s="39">
        <f t="shared" si="400"/>
        <v>0.7075877016129033</v>
      </c>
      <c r="CD563" s="37"/>
      <c r="CE563" s="37"/>
      <c r="CF563" s="37"/>
      <c r="CG563" s="37"/>
      <c r="CH563" s="37"/>
      <c r="CI563" s="39">
        <f t="shared" si="394"/>
        <v>5.6261037345484279</v>
      </c>
      <c r="CJ563" s="39">
        <f t="shared" si="384"/>
        <v>0.28264243755381496</v>
      </c>
      <c r="CK563" s="39">
        <f t="shared" si="392"/>
        <v>8.8879776505934774E-2</v>
      </c>
      <c r="CL563" s="39">
        <f>BP563*(12*AG563+AH563)/100</f>
        <v>1.5311733870967743</v>
      </c>
      <c r="CM563" s="39">
        <f t="shared" si="393"/>
        <v>0.31406281450860346</v>
      </c>
      <c r="CN563" s="37"/>
      <c r="CO563" s="39">
        <f>0.063495+(0.016949+0.014096)*Wages!P561+1.22592*BR563</f>
        <v>4.2132602953008709</v>
      </c>
      <c r="CP563" s="39"/>
      <c r="CQ563" s="39">
        <f t="shared" si="398"/>
        <v>3.5802478310762726</v>
      </c>
      <c r="CR563" s="39">
        <f t="shared" si="389"/>
        <v>0.94402833387305662</v>
      </c>
      <c r="CS563" s="39">
        <f t="shared" si="389"/>
        <v>9.7850796660294233</v>
      </c>
      <c r="CT563" s="39">
        <f t="shared" si="372"/>
        <v>16.934371163051502</v>
      </c>
      <c r="CU563" s="39">
        <f t="shared" si="372"/>
        <v>3.7848501097694456</v>
      </c>
      <c r="CV563" s="39">
        <f t="shared" si="372"/>
        <v>0.7075877016129033</v>
      </c>
      <c r="CW563" s="39">
        <f t="shared" si="362"/>
        <v>0</v>
      </c>
      <c r="CX563" s="39">
        <f t="shared" si="395"/>
        <v>5.6261037345484279</v>
      </c>
      <c r="CY563" s="39">
        <f t="shared" si="376"/>
        <v>11.39839029196976</v>
      </c>
      <c r="CZ563" s="39">
        <f t="shared" si="377"/>
        <v>0.64109200499566799</v>
      </c>
      <c r="DA563" s="39">
        <f t="shared" si="368"/>
        <v>12.957144519931434</v>
      </c>
      <c r="DB563" s="39">
        <f t="shared" si="391"/>
        <v>6.8198289729912798</v>
      </c>
      <c r="DC563" s="39">
        <f t="shared" si="378"/>
        <v>12.957144519931434</v>
      </c>
      <c r="DD563" s="39">
        <v>4</v>
      </c>
      <c r="DE563" s="39">
        <f t="shared" si="365"/>
        <v>8.8879776505934774E-2</v>
      </c>
      <c r="DF563" s="39">
        <v>0.28264243755381496</v>
      </c>
      <c r="DG563" s="39">
        <f t="shared" si="379"/>
        <v>1.5311733870967743</v>
      </c>
      <c r="DH563" s="39">
        <f t="shared" si="380"/>
        <v>10.061102162772784</v>
      </c>
      <c r="DI563" s="39">
        <f t="shared" si="385"/>
        <v>11.665460297734738</v>
      </c>
      <c r="DJ563" s="37"/>
      <c r="DK563" s="39">
        <v>136.6</v>
      </c>
      <c r="DL563" s="37"/>
      <c r="DM563" s="39">
        <f t="shared" si="386"/>
        <v>3.3225018857091162</v>
      </c>
      <c r="DN563" s="39"/>
      <c r="DO563" s="39">
        <f t="shared" si="387"/>
        <v>3.1956553925419442</v>
      </c>
      <c r="DP563" s="37"/>
      <c r="DQ563" s="37">
        <f>DO563/'Conversions, Sources &amp; Comments'!E561</f>
        <v>6.8873080503206925</v>
      </c>
    </row>
    <row r="564" spans="1:121">
      <c r="A564" s="42">
        <f t="shared" si="381"/>
        <v>1812</v>
      </c>
      <c r="B564" s="36"/>
      <c r="C564" s="38">
        <v>128.25</v>
      </c>
      <c r="D564" s="38">
        <v>0</v>
      </c>
      <c r="E564" s="36"/>
      <c r="F564" s="36"/>
      <c r="G564" s="38">
        <v>44</v>
      </c>
      <c r="H564" s="38">
        <v>6</v>
      </c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8">
        <v>23.67</v>
      </c>
      <c r="W564" s="36"/>
      <c r="X564" s="36"/>
      <c r="Y564" s="36"/>
      <c r="Z564" s="36"/>
      <c r="AA564" s="36"/>
      <c r="AB564" s="59">
        <v>13</v>
      </c>
      <c r="AC564" s="38">
        <v>4</v>
      </c>
      <c r="AD564" s="38">
        <v>6</v>
      </c>
      <c r="AE564" s="38">
        <v>4</v>
      </c>
      <c r="AF564" s="38">
        <v>6</v>
      </c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8">
        <v>71.12</v>
      </c>
      <c r="AT564" s="38">
        <v>10</v>
      </c>
      <c r="AU564" s="36"/>
      <c r="AV564" s="36"/>
      <c r="AW564" s="36"/>
      <c r="AX564" s="36"/>
      <c r="AY564" s="36"/>
      <c r="AZ564" s="38">
        <v>168</v>
      </c>
      <c r="BA564" s="36"/>
      <c r="BB564" s="36"/>
      <c r="BC564" s="38">
        <v>10</v>
      </c>
      <c r="BD564" s="38">
        <v>6.25</v>
      </c>
      <c r="BE564" s="38">
        <v>7.08</v>
      </c>
      <c r="BF564" s="38">
        <v>17</v>
      </c>
      <c r="BG564" s="59">
        <v>74.58</v>
      </c>
      <c r="BH564" s="59">
        <v>9.66</v>
      </c>
      <c r="BI564" s="59">
        <v>1.0364396808599299</v>
      </c>
      <c r="BJ564" s="59">
        <v>12.5</v>
      </c>
      <c r="BK564" s="38">
        <v>14.44164695652174</v>
      </c>
      <c r="BL564" s="59">
        <v>3.53</v>
      </c>
      <c r="BM564" s="36"/>
      <c r="BN564" s="38">
        <v>62</v>
      </c>
      <c r="BO564" s="36"/>
      <c r="BP564" s="39">
        <f t="shared" si="373"/>
        <v>0.46399193548387102</v>
      </c>
      <c r="BQ564" s="37"/>
      <c r="BR564" s="39">
        <f t="shared" si="374"/>
        <v>2.5330736304191412</v>
      </c>
      <c r="BS564" s="39">
        <f t="shared" si="397"/>
        <v>4.3474437948783304</v>
      </c>
      <c r="BT564" s="39">
        <f t="shared" si="390"/>
        <v>42.623931081195501</v>
      </c>
      <c r="BU564" s="37"/>
      <c r="BV564" s="39">
        <f t="shared" si="399"/>
        <v>1.4272376472785844</v>
      </c>
      <c r="BW564" s="39">
        <f t="shared" si="369"/>
        <v>8.46988078618676</v>
      </c>
      <c r="BX564" s="39">
        <f t="shared" si="383"/>
        <v>0.70523486366693711</v>
      </c>
      <c r="BY564" s="39">
        <f t="shared" si="396"/>
        <v>13.298122007298051</v>
      </c>
      <c r="BZ564" s="39">
        <f t="shared" si="388"/>
        <v>10.959990665355537</v>
      </c>
      <c r="CA564" s="39">
        <f t="shared" si="370"/>
        <v>14.772829478011591</v>
      </c>
      <c r="CB564" s="39">
        <f t="shared" si="371"/>
        <v>3.6109515912124706</v>
      </c>
      <c r="CC564" s="39">
        <f t="shared" si="400"/>
        <v>1.0982689112903228</v>
      </c>
      <c r="CD564" s="37"/>
      <c r="CE564" s="37"/>
      <c r="CF564" s="37"/>
      <c r="CG564" s="37"/>
      <c r="CH564" s="37"/>
      <c r="CI564" s="39">
        <f t="shared" si="394"/>
        <v>10.229279517360778</v>
      </c>
      <c r="CJ564" s="39">
        <f t="shared" si="384"/>
        <v>0.29414003744260048</v>
      </c>
      <c r="CK564" s="39">
        <f t="shared" si="392"/>
        <v>8.8879776505934774E-2</v>
      </c>
      <c r="CL564" s="37"/>
      <c r="CM564" s="39">
        <f t="shared" si="393"/>
        <v>0.31406281450860346</v>
      </c>
      <c r="CN564" s="37"/>
      <c r="CO564" s="39">
        <f>0.063495+(0.016949+0.014096)*Wages!P562+1.22592*BR564</f>
        <v>4.2059739588744014</v>
      </c>
      <c r="CP564" s="39"/>
      <c r="CQ564" s="39">
        <f t="shared" si="398"/>
        <v>4.3474437948783304</v>
      </c>
      <c r="CR564" s="39">
        <f t="shared" si="389"/>
        <v>1.4272376472785844</v>
      </c>
      <c r="CS564" s="39">
        <f t="shared" si="389"/>
        <v>8.46988078618676</v>
      </c>
      <c r="CT564" s="39">
        <f t="shared" si="372"/>
        <v>14.772829478011591</v>
      </c>
      <c r="CU564" s="39">
        <f t="shared" si="372"/>
        <v>3.6109515912124706</v>
      </c>
      <c r="CV564" s="39">
        <f t="shared" si="372"/>
        <v>1.0982689112903228</v>
      </c>
      <c r="CW564" s="39">
        <f t="shared" si="362"/>
        <v>0</v>
      </c>
      <c r="CX564" s="39">
        <f t="shared" si="395"/>
        <v>10.229279517360778</v>
      </c>
      <c r="CY564" s="39">
        <f t="shared" si="376"/>
        <v>10.959990665355537</v>
      </c>
      <c r="CZ564" s="39">
        <f t="shared" si="377"/>
        <v>0.70523486366693711</v>
      </c>
      <c r="DA564" s="39">
        <f t="shared" si="368"/>
        <v>13.298122007298051</v>
      </c>
      <c r="DB564" s="39">
        <f t="shared" si="391"/>
        <v>6.8198289729912798</v>
      </c>
      <c r="DC564" s="39">
        <f t="shared" si="378"/>
        <v>13.298122007298051</v>
      </c>
      <c r="DD564" s="39">
        <v>4</v>
      </c>
      <c r="DE564" s="39">
        <f t="shared" si="365"/>
        <v>8.8879776505934774E-2</v>
      </c>
      <c r="DF564" s="39">
        <v>0.29414003744260053</v>
      </c>
      <c r="DG564" s="39">
        <f t="shared" si="379"/>
        <v>0</v>
      </c>
      <c r="DH564" s="39">
        <f t="shared" si="380"/>
        <v>10.061102162772784</v>
      </c>
      <c r="DI564" s="39">
        <f t="shared" si="385"/>
        <v>12.139999068991727</v>
      </c>
      <c r="DJ564" s="37"/>
      <c r="DK564" s="39">
        <v>152.5</v>
      </c>
      <c r="DL564" s="37"/>
      <c r="DM564" s="39">
        <f t="shared" si="386"/>
        <v>3.6892892385982727</v>
      </c>
      <c r="DN564" s="39"/>
      <c r="DO564" s="39">
        <f t="shared" ref="DO564:DO595" si="401">($DK564*$DM$532/$DK$532)*$BP564/$BP$532</f>
        <v>3.5676240656123466</v>
      </c>
      <c r="DP564" s="37"/>
      <c r="DQ564" s="37">
        <f>DO564/'Conversions, Sources &amp; Comments'!E562</f>
        <v>7.6889786066903785</v>
      </c>
    </row>
    <row r="565" spans="1:121">
      <c r="A565" s="42">
        <f t="shared" si="381"/>
        <v>1813</v>
      </c>
      <c r="B565" s="36"/>
      <c r="C565" s="38">
        <v>84.08</v>
      </c>
      <c r="D565" s="38">
        <v>0</v>
      </c>
      <c r="E565" s="36"/>
      <c r="F565" s="36"/>
      <c r="G565" s="38">
        <v>38</v>
      </c>
      <c r="H565" s="38">
        <v>6</v>
      </c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8">
        <v>24.17</v>
      </c>
      <c r="W565" s="36"/>
      <c r="X565" s="36"/>
      <c r="Y565" s="36"/>
      <c r="Z565" s="36"/>
      <c r="AA565" s="36"/>
      <c r="AB565" s="59">
        <v>13</v>
      </c>
      <c r="AC565" s="38">
        <v>4</v>
      </c>
      <c r="AD565" s="38">
        <v>6</v>
      </c>
      <c r="AE565" s="38">
        <v>4</v>
      </c>
      <c r="AF565" s="38">
        <v>6</v>
      </c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8">
        <v>71.260000000000005</v>
      </c>
      <c r="AT565" s="38">
        <v>10.5</v>
      </c>
      <c r="AU565" s="36"/>
      <c r="AV565" s="36"/>
      <c r="AW565" s="36"/>
      <c r="AX565" s="36"/>
      <c r="AY565" s="36"/>
      <c r="AZ565" s="38">
        <v>180</v>
      </c>
      <c r="BA565" s="36"/>
      <c r="BB565" s="36"/>
      <c r="BC565" s="38">
        <v>10</v>
      </c>
      <c r="BD565" s="38">
        <v>6.25</v>
      </c>
      <c r="BE565" s="38">
        <v>7.46</v>
      </c>
      <c r="BF565" s="38">
        <v>15.7</v>
      </c>
      <c r="BG565" s="59">
        <v>76.33</v>
      </c>
      <c r="BH565" s="59">
        <v>12.11</v>
      </c>
      <c r="BI565" s="59">
        <v>1.1306357737614694</v>
      </c>
      <c r="BJ565" s="59">
        <v>13.5</v>
      </c>
      <c r="BK565" s="38">
        <v>16.245170434782612</v>
      </c>
      <c r="BL565" s="59">
        <v>4.71</v>
      </c>
      <c r="BM565" s="36"/>
      <c r="BN565" s="38">
        <v>62</v>
      </c>
      <c r="BO565" s="36"/>
      <c r="BP565" s="39">
        <f t="shared" si="373"/>
        <v>0.46399193548387102</v>
      </c>
      <c r="BQ565" s="37"/>
      <c r="BR565" s="39">
        <f t="shared" si="374"/>
        <v>1.660669246359777</v>
      </c>
      <c r="BS565" s="39">
        <f t="shared" si="397"/>
        <v>4.0149922105641052</v>
      </c>
      <c r="BT565" s="39">
        <f t="shared" si="390"/>
        <v>45.66849758699518</v>
      </c>
      <c r="BU565" s="37"/>
      <c r="BV565" s="39">
        <f t="shared" si="399"/>
        <v>1.4607274016730269</v>
      </c>
      <c r="BW565" s="39">
        <f t="shared" si="369"/>
        <v>10.618038956596443</v>
      </c>
      <c r="BX565" s="39">
        <f t="shared" si="383"/>
        <v>0.76932963923579456</v>
      </c>
      <c r="BY565" s="39">
        <f t="shared" si="396"/>
        <v>13.298122007298051</v>
      </c>
      <c r="BZ565" s="39">
        <f t="shared" si="388"/>
        <v>11.83678991858398</v>
      </c>
      <c r="CA565" s="39">
        <f t="shared" si="370"/>
        <v>16.617712190083871</v>
      </c>
      <c r="CB565" s="39">
        <f t="shared" si="371"/>
        <v>4.8180118964902938</v>
      </c>
      <c r="CC565" s="39">
        <f t="shared" si="400"/>
        <v>1.1214685080645164</v>
      </c>
      <c r="CD565" s="37"/>
      <c r="CE565" s="37"/>
      <c r="CF565" s="37"/>
      <c r="CG565" s="37"/>
      <c r="CH565" s="37"/>
      <c r="CI565" s="39">
        <f t="shared" si="394"/>
        <v>10.740743493228818</v>
      </c>
      <c r="CJ565" s="39">
        <f t="shared" si="384"/>
        <v>0.29471905326433789</v>
      </c>
      <c r="CK565" s="39">
        <f t="shared" si="392"/>
        <v>8.8879776505934774E-2</v>
      </c>
      <c r="CL565" s="37"/>
      <c r="CM565" s="39">
        <f t="shared" si="393"/>
        <v>0.31406281450860346</v>
      </c>
      <c r="CN565" s="37"/>
      <c r="CO565" s="39">
        <f>0.063495+(0.016949+0.014096)*Wages!P563+1.22592*BR565</f>
        <v>3.1364759763683452</v>
      </c>
      <c r="CP565" s="39"/>
      <c r="CQ565" s="39">
        <f t="shared" si="398"/>
        <v>4.0149922105641052</v>
      </c>
      <c r="CR565" s="39">
        <f t="shared" si="389"/>
        <v>1.4607274016730269</v>
      </c>
      <c r="CS565" s="39">
        <f t="shared" si="389"/>
        <v>10.618038956596443</v>
      </c>
      <c r="CT565" s="39">
        <f t="shared" si="372"/>
        <v>16.617712190083871</v>
      </c>
      <c r="CU565" s="39">
        <f t="shared" si="372"/>
        <v>4.8180118964902938</v>
      </c>
      <c r="CV565" s="39">
        <f t="shared" si="372"/>
        <v>1.1214685080645164</v>
      </c>
      <c r="CW565" s="39">
        <f t="shared" si="362"/>
        <v>0</v>
      </c>
      <c r="CX565" s="39">
        <f t="shared" si="395"/>
        <v>10.740743493228818</v>
      </c>
      <c r="CY565" s="39">
        <f t="shared" si="376"/>
        <v>11.83678991858398</v>
      </c>
      <c r="CZ565" s="39">
        <f t="shared" si="377"/>
        <v>0.76932963923579456</v>
      </c>
      <c r="DA565" s="39">
        <f t="shared" si="368"/>
        <v>13.298122007298051</v>
      </c>
      <c r="DB565" s="39">
        <f t="shared" si="391"/>
        <v>7.3069596139192274</v>
      </c>
      <c r="DC565" s="39">
        <f t="shared" si="378"/>
        <v>13.298122007298051</v>
      </c>
      <c r="DD565" s="39">
        <v>4</v>
      </c>
      <c r="DE565" s="39">
        <f t="shared" si="365"/>
        <v>8.8879776505934774E-2</v>
      </c>
      <c r="DF565" s="39">
        <v>0.29471905326433795</v>
      </c>
      <c r="DG565" s="39">
        <f t="shared" si="379"/>
        <v>0</v>
      </c>
      <c r="DH565" s="39">
        <f t="shared" si="380"/>
        <v>10.061102162772784</v>
      </c>
      <c r="DI565" s="39">
        <f t="shared" si="385"/>
        <v>12.163896704954309</v>
      </c>
      <c r="DJ565" s="37"/>
      <c r="DK565" s="39">
        <v>149.5</v>
      </c>
      <c r="DL565" s="37"/>
      <c r="DM565" s="39">
        <f t="shared" si="386"/>
        <v>3.7574137624751232</v>
      </c>
      <c r="DN565" s="39"/>
      <c r="DO565" s="39">
        <f t="shared" si="401"/>
        <v>3.4974412971084972</v>
      </c>
      <c r="DP565" s="37"/>
      <c r="DQ565" s="37">
        <f>DO565/'Conversions, Sources &amp; Comments'!E563</f>
        <v>7.5377200111489282</v>
      </c>
    </row>
    <row r="566" spans="1:121">
      <c r="A566" s="42">
        <f t="shared" si="381"/>
        <v>1814</v>
      </c>
      <c r="B566" s="36"/>
      <c r="C566" s="38">
        <v>75</v>
      </c>
      <c r="D566" s="38">
        <v>0</v>
      </c>
      <c r="E566" s="36"/>
      <c r="F566" s="36"/>
      <c r="G566" s="38">
        <v>25</v>
      </c>
      <c r="H566" s="38">
        <v>8</v>
      </c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8">
        <v>20.420000000000002</v>
      </c>
      <c r="W566" s="36"/>
      <c r="X566" s="36"/>
      <c r="Y566" s="36"/>
      <c r="Z566" s="36"/>
      <c r="AA566" s="36"/>
      <c r="AB566" s="59">
        <v>11</v>
      </c>
      <c r="AC566" s="38">
        <v>4</v>
      </c>
      <c r="AD566" s="38">
        <v>6</v>
      </c>
      <c r="AE566" s="38">
        <v>4</v>
      </c>
      <c r="AF566" s="38">
        <v>6</v>
      </c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8">
        <v>69.17</v>
      </c>
      <c r="AT566" s="38">
        <v>9.5</v>
      </c>
      <c r="AU566" s="36"/>
      <c r="AV566" s="36"/>
      <c r="AW566" s="36"/>
      <c r="AX566" s="36"/>
      <c r="AY566" s="36"/>
      <c r="AZ566" s="38">
        <v>180</v>
      </c>
      <c r="BA566" s="36"/>
      <c r="BB566" s="36"/>
      <c r="BC566" s="38">
        <v>10</v>
      </c>
      <c r="BD566" s="38">
        <v>6.5</v>
      </c>
      <c r="BE566" s="38">
        <v>7.86</v>
      </c>
      <c r="BF566" s="38">
        <v>11.4</v>
      </c>
      <c r="BG566" s="59">
        <v>46.17</v>
      </c>
      <c r="BH566" s="59">
        <v>11.72</v>
      </c>
      <c r="BI566" s="59">
        <v>1.0835023949427933</v>
      </c>
      <c r="BJ566" s="59">
        <v>13</v>
      </c>
      <c r="BK566" s="38">
        <v>18.035234782608697</v>
      </c>
      <c r="BL566" s="59">
        <v>4.71</v>
      </c>
      <c r="BM566" s="36"/>
      <c r="BN566" s="38">
        <v>62</v>
      </c>
      <c r="BO566" s="36"/>
      <c r="BP566" s="39">
        <f t="shared" si="373"/>
        <v>0.46399193548387102</v>
      </c>
      <c r="BQ566" s="37"/>
      <c r="BR566" s="39">
        <f t="shared" si="374"/>
        <v>1.481329608432246</v>
      </c>
      <c r="BS566" s="39">
        <f t="shared" si="397"/>
        <v>2.9153446624478221</v>
      </c>
      <c r="BT566" s="39">
        <f t="shared" si="390"/>
        <v>45.66849758699518</v>
      </c>
      <c r="BU566" s="37"/>
      <c r="BV566" s="39">
        <f t="shared" si="399"/>
        <v>0.88355540593794912</v>
      </c>
      <c r="BW566" s="39">
        <f t="shared" si="369"/>
        <v>10.276087247837353</v>
      </c>
      <c r="BX566" s="39">
        <f t="shared" si="383"/>
        <v>0.73725820990015589</v>
      </c>
      <c r="BY566" s="39">
        <f t="shared" si="396"/>
        <v>11.25225708309835</v>
      </c>
      <c r="BZ566" s="39">
        <f t="shared" si="388"/>
        <v>11.39839029196976</v>
      </c>
      <c r="CA566" s="39">
        <f t="shared" si="370"/>
        <v>18.448827120722772</v>
      </c>
      <c r="CB566" s="39">
        <f t="shared" si="371"/>
        <v>4.8180118964902938</v>
      </c>
      <c r="CC566" s="39">
        <f t="shared" si="400"/>
        <v>0.94747153225806469</v>
      </c>
      <c r="CD566" s="37"/>
      <c r="CE566" s="37"/>
      <c r="CF566" s="37"/>
      <c r="CG566" s="37"/>
      <c r="CH566" s="37"/>
      <c r="CI566" s="39">
        <f t="shared" si="394"/>
        <v>9.7178155414927385</v>
      </c>
      <c r="CJ566" s="39">
        <f t="shared" si="384"/>
        <v>0.28607517421125811</v>
      </c>
      <c r="CK566" s="39">
        <f t="shared" si="392"/>
        <v>8.8879776505934774E-2</v>
      </c>
      <c r="CL566" s="37"/>
      <c r="CM566" s="39">
        <f t="shared" si="393"/>
        <v>0.31406281450860346</v>
      </c>
      <c r="CN566" s="37"/>
      <c r="CO566" s="39">
        <f>0.063495+(0.016949+0.014096)*Wages!P564+1.22592*BR566</f>
        <v>2.9166199274402267</v>
      </c>
      <c r="CP566" s="39"/>
      <c r="CQ566" s="39">
        <f t="shared" si="398"/>
        <v>2.9153446624478221</v>
      </c>
      <c r="CR566" s="39">
        <f t="shared" si="389"/>
        <v>0.88355540593794912</v>
      </c>
      <c r="CS566" s="39">
        <f t="shared" si="389"/>
        <v>10.276087247837353</v>
      </c>
      <c r="CT566" s="39">
        <f t="shared" si="372"/>
        <v>18.448827120722772</v>
      </c>
      <c r="CU566" s="39">
        <f t="shared" si="372"/>
        <v>4.8180118964902938</v>
      </c>
      <c r="CV566" s="39">
        <f t="shared" si="372"/>
        <v>0.94747153225806469</v>
      </c>
      <c r="CW566" s="39">
        <f t="shared" si="362"/>
        <v>0</v>
      </c>
      <c r="CX566" s="39">
        <f t="shared" si="395"/>
        <v>9.7178155414927385</v>
      </c>
      <c r="CY566" s="39">
        <f t="shared" si="376"/>
        <v>11.39839029196976</v>
      </c>
      <c r="CZ566" s="39">
        <f t="shared" si="377"/>
        <v>0.73725820990015589</v>
      </c>
      <c r="DA566" s="39">
        <f t="shared" si="368"/>
        <v>11.25225708309835</v>
      </c>
      <c r="DB566" s="39">
        <f t="shared" si="391"/>
        <v>7.3069596139192274</v>
      </c>
      <c r="DC566" s="39">
        <f t="shared" si="378"/>
        <v>11.25225708309835</v>
      </c>
      <c r="DD566" s="39">
        <v>4</v>
      </c>
      <c r="DE566" s="39">
        <f t="shared" si="365"/>
        <v>8.8879776505934774E-2</v>
      </c>
      <c r="DF566" s="39">
        <v>0.28607517421125811</v>
      </c>
      <c r="DG566" s="39">
        <f t="shared" si="379"/>
        <v>0</v>
      </c>
      <c r="DH566" s="39">
        <f t="shared" si="380"/>
        <v>10.061102162772784</v>
      </c>
      <c r="DI566" s="39">
        <f t="shared" si="385"/>
        <v>11.807139139512904</v>
      </c>
      <c r="DJ566" s="37"/>
      <c r="DK566" s="39">
        <v>129.5</v>
      </c>
      <c r="DL566" s="37"/>
      <c r="DM566" s="39">
        <f t="shared" si="386"/>
        <v>3.1427068838788252</v>
      </c>
      <c r="DN566" s="39"/>
      <c r="DO566" s="39">
        <f t="shared" si="401"/>
        <v>3.0295561737495009</v>
      </c>
      <c r="DP566" s="37"/>
      <c r="DQ566" s="37">
        <f>DO566/'Conversions, Sources &amp; Comments'!E564</f>
        <v>6.5293293742059282</v>
      </c>
    </row>
    <row r="567" spans="1:121">
      <c r="A567" s="42">
        <f t="shared" si="381"/>
        <v>1815</v>
      </c>
      <c r="B567" s="36"/>
      <c r="C567" s="38">
        <v>69</v>
      </c>
      <c r="D567" s="38">
        <v>0</v>
      </c>
      <c r="E567" s="36"/>
      <c r="F567" s="36"/>
      <c r="G567" s="38">
        <v>23</v>
      </c>
      <c r="H567" s="38">
        <v>7</v>
      </c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8">
        <v>17.45</v>
      </c>
      <c r="W567" s="36"/>
      <c r="X567" s="36"/>
      <c r="Y567" s="36"/>
      <c r="Z567" s="36"/>
      <c r="AA567" s="36"/>
      <c r="AB567" s="59">
        <v>9</v>
      </c>
      <c r="AC567" s="38">
        <v>4</v>
      </c>
      <c r="AD567" s="38">
        <v>6</v>
      </c>
      <c r="AE567" s="38">
        <v>4</v>
      </c>
      <c r="AF567" s="38">
        <v>6</v>
      </c>
      <c r="AG567" s="38">
        <v>25</v>
      </c>
      <c r="AH567" s="38">
        <v>0</v>
      </c>
      <c r="AI567" s="38">
        <v>25</v>
      </c>
      <c r="AJ567" s="38">
        <v>0</v>
      </c>
      <c r="AK567" s="36"/>
      <c r="AL567" s="36"/>
      <c r="AM567" s="36"/>
      <c r="AN567" s="36"/>
      <c r="AO567" s="36"/>
      <c r="AP567" s="36"/>
      <c r="AQ567" s="36"/>
      <c r="AR567" s="36"/>
      <c r="AS567" s="38">
        <v>63.94</v>
      </c>
      <c r="AT567" s="38">
        <v>7.5</v>
      </c>
      <c r="AU567" s="36"/>
      <c r="AV567" s="36"/>
      <c r="AW567" s="36"/>
      <c r="AX567" s="36"/>
      <c r="AY567" s="36"/>
      <c r="AZ567" s="38">
        <v>180</v>
      </c>
      <c r="BA567" s="36"/>
      <c r="BB567" s="36"/>
      <c r="BC567" s="38">
        <v>10</v>
      </c>
      <c r="BD567" s="38">
        <v>6.83</v>
      </c>
      <c r="BE567" s="38">
        <v>8</v>
      </c>
      <c r="BF567" s="38">
        <v>10.4</v>
      </c>
      <c r="BG567" s="59">
        <v>36.17</v>
      </c>
      <c r="BH567" s="59">
        <v>9.4499999999999993</v>
      </c>
      <c r="BI567" s="59">
        <v>0.98930630204127079</v>
      </c>
      <c r="BJ567" s="59">
        <v>12.36</v>
      </c>
      <c r="BK567" s="38">
        <v>11.103782608695653</v>
      </c>
      <c r="BL567" s="59">
        <v>4.71</v>
      </c>
      <c r="BM567" s="36"/>
      <c r="BN567" s="38">
        <v>62</v>
      </c>
      <c r="BO567" s="38">
        <v>73.75</v>
      </c>
      <c r="BP567" s="39">
        <f t="shared" si="373"/>
        <v>0.46399193548387102</v>
      </c>
      <c r="BQ567" s="37"/>
      <c r="BR567" s="39">
        <f t="shared" si="374"/>
        <v>1.3628232397576665</v>
      </c>
      <c r="BS567" s="39">
        <f t="shared" si="397"/>
        <v>2.6596126745138027</v>
      </c>
      <c r="BT567" s="39">
        <f t="shared" si="390"/>
        <v>45.66849758699518</v>
      </c>
      <c r="BU567" s="37"/>
      <c r="BV567" s="39">
        <f t="shared" si="399"/>
        <v>0.69218538082684899</v>
      </c>
      <c r="BW567" s="39">
        <f t="shared" si="369"/>
        <v>8.2857529430087862</v>
      </c>
      <c r="BX567" s="39">
        <f t="shared" si="383"/>
        <v>0.67316343433130998</v>
      </c>
      <c r="BY567" s="39">
        <f t="shared" si="396"/>
        <v>9.2063921588986517</v>
      </c>
      <c r="BZ567" s="39">
        <f t="shared" si="388"/>
        <v>10.837238769903554</v>
      </c>
      <c r="CA567" s="39">
        <f t="shared" si="370"/>
        <v>11.358419682534542</v>
      </c>
      <c r="CB567" s="39">
        <f t="shared" si="371"/>
        <v>4.8180118964902938</v>
      </c>
      <c r="CC567" s="39">
        <f t="shared" si="400"/>
        <v>0.80966592741935484</v>
      </c>
      <c r="CD567" s="37"/>
      <c r="CE567" s="37"/>
      <c r="CF567" s="37"/>
      <c r="CG567" s="37"/>
      <c r="CH567" s="37"/>
      <c r="CI567" s="39">
        <f t="shared" si="394"/>
        <v>7.6719596380205841</v>
      </c>
      <c r="CJ567" s="39">
        <f t="shared" si="384"/>
        <v>0.26444479744206795</v>
      </c>
      <c r="CK567" s="39">
        <f t="shared" si="392"/>
        <v>8.8879776505934774E-2</v>
      </c>
      <c r="CL567" s="39">
        <f>BP567*(12*AG567+AH567)/100</f>
        <v>1.391975806451613</v>
      </c>
      <c r="CM567" s="39">
        <f t="shared" si="393"/>
        <v>0.31406281450860346</v>
      </c>
      <c r="CN567" s="37"/>
      <c r="CO567" s="39">
        <f>0.063495+(0.016949+0.014096)*Wages!P565+1.22592*BR567</f>
        <v>2.6849128221321052</v>
      </c>
      <c r="CP567" s="39"/>
      <c r="CQ567" s="39">
        <f t="shared" si="398"/>
        <v>2.6596126745138027</v>
      </c>
      <c r="CR567" s="39">
        <f t="shared" si="389"/>
        <v>0.69218538082684899</v>
      </c>
      <c r="CS567" s="39">
        <f t="shared" si="389"/>
        <v>8.2857529430087862</v>
      </c>
      <c r="CT567" s="39">
        <f t="shared" si="372"/>
        <v>11.358419682534542</v>
      </c>
      <c r="CU567" s="39">
        <f t="shared" si="372"/>
        <v>4.8180118964902938</v>
      </c>
      <c r="CV567" s="39">
        <f t="shared" si="372"/>
        <v>0.80966592741935484</v>
      </c>
      <c r="CW567" s="39">
        <f t="shared" si="362"/>
        <v>0</v>
      </c>
      <c r="CX567" s="39">
        <f t="shared" si="395"/>
        <v>7.6719596380205841</v>
      </c>
      <c r="CY567" s="39">
        <f t="shared" si="376"/>
        <v>10.837238769903554</v>
      </c>
      <c r="CZ567" s="39">
        <f t="shared" si="377"/>
        <v>0.67316343433130998</v>
      </c>
      <c r="DA567" s="39">
        <f t="shared" si="368"/>
        <v>9.2063921588986517</v>
      </c>
      <c r="DB567" s="39">
        <f t="shared" si="391"/>
        <v>7.3069596139192274</v>
      </c>
      <c r="DC567" s="39">
        <f t="shared" si="378"/>
        <v>9.2063921588986517</v>
      </c>
      <c r="DD567" s="39">
        <v>4</v>
      </c>
      <c r="DE567" s="39">
        <f t="shared" si="365"/>
        <v>8.8879776505934774E-2</v>
      </c>
      <c r="DF567" s="39">
        <v>0.264444797442068</v>
      </c>
      <c r="DG567" s="39">
        <f t="shared" si="379"/>
        <v>1.391975806451613</v>
      </c>
      <c r="DH567" s="39">
        <f t="shared" si="380"/>
        <v>10.061102162772784</v>
      </c>
      <c r="DI567" s="39">
        <f t="shared" si="385"/>
        <v>10.914391738910728</v>
      </c>
      <c r="DJ567" s="37"/>
      <c r="DK567" s="39">
        <v>107.2</v>
      </c>
      <c r="DL567" s="37"/>
      <c r="DM567" s="39">
        <f t="shared" si="386"/>
        <v>2.7219224564393762</v>
      </c>
      <c r="DN567" s="39"/>
      <c r="DO567" s="39">
        <f t="shared" si="401"/>
        <v>2.5078642612042201</v>
      </c>
      <c r="DP567" s="37"/>
      <c r="DQ567" s="37">
        <f>DO567/'Conversions, Sources &amp; Comments'!E565</f>
        <v>5.4049738140144825</v>
      </c>
    </row>
    <row r="568" spans="1:121">
      <c r="A568" s="42">
        <f t="shared" si="381"/>
        <v>1816</v>
      </c>
      <c r="B568" s="36"/>
      <c r="C568" s="38">
        <v>122</v>
      </c>
      <c r="D568" s="38">
        <v>0</v>
      </c>
      <c r="E568" s="36"/>
      <c r="F568" s="36"/>
      <c r="G568" s="38">
        <v>27</v>
      </c>
      <c r="H568" s="38">
        <v>2</v>
      </c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8">
        <v>16.25</v>
      </c>
      <c r="W568" s="36"/>
      <c r="X568" s="36"/>
      <c r="Y568" s="36"/>
      <c r="Z568" s="36"/>
      <c r="AA568" s="36"/>
      <c r="AB568" s="59">
        <v>10</v>
      </c>
      <c r="AC568" s="38">
        <v>4</v>
      </c>
      <c r="AD568" s="38">
        <v>6</v>
      </c>
      <c r="AE568" s="38">
        <v>4</v>
      </c>
      <c r="AF568" s="38">
        <v>6</v>
      </c>
      <c r="AG568" s="38">
        <v>20</v>
      </c>
      <c r="AH568" s="38">
        <v>0</v>
      </c>
      <c r="AI568" s="38">
        <v>20</v>
      </c>
      <c r="AJ568" s="38">
        <v>0</v>
      </c>
      <c r="AK568" s="36"/>
      <c r="AL568" s="36"/>
      <c r="AM568" s="36"/>
      <c r="AN568" s="36"/>
      <c r="AO568" s="36"/>
      <c r="AP568" s="36"/>
      <c r="AQ568" s="36"/>
      <c r="AR568" s="36"/>
      <c r="AS568" s="38">
        <v>59.55</v>
      </c>
      <c r="AT568" s="38">
        <v>7.5</v>
      </c>
      <c r="AU568" s="36"/>
      <c r="AV568" s="36"/>
      <c r="AW568" s="36"/>
      <c r="AX568" s="36"/>
      <c r="AY568" s="36"/>
      <c r="AZ568" s="38">
        <v>168</v>
      </c>
      <c r="BA568" s="36"/>
      <c r="BB568" s="36"/>
      <c r="BC568" s="38">
        <v>10</v>
      </c>
      <c r="BD568" s="38">
        <v>6.83</v>
      </c>
      <c r="BE568" s="38">
        <v>8</v>
      </c>
      <c r="BF568" s="38">
        <v>16.8</v>
      </c>
      <c r="BG568" s="59">
        <v>39.33</v>
      </c>
      <c r="BH568" s="59">
        <v>7.59</v>
      </c>
      <c r="BI568" s="59">
        <v>1.0364396808599299</v>
      </c>
      <c r="BJ568" s="59">
        <v>11.25</v>
      </c>
      <c r="BK568" s="38">
        <v>11.642147826086957</v>
      </c>
      <c r="BL568" s="59">
        <v>4.04</v>
      </c>
      <c r="BM568" s="36"/>
      <c r="BN568" s="38">
        <v>66</v>
      </c>
      <c r="BO568" s="38">
        <v>61.1</v>
      </c>
      <c r="BP568" s="39">
        <f t="shared" si="373"/>
        <v>0.43587121212121216</v>
      </c>
      <c r="BQ568" s="37"/>
      <c r="BR568" s="39">
        <f t="shared" si="374"/>
        <v>2.2635913450871734</v>
      </c>
      <c r="BS568" s="39">
        <f t="shared" si="397"/>
        <v>4.0359157368496161</v>
      </c>
      <c r="BT568" s="39">
        <f t="shared" si="390"/>
        <v>40.040662530820015</v>
      </c>
      <c r="BU568" s="37"/>
      <c r="BV568" s="39">
        <f t="shared" si="399"/>
        <v>0.70704265368547436</v>
      </c>
      <c r="BW568" s="39">
        <f t="shared" si="369"/>
        <v>6.2515786755187976</v>
      </c>
      <c r="BX568" s="39">
        <f t="shared" si="383"/>
        <v>0.66249335677803189</v>
      </c>
      <c r="BY568" s="39">
        <f t="shared" si="396"/>
        <v>9.609365553059197</v>
      </c>
      <c r="BZ568" s="39">
        <f t="shared" si="388"/>
        <v>9.2661739261642264</v>
      </c>
      <c r="CA568" s="39">
        <f t="shared" si="370"/>
        <v>11.187365428362304</v>
      </c>
      <c r="CB568" s="39">
        <f t="shared" si="371"/>
        <v>3.8821836834359158</v>
      </c>
      <c r="CC568" s="39">
        <f t="shared" si="400"/>
        <v>0.70829071969696977</v>
      </c>
      <c r="CD568" s="37"/>
      <c r="CE568" s="37"/>
      <c r="CF568" s="37"/>
      <c r="CG568" s="37"/>
      <c r="CH568" s="37"/>
      <c r="CI568" s="39">
        <f t="shared" si="394"/>
        <v>7.2069923872314563</v>
      </c>
      <c r="CJ568" s="39">
        <f t="shared" si="384"/>
        <v>0.23136193890007181</v>
      </c>
      <c r="CK568" s="39">
        <f t="shared" si="392"/>
        <v>8.3493123384362961E-2</v>
      </c>
      <c r="CL568" s="39">
        <f>BP568*(12*AG568+AH568)/100</f>
        <v>1.0460909090909092</v>
      </c>
      <c r="CM568" s="39">
        <f t="shared" si="393"/>
        <v>0.29502870453838503</v>
      </c>
      <c r="CN568" s="37"/>
      <c r="CO568" s="39">
        <f>0.063495+(0.016949+0.014096)*Wages!P566+1.22592*BR568</f>
        <v>3.7315639392692672</v>
      </c>
      <c r="CP568" s="39"/>
      <c r="CQ568" s="39">
        <f t="shared" si="398"/>
        <v>4.0359157368496161</v>
      </c>
      <c r="CR568" s="39">
        <f t="shared" si="389"/>
        <v>0.70704265368547436</v>
      </c>
      <c r="CS568" s="39">
        <f t="shared" si="389"/>
        <v>6.2515786755187976</v>
      </c>
      <c r="CT568" s="39">
        <f t="shared" si="372"/>
        <v>11.187365428362304</v>
      </c>
      <c r="CU568" s="39">
        <f t="shared" si="372"/>
        <v>3.8821836834359158</v>
      </c>
      <c r="CV568" s="39">
        <f t="shared" si="372"/>
        <v>0.70829071969696977</v>
      </c>
      <c r="CW568" s="39">
        <f t="shared" si="362"/>
        <v>0</v>
      </c>
      <c r="CX568" s="39">
        <f t="shared" si="395"/>
        <v>7.2069923872314563</v>
      </c>
      <c r="CY568" s="39">
        <f t="shared" si="376"/>
        <v>9.2661739261642264</v>
      </c>
      <c r="CZ568" s="39">
        <f t="shared" si="377"/>
        <v>0.66249335677803189</v>
      </c>
      <c r="DA568" s="39">
        <f t="shared" si="368"/>
        <v>9.609365553059197</v>
      </c>
      <c r="DB568" s="39">
        <f t="shared" si="391"/>
        <v>6.4065060049312015</v>
      </c>
      <c r="DC568" s="39">
        <f t="shared" si="378"/>
        <v>9.609365553059197</v>
      </c>
      <c r="DD568" s="39">
        <v>4</v>
      </c>
      <c r="DE568" s="39">
        <f t="shared" si="365"/>
        <v>8.3493123384362961E-2</v>
      </c>
      <c r="DF568" s="39">
        <v>0.23136193890007187</v>
      </c>
      <c r="DG568" s="39">
        <f t="shared" si="379"/>
        <v>1.0460909090909092</v>
      </c>
      <c r="DH568" s="39">
        <f t="shared" si="380"/>
        <v>9.4513383953320087</v>
      </c>
      <c r="DI568" s="39">
        <f t="shared" si="385"/>
        <v>9.5489677205031924</v>
      </c>
      <c r="DJ568" s="37"/>
      <c r="DK568" s="39">
        <v>120.9</v>
      </c>
      <c r="DL568" s="37"/>
      <c r="DM568" s="39">
        <f t="shared" si="386"/>
        <v>3.1556339276989354</v>
      </c>
      <c r="DN568" s="39"/>
      <c r="DO568" s="39">
        <f t="shared" si="401"/>
        <v>2.6569494755108822</v>
      </c>
      <c r="DP568" s="37"/>
      <c r="DQ568" s="37">
        <f>DO568/'Conversions, Sources &amp; Comments'!E566</f>
        <v>6.0957214003204383</v>
      </c>
    </row>
    <row r="569" spans="1:121">
      <c r="A569" s="42">
        <f t="shared" si="381"/>
        <v>1817</v>
      </c>
      <c r="B569" s="36"/>
      <c r="C569" s="38">
        <v>96</v>
      </c>
      <c r="D569" s="38">
        <v>0</v>
      </c>
      <c r="E569" s="36"/>
      <c r="F569" s="36"/>
      <c r="G569" s="38">
        <v>32</v>
      </c>
      <c r="H569" s="38">
        <v>5</v>
      </c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8">
        <v>16.75</v>
      </c>
      <c r="W569" s="36"/>
      <c r="X569" s="36"/>
      <c r="Y569" s="36"/>
      <c r="Z569" s="36"/>
      <c r="AA569" s="36"/>
      <c r="AB569" s="59">
        <v>13.5</v>
      </c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8">
        <v>59.55</v>
      </c>
      <c r="AT569" s="38">
        <v>7.5</v>
      </c>
      <c r="AU569" s="36"/>
      <c r="AV569" s="36"/>
      <c r="AW569" s="36"/>
      <c r="AX569" s="36"/>
      <c r="AY569" s="36"/>
      <c r="AZ569" s="36"/>
      <c r="BA569" s="36"/>
      <c r="BB569" s="36"/>
      <c r="BC569" s="38">
        <v>10</v>
      </c>
      <c r="BD569" s="38">
        <v>7</v>
      </c>
      <c r="BE569" s="38">
        <v>7.11</v>
      </c>
      <c r="BF569" s="38">
        <v>13.3</v>
      </c>
      <c r="BG569" s="59">
        <v>51.58</v>
      </c>
      <c r="BH569" s="59">
        <v>7.42</v>
      </c>
      <c r="BI569" s="59">
        <v>1.1306357737614694</v>
      </c>
      <c r="BJ569" s="59">
        <v>11.5</v>
      </c>
      <c r="BK569" s="38">
        <v>16.245170434782612</v>
      </c>
      <c r="BL569" s="59">
        <v>4.38</v>
      </c>
      <c r="BM569" s="36"/>
      <c r="BN569" s="38">
        <v>63.5</v>
      </c>
      <c r="BO569" s="36"/>
      <c r="BP569" s="39">
        <f t="shared" si="373"/>
        <v>0.45303149606299215</v>
      </c>
      <c r="BQ569" s="37"/>
      <c r="BR569" s="39">
        <f t="shared" si="374"/>
        <v>1.851312090160363</v>
      </c>
      <c r="BS569" s="39">
        <f t="shared" si="397"/>
        <v>3.3208912952817706</v>
      </c>
      <c r="BT569" s="39">
        <f t="shared" ref="BT569:BT582" si="402">BP569*12*BD569/(0.9144)</f>
        <v>41.617066567466473</v>
      </c>
      <c r="BU569" s="37"/>
      <c r="BV569" s="39">
        <f t="shared" si="399"/>
        <v>0.96376958347132835</v>
      </c>
      <c r="BW569" s="39">
        <f t="shared" si="369"/>
        <v>6.3521689520505964</v>
      </c>
      <c r="BX569" s="39">
        <f t="shared" si="383"/>
        <v>0.75115649815148444</v>
      </c>
      <c r="BY569" s="39">
        <f t="shared" si="396"/>
        <v>13.483377492560226</v>
      </c>
      <c r="BZ569" s="39">
        <f t="shared" si="388"/>
        <v>9.8450057882185789</v>
      </c>
      <c r="CA569" s="39">
        <f t="shared" si="370"/>
        <v>16.225167807640943</v>
      </c>
      <c r="CB569" s="39">
        <f t="shared" si="371"/>
        <v>4.3746069198084294</v>
      </c>
      <c r="CC569" s="39">
        <f t="shared" si="400"/>
        <v>0.75882775590551188</v>
      </c>
      <c r="CD569" s="37"/>
      <c r="CE569" s="37"/>
      <c r="CF569" s="37"/>
      <c r="CG569" s="37"/>
      <c r="CH569" s="37"/>
      <c r="CI569" s="39">
        <f t="shared" si="394"/>
        <v>7.4907322449964751</v>
      </c>
      <c r="CJ569" s="39">
        <f t="shared" si="384"/>
        <v>0.24047067665204314</v>
      </c>
      <c r="CK569" s="37"/>
      <c r="CL569" s="37"/>
      <c r="CM569" s="37"/>
      <c r="CN569" s="37"/>
      <c r="CO569" s="39">
        <f>0.063495+(0.016949+0.014096)*Wages!P567+1.22592*BR569</f>
        <v>3.2613034620575809</v>
      </c>
      <c r="CP569" s="39"/>
      <c r="CQ569" s="39">
        <f t="shared" si="398"/>
        <v>3.3208912952817706</v>
      </c>
      <c r="CR569" s="39">
        <f t="shared" si="389"/>
        <v>0.96376958347132835</v>
      </c>
      <c r="CS569" s="39">
        <f t="shared" si="389"/>
        <v>6.3521689520505964</v>
      </c>
      <c r="CT569" s="39">
        <f t="shared" si="372"/>
        <v>16.225167807640943</v>
      </c>
      <c r="CU569" s="39">
        <f t="shared" si="372"/>
        <v>4.3746069198084294</v>
      </c>
      <c r="CV569" s="39">
        <f t="shared" si="372"/>
        <v>0.75882775590551188</v>
      </c>
      <c r="CW569" s="39">
        <f t="shared" si="362"/>
        <v>0</v>
      </c>
      <c r="CX569" s="39">
        <f t="shared" si="395"/>
        <v>7.4907322449964751</v>
      </c>
      <c r="CY569" s="39">
        <f t="shared" si="376"/>
        <v>9.8450057882185789</v>
      </c>
      <c r="CZ569" s="39">
        <f t="shared" si="377"/>
        <v>0.75115649815148444</v>
      </c>
      <c r="DA569" s="39">
        <f t="shared" si="368"/>
        <v>13.483377492560226</v>
      </c>
      <c r="DB569" s="39">
        <f t="shared" si="391"/>
        <v>6.6587306507946353</v>
      </c>
      <c r="DC569" s="39">
        <f t="shared" si="378"/>
        <v>13.483377492560226</v>
      </c>
      <c r="DD569" s="39">
        <v>4</v>
      </c>
      <c r="DE569" s="39">
        <f t="shared" si="365"/>
        <v>0</v>
      </c>
      <c r="DF569" s="39">
        <v>0.24047067665204319</v>
      </c>
      <c r="DG569" s="39">
        <f t="shared" si="379"/>
        <v>0</v>
      </c>
      <c r="DH569" s="39">
        <f t="shared" si="380"/>
        <v>0</v>
      </c>
      <c r="DI569" s="39">
        <f t="shared" si="385"/>
        <v>9.9249113315466246</v>
      </c>
      <c r="DJ569" s="37"/>
      <c r="DK569" s="39">
        <v>127.2</v>
      </c>
      <c r="DL569" s="37"/>
      <c r="DM569" s="39">
        <f t="shared" ref="DM569:DM582" si="403">(CQ$6*$CQ569+$CR$6*$CR569+$CS$6*$CS569+$CT$6*$CT569+$CU$6*$CU569+$CV$6*$CV569+$CZ$6*$CZ569+$DA$6*$DA569+$DB$6*$DB569+$DC$6*$DC569+$DD$6*$DD569+DI$6*$DI569)/414.8987</f>
        <v>3.052298679801889</v>
      </c>
      <c r="DN569" s="39"/>
      <c r="DO569" s="39">
        <f t="shared" si="401"/>
        <v>2.9054560920144783</v>
      </c>
      <c r="DP569" s="37"/>
      <c r="DQ569" s="37">
        <f>DO569/'Conversions, Sources &amp; Comments'!E567</f>
        <v>6.4133644509574816</v>
      </c>
    </row>
    <row r="570" spans="1:121">
      <c r="A570" s="42">
        <f t="shared" si="381"/>
        <v>1818</v>
      </c>
      <c r="B570" s="36"/>
      <c r="C570" s="38">
        <v>86</v>
      </c>
      <c r="D570" s="38">
        <v>3</v>
      </c>
      <c r="E570" s="36"/>
      <c r="F570" s="36"/>
      <c r="G570" s="38">
        <v>32</v>
      </c>
      <c r="H570" s="38">
        <v>5</v>
      </c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8">
        <v>19.920000000000002</v>
      </c>
      <c r="W570" s="36"/>
      <c r="X570" s="36"/>
      <c r="Y570" s="36"/>
      <c r="Z570" s="36"/>
      <c r="AA570" s="36"/>
      <c r="AB570" s="59">
        <v>10.5</v>
      </c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8">
        <v>59.55</v>
      </c>
      <c r="AT570" s="38">
        <v>7.5</v>
      </c>
      <c r="AU570" s="36"/>
      <c r="AV570" s="36"/>
      <c r="AW570" s="36"/>
      <c r="AX570" s="36"/>
      <c r="AY570" s="36"/>
      <c r="AZ570" s="36"/>
      <c r="BA570" s="36"/>
      <c r="BB570" s="36"/>
      <c r="BC570" s="38">
        <v>10</v>
      </c>
      <c r="BD570" s="38">
        <v>7</v>
      </c>
      <c r="BE570" s="38">
        <v>6.45</v>
      </c>
      <c r="BF570" s="38">
        <v>11.6</v>
      </c>
      <c r="BG570" s="59">
        <v>63.58</v>
      </c>
      <c r="BH570" s="59">
        <v>9.27</v>
      </c>
      <c r="BI570" s="59">
        <v>1.1306357737614694</v>
      </c>
      <c r="BJ570" s="59">
        <v>11.5</v>
      </c>
      <c r="BK570" s="38">
        <v>14.79158434782609</v>
      </c>
      <c r="BL570" s="59">
        <v>4.54</v>
      </c>
      <c r="BM570" s="36"/>
      <c r="BN570" s="38">
        <v>65.400000000000006</v>
      </c>
      <c r="BO570" s="36"/>
      <c r="BP570" s="39">
        <f t="shared" si="373"/>
        <v>0.43987003058103974</v>
      </c>
      <c r="BQ570" s="37"/>
      <c r="BR570" s="39">
        <f t="shared" ref="BR570:BR601" si="404">(31.1*0.925/$BN570)*(12*C570+D570)/36.3687/8</f>
        <v>1.564757200736403</v>
      </c>
      <c r="BS570" s="39">
        <f t="shared" si="397"/>
        <v>2.8122698122652414</v>
      </c>
      <c r="BT570" s="39">
        <f t="shared" si="402"/>
        <v>40.408008058625704</v>
      </c>
      <c r="BU570" s="37"/>
      <c r="BV570" s="39">
        <f t="shared" si="399"/>
        <v>1.1534755109892232</v>
      </c>
      <c r="BW570" s="39">
        <f t="shared" si="369"/>
        <v>7.705376189610325</v>
      </c>
      <c r="BX570" s="39">
        <f t="shared" si="383"/>
        <v>0.72933390875564608</v>
      </c>
      <c r="BY570" s="39">
        <f t="shared" si="396"/>
        <v>10.182401113562728</v>
      </c>
      <c r="BZ570" s="39">
        <f t="shared" si="388"/>
        <v>9.5589888004874588</v>
      </c>
      <c r="CA570" s="39">
        <f t="shared" si="370"/>
        <v>14.344175708062989</v>
      </c>
      <c r="CB570" s="39">
        <f t="shared" si="371"/>
        <v>4.402676291007122</v>
      </c>
      <c r="CC570" s="39">
        <f t="shared" si="400"/>
        <v>0.87622110091743133</v>
      </c>
      <c r="CD570" s="37"/>
      <c r="CE570" s="37"/>
      <c r="CF570" s="37"/>
      <c r="CG570" s="37"/>
      <c r="CH570" s="37"/>
      <c r="CI570" s="39">
        <f t="shared" si="394"/>
        <v>7.2731115834445896</v>
      </c>
      <c r="CJ570" s="39">
        <f t="shared" si="384"/>
        <v>0.23348452549548532</v>
      </c>
      <c r="CK570" s="37"/>
      <c r="CL570" s="37"/>
      <c r="CM570" s="37"/>
      <c r="CN570" s="37"/>
      <c r="CO570" s="39">
        <f>0.063495+(0.016949+0.014096)*Wages!P568+1.22592*BR570</f>
        <v>2.8830426440864039</v>
      </c>
      <c r="CP570" s="39"/>
      <c r="CQ570" s="39">
        <f t="shared" si="398"/>
        <v>2.8122698122652414</v>
      </c>
      <c r="CR570" s="39">
        <f t="shared" si="389"/>
        <v>1.1534755109892232</v>
      </c>
      <c r="CS570" s="39">
        <f t="shared" si="389"/>
        <v>7.705376189610325</v>
      </c>
      <c r="CT570" s="39">
        <f t="shared" si="372"/>
        <v>14.344175708062989</v>
      </c>
      <c r="CU570" s="39">
        <f t="shared" si="372"/>
        <v>4.402676291007122</v>
      </c>
      <c r="CV570" s="39">
        <f t="shared" si="372"/>
        <v>0.87622110091743133</v>
      </c>
      <c r="CW570" s="39">
        <f t="shared" si="362"/>
        <v>0</v>
      </c>
      <c r="CX570" s="39">
        <f t="shared" si="395"/>
        <v>7.2731115834445896</v>
      </c>
      <c r="CY570" s="39">
        <f t="shared" si="376"/>
        <v>9.5589888004874588</v>
      </c>
      <c r="CZ570" s="39">
        <f t="shared" si="377"/>
        <v>0.72933390875564608</v>
      </c>
      <c r="DA570" s="39">
        <f t="shared" si="368"/>
        <v>10.182401113562728</v>
      </c>
      <c r="DB570" s="39">
        <f t="shared" si="391"/>
        <v>6.4652812893801119</v>
      </c>
      <c r="DC570" s="39">
        <f t="shared" si="378"/>
        <v>10.182401113562728</v>
      </c>
      <c r="DD570" s="39">
        <v>4</v>
      </c>
      <c r="DE570" s="39">
        <f t="shared" si="365"/>
        <v>0</v>
      </c>
      <c r="DF570" s="39">
        <v>0.23348452549548532</v>
      </c>
      <c r="DG570" s="39">
        <f t="shared" si="379"/>
        <v>0</v>
      </c>
      <c r="DH570" s="39">
        <f t="shared" si="380"/>
        <v>0</v>
      </c>
      <c r="DI570" s="39">
        <f t="shared" si="385"/>
        <v>9.6365729289481745</v>
      </c>
      <c r="DJ570" s="37"/>
      <c r="DK570" s="39">
        <v>118.6</v>
      </c>
      <c r="DL570" s="37"/>
      <c r="DM570" s="39">
        <f t="shared" si="403"/>
        <v>2.8725018161111335</v>
      </c>
      <c r="DN570" s="39"/>
      <c r="DO570" s="39">
        <f t="shared" si="401"/>
        <v>2.6303156644368273</v>
      </c>
      <c r="DP570" s="37"/>
      <c r="DQ570" s="37">
        <f>DO570/'Conversions, Sources &amp; Comments'!E568</f>
        <v>5.9797564770719918</v>
      </c>
    </row>
    <row r="571" spans="1:121">
      <c r="A571" s="42">
        <f t="shared" si="381"/>
        <v>1819</v>
      </c>
      <c r="B571" s="36"/>
      <c r="C571" s="38">
        <v>74</v>
      </c>
      <c r="D571" s="38">
        <v>6</v>
      </c>
      <c r="E571" s="36"/>
      <c r="F571" s="36"/>
      <c r="G571" s="38">
        <v>28</v>
      </c>
      <c r="H571" s="38">
        <v>2</v>
      </c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8">
        <v>16.75</v>
      </c>
      <c r="W571" s="36"/>
      <c r="X571" s="36"/>
      <c r="Y571" s="36"/>
      <c r="Z571" s="36"/>
      <c r="AA571" s="36"/>
      <c r="AB571" s="59">
        <v>10</v>
      </c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8">
        <v>57.46</v>
      </c>
      <c r="AT571" s="38">
        <v>7.5</v>
      </c>
      <c r="AU571" s="36"/>
      <c r="AV571" s="36"/>
      <c r="AW571" s="36"/>
      <c r="AX571" s="36"/>
      <c r="AY571" s="36"/>
      <c r="AZ571" s="36"/>
      <c r="BA571" s="36"/>
      <c r="BB571" s="36"/>
      <c r="BC571" s="38">
        <v>10</v>
      </c>
      <c r="BD571" s="38">
        <v>7</v>
      </c>
      <c r="BE571" s="38">
        <v>6.58</v>
      </c>
      <c r="BF571" s="38">
        <v>11.5</v>
      </c>
      <c r="BG571" s="59">
        <v>54.08</v>
      </c>
      <c r="BH571" s="59">
        <v>9.83</v>
      </c>
      <c r="BI571" s="59">
        <v>1.0835023949427933</v>
      </c>
      <c r="BJ571" s="59">
        <v>10.8</v>
      </c>
      <c r="BK571" s="38">
        <v>10.740386086956523</v>
      </c>
      <c r="BL571" s="59">
        <v>4.38</v>
      </c>
      <c r="BM571" s="36"/>
      <c r="BN571" s="38">
        <v>63.3</v>
      </c>
      <c r="BO571" s="36"/>
      <c r="BP571" s="39">
        <f t="shared" si="373"/>
        <v>0.45446287519747242</v>
      </c>
      <c r="BQ571" s="37"/>
      <c r="BR571" s="39">
        <f t="shared" si="404"/>
        <v>1.3964267709133829</v>
      </c>
      <c r="BS571" s="39">
        <f t="shared" si="397"/>
        <v>2.88051986409093</v>
      </c>
      <c r="BT571" s="39">
        <f t="shared" si="402"/>
        <v>41.74855808900665</v>
      </c>
      <c r="BU571" s="37"/>
      <c r="BV571" s="39">
        <f t="shared" si="399"/>
        <v>1.0136746277986004</v>
      </c>
      <c r="BW571" s="39">
        <f t="shared" si="369"/>
        <v>8.4419284813997937</v>
      </c>
      <c r="BX571" s="39">
        <f t="shared" si="383"/>
        <v>0.72211704603174831</v>
      </c>
      <c r="BY571" s="39">
        <f t="shared" si="396"/>
        <v>10.019243704611487</v>
      </c>
      <c r="BZ571" s="39">
        <f t="shared" ref="BZ571:BZ602" si="405">$BP571*12*$BJ571/(14*0.45359)</f>
        <v>9.2749570294117785</v>
      </c>
      <c r="CA571" s="39">
        <f t="shared" si="370"/>
        <v>10.761054568683596</v>
      </c>
      <c r="CB571" s="39">
        <f t="shared" si="371"/>
        <v>4.3884287426198307</v>
      </c>
      <c r="CC571" s="39">
        <f t="shared" si="400"/>
        <v>0.76122531595576626</v>
      </c>
      <c r="CD571" s="37"/>
      <c r="CE571" s="37"/>
      <c r="CF571" s="37"/>
      <c r="CG571" s="37"/>
      <c r="CH571" s="37"/>
      <c r="CI571" s="39">
        <f t="shared" si="394"/>
        <v>7.5143996454546</v>
      </c>
      <c r="CJ571" s="39">
        <f t="shared" si="384"/>
        <v>0.23276409899073927</v>
      </c>
      <c r="CK571" s="37"/>
      <c r="CL571" s="37"/>
      <c r="CM571" s="37"/>
      <c r="CN571" s="37"/>
      <c r="CO571" s="39">
        <f>0.063495+(0.016949+0.014096)*Wages!P569+1.22592*BR571</f>
        <v>2.621930504628466</v>
      </c>
      <c r="CP571" s="39"/>
      <c r="CQ571" s="39">
        <f t="shared" si="398"/>
        <v>2.88051986409093</v>
      </c>
      <c r="CR571" s="39">
        <f t="shared" si="389"/>
        <v>1.0136746277986004</v>
      </c>
      <c r="CS571" s="39">
        <f t="shared" si="389"/>
        <v>8.4419284813997937</v>
      </c>
      <c r="CT571" s="39">
        <f t="shared" si="372"/>
        <v>10.761054568683596</v>
      </c>
      <c r="CU571" s="39">
        <f t="shared" si="372"/>
        <v>4.3884287426198307</v>
      </c>
      <c r="CV571" s="39">
        <f t="shared" si="372"/>
        <v>0.76122531595576626</v>
      </c>
      <c r="CW571" s="39">
        <f t="shared" si="362"/>
        <v>0</v>
      </c>
      <c r="CX571" s="39">
        <f t="shared" si="395"/>
        <v>7.5143996454546</v>
      </c>
      <c r="CY571" s="39">
        <f t="shared" si="376"/>
        <v>9.2749570294117785</v>
      </c>
      <c r="CZ571" s="39">
        <f t="shared" si="377"/>
        <v>0.72211704603174831</v>
      </c>
      <c r="DA571" s="39">
        <f t="shared" si="368"/>
        <v>10.019243704611487</v>
      </c>
      <c r="DB571" s="39">
        <f t="shared" si="391"/>
        <v>6.6797692942410629</v>
      </c>
      <c r="DC571" s="39">
        <f t="shared" si="378"/>
        <v>10.019243704611487</v>
      </c>
      <c r="DD571" s="39">
        <v>4</v>
      </c>
      <c r="DE571" s="39">
        <f t="shared" si="365"/>
        <v>0</v>
      </c>
      <c r="DF571" s="39">
        <v>0.23276409899073927</v>
      </c>
      <c r="DG571" s="39">
        <f t="shared" si="379"/>
        <v>0</v>
      </c>
      <c r="DH571" s="39">
        <f t="shared" si="380"/>
        <v>0</v>
      </c>
      <c r="DI571" s="39">
        <f t="shared" si="385"/>
        <v>9.6068388703924761</v>
      </c>
      <c r="DJ571" s="37"/>
      <c r="DK571" s="39">
        <v>113.5</v>
      </c>
      <c r="DL571" s="37"/>
      <c r="DM571" s="39">
        <f t="shared" si="403"/>
        <v>2.8685924456737864</v>
      </c>
      <c r="DN571" s="39"/>
      <c r="DO571" s="39">
        <f t="shared" si="401"/>
        <v>2.6007169139630779</v>
      </c>
      <c r="DP571" s="37"/>
      <c r="DQ571" s="37">
        <f>DO571/'Conversions, Sources &amp; Comments'!E569</f>
        <v>5.7226168646515276</v>
      </c>
    </row>
    <row r="572" spans="1:121">
      <c r="A572" s="42">
        <f t="shared" si="381"/>
        <v>1820</v>
      </c>
      <c r="B572" s="36"/>
      <c r="C572" s="38">
        <v>67</v>
      </c>
      <c r="D572" s="38">
        <v>10</v>
      </c>
      <c r="E572" s="36"/>
      <c r="F572" s="36"/>
      <c r="G572" s="38">
        <v>24</v>
      </c>
      <c r="H572" s="38">
        <v>2</v>
      </c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8">
        <v>15.83</v>
      </c>
      <c r="W572" s="36"/>
      <c r="X572" s="36"/>
      <c r="Y572" s="36"/>
      <c r="Z572" s="36"/>
      <c r="AA572" s="36"/>
      <c r="AB572" s="59">
        <v>8.5</v>
      </c>
      <c r="AC572" s="36"/>
      <c r="AD572" s="36"/>
      <c r="AE572" s="36"/>
      <c r="AF572" s="36"/>
      <c r="AG572" s="38">
        <v>22</v>
      </c>
      <c r="AH572" s="38">
        <v>0</v>
      </c>
      <c r="AI572" s="38">
        <v>22</v>
      </c>
      <c r="AJ572" s="38">
        <v>0</v>
      </c>
      <c r="AK572" s="36"/>
      <c r="AL572" s="36"/>
      <c r="AM572" s="36"/>
      <c r="AN572" s="36"/>
      <c r="AO572" s="36"/>
      <c r="AP572" s="36"/>
      <c r="AQ572" s="36"/>
      <c r="AR572" s="36"/>
      <c r="AS572" s="38">
        <v>60.44</v>
      </c>
      <c r="AT572" s="38">
        <v>7</v>
      </c>
      <c r="AU572" s="36"/>
      <c r="AV572" s="36"/>
      <c r="AW572" s="36"/>
      <c r="AX572" s="36"/>
      <c r="AY572" s="36"/>
      <c r="AZ572" s="36"/>
      <c r="BA572" s="36"/>
      <c r="BB572" s="36"/>
      <c r="BC572" s="38">
        <v>10</v>
      </c>
      <c r="BD572" s="38">
        <v>7</v>
      </c>
      <c r="BE572" s="38">
        <v>6.58</v>
      </c>
      <c r="BF572" s="38">
        <v>10.1</v>
      </c>
      <c r="BG572" s="59">
        <v>43.25</v>
      </c>
      <c r="BH572" s="59">
        <v>9.1300000000000008</v>
      </c>
      <c r="BI572" s="59">
        <v>0.98930630204127079</v>
      </c>
      <c r="BJ572" s="59">
        <v>10.5</v>
      </c>
      <c r="BK572" s="38">
        <v>11.076864347826088</v>
      </c>
      <c r="BL572" s="59">
        <v>4.21</v>
      </c>
      <c r="BM572" s="36"/>
      <c r="BN572" s="38">
        <v>60.45</v>
      </c>
      <c r="BO572" s="36"/>
      <c r="BP572" s="39">
        <f t="shared" si="373"/>
        <v>0.47588916459884201</v>
      </c>
      <c r="BQ572" s="37"/>
      <c r="BR572" s="39">
        <f t="shared" si="404"/>
        <v>1.3314119695763713</v>
      </c>
      <c r="BS572" s="39">
        <f t="shared" si="397"/>
        <v>2.6491211057780477</v>
      </c>
      <c r="BT572" s="39">
        <f t="shared" si="402"/>
        <v>43.716852390969734</v>
      </c>
      <c r="BU572" s="37"/>
      <c r="BV572" s="39">
        <f t="shared" si="399"/>
        <v>0.84889780369795664</v>
      </c>
      <c r="BW572" s="39">
        <f t="shared" si="369"/>
        <v>8.2104381353596754</v>
      </c>
      <c r="BX572" s="39">
        <f t="shared" si="383"/>
        <v>0.69042403521160001</v>
      </c>
      <c r="BY572" s="39">
        <f t="shared" si="396"/>
        <v>8.9178727465115113</v>
      </c>
      <c r="BZ572" s="39">
        <f t="shared" si="405"/>
        <v>9.4424534963063085</v>
      </c>
      <c r="CA572" s="39">
        <f t="shared" si="370"/>
        <v>11.621419609915682</v>
      </c>
      <c r="CB572" s="39">
        <f t="shared" si="371"/>
        <v>4.4169699132721725</v>
      </c>
      <c r="CC572" s="39">
        <f t="shared" si="400"/>
        <v>0.75333254755996693</v>
      </c>
      <c r="CD572" s="37"/>
      <c r="CE572" s="37"/>
      <c r="CF572" s="37"/>
      <c r="CG572" s="37"/>
      <c r="CH572" s="37"/>
      <c r="CI572" s="39">
        <f t="shared" si="394"/>
        <v>7.3440981150282489</v>
      </c>
      <c r="CJ572" s="39">
        <f t="shared" si="384"/>
        <v>0.25637887374218754</v>
      </c>
      <c r="CK572" s="37"/>
      <c r="CL572" s="39">
        <f>BP572*(12*AG572+AH572)/100</f>
        <v>1.2563473945409429</v>
      </c>
      <c r="CM572" s="37"/>
      <c r="CN572" s="37"/>
      <c r="CO572" s="39">
        <f>0.063495+(0.016949+0.014096)*Wages!P570+1.22592*BR572</f>
        <v>2.5821383086413281</v>
      </c>
      <c r="CP572" s="39"/>
      <c r="CQ572" s="39">
        <f t="shared" si="398"/>
        <v>2.6491211057780477</v>
      </c>
      <c r="CR572" s="39">
        <f t="shared" si="389"/>
        <v>0.84889780369795664</v>
      </c>
      <c r="CS572" s="39">
        <f t="shared" si="389"/>
        <v>8.2104381353596754</v>
      </c>
      <c r="CT572" s="39">
        <f t="shared" si="372"/>
        <v>11.621419609915682</v>
      </c>
      <c r="CU572" s="39">
        <f t="shared" si="372"/>
        <v>4.4169699132721725</v>
      </c>
      <c r="CV572" s="39">
        <f t="shared" si="372"/>
        <v>0.75333254755996693</v>
      </c>
      <c r="CW572" s="39">
        <f t="shared" si="362"/>
        <v>0</v>
      </c>
      <c r="CX572" s="39">
        <f t="shared" si="395"/>
        <v>7.3440981150282489</v>
      </c>
      <c r="CY572" s="39">
        <f t="shared" si="376"/>
        <v>9.4424534963063085</v>
      </c>
      <c r="CZ572" s="39">
        <f t="shared" si="377"/>
        <v>0.69042403521160001</v>
      </c>
      <c r="DA572" s="39">
        <f t="shared" si="368"/>
        <v>8.9178727465115113</v>
      </c>
      <c r="DB572" s="39">
        <f t="shared" si="391"/>
        <v>6.9946963825551567</v>
      </c>
      <c r="DC572" s="39">
        <f t="shared" si="378"/>
        <v>8.9178727465115113</v>
      </c>
      <c r="DD572" s="39">
        <v>4</v>
      </c>
      <c r="DE572" s="39">
        <f t="shared" si="365"/>
        <v>0</v>
      </c>
      <c r="DF572" s="39">
        <v>0.2563788737421876</v>
      </c>
      <c r="DG572" s="39">
        <f t="shared" si="379"/>
        <v>1.2563473945409429</v>
      </c>
      <c r="DH572" s="39">
        <f t="shared" si="380"/>
        <v>0</v>
      </c>
      <c r="DI572" s="39">
        <f t="shared" si="385"/>
        <v>10.581488040867869</v>
      </c>
      <c r="DJ572" s="37"/>
      <c r="DK572" s="39">
        <v>108.6</v>
      </c>
      <c r="DL572" s="37"/>
      <c r="DM572" s="39">
        <f t="shared" si="403"/>
        <v>2.7299147270512805</v>
      </c>
      <c r="DN572" s="39"/>
      <c r="DO572" s="39">
        <f t="shared" si="401"/>
        <v>2.605760225476256</v>
      </c>
      <c r="DP572" s="39"/>
      <c r="DQ572" s="37">
        <f>DO572/'Conversions, Sources &amp; Comments'!E570</f>
        <v>5.4755611586004926</v>
      </c>
    </row>
    <row r="573" spans="1:121">
      <c r="A573" s="42">
        <f t="shared" si="381"/>
        <v>1821</v>
      </c>
      <c r="B573" s="36"/>
      <c r="C573" s="38">
        <v>56</v>
      </c>
      <c r="D573" s="38">
        <v>1</v>
      </c>
      <c r="E573" s="36"/>
      <c r="F573" s="36"/>
      <c r="G573" s="38">
        <v>19</v>
      </c>
      <c r="H573" s="38">
        <v>6</v>
      </c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8">
        <v>13.42</v>
      </c>
      <c r="W573" s="36"/>
      <c r="X573" s="36"/>
      <c r="Y573" s="36"/>
      <c r="Z573" s="36"/>
      <c r="AA573" s="36"/>
      <c r="AB573" s="59">
        <v>7.5</v>
      </c>
      <c r="AC573" s="36"/>
      <c r="AD573" s="36"/>
      <c r="AE573" s="36"/>
      <c r="AF573" s="36"/>
      <c r="AG573" s="38">
        <v>22</v>
      </c>
      <c r="AH573" s="38">
        <v>0</v>
      </c>
      <c r="AI573" s="38">
        <v>22</v>
      </c>
      <c r="AJ573" s="38">
        <v>0</v>
      </c>
      <c r="AK573" s="36"/>
      <c r="AL573" s="36"/>
      <c r="AM573" s="36"/>
      <c r="AN573" s="36"/>
      <c r="AO573" s="36"/>
      <c r="AP573" s="36"/>
      <c r="AQ573" s="36"/>
      <c r="AR573" s="36"/>
      <c r="AS573" s="38">
        <v>56.26</v>
      </c>
      <c r="AT573" s="38">
        <v>6.5</v>
      </c>
      <c r="AU573" s="36"/>
      <c r="AV573" s="36"/>
      <c r="AW573" s="36"/>
      <c r="AX573" s="36"/>
      <c r="AY573" s="36"/>
      <c r="AZ573" s="36"/>
      <c r="BA573" s="36"/>
      <c r="BB573" s="36"/>
      <c r="BC573" s="38">
        <v>10</v>
      </c>
      <c r="BD573" s="38">
        <v>7</v>
      </c>
      <c r="BE573" s="38">
        <v>6.33</v>
      </c>
      <c r="BF573" s="38">
        <v>9.5</v>
      </c>
      <c r="BG573" s="59">
        <v>30.83</v>
      </c>
      <c r="BH573" s="59">
        <v>6.71</v>
      </c>
      <c r="BI573" s="59">
        <v>0.89511020913977035</v>
      </c>
      <c r="BJ573" s="59">
        <v>9.6</v>
      </c>
      <c r="BK573" s="38">
        <v>10.296234782608696</v>
      </c>
      <c r="BL573" s="59">
        <v>3.59</v>
      </c>
      <c r="BM573" s="36"/>
      <c r="BN573" s="38">
        <v>59</v>
      </c>
      <c r="BO573" s="36"/>
      <c r="BP573" s="39">
        <f t="shared" si="373"/>
        <v>0.48758474576271188</v>
      </c>
      <c r="BQ573" s="37"/>
      <c r="BR573" s="39">
        <f t="shared" si="404"/>
        <v>1.1278397835855596</v>
      </c>
      <c r="BS573" s="39">
        <f t="shared" si="397"/>
        <v>2.5529854388667363</v>
      </c>
      <c r="BT573" s="39">
        <f t="shared" si="402"/>
        <v>44.791249610747812</v>
      </c>
      <c r="BU573" s="37"/>
      <c r="BV573" s="39">
        <f t="shared" si="399"/>
        <v>0.61999347152349715</v>
      </c>
      <c r="BW573" s="39">
        <f t="shared" si="369"/>
        <v>6.1824750055609634</v>
      </c>
      <c r="BX573" s="39">
        <f t="shared" si="383"/>
        <v>0.64003825158091032</v>
      </c>
      <c r="BY573" s="39">
        <f t="shared" si="396"/>
        <v>8.0620948284140734</v>
      </c>
      <c r="BZ573" s="39">
        <f t="shared" si="405"/>
        <v>8.8452697546028691</v>
      </c>
      <c r="CA573" s="39">
        <f t="shared" si="370"/>
        <v>11.067896159067557</v>
      </c>
      <c r="CB573" s="39">
        <f t="shared" si="371"/>
        <v>3.8590560578675359</v>
      </c>
      <c r="CC573" s="39">
        <f t="shared" si="400"/>
        <v>0.65433872881355937</v>
      </c>
      <c r="CD573" s="37"/>
      <c r="CE573" s="37"/>
      <c r="CF573" s="37"/>
      <c r="CG573" s="37"/>
      <c r="CH573" s="37"/>
      <c r="CI573" s="39">
        <f t="shared" si="394"/>
        <v>6.9871180432142266</v>
      </c>
      <c r="CJ573" s="39">
        <f t="shared" si="384"/>
        <v>0.24451291381581941</v>
      </c>
      <c r="CK573" s="37"/>
      <c r="CL573" s="39">
        <f>BP573*(12*AG573+AH573)/100</f>
        <v>1.2872237288135593</v>
      </c>
      <c r="CM573" s="37"/>
      <c r="CN573" s="37"/>
      <c r="CO573" s="39">
        <f>0.063495+(0.016949+0.014096)*Wages!P571+1.22592*BR573</f>
        <v>2.3543604534254126</v>
      </c>
      <c r="CP573" s="39"/>
      <c r="CQ573" s="39">
        <f t="shared" si="398"/>
        <v>2.5529854388667363</v>
      </c>
      <c r="CR573" s="39">
        <f t="shared" si="389"/>
        <v>0.61999347152349715</v>
      </c>
      <c r="CS573" s="39">
        <f t="shared" si="389"/>
        <v>6.1824750055609634</v>
      </c>
      <c r="CT573" s="39">
        <f t="shared" si="372"/>
        <v>11.067896159067557</v>
      </c>
      <c r="CU573" s="39">
        <f t="shared" si="372"/>
        <v>3.8590560578675359</v>
      </c>
      <c r="CV573" s="39">
        <f t="shared" si="372"/>
        <v>0.65433872881355937</v>
      </c>
      <c r="CW573" s="39">
        <f t="shared" ref="CW573:CW582" si="406">CW$454*CF573/CF$454</f>
        <v>0</v>
      </c>
      <c r="CX573" s="39">
        <f t="shared" si="395"/>
        <v>6.9871180432142266</v>
      </c>
      <c r="CY573" s="39">
        <f t="shared" si="376"/>
        <v>8.8452697546028691</v>
      </c>
      <c r="CZ573" s="39">
        <f t="shared" si="377"/>
        <v>0.64003825158091032</v>
      </c>
      <c r="DA573" s="39">
        <f t="shared" si="368"/>
        <v>8.0620948284140734</v>
      </c>
      <c r="DB573" s="39">
        <f t="shared" si="391"/>
        <v>7.1665999377196492</v>
      </c>
      <c r="DC573" s="39">
        <f t="shared" si="378"/>
        <v>8.0620948284140734</v>
      </c>
      <c r="DD573" s="39">
        <v>4</v>
      </c>
      <c r="DE573" s="39">
        <f t="shared" si="365"/>
        <v>0</v>
      </c>
      <c r="DF573" s="39">
        <v>0.24451291381581941</v>
      </c>
      <c r="DG573" s="39">
        <f t="shared" si="379"/>
        <v>1.2872237288135593</v>
      </c>
      <c r="DH573" s="39">
        <f t="shared" si="380"/>
        <v>0</v>
      </c>
      <c r="DI573" s="39">
        <f t="shared" si="385"/>
        <v>10.091745999249635</v>
      </c>
      <c r="DJ573" s="37"/>
      <c r="DK573" s="39">
        <v>101.4</v>
      </c>
      <c r="DL573" s="37"/>
      <c r="DM573" s="39">
        <f t="shared" si="403"/>
        <v>2.4689754644790307</v>
      </c>
      <c r="DN573" s="39"/>
      <c r="DO573" s="39">
        <f t="shared" si="401"/>
        <v>2.4927967741807948</v>
      </c>
      <c r="DP573" s="37"/>
      <c r="DQ573" s="37">
        <f>DO573/'Conversions, Sources &amp; Comments'!E571</f>
        <v>5.1125405293010129</v>
      </c>
    </row>
    <row r="574" spans="1:121">
      <c r="A574" s="42">
        <f t="shared" si="381"/>
        <v>1822</v>
      </c>
      <c r="B574" s="36"/>
      <c r="C574" s="38">
        <v>44</v>
      </c>
      <c r="D574" s="38">
        <v>7</v>
      </c>
      <c r="E574" s="36"/>
      <c r="F574" s="36"/>
      <c r="G574" s="38">
        <v>18</v>
      </c>
      <c r="H574" s="38">
        <v>1</v>
      </c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8">
        <v>14</v>
      </c>
      <c r="W574" s="36"/>
      <c r="X574" s="36"/>
      <c r="Y574" s="36"/>
      <c r="Z574" s="36"/>
      <c r="AA574" s="36"/>
      <c r="AB574" s="59">
        <v>7.5</v>
      </c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8">
        <v>58.35</v>
      </c>
      <c r="AT574" s="38">
        <v>6.5</v>
      </c>
      <c r="AU574" s="36"/>
      <c r="AV574" s="36"/>
      <c r="AW574" s="36"/>
      <c r="AX574" s="36"/>
      <c r="AY574" s="36"/>
      <c r="AZ574" s="36"/>
      <c r="BA574" s="36"/>
      <c r="BB574" s="36"/>
      <c r="BC574" s="38">
        <v>10</v>
      </c>
      <c r="BD574" s="38">
        <v>7</v>
      </c>
      <c r="BE574" s="38">
        <v>6.33</v>
      </c>
      <c r="BF574" s="38">
        <v>9.5</v>
      </c>
      <c r="BG574" s="59">
        <v>24.42</v>
      </c>
      <c r="BH574" s="59">
        <v>4.67</v>
      </c>
      <c r="BI574" s="59">
        <v>0.84797683032108928</v>
      </c>
      <c r="BJ574" s="59">
        <v>9.5</v>
      </c>
      <c r="BK574" s="38">
        <v>9.5156052173913057</v>
      </c>
      <c r="BL574" s="59">
        <v>4.04</v>
      </c>
      <c r="BM574" s="36"/>
      <c r="BN574" s="38">
        <v>59.375</v>
      </c>
      <c r="BO574" s="36"/>
      <c r="BP574" s="39">
        <f t="shared" si="373"/>
        <v>0.48450526315789477</v>
      </c>
      <c r="BQ574" s="37"/>
      <c r="BR574" s="39">
        <f t="shared" si="404"/>
        <v>0.89091140111371092</v>
      </c>
      <c r="BS574" s="39">
        <f t="shared" si="397"/>
        <v>2.5368613203054728</v>
      </c>
      <c r="BT574" s="39">
        <f t="shared" si="402"/>
        <v>44.508357507943089</v>
      </c>
      <c r="BU574" s="37"/>
      <c r="BV574" s="39">
        <f t="shared" si="399"/>
        <v>0.48798631211656418</v>
      </c>
      <c r="BW574" s="39">
        <f t="shared" si="369"/>
        <v>4.2756792552381206</v>
      </c>
      <c r="BX574" s="39">
        <f t="shared" si="383"/>
        <v>0.60250658062254991</v>
      </c>
      <c r="BY574" s="39">
        <f t="shared" si="396"/>
        <v>8.0111763347609308</v>
      </c>
      <c r="BZ574" s="39">
        <f t="shared" si="405"/>
        <v>8.6978485920261548</v>
      </c>
      <c r="CA574" s="39">
        <f t="shared" si="370"/>
        <v>10.164158843799051</v>
      </c>
      <c r="CB574" s="39">
        <f t="shared" si="371"/>
        <v>4.3153536523245544</v>
      </c>
      <c r="CC574" s="39">
        <f t="shared" si="400"/>
        <v>0.67830736842105266</v>
      </c>
      <c r="CD574" s="37"/>
      <c r="CE574" s="37"/>
      <c r="CF574" s="37"/>
      <c r="CG574" s="37"/>
      <c r="CH574" s="37"/>
      <c r="CI574" s="39">
        <f t="shared" si="394"/>
        <v>6.9429888766255052</v>
      </c>
      <c r="CJ574" s="39">
        <f t="shared" si="384"/>
        <v>0.25199465122398812</v>
      </c>
      <c r="CK574" s="37"/>
      <c r="CL574" s="37"/>
      <c r="CM574" s="37"/>
      <c r="CN574" s="37"/>
      <c r="CO574" s="39">
        <f>0.063495+(0.016949+0.014096)*Wages!P572+1.22592*BR574</f>
        <v>2.0581690585375307</v>
      </c>
      <c r="CP574" s="39"/>
      <c r="CQ574" s="39">
        <f t="shared" si="398"/>
        <v>2.5368613203054728</v>
      </c>
      <c r="CR574" s="39">
        <f t="shared" si="389"/>
        <v>0.48798631211656418</v>
      </c>
      <c r="CS574" s="39">
        <f t="shared" si="389"/>
        <v>4.2756792552381206</v>
      </c>
      <c r="CT574" s="39">
        <f t="shared" si="372"/>
        <v>10.164158843799051</v>
      </c>
      <c r="CU574" s="39">
        <f t="shared" si="372"/>
        <v>4.3153536523245544</v>
      </c>
      <c r="CV574" s="39">
        <f t="shared" si="372"/>
        <v>0.67830736842105266</v>
      </c>
      <c r="CW574" s="39">
        <f t="shared" si="406"/>
        <v>0</v>
      </c>
      <c r="CX574" s="39">
        <f t="shared" si="395"/>
        <v>6.9429888766255052</v>
      </c>
      <c r="CY574" s="39">
        <f t="shared" si="376"/>
        <v>8.6978485920261548</v>
      </c>
      <c r="CZ574" s="39">
        <f t="shared" si="377"/>
        <v>0.60250658062254991</v>
      </c>
      <c r="DA574" s="39">
        <f t="shared" si="368"/>
        <v>8.0111763347609308</v>
      </c>
      <c r="DB574" s="39">
        <f t="shared" si="391"/>
        <v>7.1213372012708938</v>
      </c>
      <c r="DC574" s="39">
        <f t="shared" si="378"/>
        <v>8.0111763347609308</v>
      </c>
      <c r="DD574" s="39">
        <v>4</v>
      </c>
      <c r="DE574" s="39">
        <f t="shared" si="365"/>
        <v>0</v>
      </c>
      <c r="DF574" s="39">
        <v>0.25199465122398812</v>
      </c>
      <c r="DG574" s="39">
        <f t="shared" si="379"/>
        <v>0</v>
      </c>
      <c r="DH574" s="39">
        <f t="shared" si="380"/>
        <v>0</v>
      </c>
      <c r="DI574" s="39">
        <f t="shared" si="385"/>
        <v>10.40053866127319</v>
      </c>
      <c r="DJ574" s="37"/>
      <c r="DK574" s="39">
        <v>94</v>
      </c>
      <c r="DL574" s="37"/>
      <c r="DM574" s="39">
        <f t="shared" si="403"/>
        <v>2.3093368362599529</v>
      </c>
      <c r="DN574" s="39"/>
      <c r="DO574" s="39">
        <f t="shared" si="401"/>
        <v>2.2962816833147199</v>
      </c>
      <c r="DP574" s="37"/>
      <c r="DQ574" s="37">
        <f>DO574/'Conversions, Sources &amp; Comments'!E572</f>
        <v>4.7394359936321013</v>
      </c>
    </row>
    <row r="575" spans="1:121">
      <c r="A575" s="42">
        <f t="shared" si="381"/>
        <v>1823</v>
      </c>
      <c r="B575" s="36"/>
      <c r="C575" s="38">
        <v>53</v>
      </c>
      <c r="D575" s="38">
        <v>4</v>
      </c>
      <c r="E575" s="36"/>
      <c r="F575" s="36"/>
      <c r="G575" s="38">
        <v>22</v>
      </c>
      <c r="H575" s="38">
        <v>11</v>
      </c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8">
        <v>13.2</v>
      </c>
      <c r="W575" s="36"/>
      <c r="X575" s="36"/>
      <c r="Y575" s="36"/>
      <c r="Z575" s="36"/>
      <c r="AA575" s="36"/>
      <c r="AB575" s="59">
        <v>7</v>
      </c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8">
        <v>49.6</v>
      </c>
      <c r="AT575" s="38">
        <v>7</v>
      </c>
      <c r="AU575" s="36"/>
      <c r="AV575" s="36"/>
      <c r="AW575" s="36"/>
      <c r="AX575" s="36"/>
      <c r="AY575" s="36"/>
      <c r="AZ575" s="36"/>
      <c r="BA575" s="36"/>
      <c r="BB575" s="36"/>
      <c r="BC575" s="38">
        <v>10</v>
      </c>
      <c r="BD575" s="38">
        <v>7</v>
      </c>
      <c r="BE575" s="38">
        <v>6.48</v>
      </c>
      <c r="BF575" s="38">
        <v>10.3</v>
      </c>
      <c r="BG575" s="59">
        <v>33.08</v>
      </c>
      <c r="BH575" s="59">
        <v>5.0999999999999996</v>
      </c>
      <c r="BI575" s="59">
        <v>0.90450861900916191</v>
      </c>
      <c r="BJ575" s="59">
        <v>9.5</v>
      </c>
      <c r="BK575" s="38">
        <v>10.740386086956523</v>
      </c>
      <c r="BL575" s="59">
        <v>4.04</v>
      </c>
      <c r="BM575" s="36"/>
      <c r="BN575" s="38">
        <v>59.07</v>
      </c>
      <c r="BO575" s="36"/>
      <c r="BP575" s="39">
        <f t="shared" si="373"/>
        <v>0.48700694091755548</v>
      </c>
      <c r="BQ575" s="37"/>
      <c r="BR575" s="39">
        <f t="shared" si="404"/>
        <v>1.0712660962147242</v>
      </c>
      <c r="BS575" s="39">
        <f t="shared" si="397"/>
        <v>2.7646935414705403</v>
      </c>
      <c r="BT575" s="39">
        <f t="shared" si="402"/>
        <v>44.738170425497223</v>
      </c>
      <c r="BU575" s="37"/>
      <c r="BV575" s="39">
        <f t="shared" si="399"/>
        <v>0.66445279617718267</v>
      </c>
      <c r="BW575" s="39">
        <f t="shared" si="369"/>
        <v>4.6934810203289938</v>
      </c>
      <c r="BX575" s="39">
        <f t="shared" si="383"/>
        <v>0.64599204513449859</v>
      </c>
      <c r="BY575" s="39">
        <f t="shared" si="396"/>
        <v>7.5157049018340096</v>
      </c>
      <c r="BZ575" s="39">
        <f t="shared" si="405"/>
        <v>8.74275876335793</v>
      </c>
      <c r="CA575" s="39">
        <f t="shared" si="370"/>
        <v>11.531653194475563</v>
      </c>
      <c r="CB575" s="39">
        <f t="shared" si="371"/>
        <v>4.3376354004870565</v>
      </c>
      <c r="CC575" s="39">
        <f t="shared" si="400"/>
        <v>0.64284916201117315</v>
      </c>
      <c r="CD575" s="37"/>
      <c r="CE575" s="37"/>
      <c r="CF575" s="37"/>
      <c r="CG575" s="37"/>
      <c r="CH575" s="37"/>
      <c r="CI575" s="39">
        <f t="shared" si="394"/>
        <v>7.5156717632208876</v>
      </c>
      <c r="CJ575" s="39">
        <f t="shared" si="384"/>
        <v>0.21531227538838427</v>
      </c>
      <c r="CK575" s="37"/>
      <c r="CL575" s="37"/>
      <c r="CM575" s="37"/>
      <c r="CN575" s="37"/>
      <c r="CO575" s="39">
        <f>0.063495+(0.016949+0.014096)*Wages!P573+1.22592*BR575</f>
        <v>2.2839293615186849</v>
      </c>
      <c r="CP575" s="39"/>
      <c r="CQ575" s="39">
        <f t="shared" si="398"/>
        <v>2.7646935414705403</v>
      </c>
      <c r="CR575" s="39">
        <f t="shared" si="389"/>
        <v>0.66445279617718267</v>
      </c>
      <c r="CS575" s="39">
        <f t="shared" si="389"/>
        <v>4.6934810203289938</v>
      </c>
      <c r="CT575" s="39">
        <f t="shared" si="372"/>
        <v>11.531653194475563</v>
      </c>
      <c r="CU575" s="39">
        <f t="shared" si="372"/>
        <v>4.3376354004870565</v>
      </c>
      <c r="CV575" s="39">
        <f t="shared" si="372"/>
        <v>0.64284916201117315</v>
      </c>
      <c r="CW575" s="39">
        <f t="shared" si="406"/>
        <v>0</v>
      </c>
      <c r="CX575" s="39">
        <f t="shared" si="395"/>
        <v>7.5156717632208876</v>
      </c>
      <c r="CY575" s="39">
        <f t="shared" si="376"/>
        <v>8.74275876335793</v>
      </c>
      <c r="CZ575" s="39">
        <f t="shared" si="377"/>
        <v>0.64599204513449859</v>
      </c>
      <c r="DA575" s="39">
        <f t="shared" si="368"/>
        <v>7.5157049018340096</v>
      </c>
      <c r="DB575" s="39">
        <f t="shared" si="391"/>
        <v>7.1581072680795543</v>
      </c>
      <c r="DC575" s="39">
        <f t="shared" si="378"/>
        <v>7.5157049018340096</v>
      </c>
      <c r="DD575" s="39">
        <v>4</v>
      </c>
      <c r="DE575" s="39">
        <f t="shared" si="365"/>
        <v>0</v>
      </c>
      <c r="DF575" s="39">
        <v>0.21531227538838427</v>
      </c>
      <c r="DG575" s="39">
        <f t="shared" si="379"/>
        <v>0</v>
      </c>
      <c r="DH575" s="39">
        <f t="shared" si="380"/>
        <v>0</v>
      </c>
      <c r="DI575" s="39">
        <f t="shared" si="385"/>
        <v>8.886552288100388</v>
      </c>
      <c r="DJ575" s="37"/>
      <c r="DK575" s="39">
        <v>95.8</v>
      </c>
      <c r="DL575" s="37"/>
      <c r="DM575" s="39">
        <f t="shared" si="403"/>
        <v>2.4656144959738548</v>
      </c>
      <c r="DN575" s="39"/>
      <c r="DO575" s="39">
        <f t="shared" si="401"/>
        <v>2.3523366164746013</v>
      </c>
      <c r="DP575" s="37"/>
      <c r="DQ575" s="37">
        <f>DO575/'Conversions, Sources &amp; Comments'!E573</f>
        <v>4.8301911509569724</v>
      </c>
    </row>
    <row r="576" spans="1:121">
      <c r="A576" s="42">
        <f t="shared" si="381"/>
        <v>1824</v>
      </c>
      <c r="B576" s="36"/>
      <c r="C576" s="38">
        <v>63</v>
      </c>
      <c r="D576" s="38">
        <v>11</v>
      </c>
      <c r="E576" s="36"/>
      <c r="F576" s="36"/>
      <c r="G576" s="38">
        <v>24</v>
      </c>
      <c r="H576" s="38">
        <v>10</v>
      </c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8">
        <v>14.17</v>
      </c>
      <c r="W576" s="36"/>
      <c r="X576" s="36"/>
      <c r="Y576" s="36"/>
      <c r="Z576" s="36"/>
      <c r="AA576" s="36"/>
      <c r="AB576" s="59">
        <v>7.5</v>
      </c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8">
        <v>49.6</v>
      </c>
      <c r="AT576" s="38">
        <v>7</v>
      </c>
      <c r="AU576" s="36"/>
      <c r="AV576" s="36"/>
      <c r="AW576" s="36"/>
      <c r="AX576" s="36"/>
      <c r="AY576" s="36"/>
      <c r="AZ576" s="36"/>
      <c r="BA576" s="36"/>
      <c r="BB576" s="36"/>
      <c r="BC576" s="38">
        <v>10</v>
      </c>
      <c r="BD576" s="38">
        <v>7</v>
      </c>
      <c r="BE576" s="38">
        <v>6.42</v>
      </c>
      <c r="BF576" s="38">
        <v>10.5</v>
      </c>
      <c r="BG576" s="59">
        <v>40</v>
      </c>
      <c r="BH576" s="59">
        <v>5.83</v>
      </c>
      <c r="BI576" s="59">
        <v>0.96104040769723453</v>
      </c>
      <c r="BJ576" s="59">
        <v>9.5</v>
      </c>
      <c r="BK576" s="38">
        <v>13.001520000000003</v>
      </c>
      <c r="BL576" s="59">
        <v>4.21</v>
      </c>
      <c r="BM576" s="36"/>
      <c r="BN576" s="38">
        <v>59.7</v>
      </c>
      <c r="BO576" s="36"/>
      <c r="BP576" s="39">
        <f t="shared" si="373"/>
        <v>0.48186767169179229</v>
      </c>
      <c r="BQ576" s="37"/>
      <c r="BR576" s="39">
        <f t="shared" si="404"/>
        <v>1.2702973442397059</v>
      </c>
      <c r="BS576" s="39">
        <f t="shared" si="397"/>
        <v>2.788635245310664</v>
      </c>
      <c r="BT576" s="39">
        <f t="shared" si="402"/>
        <v>44.2660590792985</v>
      </c>
      <c r="BU576" s="37"/>
      <c r="BV576" s="39">
        <f t="shared" si="399"/>
        <v>0.79497095858547429</v>
      </c>
      <c r="BW576" s="39">
        <f t="shared" si="369"/>
        <v>5.3086743395637015</v>
      </c>
      <c r="BX576" s="39">
        <f t="shared" si="383"/>
        <v>0.67912348388150345</v>
      </c>
      <c r="BY576" s="39">
        <f t="shared" si="396"/>
        <v>7.9675644032902886</v>
      </c>
      <c r="BZ576" s="39">
        <f t="shared" si="405"/>
        <v>8.6504984950008854</v>
      </c>
      <c r="CA576" s="39">
        <f t="shared" si="370"/>
        <v>13.812059725422237</v>
      </c>
      <c r="CB576" s="39">
        <f t="shared" si="371"/>
        <v>4.472459485046949</v>
      </c>
      <c r="CC576" s="39">
        <f t="shared" si="400"/>
        <v>0.68280649078726974</v>
      </c>
      <c r="CD576" s="37"/>
      <c r="CE576" s="37"/>
      <c r="CF576" s="37"/>
      <c r="CG576" s="37"/>
      <c r="CH576" s="37"/>
      <c r="CI576" s="39">
        <f t="shared" si="394"/>
        <v>7.4363606541617706</v>
      </c>
      <c r="CJ576" s="39">
        <f t="shared" si="384"/>
        <v>0.21304013579885858</v>
      </c>
      <c r="CK576" s="37"/>
      <c r="CL576" s="37"/>
      <c r="CM576" s="37"/>
      <c r="CN576" s="37"/>
      <c r="CO576" s="39">
        <f>0.063495+(0.016949+0.014096)*Wages!P574+1.22592*BR576</f>
        <v>2.5183528323106414</v>
      </c>
      <c r="CP576" s="39"/>
      <c r="CQ576" s="39">
        <f t="shared" si="398"/>
        <v>2.788635245310664</v>
      </c>
      <c r="CR576" s="39">
        <f t="shared" si="389"/>
        <v>0.79497095858547429</v>
      </c>
      <c r="CS576" s="39">
        <f t="shared" si="389"/>
        <v>5.3086743395637015</v>
      </c>
      <c r="CT576" s="39">
        <f t="shared" si="372"/>
        <v>13.812059725422237</v>
      </c>
      <c r="CU576" s="39">
        <f t="shared" si="372"/>
        <v>4.472459485046949</v>
      </c>
      <c r="CV576" s="39">
        <f t="shared" si="372"/>
        <v>0.68280649078726974</v>
      </c>
      <c r="CW576" s="39">
        <f t="shared" si="406"/>
        <v>0</v>
      </c>
      <c r="CX576" s="39">
        <f t="shared" si="395"/>
        <v>7.4363606541617706</v>
      </c>
      <c r="CY576" s="39">
        <f t="shared" si="376"/>
        <v>8.6504984950008854</v>
      </c>
      <c r="CZ576" s="39">
        <f t="shared" si="377"/>
        <v>0.67912348388150345</v>
      </c>
      <c r="DA576" s="39">
        <f t="shared" si="368"/>
        <v>7.9675644032902886</v>
      </c>
      <c r="DB576" s="39">
        <f t="shared" si="391"/>
        <v>7.0825694526877587</v>
      </c>
      <c r="DC576" s="39">
        <f t="shared" si="378"/>
        <v>7.9675644032902886</v>
      </c>
      <c r="DD576" s="39">
        <v>4</v>
      </c>
      <c r="DE576" s="39">
        <f t="shared" si="365"/>
        <v>0</v>
      </c>
      <c r="DF576" s="39">
        <v>0.21304013579885861</v>
      </c>
      <c r="DG576" s="39">
        <f t="shared" si="379"/>
        <v>0</v>
      </c>
      <c r="DH576" s="39">
        <f t="shared" si="380"/>
        <v>0</v>
      </c>
      <c r="DI576" s="39">
        <f t="shared" si="385"/>
        <v>8.7927746006380207</v>
      </c>
      <c r="DJ576" s="37"/>
      <c r="DK576" s="39">
        <v>100.3</v>
      </c>
      <c r="DL576" s="37"/>
      <c r="DM576" s="39">
        <f t="shared" si="403"/>
        <v>2.5844612286497686</v>
      </c>
      <c r="DN576" s="39"/>
      <c r="DO576" s="39">
        <f t="shared" si="401"/>
        <v>2.4368429046233282</v>
      </c>
      <c r="DP576" s="37"/>
      <c r="DQ576" s="37">
        <f>DO576/'Conversions, Sources &amp; Comments'!E574</f>
        <v>5.0570790442691473</v>
      </c>
    </row>
    <row r="577" spans="1:121">
      <c r="A577" s="42">
        <f t="shared" si="381"/>
        <v>1825</v>
      </c>
      <c r="B577" s="36"/>
      <c r="C577" s="38">
        <v>68</v>
      </c>
      <c r="D577" s="38">
        <v>6</v>
      </c>
      <c r="E577" s="36"/>
      <c r="F577" s="36"/>
      <c r="G577" s="38">
        <v>25</v>
      </c>
      <c r="H577" s="38">
        <v>8</v>
      </c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8">
        <v>15.25</v>
      </c>
      <c r="W577" s="36"/>
      <c r="X577" s="36"/>
      <c r="Y577" s="36"/>
      <c r="Z577" s="36"/>
      <c r="AA577" s="36"/>
      <c r="AB577" s="59">
        <v>7.666666666666667</v>
      </c>
      <c r="AC577" s="36"/>
      <c r="AD577" s="36"/>
      <c r="AE577" s="36"/>
      <c r="AF577" s="36"/>
      <c r="AG577" s="38">
        <v>25</v>
      </c>
      <c r="AH577" s="38">
        <v>0</v>
      </c>
      <c r="AI577" s="38">
        <v>25</v>
      </c>
      <c r="AJ577" s="38">
        <v>0</v>
      </c>
      <c r="AK577" s="36"/>
      <c r="AL577" s="36"/>
      <c r="AM577" s="36"/>
      <c r="AN577" s="36"/>
      <c r="AO577" s="36"/>
      <c r="AP577" s="36"/>
      <c r="AQ577" s="36"/>
      <c r="AR577" s="36"/>
      <c r="AS577" s="38">
        <v>49.6</v>
      </c>
      <c r="AT577" s="38">
        <v>7</v>
      </c>
      <c r="AU577" s="36"/>
      <c r="AV577" s="36"/>
      <c r="AW577" s="36"/>
      <c r="AX577" s="36"/>
      <c r="AY577" s="36"/>
      <c r="AZ577" s="36"/>
      <c r="BA577" s="36"/>
      <c r="BB577" s="36"/>
      <c r="BC577" s="38">
        <v>10</v>
      </c>
      <c r="BD577" s="38">
        <v>7</v>
      </c>
      <c r="BE577" s="38">
        <v>6.79</v>
      </c>
      <c r="BF577" s="38">
        <v>10.5</v>
      </c>
      <c r="BG577" s="59">
        <v>42.75</v>
      </c>
      <c r="BH577" s="59">
        <v>7.29</v>
      </c>
      <c r="BI577" s="59">
        <v>1.017572196385307</v>
      </c>
      <c r="BJ577" s="59">
        <v>9.5</v>
      </c>
      <c r="BK577" s="38">
        <v>14.199382608695652</v>
      </c>
      <c r="BL577" s="59">
        <v>4.49</v>
      </c>
      <c r="BM577" s="36"/>
      <c r="BN577" s="38">
        <v>60.81</v>
      </c>
      <c r="BO577" s="36"/>
      <c r="BP577" s="39">
        <f t="shared" si="373"/>
        <v>0.47307186318039796</v>
      </c>
      <c r="BQ577" s="37"/>
      <c r="BR577" s="39">
        <f t="shared" si="404"/>
        <v>1.3365375705424141</v>
      </c>
      <c r="BS577" s="39">
        <f t="shared" si="397"/>
        <v>2.7377326779320286</v>
      </c>
      <c r="BT577" s="39">
        <f t="shared" si="402"/>
        <v>43.458045174052309</v>
      </c>
      <c r="BU577" s="37"/>
      <c r="BV577" s="39">
        <f t="shared" si="399"/>
        <v>0.83411651300274758</v>
      </c>
      <c r="BW577" s="39">
        <f t="shared" si="369"/>
        <v>6.5169499502415986</v>
      </c>
      <c r="BX577" s="39">
        <f t="shared" si="383"/>
        <v>0.70594628957994865</v>
      </c>
      <c r="BY577" s="39">
        <f t="shared" si="396"/>
        <v>7.9959529186777738</v>
      </c>
      <c r="BZ577" s="39">
        <f t="shared" si="405"/>
        <v>8.4925959571049638</v>
      </c>
      <c r="CA577" s="39">
        <f t="shared" si="370"/>
        <v>14.809251497402924</v>
      </c>
      <c r="CB577" s="39">
        <f t="shared" si="371"/>
        <v>4.6828472093299833</v>
      </c>
      <c r="CC577" s="39">
        <f t="shared" si="400"/>
        <v>0.7214345913501069</v>
      </c>
      <c r="CD577" s="37"/>
      <c r="CE577" s="37"/>
      <c r="CF577" s="37"/>
      <c r="CG577" s="37"/>
      <c r="CH577" s="37"/>
      <c r="CI577" s="39">
        <f t="shared" si="394"/>
        <v>7.3006204744854095</v>
      </c>
      <c r="CJ577" s="39">
        <f t="shared" si="384"/>
        <v>0.20915139133681726</v>
      </c>
      <c r="CK577" s="37"/>
      <c r="CL577" s="39">
        <f t="shared" ref="CL577:CL582" si="407">BP577*(12*AG577+AH577)/100</f>
        <v>1.4192155895411938</v>
      </c>
      <c r="CM577" s="37"/>
      <c r="CN577" s="37"/>
      <c r="CO577" s="39">
        <f>0.063495+(0.016949+0.014096)*Wages!P575+1.22592*BR577</f>
        <v>2.5831740980254834</v>
      </c>
      <c r="CP577" s="39"/>
      <c r="CQ577" s="39">
        <f t="shared" si="398"/>
        <v>2.7377326779320286</v>
      </c>
      <c r="CR577" s="39">
        <f t="shared" si="389"/>
        <v>0.83411651300274758</v>
      </c>
      <c r="CS577" s="39">
        <f t="shared" si="389"/>
        <v>6.5169499502415986</v>
      </c>
      <c r="CT577" s="39">
        <f t="shared" si="372"/>
        <v>14.809251497402924</v>
      </c>
      <c r="CU577" s="39">
        <f t="shared" si="372"/>
        <v>4.6828472093299833</v>
      </c>
      <c r="CV577" s="39">
        <f t="shared" si="372"/>
        <v>0.7214345913501069</v>
      </c>
      <c r="CW577" s="39">
        <f t="shared" si="406"/>
        <v>0</v>
      </c>
      <c r="CX577" s="39">
        <f t="shared" si="395"/>
        <v>7.3006204744854095</v>
      </c>
      <c r="CY577" s="39">
        <f t="shared" si="376"/>
        <v>8.4925959571049638</v>
      </c>
      <c r="CZ577" s="39">
        <f t="shared" si="377"/>
        <v>0.70594628957994865</v>
      </c>
      <c r="DA577" s="39">
        <f t="shared" si="368"/>
        <v>7.9959529186777738</v>
      </c>
      <c r="DB577" s="39">
        <f t="shared" si="391"/>
        <v>6.9532872278483691</v>
      </c>
      <c r="DC577" s="39">
        <f t="shared" si="378"/>
        <v>7.9959529186777738</v>
      </c>
      <c r="DD577" s="39">
        <v>4</v>
      </c>
      <c r="DE577" s="39">
        <f t="shared" si="365"/>
        <v>0</v>
      </c>
      <c r="DF577" s="39">
        <v>0.20915139133681729</v>
      </c>
      <c r="DG577" s="39">
        <f t="shared" si="379"/>
        <v>1.4192155895411938</v>
      </c>
      <c r="DH577" s="39">
        <f t="shared" si="380"/>
        <v>0</v>
      </c>
      <c r="DI577" s="39">
        <f t="shared" si="385"/>
        <v>8.6322750149332332</v>
      </c>
      <c r="DJ577" s="37"/>
      <c r="DK577" s="39">
        <v>105.5</v>
      </c>
      <c r="DL577" s="37"/>
      <c r="DM577" s="39">
        <f t="shared" si="403"/>
        <v>2.671361968321071</v>
      </c>
      <c r="DN577" s="39"/>
      <c r="DO577" s="39">
        <f t="shared" si="401"/>
        <v>2.5163925274553485</v>
      </c>
      <c r="DP577" s="37"/>
      <c r="DQ577" s="37">
        <f>DO577/'Conversions, Sources &amp; Comments'!E575</f>
        <v>5.3192606098743287</v>
      </c>
    </row>
    <row r="578" spans="1:121">
      <c r="A578" s="42">
        <f t="shared" si="381"/>
        <v>1826</v>
      </c>
      <c r="B578" s="36"/>
      <c r="C578" s="38">
        <v>58</v>
      </c>
      <c r="D578" s="38">
        <v>8</v>
      </c>
      <c r="E578" s="36"/>
      <c r="F578" s="36"/>
      <c r="G578" s="38">
        <v>26</v>
      </c>
      <c r="H578" s="38">
        <v>8</v>
      </c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8">
        <v>14.05</v>
      </c>
      <c r="W578" s="36"/>
      <c r="X578" s="36"/>
      <c r="Y578" s="36"/>
      <c r="Z578" s="36"/>
      <c r="AA578" s="36"/>
      <c r="AB578" s="59">
        <v>7.5</v>
      </c>
      <c r="AC578" s="36"/>
      <c r="AD578" s="36"/>
      <c r="AE578" s="36"/>
      <c r="AF578" s="36"/>
      <c r="AG578" s="38">
        <v>21</v>
      </c>
      <c r="AH578" s="38">
        <v>0</v>
      </c>
      <c r="AI578" s="38">
        <v>21</v>
      </c>
      <c r="AJ578" s="38">
        <v>0</v>
      </c>
      <c r="AK578" s="36"/>
      <c r="AL578" s="36"/>
      <c r="AM578" s="36"/>
      <c r="AN578" s="36"/>
      <c r="AO578" s="36"/>
      <c r="AP578" s="36"/>
      <c r="AQ578" s="36"/>
      <c r="AR578" s="36"/>
      <c r="AS578" s="38">
        <v>49.08</v>
      </c>
      <c r="AT578" s="38">
        <v>6.5</v>
      </c>
      <c r="AU578" s="36"/>
      <c r="AV578" s="36"/>
      <c r="AW578" s="36"/>
      <c r="AX578" s="36"/>
      <c r="AY578" s="36"/>
      <c r="AZ578" s="36"/>
      <c r="BA578" s="36"/>
      <c r="BB578" s="36"/>
      <c r="BC578" s="38">
        <v>10</v>
      </c>
      <c r="BD578" s="38">
        <v>7</v>
      </c>
      <c r="BE578" s="38">
        <v>6.77</v>
      </c>
      <c r="BF578" s="38">
        <v>9.5</v>
      </c>
      <c r="BG578" s="59">
        <v>44.25</v>
      </c>
      <c r="BH578" s="59">
        <v>7</v>
      </c>
      <c r="BI578" s="59">
        <v>1.0741039850733629</v>
      </c>
      <c r="BJ578" s="59">
        <v>9.5</v>
      </c>
      <c r="BK578" s="38">
        <v>13.593721739130435</v>
      </c>
      <c r="BL578" s="59">
        <v>4.21</v>
      </c>
      <c r="BM578" s="36"/>
      <c r="BN578" s="38">
        <v>59.75</v>
      </c>
      <c r="BO578" s="36"/>
      <c r="BP578" s="39">
        <f t="shared" si="373"/>
        <v>0.48146443514644355</v>
      </c>
      <c r="BQ578" s="37"/>
      <c r="BR578" s="39">
        <f t="shared" si="404"/>
        <v>1.1649817093513664</v>
      </c>
      <c r="BS578" s="39">
        <f t="shared" si="397"/>
        <v>2.5209395965378651</v>
      </c>
      <c r="BT578" s="39">
        <f t="shared" si="402"/>
        <v>44.229016352035494</v>
      </c>
      <c r="BU578" s="37"/>
      <c r="BV578" s="39">
        <f t="shared" si="399"/>
        <v>0.8787006927067833</v>
      </c>
      <c r="BW578" s="39">
        <f t="shared" si="369"/>
        <v>6.3687175883036691</v>
      </c>
      <c r="BX578" s="39">
        <f t="shared" si="383"/>
        <v>0.75838520085333727</v>
      </c>
      <c r="BY578" s="39">
        <f t="shared" si="396"/>
        <v>7.9608969853795859</v>
      </c>
      <c r="BZ578" s="39">
        <f t="shared" si="405"/>
        <v>8.6432595841264082</v>
      </c>
      <c r="CA578" s="39">
        <f t="shared" si="370"/>
        <v>14.429095788417657</v>
      </c>
      <c r="CB578" s="39">
        <f t="shared" si="371"/>
        <v>4.4687168411264073</v>
      </c>
      <c r="CC578" s="39">
        <f t="shared" si="400"/>
        <v>0.67645753138075315</v>
      </c>
      <c r="CD578" s="37"/>
      <c r="CE578" s="37"/>
      <c r="CF578" s="37"/>
      <c r="CG578" s="37"/>
      <c r="CH578" s="37"/>
      <c r="CI578" s="39">
        <f t="shared" si="394"/>
        <v>6.8994136326299467</v>
      </c>
      <c r="CJ578" s="39">
        <f t="shared" si="384"/>
        <v>0.21063024326527749</v>
      </c>
      <c r="CK578" s="37"/>
      <c r="CL578" s="39">
        <f t="shared" si="407"/>
        <v>1.2132903765690377</v>
      </c>
      <c r="CM578" s="37"/>
      <c r="CN578" s="37"/>
      <c r="CO578" s="39">
        <f>0.063495+(0.016949+0.014096)*Wages!P576+1.22592*BR578</f>
        <v>2.3884931804753071</v>
      </c>
      <c r="CP578" s="39"/>
      <c r="CQ578" s="39">
        <f t="shared" si="398"/>
        <v>2.5209395965378651</v>
      </c>
      <c r="CR578" s="39">
        <f t="shared" si="389"/>
        <v>0.8787006927067833</v>
      </c>
      <c r="CS578" s="39">
        <f t="shared" si="389"/>
        <v>6.3687175883036691</v>
      </c>
      <c r="CT578" s="39">
        <f t="shared" si="372"/>
        <v>14.429095788417657</v>
      </c>
      <c r="CU578" s="39">
        <f t="shared" si="372"/>
        <v>4.4687168411264073</v>
      </c>
      <c r="CV578" s="39">
        <f t="shared" si="372"/>
        <v>0.67645753138075315</v>
      </c>
      <c r="CW578" s="39">
        <f t="shared" si="406"/>
        <v>0</v>
      </c>
      <c r="CX578" s="39">
        <f t="shared" si="395"/>
        <v>6.8994136326299467</v>
      </c>
      <c r="CY578" s="39">
        <f t="shared" si="376"/>
        <v>8.6432595841264082</v>
      </c>
      <c r="CZ578" s="39">
        <f t="shared" si="377"/>
        <v>0.75838520085333727</v>
      </c>
      <c r="DA578" s="39">
        <f t="shared" si="368"/>
        <v>7.9608969853795859</v>
      </c>
      <c r="DB578" s="39">
        <f t="shared" si="391"/>
        <v>7.0766426163256781</v>
      </c>
      <c r="DC578" s="39">
        <f t="shared" si="378"/>
        <v>7.9608969853795859</v>
      </c>
      <c r="DD578" s="39">
        <v>4</v>
      </c>
      <c r="DE578" s="39">
        <f t="shared" si="365"/>
        <v>0</v>
      </c>
      <c r="DF578" s="39">
        <v>0.21063024326527754</v>
      </c>
      <c r="DG578" s="39">
        <f t="shared" si="379"/>
        <v>1.2132903765690377</v>
      </c>
      <c r="DH578" s="39">
        <f t="shared" si="380"/>
        <v>0</v>
      </c>
      <c r="DI578" s="39">
        <f t="shared" si="385"/>
        <v>8.6933114559114113</v>
      </c>
      <c r="DJ578" s="37"/>
      <c r="DK578" s="39">
        <v>98.4</v>
      </c>
      <c r="DL578" s="37"/>
      <c r="DM578" s="39">
        <f t="shared" si="403"/>
        <v>2.5842622751829167</v>
      </c>
      <c r="DN578" s="39"/>
      <c r="DO578" s="39">
        <f t="shared" si="401"/>
        <v>2.3886808038398026</v>
      </c>
      <c r="DP578" s="37"/>
      <c r="DQ578" s="37">
        <f>DO578/'Conversions, Sources &amp; Comments'!E576</f>
        <v>4.9612819337595617</v>
      </c>
    </row>
    <row r="579" spans="1:121">
      <c r="A579" s="42">
        <f t="shared" si="381"/>
        <v>1827</v>
      </c>
      <c r="B579" s="36"/>
      <c r="C579" s="38">
        <v>58</v>
      </c>
      <c r="D579" s="38">
        <v>6</v>
      </c>
      <c r="E579" s="36"/>
      <c r="F579" s="36"/>
      <c r="G579" s="38">
        <v>28</v>
      </c>
      <c r="H579" s="38">
        <v>2</v>
      </c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8">
        <v>12.96</v>
      </c>
      <c r="W579" s="36"/>
      <c r="X579" s="36"/>
      <c r="Y579" s="36"/>
      <c r="Z579" s="36"/>
      <c r="AA579" s="36"/>
      <c r="AB579" s="59">
        <v>7.5</v>
      </c>
      <c r="AC579" s="36"/>
      <c r="AD579" s="36"/>
      <c r="AE579" s="36"/>
      <c r="AF579" s="36"/>
      <c r="AG579" s="38">
        <v>21.05</v>
      </c>
      <c r="AH579" s="38">
        <v>0</v>
      </c>
      <c r="AI579" s="38">
        <v>21.05</v>
      </c>
      <c r="AJ579" s="38">
        <v>0</v>
      </c>
      <c r="AK579" s="36"/>
      <c r="AL579" s="36"/>
      <c r="AM579" s="36"/>
      <c r="AN579" s="36"/>
      <c r="AO579" s="36"/>
      <c r="AP579" s="36"/>
      <c r="AQ579" s="36"/>
      <c r="AR579" s="36"/>
      <c r="AS579" s="38">
        <v>49.08</v>
      </c>
      <c r="AT579" s="38">
        <v>6.5</v>
      </c>
      <c r="AU579" s="36"/>
      <c r="AV579" s="36"/>
      <c r="AW579" s="36"/>
      <c r="AX579" s="36"/>
      <c r="AY579" s="36"/>
      <c r="AZ579" s="36"/>
      <c r="BA579" s="36"/>
      <c r="BB579" s="36"/>
      <c r="BC579" s="38">
        <v>10</v>
      </c>
      <c r="BD579" s="38">
        <v>7</v>
      </c>
      <c r="BE579" s="38">
        <v>6.33</v>
      </c>
      <c r="BF579" s="38">
        <v>9.5</v>
      </c>
      <c r="BG579" s="59">
        <v>49</v>
      </c>
      <c r="BH579" s="59">
        <v>7</v>
      </c>
      <c r="BI579" s="59">
        <v>0.68333333333333335</v>
      </c>
      <c r="BJ579" s="59">
        <v>9.25</v>
      </c>
      <c r="BK579" s="38">
        <v>11.103782608695653</v>
      </c>
      <c r="BL579" s="59">
        <v>4.04</v>
      </c>
      <c r="BM579" s="36"/>
      <c r="BN579" s="38">
        <v>59.75</v>
      </c>
      <c r="BO579" s="36"/>
      <c r="BP579" s="39">
        <f t="shared" si="373"/>
        <v>0.48146443514644355</v>
      </c>
      <c r="BQ579" s="37"/>
      <c r="BR579" s="39">
        <f t="shared" si="404"/>
        <v>1.1616721022225271</v>
      </c>
      <c r="BS579" s="39">
        <f t="shared" si="397"/>
        <v>2.5209395965378651</v>
      </c>
      <c r="BT579" s="39">
        <f t="shared" si="402"/>
        <v>44.229016352035494</v>
      </c>
      <c r="BU579" s="37"/>
      <c r="BV579" s="39">
        <f t="shared" si="399"/>
        <v>0.97302449587869799</v>
      </c>
      <c r="BW579" s="39">
        <f t="shared" si="369"/>
        <v>6.3687175883036691</v>
      </c>
      <c r="BX579" s="39">
        <f t="shared" si="383"/>
        <v>0.482476458938363</v>
      </c>
      <c r="BY579" s="39">
        <f t="shared" si="396"/>
        <v>7.9608969853795859</v>
      </c>
      <c r="BZ579" s="39">
        <f t="shared" si="405"/>
        <v>8.4158053845441341</v>
      </c>
      <c r="CA579" s="39">
        <f t="shared" si="370"/>
        <v>11.786142599450066</v>
      </c>
      <c r="CB579" s="39">
        <f t="shared" si="371"/>
        <v>4.288269842791137</v>
      </c>
      <c r="CC579" s="39">
        <f t="shared" si="400"/>
        <v>0.6239779079497908</v>
      </c>
      <c r="CD579" s="37"/>
      <c r="CE579" s="37"/>
      <c r="CF579" s="37"/>
      <c r="CG579" s="37"/>
      <c r="CH579" s="37"/>
      <c r="CI579" s="39">
        <f t="shared" si="394"/>
        <v>6.8994136326299467</v>
      </c>
      <c r="CJ579" s="39">
        <f t="shared" si="384"/>
        <v>0.21063024326527749</v>
      </c>
      <c r="CK579" s="37"/>
      <c r="CL579" s="39">
        <f t="shared" si="407"/>
        <v>1.2161791631799166</v>
      </c>
      <c r="CM579" s="37"/>
      <c r="CN579" s="37"/>
      <c r="CO579" s="39">
        <f>0.063495+(0.016949+0.014096)*Wages!P577+1.22592*BR579</f>
        <v>2.384435866903921</v>
      </c>
      <c r="CP579" s="39"/>
      <c r="CQ579" s="39">
        <f t="shared" si="398"/>
        <v>2.5209395965378651</v>
      </c>
      <c r="CR579" s="39">
        <f t="shared" si="389"/>
        <v>0.97302449587869799</v>
      </c>
      <c r="CS579" s="39">
        <f t="shared" si="389"/>
        <v>6.3687175883036691</v>
      </c>
      <c r="CT579" s="39">
        <f t="shared" si="372"/>
        <v>11.786142599450066</v>
      </c>
      <c r="CU579" s="39">
        <f t="shared" si="372"/>
        <v>4.288269842791137</v>
      </c>
      <c r="CV579" s="39">
        <f t="shared" si="372"/>
        <v>0.6239779079497908</v>
      </c>
      <c r="CW579" s="39">
        <f t="shared" si="406"/>
        <v>0</v>
      </c>
      <c r="CX579" s="39">
        <f t="shared" si="395"/>
        <v>6.8994136326299467</v>
      </c>
      <c r="CY579" s="39">
        <f t="shared" si="376"/>
        <v>8.4158053845441341</v>
      </c>
      <c r="CZ579" s="39">
        <f t="shared" si="377"/>
        <v>0.482476458938363</v>
      </c>
      <c r="DA579" s="39">
        <f t="shared" si="368"/>
        <v>7.9608969853795859</v>
      </c>
      <c r="DB579" s="39">
        <f t="shared" si="391"/>
        <v>7.0766426163256781</v>
      </c>
      <c r="DC579" s="39">
        <f t="shared" si="378"/>
        <v>7.9608969853795859</v>
      </c>
      <c r="DD579" s="39">
        <v>4</v>
      </c>
      <c r="DE579" s="39">
        <f>CK579</f>
        <v>0</v>
      </c>
      <c r="DF579" s="39">
        <v>0.21063024326527754</v>
      </c>
      <c r="DG579" s="39">
        <f t="shared" si="379"/>
        <v>1.2161791631799166</v>
      </c>
      <c r="DH579" s="39">
        <f t="shared" si="380"/>
        <v>0</v>
      </c>
      <c r="DI579" s="39">
        <f t="shared" si="385"/>
        <v>8.6933114559114113</v>
      </c>
      <c r="DJ579" s="37"/>
      <c r="DK579" s="39">
        <v>96.6</v>
      </c>
      <c r="DL579" s="37"/>
      <c r="DM579" s="39">
        <f t="shared" si="403"/>
        <v>2.4330900139635623</v>
      </c>
      <c r="DN579" s="39"/>
      <c r="DO579" s="39">
        <f t="shared" si="401"/>
        <v>2.3449854232817571</v>
      </c>
      <c r="DP579" s="37"/>
      <c r="DQ579" s="37">
        <f>DO579/'Conversions, Sources &amp; Comments'!E577</f>
        <v>4.8705267764346907</v>
      </c>
    </row>
    <row r="580" spans="1:121">
      <c r="A580" s="42">
        <f t="shared" si="381"/>
        <v>1828</v>
      </c>
      <c r="B580" s="36"/>
      <c r="C580" s="38">
        <v>60</v>
      </c>
      <c r="D580" s="38">
        <v>5</v>
      </c>
      <c r="E580" s="36"/>
      <c r="F580" s="36"/>
      <c r="G580" s="38">
        <v>22</v>
      </c>
      <c r="H580" s="38">
        <v>6</v>
      </c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8">
        <v>13.5</v>
      </c>
      <c r="W580" s="36"/>
      <c r="X580" s="36"/>
      <c r="Y580" s="36"/>
      <c r="Z580" s="36"/>
      <c r="AA580" s="36"/>
      <c r="AB580" s="59">
        <v>7.5</v>
      </c>
      <c r="AC580" s="36"/>
      <c r="AD580" s="36"/>
      <c r="AE580" s="36"/>
      <c r="AF580" s="36"/>
      <c r="AG580" s="38">
        <v>27</v>
      </c>
      <c r="AH580" s="38">
        <v>6</v>
      </c>
      <c r="AI580" s="38">
        <v>27</v>
      </c>
      <c r="AJ580" s="38">
        <v>6</v>
      </c>
      <c r="AK580" s="36"/>
      <c r="AL580" s="36"/>
      <c r="AM580" s="36"/>
      <c r="AN580" s="36"/>
      <c r="AO580" s="36"/>
      <c r="AP580" s="36"/>
      <c r="AQ580" s="36"/>
      <c r="AR580" s="36"/>
      <c r="AS580" s="38">
        <v>48.77</v>
      </c>
      <c r="AT580" s="38">
        <v>6.5</v>
      </c>
      <c r="AU580" s="36"/>
      <c r="AV580" s="36"/>
      <c r="AW580" s="36"/>
      <c r="AX580" s="36"/>
      <c r="AY580" s="36"/>
      <c r="AZ580" s="36"/>
      <c r="BA580" s="36"/>
      <c r="BB580" s="36"/>
      <c r="BC580" s="38">
        <v>10</v>
      </c>
      <c r="BD580" s="38">
        <v>7</v>
      </c>
      <c r="BE580" s="38">
        <v>6.33</v>
      </c>
      <c r="BF580" s="38">
        <v>9.5</v>
      </c>
      <c r="BG580" s="59">
        <v>38.33</v>
      </c>
      <c r="BH580" s="59">
        <v>6.42</v>
      </c>
      <c r="BI580" s="59">
        <v>0.65416666666666667</v>
      </c>
      <c r="BJ580" s="59">
        <v>9</v>
      </c>
      <c r="BK580" s="38">
        <v>11.44026086956522</v>
      </c>
      <c r="BL580" s="59">
        <v>4.21</v>
      </c>
      <c r="BM580" s="36"/>
      <c r="BN580" s="38">
        <v>59.75</v>
      </c>
      <c r="BO580" s="36"/>
      <c r="BP580" s="39">
        <f t="shared" si="373"/>
        <v>0.48146443514644355</v>
      </c>
      <c r="BQ580" s="37"/>
      <c r="BR580" s="39">
        <f t="shared" si="404"/>
        <v>1.1997325842041771</v>
      </c>
      <c r="BS580" s="39">
        <f t="shared" si="397"/>
        <v>2.5209395965378651</v>
      </c>
      <c r="BT580" s="39">
        <f t="shared" si="402"/>
        <v>44.229016352035494</v>
      </c>
      <c r="BU580" s="37"/>
      <c r="BV580" s="39">
        <f t="shared" si="399"/>
        <v>0.76114344749041818</v>
      </c>
      <c r="BW580" s="39">
        <f t="shared" si="369"/>
        <v>5.8410238452727938</v>
      </c>
      <c r="BX580" s="39">
        <f t="shared" si="383"/>
        <v>0.46188295154465242</v>
      </c>
      <c r="BY580" s="39">
        <f t="shared" si="396"/>
        <v>7.9608969853795859</v>
      </c>
      <c r="BZ580" s="39">
        <f t="shared" si="405"/>
        <v>8.18835118496186</v>
      </c>
      <c r="CA580" s="39">
        <f t="shared" si="370"/>
        <v>12.143298435797041</v>
      </c>
      <c r="CB580" s="39">
        <f t="shared" si="371"/>
        <v>4.4687168411264073</v>
      </c>
      <c r="CC580" s="39">
        <f t="shared" si="400"/>
        <v>0.64997698744769872</v>
      </c>
      <c r="CD580" s="37"/>
      <c r="CE580" s="37"/>
      <c r="CF580" s="37"/>
      <c r="CG580" s="37"/>
      <c r="CH580" s="37"/>
      <c r="CI580" s="39">
        <f t="shared" si="394"/>
        <v>6.8994136326299467</v>
      </c>
      <c r="CJ580" s="39">
        <f t="shared" si="384"/>
        <v>0.20929985664318629</v>
      </c>
      <c r="CK580" s="37"/>
      <c r="CL580" s="39">
        <f t="shared" si="407"/>
        <v>1.5888326359832639</v>
      </c>
      <c r="CM580" s="37"/>
      <c r="CN580" s="37"/>
      <c r="CO580" s="39">
        <f>0.063495+(0.016949+0.014096)*Wages!P578+1.22592*BR580</f>
        <v>2.431094972974865</v>
      </c>
      <c r="CP580" s="39"/>
      <c r="CQ580" s="39">
        <f t="shared" si="398"/>
        <v>2.5209395965378651</v>
      </c>
      <c r="CR580" s="39">
        <f t="shared" si="389"/>
        <v>0.76114344749041818</v>
      </c>
      <c r="CS580" s="39">
        <f t="shared" si="389"/>
        <v>5.8410238452727938</v>
      </c>
      <c r="CT580" s="39">
        <f t="shared" si="372"/>
        <v>12.143298435797041</v>
      </c>
      <c r="CU580" s="39">
        <f t="shared" si="372"/>
        <v>4.4687168411264073</v>
      </c>
      <c r="CV580" s="39">
        <f t="shared" si="372"/>
        <v>0.64997698744769872</v>
      </c>
      <c r="CW580" s="39">
        <f t="shared" si="406"/>
        <v>0</v>
      </c>
      <c r="CX580" s="39">
        <f t="shared" si="395"/>
        <v>6.8994136326299467</v>
      </c>
      <c r="CY580" s="39">
        <f t="shared" si="376"/>
        <v>8.18835118496186</v>
      </c>
      <c r="CZ580" s="39">
        <f t="shared" si="377"/>
        <v>0.46188295154465242</v>
      </c>
      <c r="DA580" s="39">
        <f t="shared" si="368"/>
        <v>7.9608969853795859</v>
      </c>
      <c r="DB580" s="39">
        <f t="shared" si="391"/>
        <v>7.0766426163256781</v>
      </c>
      <c r="DC580" s="39">
        <f t="shared" si="378"/>
        <v>7.9608969853795859</v>
      </c>
      <c r="DD580" s="39">
        <v>4</v>
      </c>
      <c r="DE580" s="39">
        <f>CK580</f>
        <v>0</v>
      </c>
      <c r="DF580" s="39">
        <v>0.20929985664318634</v>
      </c>
      <c r="DG580" s="39">
        <f t="shared" si="379"/>
        <v>1.5888326359832639</v>
      </c>
      <c r="DH580" s="39">
        <f t="shared" si="380"/>
        <v>0</v>
      </c>
      <c r="DI580" s="39">
        <f t="shared" si="385"/>
        <v>8.6384026019722793</v>
      </c>
      <c r="DJ580" s="37"/>
      <c r="DK580" s="39">
        <v>96.2</v>
      </c>
      <c r="DL580" s="37"/>
      <c r="DM580" s="39">
        <f t="shared" si="403"/>
        <v>2.3737672742776934</v>
      </c>
      <c r="DN580" s="39"/>
      <c r="DO580" s="39">
        <f t="shared" si="401"/>
        <v>2.335275338713303</v>
      </c>
      <c r="DP580" s="37"/>
      <c r="DQ580" s="37">
        <f>DO580/'Conversions, Sources &amp; Comments'!E578</f>
        <v>4.8503589636958315</v>
      </c>
    </row>
    <row r="581" spans="1:121">
      <c r="A581" s="42">
        <f t="shared" si="381"/>
        <v>1829</v>
      </c>
      <c r="B581" s="36"/>
      <c r="C581" s="38">
        <v>66</v>
      </c>
      <c r="D581" s="38">
        <v>3</v>
      </c>
      <c r="E581" s="36"/>
      <c r="F581" s="36"/>
      <c r="G581" s="38">
        <v>22</v>
      </c>
      <c r="H581" s="38">
        <v>9</v>
      </c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8">
        <v>14.71</v>
      </c>
      <c r="W581" s="36"/>
      <c r="X581" s="36"/>
      <c r="Y581" s="36"/>
      <c r="Z581" s="36"/>
      <c r="AA581" s="36"/>
      <c r="AB581" s="59">
        <v>7</v>
      </c>
      <c r="AC581" s="36"/>
      <c r="AD581" s="36"/>
      <c r="AE581" s="36"/>
      <c r="AF581" s="36"/>
      <c r="AG581" s="38">
        <v>27</v>
      </c>
      <c r="AH581" s="38">
        <v>6</v>
      </c>
      <c r="AI581" s="38">
        <v>27</v>
      </c>
      <c r="AJ581" s="38">
        <v>6</v>
      </c>
      <c r="AK581" s="36"/>
      <c r="AL581" s="36"/>
      <c r="AM581" s="36"/>
      <c r="AN581" s="36"/>
      <c r="AO581" s="36"/>
      <c r="AP581" s="36"/>
      <c r="AQ581" s="36"/>
      <c r="AR581" s="36"/>
      <c r="AS581" s="38">
        <v>49.29</v>
      </c>
      <c r="AT581" s="38">
        <v>5.5</v>
      </c>
      <c r="AU581" s="36"/>
      <c r="AV581" s="36"/>
      <c r="AW581" s="36"/>
      <c r="AX581" s="36"/>
      <c r="AY581" s="36"/>
      <c r="AZ581" s="36"/>
      <c r="BA581" s="36"/>
      <c r="BB581" s="36"/>
      <c r="BC581" s="38">
        <v>10</v>
      </c>
      <c r="BD581" s="38">
        <v>7</v>
      </c>
      <c r="BE581" s="36"/>
      <c r="BF581" s="38">
        <v>10.5</v>
      </c>
      <c r="BG581" s="59">
        <v>36.67</v>
      </c>
      <c r="BH581" s="59">
        <v>5.98</v>
      </c>
      <c r="BI581" s="59">
        <v>0.66666666666666663</v>
      </c>
      <c r="BJ581" s="59">
        <v>8.5</v>
      </c>
      <c r="BK581" s="38">
        <v>10.767304347826089</v>
      </c>
      <c r="BL581" s="59">
        <v>3.37</v>
      </c>
      <c r="BM581" s="36"/>
      <c r="BN581" s="38">
        <v>59.47</v>
      </c>
      <c r="BO581" s="36"/>
      <c r="BP581" s="39">
        <f t="shared" si="373"/>
        <v>0.48373129308895246</v>
      </c>
      <c r="BQ581" s="37"/>
      <c r="BR581" s="39">
        <f t="shared" si="404"/>
        <v>1.3217628689151566</v>
      </c>
      <c r="BS581" s="39">
        <f t="shared" si="397"/>
        <v>2.7994202815713245</v>
      </c>
      <c r="BT581" s="39">
        <f t="shared" si="402"/>
        <v>44.437257895310601</v>
      </c>
      <c r="BU581" s="37"/>
      <c r="BV581" s="39">
        <f t="shared" si="399"/>
        <v>0.7316082174055667</v>
      </c>
      <c r="BW581" s="39">
        <f t="shared" si="369"/>
        <v>5.4663206848323123</v>
      </c>
      <c r="BX581" s="39">
        <f t="shared" si="383"/>
        <v>0.47292495780315041</v>
      </c>
      <c r="BY581" s="39">
        <f t="shared" si="396"/>
        <v>7.465153666577014</v>
      </c>
      <c r="BZ581" s="39">
        <f t="shared" si="405"/>
        <v>7.7698538162332182</v>
      </c>
      <c r="CA581" s="39">
        <f t="shared" si="370"/>
        <v>11.482797361617791</v>
      </c>
      <c r="CB581" s="39">
        <f t="shared" si="371"/>
        <v>3.5939382651949332</v>
      </c>
      <c r="CC581" s="39">
        <f t="shared" si="400"/>
        <v>0.71156873213384908</v>
      </c>
      <c r="CD581" s="37"/>
      <c r="CE581" s="37"/>
      <c r="CF581" s="37"/>
      <c r="CG581" s="37"/>
      <c r="CH581" s="37"/>
      <c r="CI581" s="39">
        <f t="shared" si="394"/>
        <v>5.8654520185303953</v>
      </c>
      <c r="CJ581" s="39">
        <f t="shared" si="384"/>
        <v>0.21252741729480257</v>
      </c>
      <c r="CK581" s="37"/>
      <c r="CL581" s="39">
        <f t="shared" si="407"/>
        <v>1.5963132671935432</v>
      </c>
      <c r="CM581" s="37"/>
      <c r="CN581" s="37"/>
      <c r="CO581" s="39">
        <f>0.063495+(0.016949+0.014096)*Wages!P579+1.22592*BR581</f>
        <v>2.5849168158972602</v>
      </c>
      <c r="CP581" s="39"/>
      <c r="CQ581" s="39">
        <f t="shared" si="398"/>
        <v>2.7994202815713245</v>
      </c>
      <c r="CR581" s="39">
        <f t="shared" si="389"/>
        <v>0.7316082174055667</v>
      </c>
      <c r="CS581" s="39">
        <f t="shared" si="389"/>
        <v>5.4663206848323123</v>
      </c>
      <c r="CT581" s="39">
        <f t="shared" si="372"/>
        <v>11.482797361617791</v>
      </c>
      <c r="CU581" s="39">
        <f t="shared" si="372"/>
        <v>3.5939382651949332</v>
      </c>
      <c r="CV581" s="39">
        <f t="shared" si="372"/>
        <v>0.71156873213384908</v>
      </c>
      <c r="CW581" s="39">
        <f t="shared" si="406"/>
        <v>0</v>
      </c>
      <c r="CX581" s="39">
        <f t="shared" si="395"/>
        <v>5.8654520185303953</v>
      </c>
      <c r="CY581" s="39">
        <f t="shared" si="376"/>
        <v>7.7698538162332182</v>
      </c>
      <c r="CZ581" s="39">
        <f t="shared" si="377"/>
        <v>0.47292495780315041</v>
      </c>
      <c r="DA581" s="39">
        <f t="shared" si="368"/>
        <v>7.465153666577014</v>
      </c>
      <c r="DB581" s="39">
        <f t="shared" si="391"/>
        <v>7.1099612632496951</v>
      </c>
      <c r="DC581" s="39">
        <f t="shared" si="378"/>
        <v>7.465153666577014</v>
      </c>
      <c r="DD581" s="39">
        <v>4</v>
      </c>
      <c r="DE581" s="39">
        <f>CK581</f>
        <v>0</v>
      </c>
      <c r="DF581" s="39">
        <v>0.21252741729480262</v>
      </c>
      <c r="DG581" s="39">
        <f t="shared" si="379"/>
        <v>1.5963132671935432</v>
      </c>
      <c r="DH581" s="39">
        <f t="shared" si="380"/>
        <v>0</v>
      </c>
      <c r="DI581" s="39">
        <f t="shared" si="385"/>
        <v>8.7716132442446089</v>
      </c>
      <c r="DJ581" s="37"/>
      <c r="DK581" s="39">
        <v>100.7</v>
      </c>
      <c r="DL581" s="37"/>
      <c r="DM581" s="39">
        <f t="shared" si="403"/>
        <v>2.4578579533050888</v>
      </c>
      <c r="DN581" s="39"/>
      <c r="DO581" s="39">
        <f t="shared" si="401"/>
        <v>2.4560231874723035</v>
      </c>
      <c r="DP581" s="37"/>
      <c r="DQ581" s="37">
        <f>DO581/'Conversions, Sources &amp; Comments'!E579</f>
        <v>5.0772468570080083</v>
      </c>
    </row>
    <row r="582" spans="1:121">
      <c r="A582" s="42">
        <f t="shared" si="381"/>
        <v>1830</v>
      </c>
      <c r="B582" s="36"/>
      <c r="C582" s="38">
        <v>64</v>
      </c>
      <c r="D582" s="38">
        <v>3</v>
      </c>
      <c r="E582" s="36"/>
      <c r="F582" s="36"/>
      <c r="G582" s="38">
        <v>24</v>
      </c>
      <c r="H582" s="38">
        <v>5</v>
      </c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8">
        <v>13.5</v>
      </c>
      <c r="W582" s="36"/>
      <c r="X582" s="36"/>
      <c r="Y582" s="36"/>
      <c r="Z582" s="36"/>
      <c r="AA582" s="36"/>
      <c r="AB582" s="59">
        <v>6.5149143045484426</v>
      </c>
      <c r="AC582" s="36"/>
      <c r="AD582" s="36"/>
      <c r="AE582" s="36"/>
      <c r="AF582" s="36"/>
      <c r="AG582" s="38">
        <v>27</v>
      </c>
      <c r="AH582" s="38">
        <v>6</v>
      </c>
      <c r="AI582" s="38">
        <v>27</v>
      </c>
      <c r="AJ582" s="38">
        <v>6</v>
      </c>
      <c r="AK582" s="36"/>
      <c r="AL582" s="36"/>
      <c r="AM582" s="36"/>
      <c r="AN582" s="36"/>
      <c r="AO582" s="36"/>
      <c r="AP582" s="36"/>
      <c r="AQ582" s="36"/>
      <c r="AR582" s="36"/>
      <c r="AS582" s="38">
        <v>46.29</v>
      </c>
      <c r="AT582" s="38">
        <v>5.5</v>
      </c>
      <c r="AU582" s="36"/>
      <c r="AV582" s="36"/>
      <c r="AW582" s="36"/>
      <c r="AX582" s="36"/>
      <c r="AY582" s="36"/>
      <c r="AZ582" s="36"/>
      <c r="BA582" s="36"/>
      <c r="BB582" s="36"/>
      <c r="BC582" s="38">
        <v>10</v>
      </c>
      <c r="BD582" s="38">
        <v>7.25</v>
      </c>
      <c r="BE582" s="36"/>
      <c r="BF582" s="38">
        <v>10.5</v>
      </c>
      <c r="BG582" s="59">
        <v>36.08</v>
      </c>
      <c r="BH582" s="59">
        <v>4.96</v>
      </c>
      <c r="BI582" s="59">
        <v>0.62916666666666665</v>
      </c>
      <c r="BJ582" s="59">
        <v>9.3502335516278006</v>
      </c>
      <c r="BK582" s="38">
        <v>8.7484347826086974</v>
      </c>
      <c r="BL582" s="59">
        <v>3.7</v>
      </c>
      <c r="BM582" s="36"/>
      <c r="BN582" s="38">
        <v>59.25</v>
      </c>
      <c r="BO582" s="36"/>
      <c r="BP582" s="39">
        <f t="shared" si="373"/>
        <v>0.48552742616033756</v>
      </c>
      <c r="BQ582" s="37"/>
      <c r="BR582" s="39">
        <f t="shared" si="404"/>
        <v>1.2866202447764845</v>
      </c>
      <c r="BS582" s="39">
        <f t="shared" si="397"/>
        <v>2.8098147535028972</v>
      </c>
      <c r="BT582" s="39">
        <f t="shared" si="402"/>
        <v>46.195194746226342</v>
      </c>
      <c r="BU582" s="37"/>
      <c r="BV582" s="39">
        <f t="shared" si="399"/>
        <v>0.7225098588565847</v>
      </c>
      <c r="BW582" s="39">
        <f t="shared" si="369"/>
        <v>4.5507731030010259</v>
      </c>
      <c r="BX582" s="39">
        <f t="shared" si="383"/>
        <v>0.44798016174299121</v>
      </c>
      <c r="BY582" s="39">
        <f t="shared" si="396"/>
        <v>6.9736316363733124</v>
      </c>
      <c r="BZ582" s="39">
        <f t="shared" si="405"/>
        <v>8.5787885793398289</v>
      </c>
      <c r="CA582" s="39">
        <f t="shared" si="370"/>
        <v>9.364415050886425</v>
      </c>
      <c r="CB582" s="39">
        <f t="shared" si="371"/>
        <v>3.9605182583241456</v>
      </c>
      <c r="CC582" s="39">
        <f t="shared" si="400"/>
        <v>0.65546202531645581</v>
      </c>
      <c r="CD582" s="37"/>
      <c r="CE582" s="37"/>
      <c r="CF582" s="37"/>
      <c r="CG582" s="37"/>
      <c r="CH582" s="37"/>
      <c r="CI582" s="39">
        <f t="shared" si="394"/>
        <v>5.887230912101308</v>
      </c>
      <c r="CJ582" s="39">
        <f t="shared" si="384"/>
        <v>0.20033319205182765</v>
      </c>
      <c r="CK582" s="37"/>
      <c r="CL582" s="39">
        <f t="shared" si="407"/>
        <v>1.6022405063291141</v>
      </c>
      <c r="CM582" s="37"/>
      <c r="CN582" s="37"/>
      <c r="CO582" s="39">
        <f>0.063495+(0.016949+0.014096)*Wages!P580+1.22592*BR582</f>
        <v>2.5451804271852483</v>
      </c>
      <c r="CP582" s="39"/>
      <c r="CQ582" s="39">
        <f t="shared" si="398"/>
        <v>2.8098147535028972</v>
      </c>
      <c r="CR582" s="39">
        <f t="shared" si="389"/>
        <v>0.7225098588565847</v>
      </c>
      <c r="CS582" s="39">
        <f t="shared" si="389"/>
        <v>4.5507731030010259</v>
      </c>
      <c r="CT582" s="39">
        <f t="shared" si="372"/>
        <v>9.364415050886425</v>
      </c>
      <c r="CU582" s="39">
        <f t="shared" si="372"/>
        <v>3.9605182583241456</v>
      </c>
      <c r="CV582" s="39">
        <f t="shared" si="372"/>
        <v>0.65546202531645581</v>
      </c>
      <c r="CW582" s="39">
        <f t="shared" si="406"/>
        <v>0</v>
      </c>
      <c r="CX582" s="39">
        <f t="shared" si="395"/>
        <v>5.887230912101308</v>
      </c>
      <c r="CY582" s="39">
        <f t="shared" si="376"/>
        <v>8.5787885793398289</v>
      </c>
      <c r="CZ582" s="39">
        <f t="shared" si="377"/>
        <v>0.44798016174299121</v>
      </c>
      <c r="DA582" s="39">
        <f t="shared" si="368"/>
        <v>6.9736316363733124</v>
      </c>
      <c r="DB582" s="39">
        <f t="shared" si="391"/>
        <v>7.3912311593962139</v>
      </c>
      <c r="DC582" s="39">
        <f t="shared" si="378"/>
        <v>6.9736316363733124</v>
      </c>
      <c r="DD582" s="39">
        <v>4</v>
      </c>
      <c r="DE582" s="39">
        <f>CK582</f>
        <v>0</v>
      </c>
      <c r="DF582" s="39">
        <v>0.20033319205182765</v>
      </c>
      <c r="DG582" s="39">
        <f t="shared" si="379"/>
        <v>1.6022405063291141</v>
      </c>
      <c r="DH582" s="39">
        <f t="shared" si="380"/>
        <v>0</v>
      </c>
      <c r="DI582" s="39">
        <f t="shared" si="385"/>
        <v>8.2683227558639505</v>
      </c>
      <c r="DJ582" s="39">
        <f>AVERAGE(DI573:DI582)</f>
        <v>8.9868848078098118</v>
      </c>
      <c r="DK582" s="39">
        <v>97.7</v>
      </c>
      <c r="DL582" s="37"/>
      <c r="DM582" s="39">
        <f t="shared" si="403"/>
        <v>2.3551378216492691</v>
      </c>
      <c r="DN582" s="39"/>
      <c r="DO582" s="39">
        <f t="shared" si="401"/>
        <v>2.391702401885893</v>
      </c>
      <c r="DP582" s="39"/>
      <c r="DQ582" s="37">
        <f>DO582/'Conversions, Sources &amp; Comments'!E580</f>
        <v>4.9259882614665562</v>
      </c>
    </row>
    <row r="583" spans="1:121">
      <c r="A583" s="42">
        <f t="shared" si="381"/>
        <v>1831</v>
      </c>
      <c r="B583" s="36"/>
      <c r="C583" s="38">
        <v>66</v>
      </c>
      <c r="D583" s="38">
        <v>4</v>
      </c>
      <c r="E583" s="36"/>
      <c r="F583" s="36"/>
      <c r="G583" s="38">
        <v>25</v>
      </c>
      <c r="H583" s="38">
        <v>4</v>
      </c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59">
        <v>7.4456163480553776</v>
      </c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8">
        <v>10</v>
      </c>
      <c r="BG583" s="59">
        <v>39.83</v>
      </c>
      <c r="BH583" s="59">
        <v>5.83</v>
      </c>
      <c r="BI583" s="59">
        <v>0.8</v>
      </c>
      <c r="BJ583" s="59">
        <v>9.3921331831091805</v>
      </c>
      <c r="BK583" s="38">
        <v>13.122652173913043</v>
      </c>
      <c r="BL583" s="59">
        <v>3.51</v>
      </c>
      <c r="BM583" s="36"/>
      <c r="BN583" s="38">
        <v>59.25</v>
      </c>
      <c r="BO583" s="36"/>
      <c r="BP583" s="39">
        <f t="shared" si="373"/>
        <v>0.48552742616033756</v>
      </c>
      <c r="BQ583" s="37"/>
      <c r="BR583" s="39">
        <f t="shared" si="404"/>
        <v>1.3283394485630113</v>
      </c>
      <c r="BS583" s="39">
        <f t="shared" si="397"/>
        <v>2.6760140509551404</v>
      </c>
      <c r="BT583" s="37"/>
      <c r="BU583" s="37"/>
      <c r="BV583" s="39">
        <f t="shared" si="399"/>
        <v>0.79760442567233281</v>
      </c>
      <c r="BW583" s="39">
        <f t="shared" si="369"/>
        <v>5.3489933851806413</v>
      </c>
      <c r="BX583" s="39">
        <f t="shared" si="383"/>
        <v>0.56961715930234647</v>
      </c>
      <c r="BY583" s="39">
        <f t="shared" ref="BY583:BY602" si="408">$BP583*12*$AB583/(12*0.45359)</f>
        <v>7.9698647272838015</v>
      </c>
      <c r="BZ583" s="39">
        <f t="shared" si="405"/>
        <v>8.6172312640114246</v>
      </c>
      <c r="CA583" s="39">
        <f t="shared" si="370"/>
        <v>14.046622576329632</v>
      </c>
      <c r="CB583" s="39">
        <f t="shared" si="371"/>
        <v>3.7571402937074998</v>
      </c>
      <c r="CC583" s="37"/>
      <c r="CD583" s="37"/>
      <c r="CE583" s="37"/>
      <c r="CF583" s="37"/>
      <c r="CG583" s="37"/>
      <c r="CH583" s="37"/>
      <c r="CI583" s="37"/>
      <c r="CJ583" s="37"/>
      <c r="CK583" s="37"/>
      <c r="CL583" s="37"/>
      <c r="CM583" s="37"/>
      <c r="CN583" s="37"/>
      <c r="CO583" s="37"/>
      <c r="CP583" s="37"/>
      <c r="CQ583" s="37"/>
      <c r="CR583" s="37"/>
      <c r="CS583" s="37"/>
      <c r="CT583" s="37"/>
      <c r="CU583" s="37"/>
      <c r="CV583" s="37"/>
      <c r="CW583" s="37"/>
      <c r="CX583" s="37"/>
      <c r="CY583" s="37"/>
      <c r="CZ583" s="37"/>
      <c r="DA583" s="37"/>
      <c r="DB583" s="37"/>
      <c r="DC583" s="37"/>
      <c r="DD583" s="37"/>
      <c r="DE583" s="37"/>
      <c r="DF583" s="37"/>
      <c r="DG583" s="37"/>
      <c r="DH583" s="37"/>
      <c r="DI583" s="37"/>
      <c r="DJ583" s="37"/>
      <c r="DK583" s="39">
        <v>98.8</v>
      </c>
      <c r="DL583" s="37"/>
      <c r="DM583" s="37"/>
      <c r="DN583" s="37"/>
      <c r="DO583" s="39">
        <f t="shared" si="401"/>
        <v>2.4186304739644449</v>
      </c>
      <c r="DP583" s="37"/>
      <c r="DQ583" s="37">
        <f>DO583/'Conversions, Sources &amp; Comments'!E581</f>
        <v>4.9814497464984218</v>
      </c>
    </row>
    <row r="584" spans="1:121">
      <c r="A584" s="42">
        <f t="shared" si="381"/>
        <v>1832</v>
      </c>
      <c r="B584" s="36"/>
      <c r="C584" s="38">
        <v>58</v>
      </c>
      <c r="D584" s="38">
        <v>8</v>
      </c>
      <c r="E584" s="36"/>
      <c r="F584" s="36"/>
      <c r="G584" s="38">
        <v>20</v>
      </c>
      <c r="H584" s="38">
        <v>5</v>
      </c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59">
        <v>6.411502966380989</v>
      </c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8">
        <v>10</v>
      </c>
      <c r="BG584" s="59">
        <v>35.33</v>
      </c>
      <c r="BH584" s="59">
        <v>5.54</v>
      </c>
      <c r="BI584" s="59">
        <v>0.65833333333333333</v>
      </c>
      <c r="BJ584" s="59">
        <v>10.051501067999899</v>
      </c>
      <c r="BK584" s="38">
        <v>11.776739130434782</v>
      </c>
      <c r="BL584" s="59">
        <v>3.61</v>
      </c>
      <c r="BM584" s="36"/>
      <c r="BN584" s="38">
        <v>59.25</v>
      </c>
      <c r="BO584" s="36"/>
      <c r="BP584" s="39">
        <f t="shared" si="373"/>
        <v>0.48552742616033756</v>
      </c>
      <c r="BQ584" s="37"/>
      <c r="BR584" s="39">
        <f t="shared" si="404"/>
        <v>1.1748127786285931</v>
      </c>
      <c r="BS584" s="39">
        <f t="shared" si="397"/>
        <v>2.6760140509551404</v>
      </c>
      <c r="BT584" s="37"/>
      <c r="BU584" s="37"/>
      <c r="BV584" s="39">
        <f t="shared" si="399"/>
        <v>0.70749094549343505</v>
      </c>
      <c r="BW584" s="39">
        <f t="shared" si="369"/>
        <v>5.0829199577874355</v>
      </c>
      <c r="BX584" s="39">
        <f t="shared" si="383"/>
        <v>0.46874745400922263</v>
      </c>
      <c r="BY584" s="39">
        <f t="shared" si="408"/>
        <v>6.8629390707165747</v>
      </c>
      <c r="BZ584" s="39">
        <f t="shared" si="405"/>
        <v>9.2221977227903285</v>
      </c>
      <c r="CA584" s="39">
        <f t="shared" si="370"/>
        <v>12.605943337731722</v>
      </c>
      <c r="CB584" s="39">
        <f t="shared" si="371"/>
        <v>3.8641813277162602</v>
      </c>
      <c r="CC584" s="37"/>
      <c r="CD584" s="37"/>
      <c r="CE584" s="37"/>
      <c r="CF584" s="37"/>
      <c r="CG584" s="37"/>
      <c r="CH584" s="37"/>
      <c r="CI584" s="37"/>
      <c r="CJ584" s="37"/>
      <c r="CK584" s="37"/>
      <c r="CL584" s="37"/>
      <c r="CM584" s="37"/>
      <c r="CN584" s="37"/>
      <c r="CO584" s="37"/>
      <c r="CP584" s="37"/>
      <c r="CQ584" s="37"/>
      <c r="CR584" s="37"/>
      <c r="CS584" s="37"/>
      <c r="CT584" s="37"/>
      <c r="CU584" s="37"/>
      <c r="CV584" s="37"/>
      <c r="CW584" s="37"/>
      <c r="CX584" s="37"/>
      <c r="CY584" s="37"/>
      <c r="CZ584" s="37"/>
      <c r="DA584" s="37"/>
      <c r="DB584" s="37"/>
      <c r="DC584" s="37"/>
      <c r="DD584" s="37"/>
      <c r="DE584" s="37"/>
      <c r="DF584" s="37"/>
      <c r="DG584" s="37"/>
      <c r="DH584" s="37"/>
      <c r="DI584" s="37"/>
      <c r="DJ584" s="37"/>
      <c r="DK584" s="39">
        <v>94.6</v>
      </c>
      <c r="DL584" s="37"/>
      <c r="DM584" s="37"/>
      <c r="DN584" s="37"/>
      <c r="DO584" s="39">
        <f t="shared" si="401"/>
        <v>2.3158141987554299</v>
      </c>
      <c r="DP584" s="37"/>
      <c r="DQ584" s="37">
        <f>DO584/'Conversions, Sources &amp; Comments'!E582</f>
        <v>4.7696877127403914</v>
      </c>
    </row>
    <row r="585" spans="1:121">
      <c r="A585" s="42">
        <f t="shared" si="381"/>
        <v>1833</v>
      </c>
      <c r="B585" s="36"/>
      <c r="C585" s="38">
        <v>52</v>
      </c>
      <c r="D585" s="38">
        <v>11</v>
      </c>
      <c r="E585" s="36"/>
      <c r="F585" s="36"/>
      <c r="G585" s="38">
        <v>18</v>
      </c>
      <c r="H585" s="38">
        <v>5</v>
      </c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59">
        <v>6.5149143045484426</v>
      </c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8">
        <v>8.5</v>
      </c>
      <c r="BG585" s="59">
        <v>33.17</v>
      </c>
      <c r="BH585" s="59">
        <v>5.83</v>
      </c>
      <c r="BI585" s="59">
        <v>0.60833333333333328</v>
      </c>
      <c r="BJ585" s="59">
        <v>10.10222167452995</v>
      </c>
      <c r="BK585" s="38">
        <v>11.103782608695653</v>
      </c>
      <c r="BL585" s="59">
        <v>3.8</v>
      </c>
      <c r="BM585" s="36"/>
      <c r="BN585" s="38">
        <f>59+3/16</f>
        <v>59.1875</v>
      </c>
      <c r="BO585" s="36"/>
      <c r="BP585" s="39">
        <f t="shared" si="373"/>
        <v>0.4860401267159451</v>
      </c>
      <c r="BQ585" s="37"/>
      <c r="BR585" s="39">
        <f t="shared" si="404"/>
        <v>1.0607867495422751</v>
      </c>
      <c r="BS585" s="39">
        <f t="shared" si="397"/>
        <v>2.2770138566627791</v>
      </c>
      <c r="BT585" s="37"/>
      <c r="BU585" s="37"/>
      <c r="BV585" s="39">
        <f t="shared" si="399"/>
        <v>0.66493788628001149</v>
      </c>
      <c r="BW585" s="39">
        <f t="shared" si="369"/>
        <v>5.3546417414479919</v>
      </c>
      <c r="BX585" s="39">
        <f t="shared" si="383"/>
        <v>0.43360376949533153</v>
      </c>
      <c r="BY585" s="39">
        <f t="shared" si="408"/>
        <v>6.9809955557359027</v>
      </c>
      <c r="BZ585" s="39">
        <f t="shared" si="405"/>
        <v>9.2785210737219028</v>
      </c>
      <c r="CA585" s="39">
        <f t="shared" si="370"/>
        <v>11.898154514333964</v>
      </c>
      <c r="CB585" s="39">
        <f t="shared" si="371"/>
        <v>4.0718544974990438</v>
      </c>
      <c r="CC585" s="37"/>
      <c r="CD585" s="37"/>
      <c r="CE585" s="37"/>
      <c r="CF585" s="37"/>
      <c r="CG585" s="37"/>
      <c r="CH585" s="37"/>
      <c r="CI585" s="37"/>
      <c r="CJ585" s="37"/>
      <c r="CK585" s="37"/>
      <c r="CL585" s="37"/>
      <c r="CM585" s="37"/>
      <c r="CN585" s="37"/>
      <c r="CO585" s="37"/>
      <c r="CP585" s="37"/>
      <c r="CQ585" s="37"/>
      <c r="CR585" s="37"/>
      <c r="CS585" s="37"/>
      <c r="CT585" s="37"/>
      <c r="CU585" s="37"/>
      <c r="CV585" s="37"/>
      <c r="CW585" s="37"/>
      <c r="CX585" s="37"/>
      <c r="CY585" s="37"/>
      <c r="CZ585" s="37"/>
      <c r="DA585" s="37"/>
      <c r="DB585" s="37"/>
      <c r="DC585" s="37"/>
      <c r="DD585" s="37"/>
      <c r="DE585" s="37"/>
      <c r="DF585" s="37"/>
      <c r="DG585" s="37"/>
      <c r="DH585" s="37"/>
      <c r="DI585" s="37"/>
      <c r="DJ585" s="37"/>
      <c r="DK585" s="39">
        <v>91.5</v>
      </c>
      <c r="DL585" s="37"/>
      <c r="DM585" s="37"/>
      <c r="DN585" s="37"/>
      <c r="DO585" s="39">
        <f t="shared" si="401"/>
        <v>2.242291281787189</v>
      </c>
      <c r="DP585" s="37"/>
      <c r="DQ585" s="37">
        <f>DO585/'Conversions, Sources &amp; Comments'!E583</f>
        <v>4.6133871640142257</v>
      </c>
    </row>
    <row r="586" spans="1:121">
      <c r="A586" s="42">
        <f t="shared" si="381"/>
        <v>1834</v>
      </c>
      <c r="B586" s="36"/>
      <c r="C586" s="38">
        <v>46</v>
      </c>
      <c r="D586" s="38">
        <v>2</v>
      </c>
      <c r="E586" s="36"/>
      <c r="F586" s="36"/>
      <c r="G586" s="38">
        <v>20</v>
      </c>
      <c r="H586" s="38">
        <v>11</v>
      </c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59">
        <v>6.8251483190507543</v>
      </c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8">
        <v>8</v>
      </c>
      <c r="BG586" s="59">
        <v>35.25</v>
      </c>
      <c r="BH586" s="59">
        <v>5.25</v>
      </c>
      <c r="BI586" s="59">
        <v>0.6166666666666667</v>
      </c>
      <c r="BJ586" s="59">
        <v>10.077963993146014</v>
      </c>
      <c r="BK586" s="38">
        <v>10.430826086956522</v>
      </c>
      <c r="BL586" s="59">
        <v>3.52</v>
      </c>
      <c r="BM586" s="36"/>
      <c r="BN586" s="38">
        <f>59+15/16</f>
        <v>59.9375</v>
      </c>
      <c r="BO586" s="36"/>
      <c r="BP586" s="39">
        <f t="shared" si="373"/>
        <v>0.47995828988529721</v>
      </c>
      <c r="BQ586" s="37"/>
      <c r="BR586" s="39">
        <f t="shared" si="404"/>
        <v>0.91389330865708251</v>
      </c>
      <c r="BS586" s="39">
        <f t="shared" si="397"/>
        <v>2.1162555331015414</v>
      </c>
      <c r="BT586" s="37"/>
      <c r="BU586" s="37"/>
      <c r="BV586" s="39">
        <f t="shared" si="399"/>
        <v>0.69779218332481208</v>
      </c>
      <c r="BW586" s="39">
        <f t="shared" ref="BW586:BW602" si="409">$BP586*12*$BH586/(14*0.45359)</f>
        <v>4.7615959445398657</v>
      </c>
      <c r="BX586" s="39">
        <f t="shared" si="383"/>
        <v>0.4340435236289778</v>
      </c>
      <c r="BY586" s="39">
        <f t="shared" si="408"/>
        <v>7.2219107904166995</v>
      </c>
      <c r="BZ586" s="39">
        <f t="shared" si="405"/>
        <v>9.1404176150443508</v>
      </c>
      <c r="CA586" s="39">
        <f t="shared" ref="CA586:CA602" si="410">$BP586*$BK586/0.45359</f>
        <v>11.037195376411734</v>
      </c>
      <c r="CB586" s="39">
        <f t="shared" ref="CB586:CB602" si="411">$BP586*12*$BL586/(12*0.45359)</f>
        <v>3.7246261610622944</v>
      </c>
      <c r="CC586" s="37"/>
      <c r="CD586" s="37"/>
      <c r="CE586" s="37"/>
      <c r="CF586" s="37"/>
      <c r="CG586" s="37"/>
      <c r="CH586" s="37"/>
      <c r="CI586" s="37"/>
      <c r="CJ586" s="37"/>
      <c r="CK586" s="37"/>
      <c r="CL586" s="37"/>
      <c r="CM586" s="37"/>
      <c r="CN586" s="37"/>
      <c r="CO586" s="37"/>
      <c r="CP586" s="37"/>
      <c r="CQ586" s="37"/>
      <c r="CR586" s="37"/>
      <c r="CS586" s="37"/>
      <c r="CT586" s="37"/>
      <c r="CU586" s="37"/>
      <c r="CV586" s="37"/>
      <c r="CW586" s="37"/>
      <c r="CX586" s="37"/>
      <c r="CY586" s="37"/>
      <c r="CZ586" s="37"/>
      <c r="DA586" s="37"/>
      <c r="DB586" s="37"/>
      <c r="DC586" s="37"/>
      <c r="DD586" s="37"/>
      <c r="DE586" s="37"/>
      <c r="DF586" s="37"/>
      <c r="DG586" s="37"/>
      <c r="DH586" s="37"/>
      <c r="DI586" s="37"/>
      <c r="DJ586" s="37"/>
      <c r="DK586" s="39">
        <v>89.5</v>
      </c>
      <c r="DL586" s="37"/>
      <c r="DM586" s="37"/>
      <c r="DN586" s="37"/>
      <c r="DO586" s="39">
        <f t="shared" si="401"/>
        <v>2.1658348692546983</v>
      </c>
      <c r="DP586" s="37"/>
      <c r="DQ586" s="37">
        <f>DO586/'Conversions, Sources &amp; Comments'!E584</f>
        <v>4.5125481003199264</v>
      </c>
    </row>
    <row r="587" spans="1:121">
      <c r="A587" s="42">
        <f t="shared" si="381"/>
        <v>1835</v>
      </c>
      <c r="B587" s="36"/>
      <c r="C587" s="38">
        <v>39</v>
      </c>
      <c r="D587" s="38">
        <v>4</v>
      </c>
      <c r="E587" s="36"/>
      <c r="F587" s="36"/>
      <c r="G587" s="38">
        <v>22</v>
      </c>
      <c r="H587" s="38">
        <v>0</v>
      </c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59">
        <v>6.411502966380989</v>
      </c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8">
        <v>7</v>
      </c>
      <c r="BG587" s="59">
        <v>36.92</v>
      </c>
      <c r="BH587" s="59">
        <v>5.25</v>
      </c>
      <c r="BI587" s="59">
        <v>0.69166666666666665</v>
      </c>
      <c r="BJ587" s="59">
        <v>10.761589559420718</v>
      </c>
      <c r="BK587" s="38">
        <v>10.094347826086956</v>
      </c>
      <c r="BL587" s="59">
        <v>3.8</v>
      </c>
      <c r="BM587" s="36"/>
      <c r="BN587" s="38">
        <f>59+11/16</f>
        <v>59.6875</v>
      </c>
      <c r="BO587" s="36"/>
      <c r="BP587" s="39">
        <f t="shared" ref="BP587:BP650" si="412">(31.1*0.925/$BN587)</f>
        <v>0.48196858638743456</v>
      </c>
      <c r="BQ587" s="37"/>
      <c r="BR587" s="39">
        <f t="shared" si="404"/>
        <v>0.78188515390593116</v>
      </c>
      <c r="BS587" s="39">
        <f t="shared" si="397"/>
        <v>1.8594795017945873</v>
      </c>
      <c r="BT587" s="37"/>
      <c r="BU587" s="37"/>
      <c r="BV587" s="39">
        <f t="shared" ref="BV587:BV602" si="413">$BP587*12*$BG587/(8*36.3687)</f>
        <v>0.7339118614120419</v>
      </c>
      <c r="BW587" s="39">
        <f t="shared" si="409"/>
        <v>4.7815398018991946</v>
      </c>
      <c r="BX587" s="39">
        <f t="shared" si="383"/>
        <v>0.48887169025464472</v>
      </c>
      <c r="BY587" s="39">
        <f t="shared" si="408"/>
        <v>6.8126348052767671</v>
      </c>
      <c r="BZ587" s="39">
        <f t="shared" si="405"/>
        <v>9.8013273923948532</v>
      </c>
      <c r="CA587" s="39">
        <f t="shared" si="410"/>
        <v>10.725894645477641</v>
      </c>
      <c r="CB587" s="39">
        <f t="shared" si="411"/>
        <v>4.0377447216037634</v>
      </c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  <c r="CR587" s="37"/>
      <c r="CS587" s="37"/>
      <c r="CT587" s="37"/>
      <c r="CU587" s="37"/>
      <c r="CV587" s="37"/>
      <c r="CW587" s="37"/>
      <c r="CX587" s="37"/>
      <c r="CY587" s="37"/>
      <c r="CZ587" s="37"/>
      <c r="DA587" s="37"/>
      <c r="DB587" s="37"/>
      <c r="DC587" s="37"/>
      <c r="DD587" s="37"/>
      <c r="DE587" s="37"/>
      <c r="DF587" s="37"/>
      <c r="DG587" s="37"/>
      <c r="DH587" s="37"/>
      <c r="DI587" s="37"/>
      <c r="DJ587" s="37"/>
      <c r="DK587" s="39">
        <v>84.7</v>
      </c>
      <c r="DL587" s="37"/>
      <c r="DM587" s="37"/>
      <c r="DN587" s="37"/>
      <c r="DO587" s="39">
        <f t="shared" si="401"/>
        <v>2.0582634025612001</v>
      </c>
      <c r="DP587" s="37"/>
      <c r="DQ587" s="37">
        <f>DO587/'Conversions, Sources &amp; Comments'!E585</f>
        <v>4.2705343474536068</v>
      </c>
    </row>
    <row r="588" spans="1:121">
      <c r="A588" s="42">
        <f t="shared" ref="A588:A651" si="414">A587+1</f>
        <v>1836</v>
      </c>
      <c r="B588" s="36"/>
      <c r="C588" s="38">
        <v>48</v>
      </c>
      <c r="D588" s="38">
        <v>6</v>
      </c>
      <c r="E588" s="36"/>
      <c r="F588" s="36"/>
      <c r="G588" s="38">
        <v>23</v>
      </c>
      <c r="H588" s="38">
        <v>1</v>
      </c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59">
        <v>6.411502966380989</v>
      </c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8">
        <v>8</v>
      </c>
      <c r="BG588" s="59">
        <v>39.08</v>
      </c>
      <c r="BH588" s="59">
        <v>5.98</v>
      </c>
      <c r="BI588" s="59">
        <v>0.7</v>
      </c>
      <c r="BJ588" s="59">
        <v>12.384648968382512</v>
      </c>
      <c r="BK588" s="38">
        <v>12.449695652173913</v>
      </c>
      <c r="BL588" s="59">
        <v>4.32</v>
      </c>
      <c r="BM588" s="36"/>
      <c r="BN588" s="38">
        <v>60</v>
      </c>
      <c r="BO588" s="36"/>
      <c r="BP588" s="39">
        <f t="shared" si="412"/>
        <v>0.47945833333333338</v>
      </c>
      <c r="BQ588" s="37"/>
      <c r="BR588" s="39">
        <f t="shared" si="404"/>
        <v>0.95908277584846324</v>
      </c>
      <c r="BS588" s="39">
        <f t="shared" si="397"/>
        <v>2.114051100254561</v>
      </c>
      <c r="BT588" s="37"/>
      <c r="BU588" s="37"/>
      <c r="BV588" s="39">
        <f t="shared" si="413"/>
        <v>0.77280319340531844</v>
      </c>
      <c r="BW588" s="39">
        <f t="shared" si="409"/>
        <v>5.4180348521162927</v>
      </c>
      <c r="BX588" s="39">
        <f t="shared" si="383"/>
        <v>0.49218482670968378</v>
      </c>
      <c r="BY588" s="39">
        <f t="shared" si="408"/>
        <v>6.7771523323326175</v>
      </c>
      <c r="BZ588" s="39">
        <f t="shared" si="405"/>
        <v>11.220812665873334</v>
      </c>
      <c r="CA588" s="39">
        <f t="shared" si="410"/>
        <v>13.159704420067795</v>
      </c>
      <c r="CB588" s="39">
        <f t="shared" si="411"/>
        <v>4.5663705108137318</v>
      </c>
      <c r="CC588" s="37"/>
      <c r="CD588" s="37"/>
      <c r="CE588" s="37"/>
      <c r="CF588" s="37"/>
      <c r="CG588" s="37"/>
      <c r="CH588" s="37"/>
      <c r="CI588" s="37"/>
      <c r="CJ588" s="37"/>
      <c r="CK588" s="37"/>
      <c r="CL588" s="37"/>
      <c r="CM588" s="37"/>
      <c r="CN588" s="37"/>
      <c r="CO588" s="37"/>
      <c r="CP588" s="37"/>
      <c r="CQ588" s="37"/>
      <c r="CR588" s="37"/>
      <c r="CS588" s="37"/>
      <c r="CT588" s="37"/>
      <c r="CU588" s="37"/>
      <c r="CV588" s="37"/>
      <c r="CW588" s="37"/>
      <c r="CX588" s="37"/>
      <c r="CY588" s="37"/>
      <c r="CZ588" s="37"/>
      <c r="DA588" s="37"/>
      <c r="DB588" s="37"/>
      <c r="DC588" s="37"/>
      <c r="DD588" s="37"/>
      <c r="DE588" s="37"/>
      <c r="DF588" s="37"/>
      <c r="DG588" s="37"/>
      <c r="DH588" s="37"/>
      <c r="DI588" s="37"/>
      <c r="DJ588" s="37"/>
      <c r="DK588" s="39">
        <v>91</v>
      </c>
      <c r="DL588" s="37"/>
      <c r="DM588" s="37"/>
      <c r="DN588" s="37"/>
      <c r="DO588" s="39">
        <f t="shared" si="401"/>
        <v>2.1998398883262138</v>
      </c>
      <c r="DP588" s="37"/>
      <c r="DQ588" s="37">
        <f>DO588/'Conversions, Sources &amp; Comments'!E586</f>
        <v>4.5881773980906511</v>
      </c>
    </row>
    <row r="589" spans="1:121">
      <c r="A589" s="42">
        <f t="shared" si="414"/>
        <v>1837</v>
      </c>
      <c r="B589" s="36"/>
      <c r="C589" s="38">
        <v>55</v>
      </c>
      <c r="D589" s="38">
        <v>10</v>
      </c>
      <c r="E589" s="36"/>
      <c r="F589" s="36"/>
      <c r="G589" s="38">
        <v>23</v>
      </c>
      <c r="H589" s="38">
        <v>1</v>
      </c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59">
        <v>6.618325642715897</v>
      </c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8">
        <v>8.5</v>
      </c>
      <c r="BG589" s="59">
        <v>38.58</v>
      </c>
      <c r="BH589" s="59">
        <v>5.83</v>
      </c>
      <c r="BI589" s="59">
        <v>0.65416666666666667</v>
      </c>
      <c r="BJ589" s="59">
        <v>6.8053822500763097</v>
      </c>
      <c r="BK589" s="38">
        <v>14.132086956521741</v>
      </c>
      <c r="BL589" s="59">
        <v>3.71</v>
      </c>
      <c r="BM589" s="36"/>
      <c r="BN589" s="38">
        <f>59+9/16</f>
        <v>59.5625</v>
      </c>
      <c r="BO589" s="36"/>
      <c r="BP589" s="39">
        <f t="shared" si="412"/>
        <v>0.48298006295907664</v>
      </c>
      <c r="BQ589" s="37"/>
      <c r="BR589" s="39">
        <f t="shared" si="404"/>
        <v>1.1122085824575161</v>
      </c>
      <c r="BS589" s="39">
        <f t="shared" si="397"/>
        <v>2.2626779876806422</v>
      </c>
      <c r="BT589" s="37"/>
      <c r="BU589" s="37"/>
      <c r="BV589" s="39">
        <f t="shared" si="413"/>
        <v>0.76851953035004739</v>
      </c>
      <c r="BW589" s="39">
        <f t="shared" si="409"/>
        <v>5.320929411491341</v>
      </c>
      <c r="BX589" s="39">
        <f t="shared" si="383"/>
        <v>0.463336937750984</v>
      </c>
      <c r="BY589" s="39">
        <f t="shared" si="408"/>
        <v>7.0471556595220255</v>
      </c>
      <c r="BZ589" s="39">
        <f t="shared" si="405"/>
        <v>6.2111421219334755</v>
      </c>
      <c r="CA589" s="39">
        <f t="shared" si="410"/>
        <v>15.047766150056253</v>
      </c>
      <c r="CB589" s="39">
        <f t="shared" si="411"/>
        <v>3.9503869873193289</v>
      </c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37"/>
      <c r="CZ589" s="37"/>
      <c r="DA589" s="37"/>
      <c r="DB589" s="37"/>
      <c r="DC589" s="37"/>
      <c r="DD589" s="37"/>
      <c r="DE589" s="37"/>
      <c r="DF589" s="37"/>
      <c r="DG589" s="37"/>
      <c r="DH589" s="37"/>
      <c r="DI589" s="37"/>
      <c r="DJ589" s="37"/>
      <c r="DK589" s="39">
        <v>96.4</v>
      </c>
      <c r="DL589" s="37"/>
      <c r="DM589" s="37"/>
      <c r="DN589" s="37"/>
      <c r="DO589" s="39">
        <f t="shared" si="401"/>
        <v>2.3474970033931153</v>
      </c>
      <c r="DP589" s="37"/>
      <c r="DQ589" s="37">
        <f>DO589/'Conversions, Sources &amp; Comments'!E587</f>
        <v>4.8604428700652615</v>
      </c>
    </row>
    <row r="590" spans="1:121">
      <c r="A590" s="42">
        <f t="shared" si="414"/>
        <v>1838</v>
      </c>
      <c r="B590" s="36"/>
      <c r="C590" s="38">
        <v>64</v>
      </c>
      <c r="D590" s="38">
        <v>7</v>
      </c>
      <c r="E590" s="36"/>
      <c r="F590" s="36"/>
      <c r="G590" s="38">
        <v>22</v>
      </c>
      <c r="H590" s="38">
        <v>5</v>
      </c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59">
        <v>6.5149143045484426</v>
      </c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8">
        <v>10</v>
      </c>
      <c r="BG590" s="59">
        <v>36.25</v>
      </c>
      <c r="BH590" s="59">
        <v>5.54</v>
      </c>
      <c r="BI590" s="59">
        <v>0.65416666666666667</v>
      </c>
      <c r="BJ590" s="59">
        <v>8.6026559162500131</v>
      </c>
      <c r="BK590" s="38">
        <v>13.122652173913043</v>
      </c>
      <c r="BL590" s="59">
        <v>4.2</v>
      </c>
      <c r="BM590" s="36"/>
      <c r="BN590" s="38">
        <v>59.5</v>
      </c>
      <c r="BO590" s="36"/>
      <c r="BP590" s="39">
        <f t="shared" si="412"/>
        <v>0.48348739495798321</v>
      </c>
      <c r="BQ590" s="37"/>
      <c r="BR590" s="39">
        <f t="shared" si="404"/>
        <v>1.2878613034437476</v>
      </c>
      <c r="BS590" s="39">
        <f t="shared" si="397"/>
        <v>2.6647702944385219</v>
      </c>
      <c r="BT590" s="37"/>
      <c r="BU590" s="37"/>
      <c r="BV590" s="39">
        <f t="shared" si="413"/>
        <v>0.7228640864490713</v>
      </c>
      <c r="BW590" s="39">
        <f t="shared" si="409"/>
        <v>5.0615631512421109</v>
      </c>
      <c r="BX590" s="39">
        <f t="shared" si="383"/>
        <v>0.46382363621500805</v>
      </c>
      <c r="BY590" s="39">
        <f t="shared" si="408"/>
        <v>6.9443306631112405</v>
      </c>
      <c r="BZ590" s="39">
        <f t="shared" si="405"/>
        <v>7.8597267488277991</v>
      </c>
      <c r="CA590" s="39">
        <f t="shared" si="410"/>
        <v>13.987603153740013</v>
      </c>
      <c r="CB590" s="39">
        <f t="shared" si="411"/>
        <v>4.4768338341311082</v>
      </c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37"/>
      <c r="CZ590" s="37"/>
      <c r="DA590" s="37"/>
      <c r="DB590" s="37"/>
      <c r="DC590" s="37"/>
      <c r="DD590" s="37"/>
      <c r="DE590" s="37"/>
      <c r="DF590" s="37"/>
      <c r="DG590" s="37"/>
      <c r="DH590" s="37"/>
      <c r="DI590" s="37"/>
      <c r="DJ590" s="37"/>
      <c r="DK590" s="39">
        <v>98.8</v>
      </c>
      <c r="DL590" s="37"/>
      <c r="DM590" s="37"/>
      <c r="DN590" s="37"/>
      <c r="DO590" s="39">
        <f t="shared" si="401"/>
        <v>2.4084681610486283</v>
      </c>
      <c r="DP590" s="37"/>
      <c r="DQ590" s="37">
        <f>DO590/'Conversions, Sources &amp; Comments'!E588</f>
        <v>4.9814497464984226</v>
      </c>
    </row>
    <row r="591" spans="1:121">
      <c r="A591" s="42">
        <f t="shared" si="414"/>
        <v>1839</v>
      </c>
      <c r="B591" s="36"/>
      <c r="C591" s="38">
        <v>70</v>
      </c>
      <c r="D591" s="38">
        <v>8</v>
      </c>
      <c r="E591" s="36"/>
      <c r="F591" s="36"/>
      <c r="G591" s="38">
        <v>25</v>
      </c>
      <c r="H591" s="38">
        <v>11</v>
      </c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59">
        <v>7.7558503625576893</v>
      </c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8">
        <v>10</v>
      </c>
      <c r="BG591" s="59">
        <v>41.25</v>
      </c>
      <c r="BH591" s="59">
        <v>6.13</v>
      </c>
      <c r="BI591" s="59">
        <v>0.72916666666666663</v>
      </c>
      <c r="BJ591" s="59">
        <v>8.3689000774593296</v>
      </c>
      <c r="BK591" s="38">
        <v>14.132086956521741</v>
      </c>
      <c r="BL591" s="59">
        <v>4</v>
      </c>
      <c r="BM591" s="36"/>
      <c r="BN591" s="38">
        <f>60+3/8</f>
        <v>60.375</v>
      </c>
      <c r="BO591" s="36"/>
      <c r="BP591" s="39">
        <f t="shared" si="412"/>
        <v>0.47648033126293998</v>
      </c>
      <c r="BQ591" s="37"/>
      <c r="BR591" s="39">
        <f t="shared" si="404"/>
        <v>1.3887467826419873</v>
      </c>
      <c r="BS591" s="39">
        <f t="shared" si="397"/>
        <v>2.6261504350988334</v>
      </c>
      <c r="BT591" s="37"/>
      <c r="BU591" s="37"/>
      <c r="BV591" s="39">
        <f t="shared" si="413"/>
        <v>0.81064818090540525</v>
      </c>
      <c r="BW591" s="39">
        <f t="shared" si="409"/>
        <v>5.5194422224762247</v>
      </c>
      <c r="BX591" s="39">
        <f t="shared" si="383"/>
        <v>0.50950810218393749</v>
      </c>
      <c r="BY591" s="39">
        <f t="shared" si="408"/>
        <v>8.1472478449200398</v>
      </c>
      <c r="BZ591" s="39">
        <f t="shared" si="405"/>
        <v>7.5353442811115112</v>
      </c>
      <c r="CA591" s="39">
        <f t="shared" si="410"/>
        <v>14.845259980334999</v>
      </c>
      <c r="CB591" s="39">
        <f t="shared" si="411"/>
        <v>4.2018592232010405</v>
      </c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37"/>
      <c r="CZ591" s="37"/>
      <c r="DA591" s="37"/>
      <c r="DB591" s="37"/>
      <c r="DC591" s="37"/>
      <c r="DD591" s="37"/>
      <c r="DE591" s="37"/>
      <c r="DF591" s="37"/>
      <c r="DG591" s="37"/>
      <c r="DH591" s="37"/>
      <c r="DI591" s="37"/>
      <c r="DJ591" s="37"/>
      <c r="DK591" s="39">
        <v>106</v>
      </c>
      <c r="DL591" s="37"/>
      <c r="DM591" s="37"/>
      <c r="DN591" s="37"/>
      <c r="DO591" s="39">
        <f t="shared" si="401"/>
        <v>2.5465350150851536</v>
      </c>
      <c r="DP591" s="37"/>
      <c r="DQ591" s="37">
        <f>DO591/'Conversions, Sources &amp; Comments'!E589</f>
        <v>5.3444703757979015</v>
      </c>
    </row>
    <row r="592" spans="1:121">
      <c r="A592" s="42">
        <f t="shared" si="414"/>
        <v>1840</v>
      </c>
      <c r="B592" s="36"/>
      <c r="C592" s="38">
        <v>66</v>
      </c>
      <c r="D592" s="38">
        <v>4</v>
      </c>
      <c r="E592" s="36"/>
      <c r="F592" s="36"/>
      <c r="G592" s="38">
        <v>25</v>
      </c>
      <c r="H592" s="38">
        <v>8</v>
      </c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59">
        <v>6.8251483190507543</v>
      </c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8">
        <v>10</v>
      </c>
      <c r="BG592" s="59">
        <v>43.42</v>
      </c>
      <c r="BH592" s="59">
        <v>6.13</v>
      </c>
      <c r="BI592" s="59">
        <v>0.71250000000000002</v>
      </c>
      <c r="BJ592" s="59">
        <v>8.2674588643992273</v>
      </c>
      <c r="BK592" s="38">
        <v>13.45913043478261</v>
      </c>
      <c r="BL592" s="59">
        <v>4</v>
      </c>
      <c r="BM592" s="36"/>
      <c r="BN592" s="38">
        <f>60+3/8</f>
        <v>60.375</v>
      </c>
      <c r="BO592" s="36"/>
      <c r="BP592" s="39">
        <f t="shared" si="412"/>
        <v>0.47648033126293998</v>
      </c>
      <c r="BQ592" s="37"/>
      <c r="BR592" s="39">
        <f t="shared" si="404"/>
        <v>1.3035877818196013</v>
      </c>
      <c r="BS592" s="39">
        <f t="shared" si="397"/>
        <v>2.6261504350988334</v>
      </c>
      <c r="BT592" s="37"/>
      <c r="BU592" s="37"/>
      <c r="BV592" s="39">
        <f t="shared" si="413"/>
        <v>0.85329318824030786</v>
      </c>
      <c r="BW592" s="39">
        <f t="shared" si="409"/>
        <v>5.5194422224762247</v>
      </c>
      <c r="BX592" s="39">
        <f t="shared" ref="BX592:BX602" si="415">$BP592*240*$BI592/(36*4.546)</f>
        <v>0.49786220270544762</v>
      </c>
      <c r="BY592" s="39">
        <f t="shared" si="408"/>
        <v>7.1695781035296227</v>
      </c>
      <c r="BZ592" s="39">
        <f t="shared" si="405"/>
        <v>7.4440067746738059</v>
      </c>
      <c r="CA592" s="39">
        <f t="shared" si="410"/>
        <v>14.138342838414285</v>
      </c>
      <c r="CB592" s="39">
        <f t="shared" si="411"/>
        <v>4.2018592232010405</v>
      </c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  <c r="DI592" s="37"/>
      <c r="DJ592" s="37"/>
      <c r="DK592" s="39">
        <v>105</v>
      </c>
      <c r="DL592" s="37"/>
      <c r="DM592" s="37"/>
      <c r="DN592" s="37"/>
      <c r="DO592" s="39">
        <f t="shared" si="401"/>
        <v>2.5225110998485012</v>
      </c>
      <c r="DP592" s="39"/>
      <c r="DQ592" s="37">
        <f>DO592/'Conversions, Sources &amp; Comments'!E590</f>
        <v>5.2940508439507514</v>
      </c>
    </row>
    <row r="593" spans="1:121">
      <c r="A593" s="42">
        <f t="shared" si="414"/>
        <v>1841</v>
      </c>
      <c r="B593" s="36"/>
      <c r="C593" s="38">
        <v>64</v>
      </c>
      <c r="D593" s="38">
        <v>4</v>
      </c>
      <c r="E593" s="36"/>
      <c r="F593" s="36"/>
      <c r="G593" s="38">
        <v>22</v>
      </c>
      <c r="H593" s="38">
        <v>5</v>
      </c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59">
        <v>7.0319709953856115</v>
      </c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8">
        <v>9</v>
      </c>
      <c r="BG593" s="59">
        <v>39.83</v>
      </c>
      <c r="BH593" s="59">
        <v>6.71</v>
      </c>
      <c r="BI593" s="59">
        <v>0.65833333333333333</v>
      </c>
      <c r="BJ593" s="59">
        <v>7.7492265802877611</v>
      </c>
      <c r="BK593" s="38">
        <v>15.141521739130438</v>
      </c>
      <c r="BL593" s="59">
        <v>4</v>
      </c>
      <c r="BM593" s="36"/>
      <c r="BN593" s="38">
        <f>60+1/16</f>
        <v>60.0625</v>
      </c>
      <c r="BO593" s="36"/>
      <c r="BP593" s="39">
        <f t="shared" si="412"/>
        <v>0.4789594172736733</v>
      </c>
      <c r="BQ593" s="37"/>
      <c r="BR593" s="39">
        <f t="shared" si="404"/>
        <v>1.2708615861141441</v>
      </c>
      <c r="BS593" s="39">
        <f t="shared" si="397"/>
        <v>2.375832662096697</v>
      </c>
      <c r="BT593" s="37"/>
      <c r="BU593" s="37"/>
      <c r="BV593" s="39">
        <f t="shared" si="413"/>
        <v>0.78681477163097979</v>
      </c>
      <c r="BW593" s="39">
        <f t="shared" si="409"/>
        <v>6.0731076017164929</v>
      </c>
      <c r="BX593" s="39">
        <f t="shared" si="415"/>
        <v>0.46240643746175131</v>
      </c>
      <c r="BY593" s="39">
        <f t="shared" si="408"/>
        <v>7.4252711264253284</v>
      </c>
      <c r="BZ593" s="39">
        <f t="shared" si="405"/>
        <v>7.0136940167167072</v>
      </c>
      <c r="CA593" s="39">
        <f t="shared" si="410"/>
        <v>15.988391341984107</v>
      </c>
      <c r="CB593" s="39">
        <f t="shared" si="411"/>
        <v>4.2237211338316394</v>
      </c>
      <c r="CC593" s="37"/>
      <c r="CD593" s="37"/>
      <c r="CE593" s="37"/>
      <c r="CF593" s="37"/>
      <c r="CG593" s="37"/>
      <c r="CH593" s="37"/>
      <c r="CI593" s="37"/>
      <c r="CJ593" s="37"/>
      <c r="CK593" s="37"/>
      <c r="CL593" s="37"/>
      <c r="CM593" s="37"/>
      <c r="CN593" s="37"/>
      <c r="CO593" s="37"/>
      <c r="CP593" s="37"/>
      <c r="CQ593" s="37"/>
      <c r="CR593" s="37"/>
      <c r="CS593" s="37"/>
      <c r="CT593" s="37"/>
      <c r="CU593" s="37"/>
      <c r="CV593" s="37"/>
      <c r="CW593" s="37"/>
      <c r="CX593" s="37"/>
      <c r="CY593" s="37"/>
      <c r="CZ593" s="37"/>
      <c r="DA593" s="37"/>
      <c r="DB593" s="37"/>
      <c r="DC593" s="37"/>
      <c r="DD593" s="37"/>
      <c r="DE593" s="37"/>
      <c r="DF593" s="37"/>
      <c r="DG593" s="37"/>
      <c r="DH593" s="37"/>
      <c r="DI593" s="37"/>
      <c r="DJ593" s="37"/>
      <c r="DK593" s="39">
        <v>102.2</v>
      </c>
      <c r="DL593" s="37"/>
      <c r="DM593" s="37"/>
      <c r="DN593" s="37"/>
      <c r="DO593" s="39">
        <f t="shared" si="401"/>
        <v>2.4680185603762279</v>
      </c>
      <c r="DP593" s="37"/>
      <c r="DQ593" s="37">
        <f>DO593/'Conversions, Sources &amp; Comments'!E591</f>
        <v>5.1528761547787321</v>
      </c>
    </row>
    <row r="594" spans="1:121">
      <c r="A594" s="42">
        <f t="shared" si="414"/>
        <v>1842</v>
      </c>
      <c r="B594" s="36"/>
      <c r="C594" s="38">
        <v>57</v>
      </c>
      <c r="D594" s="38">
        <v>3</v>
      </c>
      <c r="E594" s="36"/>
      <c r="F594" s="36"/>
      <c r="G594" s="38">
        <v>19</v>
      </c>
      <c r="H594" s="38">
        <v>3</v>
      </c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59">
        <v>7.0319709953856115</v>
      </c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8">
        <v>9.5</v>
      </c>
      <c r="BG594" s="59">
        <v>32.42</v>
      </c>
      <c r="BH594" s="59">
        <v>5.54</v>
      </c>
      <c r="BI594" s="59">
        <v>0.72916666666666663</v>
      </c>
      <c r="BJ594" s="59">
        <v>7.065601014013108</v>
      </c>
      <c r="BK594" s="38">
        <v>14.132086956521741</v>
      </c>
      <c r="BL594" s="59">
        <v>3.85</v>
      </c>
      <c r="BM594" s="36"/>
      <c r="BN594" s="38">
        <f>59+7/16</f>
        <v>59.4375</v>
      </c>
      <c r="BO594" s="36"/>
      <c r="BP594" s="39">
        <f t="shared" si="412"/>
        <v>0.48399579390115671</v>
      </c>
      <c r="BQ594" s="37"/>
      <c r="BR594" s="39">
        <f t="shared" si="404"/>
        <v>1.1428271783501154</v>
      </c>
      <c r="BS594" s="39">
        <f t="shared" si="397"/>
        <v>2.5341937479392214</v>
      </c>
      <c r="BT594" s="37"/>
      <c r="BU594" s="37"/>
      <c r="BV594" s="39">
        <f t="shared" si="413"/>
        <v>0.64716955671809151</v>
      </c>
      <c r="BW594" s="39">
        <f t="shared" si="409"/>
        <v>5.0668855099710717</v>
      </c>
      <c r="BX594" s="39">
        <f t="shared" si="415"/>
        <v>0.51754450758116055</v>
      </c>
      <c r="BY594" s="39">
        <f t="shared" si="408"/>
        <v>7.5033496871658683</v>
      </c>
      <c r="BZ594" s="39">
        <f t="shared" si="405"/>
        <v>6.4622006132021532</v>
      </c>
      <c r="CA594" s="39">
        <f t="shared" si="410"/>
        <v>15.079412345955426</v>
      </c>
      <c r="CB594" s="39">
        <f t="shared" si="411"/>
        <v>4.1080795575728155</v>
      </c>
      <c r="CC594" s="37"/>
      <c r="CD594" s="37"/>
      <c r="CE594" s="37"/>
      <c r="CF594" s="37"/>
      <c r="CG594" s="37"/>
      <c r="CH594" s="37"/>
      <c r="CI594" s="37"/>
      <c r="CJ594" s="37"/>
      <c r="CK594" s="37"/>
      <c r="CL594" s="37"/>
      <c r="CM594" s="37"/>
      <c r="CN594" s="37"/>
      <c r="CO594" s="37"/>
      <c r="CP594" s="37"/>
      <c r="CQ594" s="37"/>
      <c r="CR594" s="37"/>
      <c r="CS594" s="37"/>
      <c r="CT594" s="37"/>
      <c r="CU594" s="37"/>
      <c r="CV594" s="37"/>
      <c r="CW594" s="37"/>
      <c r="CX594" s="37"/>
      <c r="CY594" s="37"/>
      <c r="CZ594" s="37"/>
      <c r="DA594" s="37"/>
      <c r="DB594" s="37"/>
      <c r="DC594" s="37"/>
      <c r="DD594" s="37"/>
      <c r="DE594" s="37"/>
      <c r="DF594" s="37"/>
      <c r="DG594" s="37"/>
      <c r="DH594" s="37"/>
      <c r="DI594" s="37"/>
      <c r="DJ594" s="37"/>
      <c r="DK594" s="39">
        <v>98.2</v>
      </c>
      <c r="DL594" s="37"/>
      <c r="DM594" s="37"/>
      <c r="DN594" s="37"/>
      <c r="DO594" s="39">
        <f t="shared" si="401"/>
        <v>2.3963590200285276</v>
      </c>
      <c r="DP594" s="37"/>
      <c r="DQ594" s="37">
        <f>DO594/'Conversions, Sources &amp; Comments'!E592</f>
        <v>4.9511980273901308</v>
      </c>
    </row>
    <row r="595" spans="1:121">
      <c r="A595" s="42">
        <f t="shared" si="414"/>
        <v>1843</v>
      </c>
      <c r="B595" s="36"/>
      <c r="C595" s="38">
        <v>50</v>
      </c>
      <c r="D595" s="38">
        <v>1</v>
      </c>
      <c r="E595" s="36"/>
      <c r="F595" s="36"/>
      <c r="G595" s="38">
        <v>18</v>
      </c>
      <c r="H595" s="38">
        <v>4</v>
      </c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59">
        <v>7.0319709953856115</v>
      </c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8">
        <v>7.5</v>
      </c>
      <c r="BG595" s="59">
        <v>29.17</v>
      </c>
      <c r="BH595" s="59">
        <v>4.96</v>
      </c>
      <c r="BI595" s="59">
        <v>1.125</v>
      </c>
      <c r="BJ595" s="59">
        <v>7.0170856512452371</v>
      </c>
      <c r="BK595" s="38">
        <v>11.44026086956522</v>
      </c>
      <c r="BL595" s="59">
        <v>3.91</v>
      </c>
      <c r="BM595" s="36"/>
      <c r="BN595" s="38">
        <f>59+3/16</f>
        <v>59.1875</v>
      </c>
      <c r="BO595" s="36"/>
      <c r="BP595" s="39">
        <f t="shared" si="412"/>
        <v>0.4860401267159451</v>
      </c>
      <c r="BQ595" s="37"/>
      <c r="BR595" s="39">
        <f t="shared" si="404"/>
        <v>1.003988718858122</v>
      </c>
      <c r="BS595" s="39">
        <f t="shared" si="397"/>
        <v>2.0091298735259815</v>
      </c>
      <c r="BT595" s="37"/>
      <c r="BU595" s="37"/>
      <c r="BV595" s="39">
        <f t="shared" si="413"/>
        <v>0.58475243119650089</v>
      </c>
      <c r="BW595" s="39">
        <f t="shared" si="409"/>
        <v>4.5555785656229908</v>
      </c>
      <c r="BX595" s="39">
        <f t="shared" si="415"/>
        <v>0.80186998468314741</v>
      </c>
      <c r="BY595" s="39">
        <f t="shared" si="408"/>
        <v>7.5350428220641392</v>
      </c>
      <c r="BZ595" s="39">
        <f t="shared" si="405"/>
        <v>6.444936489103517</v>
      </c>
      <c r="CA595" s="39">
        <f t="shared" si="410"/>
        <v>12.258704651131966</v>
      </c>
      <c r="CB595" s="39">
        <f t="shared" si="411"/>
        <v>4.189723969795069</v>
      </c>
      <c r="CC595" s="37"/>
      <c r="CD595" s="37"/>
      <c r="CE595" s="37"/>
      <c r="CF595" s="37"/>
      <c r="CG595" s="37"/>
      <c r="CH595" s="37"/>
      <c r="CI595" s="37"/>
      <c r="CJ595" s="37"/>
      <c r="CK595" s="37"/>
      <c r="CL595" s="37"/>
      <c r="CM595" s="37"/>
      <c r="CN595" s="37"/>
      <c r="CO595" s="37"/>
      <c r="CP595" s="37"/>
      <c r="CQ595" s="37"/>
      <c r="CR595" s="37"/>
      <c r="CS595" s="37"/>
      <c r="CT595" s="37"/>
      <c r="CU595" s="37"/>
      <c r="CV595" s="37"/>
      <c r="CW595" s="37"/>
      <c r="CX595" s="37"/>
      <c r="CY595" s="37"/>
      <c r="CZ595" s="37"/>
      <c r="DA595" s="37"/>
      <c r="DB595" s="37"/>
      <c r="DC595" s="37"/>
      <c r="DD595" s="37"/>
      <c r="DE595" s="37"/>
      <c r="DF595" s="37"/>
      <c r="DG595" s="37"/>
      <c r="DH595" s="37"/>
      <c r="DI595" s="37"/>
      <c r="DJ595" s="37"/>
      <c r="DK595" s="39">
        <v>89.4</v>
      </c>
      <c r="DL595" s="37"/>
      <c r="DM595" s="37"/>
      <c r="DN595" s="37"/>
      <c r="DO595" s="39">
        <f t="shared" si="401"/>
        <v>2.1908288589264999</v>
      </c>
      <c r="DP595" s="37"/>
      <c r="DQ595" s="37">
        <f>DO595/'Conversions, Sources &amp; Comments'!E593</f>
        <v>4.5075061471352118</v>
      </c>
    </row>
    <row r="596" spans="1:121">
      <c r="A596" s="42">
        <f t="shared" si="414"/>
        <v>1844</v>
      </c>
      <c r="B596" s="36"/>
      <c r="C596" s="38">
        <v>51</v>
      </c>
      <c r="D596" s="38">
        <v>3</v>
      </c>
      <c r="E596" s="36"/>
      <c r="F596" s="36"/>
      <c r="G596" s="38">
        <v>20</v>
      </c>
      <c r="H596" s="38">
        <v>7</v>
      </c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59">
        <v>6.411502966380989</v>
      </c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8">
        <v>8.5</v>
      </c>
      <c r="BG596" s="59">
        <v>34.42</v>
      </c>
      <c r="BH596" s="59">
        <v>4.67</v>
      </c>
      <c r="BI596" s="59">
        <v>1.1666666666666667</v>
      </c>
      <c r="BJ596" s="59">
        <v>6.6642466492970076</v>
      </c>
      <c r="BK596" s="38">
        <v>10.767304347826089</v>
      </c>
      <c r="BL596" s="59">
        <v>2.95</v>
      </c>
      <c r="BM596" s="36"/>
      <c r="BN596" s="38">
        <v>59.5</v>
      </c>
      <c r="BO596" s="36"/>
      <c r="BP596" s="39">
        <f t="shared" si="412"/>
        <v>0.48348739495798321</v>
      </c>
      <c r="BQ596" s="37"/>
      <c r="BR596" s="39">
        <f t="shared" si="404"/>
        <v>1.0219802601521353</v>
      </c>
      <c r="BS596" s="39">
        <f t="shared" si="397"/>
        <v>2.2650547502727436</v>
      </c>
      <c r="BT596" s="37"/>
      <c r="BU596" s="37"/>
      <c r="BV596" s="39">
        <f t="shared" si="413"/>
        <v>0.68637191325729752</v>
      </c>
      <c r="BW596" s="39">
        <f t="shared" si="409"/>
        <v>4.2666967357943424</v>
      </c>
      <c r="BX596" s="39">
        <f t="shared" si="415"/>
        <v>0.82720138942804</v>
      </c>
      <c r="BY596" s="39">
        <f t="shared" si="408"/>
        <v>6.8341031922681852</v>
      </c>
      <c r="BZ596" s="39">
        <f t="shared" si="405"/>
        <v>6.088719362973003</v>
      </c>
      <c r="CA596" s="39">
        <f t="shared" si="410"/>
        <v>11.477007715889243</v>
      </c>
      <c r="CB596" s="39">
        <f t="shared" si="411"/>
        <v>3.1444428120682786</v>
      </c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  <c r="CR596" s="37"/>
      <c r="CS596" s="37"/>
      <c r="CT596" s="37"/>
      <c r="CU596" s="37"/>
      <c r="CV596" s="37"/>
      <c r="CW596" s="37"/>
      <c r="CX596" s="37"/>
      <c r="CY596" s="37"/>
      <c r="CZ596" s="37"/>
      <c r="DA596" s="37"/>
      <c r="DB596" s="37"/>
      <c r="DC596" s="37"/>
      <c r="DD596" s="37"/>
      <c r="DE596" s="37"/>
      <c r="DF596" s="37"/>
      <c r="DG596" s="37"/>
      <c r="DH596" s="37"/>
      <c r="DI596" s="37"/>
      <c r="DJ596" s="37"/>
      <c r="DK596" s="39">
        <v>92.6</v>
      </c>
      <c r="DL596" s="37"/>
      <c r="DM596" s="37"/>
      <c r="DN596" s="37"/>
      <c r="DO596" s="39">
        <f t="shared" ref="DO596:DO627" si="416">($DK596*$DM$532/$DK$532)*$BP596/$BP$532</f>
        <v>2.2573294707803941</v>
      </c>
      <c r="DP596" s="37"/>
      <c r="DQ596" s="37">
        <f>DO596/'Conversions, Sources &amp; Comments'!E594</f>
        <v>4.6688486490460921</v>
      </c>
    </row>
    <row r="597" spans="1:121">
      <c r="A597" s="42">
        <f t="shared" si="414"/>
        <v>1845</v>
      </c>
      <c r="B597" s="36"/>
      <c r="C597" s="38">
        <v>50</v>
      </c>
      <c r="D597" s="38">
        <v>10</v>
      </c>
      <c r="E597" s="36"/>
      <c r="F597" s="36"/>
      <c r="G597" s="38">
        <v>22</v>
      </c>
      <c r="H597" s="38">
        <v>6</v>
      </c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59">
        <v>5.6876235992089619</v>
      </c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8">
        <v>7.5</v>
      </c>
      <c r="BG597" s="59">
        <v>38.92</v>
      </c>
      <c r="BH597" s="59">
        <v>5.25</v>
      </c>
      <c r="BI597" s="59">
        <v>0.71250000000000002</v>
      </c>
      <c r="BJ597" s="59">
        <v>7.619117198319362</v>
      </c>
      <c r="BK597" s="38">
        <v>12.786173913043479</v>
      </c>
      <c r="BL597" s="59">
        <v>2.7</v>
      </c>
      <c r="BM597" s="36"/>
      <c r="BN597" s="38">
        <v>59.25</v>
      </c>
      <c r="BO597" s="36"/>
      <c r="BP597" s="39">
        <f t="shared" si="412"/>
        <v>0.48552742616033756</v>
      </c>
      <c r="BQ597" s="37"/>
      <c r="BR597" s="39">
        <f t="shared" si="404"/>
        <v>1.0179485723912525</v>
      </c>
      <c r="BS597" s="39">
        <f t="shared" si="397"/>
        <v>2.0070105382163552</v>
      </c>
      <c r="BT597" s="37"/>
      <c r="BU597" s="37"/>
      <c r="BV597" s="39">
        <f t="shared" si="413"/>
        <v>0.77938147745837794</v>
      </c>
      <c r="BW597" s="39">
        <f t="shared" si="409"/>
        <v>4.8168465303942316</v>
      </c>
      <c r="BX597" s="39">
        <f t="shared" si="415"/>
        <v>0.50731528250365232</v>
      </c>
      <c r="BY597" s="39">
        <f t="shared" si="408"/>
        <v>6.0880911111195637</v>
      </c>
      <c r="BZ597" s="39">
        <f t="shared" si="405"/>
        <v>6.9904987126460254</v>
      </c>
      <c r="CA597" s="39">
        <f t="shared" si="410"/>
        <v>13.686452766680157</v>
      </c>
      <c r="CB597" s="39">
        <f t="shared" si="411"/>
        <v>2.8901079182365388</v>
      </c>
      <c r="CC597" s="37"/>
      <c r="CD597" s="37"/>
      <c r="CE597" s="37"/>
      <c r="CF597" s="37"/>
      <c r="CG597" s="37"/>
      <c r="CH597" s="37"/>
      <c r="CI597" s="37"/>
      <c r="CJ597" s="37"/>
      <c r="CK597" s="37"/>
      <c r="CL597" s="37"/>
      <c r="CM597" s="37"/>
      <c r="CN597" s="37"/>
      <c r="CO597" s="37"/>
      <c r="CP597" s="37"/>
      <c r="CQ597" s="37"/>
      <c r="CR597" s="37"/>
      <c r="CS597" s="37"/>
      <c r="CT597" s="37"/>
      <c r="CU597" s="37"/>
      <c r="CV597" s="37"/>
      <c r="CW597" s="37"/>
      <c r="CX597" s="37"/>
      <c r="CY597" s="37"/>
      <c r="CZ597" s="37"/>
      <c r="DA597" s="37"/>
      <c r="DB597" s="37"/>
      <c r="DC597" s="37"/>
      <c r="DD597" s="37"/>
      <c r="DE597" s="37"/>
      <c r="DF597" s="37"/>
      <c r="DG597" s="37"/>
      <c r="DH597" s="37"/>
      <c r="DI597" s="37"/>
      <c r="DJ597" s="37"/>
      <c r="DK597" s="39">
        <v>91.4</v>
      </c>
      <c r="DL597" s="37"/>
      <c r="DM597" s="37"/>
      <c r="DN597" s="37"/>
      <c r="DO597" s="39">
        <f t="shared" si="416"/>
        <v>2.2374779890723713</v>
      </c>
      <c r="DP597" s="37"/>
      <c r="DQ597" s="37">
        <f>DO597/'Conversions, Sources &amp; Comments'!E595</f>
        <v>4.608345210829512</v>
      </c>
    </row>
    <row r="598" spans="1:121">
      <c r="A598" s="42">
        <f t="shared" si="414"/>
        <v>1846</v>
      </c>
      <c r="B598" s="36"/>
      <c r="C598" s="38">
        <v>54</v>
      </c>
      <c r="D598" s="38">
        <v>8</v>
      </c>
      <c r="E598" s="36"/>
      <c r="F598" s="36"/>
      <c r="G598" s="38">
        <v>23</v>
      </c>
      <c r="H598" s="38">
        <v>8</v>
      </c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59">
        <v>5.9978576137112736</v>
      </c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8">
        <v>8.5</v>
      </c>
      <c r="BG598" s="59">
        <v>39.31</v>
      </c>
      <c r="BH598" s="59">
        <v>6.13</v>
      </c>
      <c r="BI598" s="59">
        <v>0.73333333333333328</v>
      </c>
      <c r="BJ598" s="59">
        <v>7.6058857357463294</v>
      </c>
      <c r="BK598" s="38">
        <v>13.122652173913043</v>
      </c>
      <c r="BL598" s="59">
        <v>3.95</v>
      </c>
      <c r="BM598" s="36"/>
      <c r="BN598" s="38">
        <f>59+5/16</f>
        <v>59.3125</v>
      </c>
      <c r="BO598" s="36"/>
      <c r="BP598" s="39">
        <f t="shared" si="412"/>
        <v>0.48501580611169653</v>
      </c>
      <c r="BQ598" s="37"/>
      <c r="BR598" s="39">
        <f t="shared" si="404"/>
        <v>1.0935583647795801</v>
      </c>
      <c r="BS598" s="39">
        <f t="shared" si="397"/>
        <v>2.2722150919490538</v>
      </c>
      <c r="BT598" s="37"/>
      <c r="BU598" s="37"/>
      <c r="BV598" s="39">
        <f t="shared" si="413"/>
        <v>0.78636181681985307</v>
      </c>
      <c r="BW598" s="39">
        <f t="shared" si="409"/>
        <v>5.6183152654499819</v>
      </c>
      <c r="BX598" s="39">
        <f t="shared" si="415"/>
        <v>0.5215988529333393</v>
      </c>
      <c r="BY598" s="39">
        <f t="shared" si="408"/>
        <v>6.4134036144036468</v>
      </c>
      <c r="BZ598" s="39">
        <f t="shared" si="405"/>
        <v>6.9710055361193914</v>
      </c>
      <c r="CA598" s="39">
        <f t="shared" si="410"/>
        <v>14.031821077302942</v>
      </c>
      <c r="CB598" s="39">
        <f t="shared" si="411"/>
        <v>4.2236654999916254</v>
      </c>
      <c r="CC598" s="37"/>
      <c r="CD598" s="37"/>
      <c r="CE598" s="37"/>
      <c r="CF598" s="37"/>
      <c r="CG598" s="37"/>
      <c r="CH598" s="37"/>
      <c r="CI598" s="37"/>
      <c r="CJ598" s="37"/>
      <c r="CK598" s="37"/>
      <c r="CL598" s="37"/>
      <c r="CM598" s="37"/>
      <c r="CN598" s="37"/>
      <c r="CO598" s="37"/>
      <c r="CP598" s="37"/>
      <c r="CQ598" s="37"/>
      <c r="CR598" s="37"/>
      <c r="CS598" s="37"/>
      <c r="CT598" s="37"/>
      <c r="CU598" s="37"/>
      <c r="CV598" s="37"/>
      <c r="CW598" s="37"/>
      <c r="CX598" s="37"/>
      <c r="CY598" s="37"/>
      <c r="CZ598" s="37"/>
      <c r="DA598" s="37"/>
      <c r="DB598" s="37"/>
      <c r="DC598" s="37"/>
      <c r="DD598" s="37"/>
      <c r="DE598" s="37"/>
      <c r="DF598" s="37"/>
      <c r="DG598" s="37"/>
      <c r="DH598" s="37"/>
      <c r="DI598" s="37"/>
      <c r="DJ598" s="37"/>
      <c r="DK598" s="39">
        <v>103.7</v>
      </c>
      <c r="DL598" s="37"/>
      <c r="DM598" s="37"/>
      <c r="DN598" s="37"/>
      <c r="DO598" s="39">
        <f t="shared" si="416"/>
        <v>2.5359077868276758</v>
      </c>
      <c r="DP598" s="37"/>
      <c r="DQ598" s="37">
        <f>DO598/'Conversions, Sources &amp; Comments'!E596</f>
        <v>5.2285054525494576</v>
      </c>
    </row>
    <row r="599" spans="1:121">
      <c r="A599" s="42">
        <f t="shared" si="414"/>
        <v>1847</v>
      </c>
      <c r="B599" s="36"/>
      <c r="C599" s="38">
        <v>69</v>
      </c>
      <c r="D599" s="38">
        <v>9</v>
      </c>
      <c r="E599" s="36"/>
      <c r="F599" s="36"/>
      <c r="G599" s="38">
        <v>28</v>
      </c>
      <c r="H599" s="38">
        <v>8</v>
      </c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59">
        <v>7.1353823335530659</v>
      </c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8">
        <v>11.5</v>
      </c>
      <c r="BG599" s="59">
        <v>47.01</v>
      </c>
      <c r="BH599" s="59">
        <v>6.56</v>
      </c>
      <c r="BI599" s="59">
        <v>0.78333333333333333</v>
      </c>
      <c r="BJ599" s="59">
        <v>7.9565194939323272</v>
      </c>
      <c r="BK599" s="38">
        <v>14.132086956521741</v>
      </c>
      <c r="BL599" s="59">
        <v>3.74</v>
      </c>
      <c r="BM599" s="36"/>
      <c r="BN599" s="38">
        <f>59+11/16</f>
        <v>59.6875</v>
      </c>
      <c r="BO599" s="36"/>
      <c r="BP599" s="39">
        <f t="shared" si="412"/>
        <v>0.48196858638743456</v>
      </c>
      <c r="BQ599" s="37"/>
      <c r="BR599" s="39">
        <f t="shared" si="404"/>
        <v>1.386520919108611</v>
      </c>
      <c r="BS599" s="39">
        <f t="shared" si="397"/>
        <v>3.0548591815196793</v>
      </c>
      <c r="BT599" s="37"/>
      <c r="BU599" s="37"/>
      <c r="BV599" s="39">
        <f t="shared" si="413"/>
        <v>0.93448528182502943</v>
      </c>
      <c r="BW599" s="39">
        <f t="shared" si="409"/>
        <v>5.974647828658803</v>
      </c>
      <c r="BX599" s="39">
        <f t="shared" si="415"/>
        <v>0.55366191426429645</v>
      </c>
      <c r="BY599" s="39">
        <f t="shared" si="408"/>
        <v>7.5818032510338522</v>
      </c>
      <c r="BZ599" s="39">
        <f t="shared" si="405"/>
        <v>7.2465551704427158</v>
      </c>
      <c r="CA599" s="39">
        <f t="shared" si="410"/>
        <v>15.016252503668699</v>
      </c>
      <c r="CB599" s="39">
        <f t="shared" si="411"/>
        <v>3.9739908575784417</v>
      </c>
      <c r="CC599" s="37"/>
      <c r="CD599" s="37"/>
      <c r="CE599" s="37"/>
      <c r="CF599" s="37"/>
      <c r="CG599" s="37"/>
      <c r="CH599" s="37"/>
      <c r="CI599" s="37"/>
      <c r="CJ599" s="37"/>
      <c r="CK599" s="37"/>
      <c r="CL599" s="37"/>
      <c r="CM599" s="37"/>
      <c r="CN599" s="37"/>
      <c r="CO599" s="37"/>
      <c r="CP599" s="37"/>
      <c r="CQ599" s="37"/>
      <c r="CR599" s="37"/>
      <c r="CS599" s="37"/>
      <c r="CT599" s="37"/>
      <c r="CU599" s="37"/>
      <c r="CV599" s="37"/>
      <c r="CW599" s="37"/>
      <c r="CX599" s="37"/>
      <c r="CY599" s="37"/>
      <c r="CZ599" s="37"/>
      <c r="DA599" s="37"/>
      <c r="DB599" s="37"/>
      <c r="DC599" s="37"/>
      <c r="DD599" s="37"/>
      <c r="DE599" s="37"/>
      <c r="DF599" s="37"/>
      <c r="DG599" s="37"/>
      <c r="DH599" s="37"/>
      <c r="DI599" s="37"/>
      <c r="DJ599" s="37"/>
      <c r="DK599" s="39">
        <v>116</v>
      </c>
      <c r="DL599" s="37"/>
      <c r="DM599" s="37"/>
      <c r="DN599" s="37"/>
      <c r="DO599" s="39">
        <f t="shared" si="416"/>
        <v>2.8188731369197075</v>
      </c>
      <c r="DP599" s="37"/>
      <c r="DQ599" s="37">
        <f>DO599/'Conversions, Sources &amp; Comments'!E597</f>
        <v>5.8486656942694024</v>
      </c>
    </row>
    <row r="600" spans="1:121">
      <c r="A600" s="42">
        <f t="shared" si="414"/>
        <v>1848</v>
      </c>
      <c r="B600" s="36"/>
      <c r="C600" s="38">
        <v>50</v>
      </c>
      <c r="D600" s="38">
        <v>6</v>
      </c>
      <c r="E600" s="36"/>
      <c r="F600" s="36"/>
      <c r="G600" s="38">
        <v>20</v>
      </c>
      <c r="H600" s="38">
        <v>6</v>
      </c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59">
        <v>6.8251483190507543</v>
      </c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8">
        <v>7.5</v>
      </c>
      <c r="BG600" s="59">
        <v>36.159999999999997</v>
      </c>
      <c r="BH600" s="59">
        <v>6.42</v>
      </c>
      <c r="BI600" s="59">
        <v>0.67083333333333328</v>
      </c>
      <c r="BJ600" s="59">
        <v>7.7536370678121225</v>
      </c>
      <c r="BK600" s="38">
        <v>14.468565217391307</v>
      </c>
      <c r="BL600" s="59">
        <v>3.8</v>
      </c>
      <c r="BM600" s="36"/>
      <c r="BN600" s="38">
        <v>59.5</v>
      </c>
      <c r="BO600" s="36"/>
      <c r="BP600" s="39">
        <f t="shared" si="412"/>
        <v>0.48348739495798321</v>
      </c>
      <c r="BQ600" s="37"/>
      <c r="BR600" s="39">
        <f t="shared" si="404"/>
        <v>1.0070244514669822</v>
      </c>
      <c r="BS600" s="39">
        <f t="shared" si="397"/>
        <v>1.9985777208288915</v>
      </c>
      <c r="BT600" s="37"/>
      <c r="BU600" s="37"/>
      <c r="BV600" s="39">
        <f t="shared" si="413"/>
        <v>0.72106938940685283</v>
      </c>
      <c r="BW600" s="39">
        <f t="shared" si="409"/>
        <v>5.8655659622697378</v>
      </c>
      <c r="BX600" s="39">
        <f t="shared" si="415"/>
        <v>0.47564079892112293</v>
      </c>
      <c r="BY600" s="39">
        <f t="shared" si="408"/>
        <v>7.2750130756403522</v>
      </c>
      <c r="BZ600" s="39">
        <f t="shared" si="405"/>
        <v>7.0840295434192715</v>
      </c>
      <c r="CA600" s="39">
        <f t="shared" si="410"/>
        <v>15.422229118226172</v>
      </c>
      <c r="CB600" s="39">
        <f t="shared" si="411"/>
        <v>4.050468707071003</v>
      </c>
      <c r="CC600" s="37"/>
      <c r="CD600" s="37"/>
      <c r="CE600" s="37"/>
      <c r="CF600" s="37"/>
      <c r="CG600" s="37"/>
      <c r="CH600" s="37"/>
      <c r="CI600" s="37"/>
      <c r="CJ600" s="37"/>
      <c r="CK600" s="37"/>
      <c r="CL600" s="37"/>
      <c r="CM600" s="37"/>
      <c r="CN600" s="37"/>
      <c r="CO600" s="37"/>
      <c r="CP600" s="37"/>
      <c r="CQ600" s="37"/>
      <c r="CR600" s="37"/>
      <c r="CS600" s="37"/>
      <c r="CT600" s="37"/>
      <c r="CU600" s="37"/>
      <c r="CV600" s="37"/>
      <c r="CW600" s="37"/>
      <c r="CX600" s="37"/>
      <c r="CY600" s="37"/>
      <c r="CZ600" s="37"/>
      <c r="DA600" s="37"/>
      <c r="DB600" s="37"/>
      <c r="DC600" s="37"/>
      <c r="DD600" s="37"/>
      <c r="DE600" s="37"/>
      <c r="DF600" s="37"/>
      <c r="DG600" s="37"/>
      <c r="DH600" s="37"/>
      <c r="DI600" s="37"/>
      <c r="DJ600" s="37"/>
      <c r="DK600" s="39">
        <v>97.3</v>
      </c>
      <c r="DL600" s="37"/>
      <c r="DM600" s="37"/>
      <c r="DN600" s="37"/>
      <c r="DO600" s="39">
        <f t="shared" si="416"/>
        <v>2.3719023488869588</v>
      </c>
      <c r="DP600" s="37"/>
      <c r="DQ600" s="37">
        <f>DO600/'Conversions, Sources &amp; Comments'!E598</f>
        <v>4.905820448727698</v>
      </c>
    </row>
    <row r="601" spans="1:121">
      <c r="A601" s="42">
        <f t="shared" si="414"/>
        <v>1849</v>
      </c>
      <c r="B601" s="36"/>
      <c r="C601" s="38">
        <v>44</v>
      </c>
      <c r="D601" s="38">
        <v>3</v>
      </c>
      <c r="E601" s="36"/>
      <c r="F601" s="36"/>
      <c r="G601" s="38">
        <v>17</v>
      </c>
      <c r="H601" s="38">
        <v>6</v>
      </c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59">
        <v>6.8251483190507543</v>
      </c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8">
        <v>7</v>
      </c>
      <c r="BG601" s="59">
        <v>36.159999999999997</v>
      </c>
      <c r="BH601" s="59">
        <v>5.25</v>
      </c>
      <c r="BI601" s="59">
        <v>0.7</v>
      </c>
      <c r="BJ601" s="59">
        <v>7.3831561157664991</v>
      </c>
      <c r="BK601" s="38">
        <v>13.45913043478261</v>
      </c>
      <c r="BL601" s="59">
        <v>3.9</v>
      </c>
      <c r="BM601" s="36"/>
      <c r="BN601" s="38">
        <v>59.75</v>
      </c>
      <c r="BO601" s="36"/>
      <c r="BP601" s="39">
        <f t="shared" si="412"/>
        <v>0.48146443514644355</v>
      </c>
      <c r="BQ601" s="37"/>
      <c r="BR601" s="39">
        <f t="shared" si="404"/>
        <v>0.87870069270678341</v>
      </c>
      <c r="BS601" s="39">
        <f t="shared" si="397"/>
        <v>1.8575344395542166</v>
      </c>
      <c r="BT601" s="37"/>
      <c r="BU601" s="37"/>
      <c r="BV601" s="39">
        <f t="shared" si="413"/>
        <v>0.71805236267293293</v>
      </c>
      <c r="BW601" s="39">
        <f t="shared" si="409"/>
        <v>4.7765381912277523</v>
      </c>
      <c r="BX601" s="39">
        <f t="shared" si="415"/>
        <v>0.49424417744905474</v>
      </c>
      <c r="BY601" s="39">
        <f t="shared" si="408"/>
        <v>7.244573690386626</v>
      </c>
      <c r="BZ601" s="39">
        <f t="shared" si="405"/>
        <v>6.7173194588105574</v>
      </c>
      <c r="CA601" s="39">
        <f t="shared" si="410"/>
        <v>14.28623345387887</v>
      </c>
      <c r="CB601" s="39">
        <f t="shared" si="411"/>
        <v>4.1396664323973846</v>
      </c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9">
        <v>93.7</v>
      </c>
      <c r="DL601" s="37"/>
      <c r="DM601" s="37"/>
      <c r="DN601" s="37"/>
      <c r="DO601" s="39">
        <f t="shared" si="416"/>
        <v>2.2745873101604626</v>
      </c>
      <c r="DP601" s="37"/>
      <c r="DQ601" s="37">
        <f>DO601/'Conversions, Sources &amp; Comments'!E599</f>
        <v>4.7243101340779567</v>
      </c>
    </row>
    <row r="602" spans="1:121">
      <c r="A602" s="42">
        <f t="shared" si="414"/>
        <v>1850</v>
      </c>
      <c r="B602" s="36"/>
      <c r="C602" s="38">
        <v>40</v>
      </c>
      <c r="D602" s="38">
        <v>3</v>
      </c>
      <c r="E602" s="36"/>
      <c r="F602" s="36"/>
      <c r="G602" s="38">
        <v>16</v>
      </c>
      <c r="H602" s="38">
        <v>5</v>
      </c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59">
        <v>5.9978576137112736</v>
      </c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8">
        <v>6.75</v>
      </c>
      <c r="BG602" s="59">
        <v>36.159999999999997</v>
      </c>
      <c r="BH602" s="59">
        <v>5.25</v>
      </c>
      <c r="BI602" s="59">
        <v>0.7</v>
      </c>
      <c r="BJ602" s="59">
        <v>7.2640729526089522</v>
      </c>
      <c r="BK602" s="38">
        <v>11.44026086956522</v>
      </c>
      <c r="BL602" s="59">
        <v>4</v>
      </c>
      <c r="BM602" s="36"/>
      <c r="BN602" s="38">
        <f>60+1/16</f>
        <v>60.0625</v>
      </c>
      <c r="BO602" s="36"/>
      <c r="BP602" s="39">
        <f t="shared" si="412"/>
        <v>0.4789594172736733</v>
      </c>
      <c r="BQ602" s="37"/>
      <c r="BR602" s="39">
        <f t="shared" ref="BR602:BR633" si="417">(31.1*0.925/$BN602)*(12*C602+D602)/36.3687/8</f>
        <v>0.79511158820353844</v>
      </c>
      <c r="BS602" s="39">
        <f t="shared" si="397"/>
        <v>1.7818744965725226</v>
      </c>
      <c r="BT602" s="37"/>
      <c r="BU602" s="37"/>
      <c r="BV602" s="39">
        <f t="shared" si="413"/>
        <v>0.71431639824695514</v>
      </c>
      <c r="BW602" s="39">
        <f t="shared" si="409"/>
        <v>4.7516862755605942</v>
      </c>
      <c r="BX602" s="39">
        <f t="shared" si="415"/>
        <v>0.4916726676808495</v>
      </c>
      <c r="BY602" s="39">
        <f t="shared" si="408"/>
        <v>6.3333194901863274</v>
      </c>
      <c r="BZ602" s="39">
        <f t="shared" si="405"/>
        <v>6.5745896673491213</v>
      </c>
      <c r="CA602" s="39">
        <f t="shared" si="410"/>
        <v>12.080117902832436</v>
      </c>
      <c r="CB602" s="39">
        <f t="shared" si="411"/>
        <v>4.2237211338316394</v>
      </c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9">
        <v>88.2</v>
      </c>
      <c r="DL602" s="37"/>
      <c r="DM602" s="37"/>
      <c r="DN602" s="37"/>
      <c r="DO602" s="39">
        <f t="shared" si="416"/>
        <v>2.1299338260781147</v>
      </c>
      <c r="DP602" s="39"/>
      <c r="DQ602" s="37">
        <f>DO602/'Conversions, Sources &amp; Comments'!E600</f>
        <v>4.4470027089186317</v>
      </c>
    </row>
    <row r="603" spans="1:121">
      <c r="A603" s="42">
        <f t="shared" si="414"/>
        <v>1851</v>
      </c>
      <c r="B603" s="36"/>
      <c r="C603" s="38">
        <v>38</v>
      </c>
      <c r="D603" s="38">
        <v>6</v>
      </c>
      <c r="E603" s="36"/>
      <c r="F603" s="36"/>
      <c r="G603" s="38">
        <v>18</v>
      </c>
      <c r="H603" s="38">
        <v>7</v>
      </c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8">
        <v>6.75</v>
      </c>
      <c r="BG603" s="36"/>
      <c r="BH603" s="36"/>
      <c r="BI603" s="36"/>
      <c r="BJ603" s="36"/>
      <c r="BK603" s="36"/>
      <c r="BL603" s="36"/>
      <c r="BM603" s="36"/>
      <c r="BN603" s="38">
        <v>61</v>
      </c>
      <c r="BO603" s="36"/>
      <c r="BP603" s="39">
        <f t="shared" si="412"/>
        <v>0.47159836065573774</v>
      </c>
      <c r="BQ603" s="37"/>
      <c r="BR603" s="39">
        <f t="shared" si="417"/>
        <v>0.74885286875441959</v>
      </c>
      <c r="BS603" s="39">
        <f t="shared" si="397"/>
        <v>1.7544891303342154</v>
      </c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  <c r="CJ603" s="37"/>
      <c r="CK603" s="37"/>
      <c r="CL603" s="37"/>
      <c r="CM603" s="37"/>
      <c r="CN603" s="37"/>
      <c r="CO603" s="37"/>
      <c r="CP603" s="37"/>
      <c r="CQ603" s="37"/>
      <c r="CR603" s="37"/>
      <c r="CS603" s="37"/>
      <c r="CT603" s="37"/>
      <c r="CU603" s="37"/>
      <c r="CV603" s="37"/>
      <c r="CW603" s="37"/>
      <c r="CX603" s="37"/>
      <c r="CY603" s="37"/>
      <c r="CZ603" s="37"/>
      <c r="DA603" s="37"/>
      <c r="DB603" s="37"/>
      <c r="DC603" s="37"/>
      <c r="DD603" s="37"/>
      <c r="DE603" s="37"/>
      <c r="DF603" s="37"/>
      <c r="DG603" s="37"/>
      <c r="DH603" s="37"/>
      <c r="DI603" s="37"/>
      <c r="DJ603" s="37"/>
      <c r="DK603" s="39">
        <v>84.3</v>
      </c>
      <c r="DL603" s="37"/>
      <c r="DM603" s="37"/>
      <c r="DN603" s="37"/>
      <c r="DO603" s="39">
        <f t="shared" si="416"/>
        <v>2.004465889957483</v>
      </c>
      <c r="DP603" s="37"/>
      <c r="DQ603" s="37">
        <f>DO603/'Conversions, Sources &amp; Comments'!E601</f>
        <v>4.2503665347147459</v>
      </c>
    </row>
    <row r="604" spans="1:121">
      <c r="A604" s="42">
        <f t="shared" si="414"/>
        <v>1852</v>
      </c>
      <c r="B604" s="36"/>
      <c r="C604" s="38">
        <v>40</v>
      </c>
      <c r="D604" s="38">
        <v>9</v>
      </c>
      <c r="E604" s="36"/>
      <c r="F604" s="36"/>
      <c r="G604" s="38">
        <v>19</v>
      </c>
      <c r="H604" s="38">
        <v>1</v>
      </c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8">
        <v>6.75</v>
      </c>
      <c r="BG604" s="36"/>
      <c r="BH604" s="36"/>
      <c r="BI604" s="36"/>
      <c r="BJ604" s="36"/>
      <c r="BK604" s="36"/>
      <c r="BL604" s="36"/>
      <c r="BM604" s="36"/>
      <c r="BN604" s="38">
        <v>60.5</v>
      </c>
      <c r="BO604" s="36"/>
      <c r="BP604" s="39">
        <f t="shared" si="412"/>
        <v>0.47549586776859509</v>
      </c>
      <c r="BQ604" s="37"/>
      <c r="BR604" s="39">
        <f t="shared" si="417"/>
        <v>0.79916755114577587</v>
      </c>
      <c r="BS604" s="39">
        <f t="shared" si="397"/>
        <v>1.7689890405022668</v>
      </c>
      <c r="BT604" s="37"/>
      <c r="BU604" s="37"/>
      <c r="BV604" s="37"/>
      <c r="BW604" s="37"/>
      <c r="BX604" s="37"/>
      <c r="BY604" s="37"/>
      <c r="BZ604" s="37"/>
      <c r="CA604" s="37"/>
      <c r="CB604" s="37"/>
      <c r="CC604" s="37"/>
      <c r="CD604" s="37"/>
      <c r="CE604" s="37"/>
      <c r="CF604" s="37"/>
      <c r="CG604" s="37"/>
      <c r="CH604" s="37"/>
      <c r="CI604" s="37"/>
      <c r="CJ604" s="37"/>
      <c r="CK604" s="37"/>
      <c r="CL604" s="37"/>
      <c r="CM604" s="37"/>
      <c r="CN604" s="37"/>
      <c r="CO604" s="37"/>
      <c r="CP604" s="37"/>
      <c r="CQ604" s="37"/>
      <c r="CR604" s="37"/>
      <c r="CS604" s="37"/>
      <c r="CT604" s="37"/>
      <c r="CU604" s="37"/>
      <c r="CV604" s="37"/>
      <c r="CW604" s="37"/>
      <c r="CX604" s="37"/>
      <c r="CY604" s="37"/>
      <c r="CZ604" s="37"/>
      <c r="DA604" s="37"/>
      <c r="DB604" s="37"/>
      <c r="DC604" s="37"/>
      <c r="DD604" s="37"/>
      <c r="DE604" s="37"/>
      <c r="DF604" s="37"/>
      <c r="DG604" s="37"/>
      <c r="DH604" s="37"/>
      <c r="DI604" s="37"/>
      <c r="DJ604" s="37"/>
      <c r="DK604" s="39">
        <v>85.7</v>
      </c>
      <c r="DL604" s="37"/>
      <c r="DM604" s="37"/>
      <c r="DN604" s="37"/>
      <c r="DO604" s="39">
        <f t="shared" si="416"/>
        <v>2.0545957144261906</v>
      </c>
      <c r="DP604" s="37"/>
      <c r="DQ604" s="37">
        <f>DO604/'Conversions, Sources &amp; Comments'!E602</f>
        <v>4.3209538793007569</v>
      </c>
    </row>
    <row r="605" spans="1:121">
      <c r="A605" s="42">
        <f t="shared" si="414"/>
        <v>1853</v>
      </c>
      <c r="B605" s="36"/>
      <c r="C605" s="38">
        <v>53</v>
      </c>
      <c r="D605" s="38">
        <v>3</v>
      </c>
      <c r="E605" s="36"/>
      <c r="F605" s="36"/>
      <c r="G605" s="38">
        <v>21</v>
      </c>
      <c r="H605" s="38">
        <v>0</v>
      </c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8">
        <v>8.33</v>
      </c>
      <c r="BG605" s="36"/>
      <c r="BH605" s="36"/>
      <c r="BI605" s="36"/>
      <c r="BJ605" s="36"/>
      <c r="BK605" s="36"/>
      <c r="BL605" s="36"/>
      <c r="BM605" s="36"/>
      <c r="BN605" s="38">
        <v>61.5</v>
      </c>
      <c r="BO605" s="36"/>
      <c r="BP605" s="39">
        <f t="shared" si="412"/>
        <v>0.46776422764227643</v>
      </c>
      <c r="BQ605" s="37"/>
      <c r="BR605" s="39">
        <f t="shared" si="417"/>
        <v>1.0273303055354421</v>
      </c>
      <c r="BS605" s="39">
        <f t="shared" si="397"/>
        <v>2.1475665445268892</v>
      </c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  <c r="DI605" s="37"/>
      <c r="DJ605" s="37"/>
      <c r="DK605" s="39">
        <v>99.7</v>
      </c>
      <c r="DL605" s="37"/>
      <c r="DM605" s="37"/>
      <c r="DN605" s="37"/>
      <c r="DO605" s="39">
        <f t="shared" si="416"/>
        <v>2.3513700012449585</v>
      </c>
      <c r="DP605" s="37"/>
      <c r="DQ605" s="37">
        <f>DO605/'Conversions, Sources &amp; Comments'!E603</f>
        <v>5.0268273251608564</v>
      </c>
    </row>
    <row r="606" spans="1:121">
      <c r="A606" s="42">
        <f t="shared" si="414"/>
        <v>1854</v>
      </c>
      <c r="B606" s="36"/>
      <c r="C606" s="38">
        <v>72</v>
      </c>
      <c r="D606" s="38">
        <v>5</v>
      </c>
      <c r="E606" s="36"/>
      <c r="F606" s="36"/>
      <c r="G606" s="38">
        <v>27</v>
      </c>
      <c r="H606" s="38">
        <v>11</v>
      </c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8">
        <v>10.5</v>
      </c>
      <c r="BG606" s="36"/>
      <c r="BH606" s="36"/>
      <c r="BI606" s="36"/>
      <c r="BJ606" s="36"/>
      <c r="BK606" s="36"/>
      <c r="BL606" s="36"/>
      <c r="BM606" s="36"/>
      <c r="BN606" s="38">
        <v>61.5</v>
      </c>
      <c r="BO606" s="36"/>
      <c r="BP606" s="39">
        <f t="shared" si="412"/>
        <v>0.46776422764227643</v>
      </c>
      <c r="BQ606" s="37"/>
      <c r="BR606" s="39">
        <f t="shared" si="417"/>
        <v>1.3971049069018766</v>
      </c>
      <c r="BS606" s="39">
        <f t="shared" si="397"/>
        <v>2.7070166527649864</v>
      </c>
      <c r="BT606" s="37"/>
      <c r="BU606" s="37"/>
      <c r="BV606" s="37"/>
      <c r="BW606" s="37"/>
      <c r="BX606" s="37"/>
      <c r="BY606" s="37"/>
      <c r="BZ606" s="37"/>
      <c r="CA606" s="37"/>
      <c r="CB606" s="37"/>
      <c r="CC606" s="37"/>
      <c r="CD606" s="37"/>
      <c r="CE606" s="37"/>
      <c r="CF606" s="37"/>
      <c r="CG606" s="37"/>
      <c r="CH606" s="37"/>
      <c r="CI606" s="37"/>
      <c r="CJ606" s="37"/>
      <c r="CK606" s="37"/>
      <c r="CL606" s="37"/>
      <c r="CM606" s="37"/>
      <c r="CN606" s="37"/>
      <c r="CO606" s="37"/>
      <c r="CP606" s="37"/>
      <c r="CQ606" s="37"/>
      <c r="CR606" s="37"/>
      <c r="CS606" s="37"/>
      <c r="CT606" s="37"/>
      <c r="CU606" s="37"/>
      <c r="CV606" s="37"/>
      <c r="CW606" s="37"/>
      <c r="CX606" s="37"/>
      <c r="CY606" s="37"/>
      <c r="CZ606" s="37"/>
      <c r="DA606" s="37"/>
      <c r="DB606" s="37"/>
      <c r="DC606" s="37"/>
      <c r="DD606" s="37"/>
      <c r="DE606" s="37"/>
      <c r="DF606" s="37"/>
      <c r="DG606" s="37"/>
      <c r="DH606" s="37"/>
      <c r="DI606" s="37"/>
      <c r="DJ606" s="37"/>
      <c r="DK606" s="39">
        <v>108.3</v>
      </c>
      <c r="DL606" s="37"/>
      <c r="DM606" s="37"/>
      <c r="DN606" s="37"/>
      <c r="DO606" s="39">
        <f t="shared" si="416"/>
        <v>2.5541963002490373</v>
      </c>
      <c r="DP606" s="37"/>
      <c r="DQ606" s="37">
        <f>DO606/'Conversions, Sources &amp; Comments'!E604</f>
        <v>5.4604352990463472</v>
      </c>
    </row>
    <row r="607" spans="1:121">
      <c r="A607" s="42">
        <f t="shared" si="414"/>
        <v>1855</v>
      </c>
      <c r="B607" s="36"/>
      <c r="C607" s="38">
        <v>74</v>
      </c>
      <c r="D607" s="38">
        <v>8</v>
      </c>
      <c r="E607" s="36"/>
      <c r="F607" s="36"/>
      <c r="G607" s="38">
        <v>27</v>
      </c>
      <c r="H607" s="38">
        <v>5</v>
      </c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8">
        <v>10.75</v>
      </c>
      <c r="BG607" s="36"/>
      <c r="BH607" s="36"/>
      <c r="BI607" s="36"/>
      <c r="BJ607" s="36"/>
      <c r="BK607" s="36"/>
      <c r="BL607" s="36"/>
      <c r="BM607" s="36"/>
      <c r="BN607" s="38">
        <f>61+5/16</f>
        <v>61.3125</v>
      </c>
      <c r="BO607" s="36"/>
      <c r="BP607" s="39">
        <f t="shared" si="412"/>
        <v>0.46919469928644242</v>
      </c>
      <c r="BQ607" s="37"/>
      <c r="BR607" s="39">
        <f t="shared" si="417"/>
        <v>1.4449184689054477</v>
      </c>
      <c r="BS607" s="39">
        <f t="shared" si="397"/>
        <v>2.7799448718943767</v>
      </c>
      <c r="BT607" s="37"/>
      <c r="BU607" s="37"/>
      <c r="BV607" s="37"/>
      <c r="BW607" s="37"/>
      <c r="BX607" s="37"/>
      <c r="BY607" s="37"/>
      <c r="BZ607" s="37"/>
      <c r="CA607" s="37"/>
      <c r="CB607" s="37"/>
      <c r="CC607" s="37"/>
      <c r="CD607" s="37"/>
      <c r="CE607" s="37"/>
      <c r="CF607" s="37"/>
      <c r="CG607" s="37"/>
      <c r="CH607" s="37"/>
      <c r="CI607" s="37"/>
      <c r="CJ607" s="37"/>
      <c r="CK607" s="37"/>
      <c r="CL607" s="37"/>
      <c r="CM607" s="37"/>
      <c r="CN607" s="37"/>
      <c r="CO607" s="37"/>
      <c r="CP607" s="37"/>
      <c r="CQ607" s="37"/>
      <c r="CR607" s="37"/>
      <c r="CS607" s="37"/>
      <c r="CT607" s="37"/>
      <c r="CU607" s="37"/>
      <c r="CV607" s="37"/>
      <c r="CW607" s="37"/>
      <c r="CX607" s="37"/>
      <c r="CY607" s="37"/>
      <c r="CZ607" s="37"/>
      <c r="DA607" s="37"/>
      <c r="DB607" s="37"/>
      <c r="DC607" s="37"/>
      <c r="DD607" s="37"/>
      <c r="DE607" s="37"/>
      <c r="DF607" s="37"/>
      <c r="DG607" s="37"/>
      <c r="DH607" s="37"/>
      <c r="DI607" s="37"/>
      <c r="DJ607" s="37"/>
      <c r="DK607" s="39">
        <v>110.1</v>
      </c>
      <c r="DL607" s="37"/>
      <c r="DM607" s="37"/>
      <c r="DN607" s="37"/>
      <c r="DO607" s="39">
        <f t="shared" si="416"/>
        <v>2.6045891368588618</v>
      </c>
      <c r="DP607" s="37"/>
      <c r="DQ607" s="37">
        <f>DO607/'Conversions, Sources &amp; Comments'!E605</f>
        <v>5.5511904563712164</v>
      </c>
    </row>
    <row r="608" spans="1:121">
      <c r="A608" s="42">
        <f t="shared" si="414"/>
        <v>1856</v>
      </c>
      <c r="B608" s="36"/>
      <c r="C608" s="38">
        <v>69</v>
      </c>
      <c r="D608" s="38">
        <v>2</v>
      </c>
      <c r="E608" s="36"/>
      <c r="F608" s="36"/>
      <c r="G608" s="38">
        <v>25</v>
      </c>
      <c r="H608" s="38">
        <v>2</v>
      </c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8">
        <v>10.75</v>
      </c>
      <c r="BG608" s="36"/>
      <c r="BH608" s="36"/>
      <c r="BI608" s="36"/>
      <c r="BJ608" s="36"/>
      <c r="BK608" s="36"/>
      <c r="BL608" s="36"/>
      <c r="BM608" s="36"/>
      <c r="BN608" s="38">
        <f>61+5/16</f>
        <v>61.3125</v>
      </c>
      <c r="BO608" s="36"/>
      <c r="BP608" s="39">
        <f t="shared" si="412"/>
        <v>0.46919469928644242</v>
      </c>
      <c r="BQ608" s="37"/>
      <c r="BR608" s="39">
        <f t="shared" si="417"/>
        <v>1.3384847424012518</v>
      </c>
      <c r="BS608" s="39">
        <f t="shared" si="397"/>
        <v>2.7799448718943767</v>
      </c>
      <c r="BT608" s="37"/>
      <c r="BU608" s="37"/>
      <c r="BV608" s="37"/>
      <c r="BW608" s="37"/>
      <c r="BX608" s="37"/>
      <c r="BY608" s="37"/>
      <c r="BZ608" s="37"/>
      <c r="CA608" s="37"/>
      <c r="CB608" s="37"/>
      <c r="CC608" s="37"/>
      <c r="CD608" s="37"/>
      <c r="CE608" s="37"/>
      <c r="CF608" s="37"/>
      <c r="CG608" s="37"/>
      <c r="CH608" s="37"/>
      <c r="CI608" s="37"/>
      <c r="CJ608" s="37"/>
      <c r="CK608" s="37"/>
      <c r="CL608" s="37"/>
      <c r="CM608" s="37"/>
      <c r="CN608" s="37"/>
      <c r="CO608" s="37"/>
      <c r="CP608" s="37"/>
      <c r="CQ608" s="37"/>
      <c r="CR608" s="37"/>
      <c r="CS608" s="37"/>
      <c r="CT608" s="37"/>
      <c r="CU608" s="37"/>
      <c r="CV608" s="37"/>
      <c r="CW608" s="37"/>
      <c r="CX608" s="37"/>
      <c r="CY608" s="37"/>
      <c r="CZ608" s="37"/>
      <c r="DA608" s="37"/>
      <c r="DB608" s="37"/>
      <c r="DC608" s="37"/>
      <c r="DD608" s="37"/>
      <c r="DE608" s="37"/>
      <c r="DF608" s="37"/>
      <c r="DG608" s="37"/>
      <c r="DH608" s="37"/>
      <c r="DI608" s="37"/>
      <c r="DJ608" s="37"/>
      <c r="DK608" s="39">
        <v>109.9</v>
      </c>
      <c r="DL608" s="37"/>
      <c r="DM608" s="37"/>
      <c r="DN608" s="37"/>
      <c r="DO608" s="39">
        <f t="shared" si="416"/>
        <v>2.599857821442225</v>
      </c>
      <c r="DP608" s="37"/>
      <c r="DQ608" s="37">
        <f>DO608/'Conversions, Sources &amp; Comments'!E606</f>
        <v>5.5411065500017873</v>
      </c>
    </row>
    <row r="609" spans="1:121">
      <c r="A609" s="42">
        <f t="shared" si="414"/>
        <v>1857</v>
      </c>
      <c r="B609" s="36"/>
      <c r="C609" s="38">
        <v>56</v>
      </c>
      <c r="D609" s="38">
        <v>4</v>
      </c>
      <c r="E609" s="36"/>
      <c r="F609" s="36"/>
      <c r="G609" s="38">
        <v>25</v>
      </c>
      <c r="H609" s="38">
        <v>0</v>
      </c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8">
        <v>9</v>
      </c>
      <c r="BG609" s="36"/>
      <c r="BH609" s="36"/>
      <c r="BI609" s="36"/>
      <c r="BJ609" s="36"/>
      <c r="BK609" s="36"/>
      <c r="BL609" s="36"/>
      <c r="BM609" s="36"/>
      <c r="BN609" s="38">
        <v>61.75</v>
      </c>
      <c r="BO609" s="36"/>
      <c r="BP609" s="39">
        <f t="shared" si="412"/>
        <v>0.46587044534412958</v>
      </c>
      <c r="BQ609" s="37"/>
      <c r="BR609" s="39">
        <f t="shared" si="417"/>
        <v>1.0824157209792749</v>
      </c>
      <c r="BS609" s="39">
        <f t="shared" si="397"/>
        <v>2.3109060610070098</v>
      </c>
      <c r="BT609" s="37"/>
      <c r="BU609" s="37"/>
      <c r="BV609" s="37"/>
      <c r="BW609" s="37"/>
      <c r="BX609" s="37"/>
      <c r="BY609" s="37"/>
      <c r="BZ609" s="37"/>
      <c r="CA609" s="37"/>
      <c r="CB609" s="37"/>
      <c r="CC609" s="37"/>
      <c r="CD609" s="37"/>
      <c r="CE609" s="37"/>
      <c r="CF609" s="37"/>
      <c r="CG609" s="37"/>
      <c r="CH609" s="37"/>
      <c r="CI609" s="37"/>
      <c r="CJ609" s="37"/>
      <c r="CK609" s="37"/>
      <c r="CL609" s="37"/>
      <c r="CM609" s="37"/>
      <c r="CN609" s="37"/>
      <c r="CO609" s="37"/>
      <c r="CP609" s="37"/>
      <c r="CQ609" s="37"/>
      <c r="CR609" s="37"/>
      <c r="CS609" s="37"/>
      <c r="CT609" s="37"/>
      <c r="CU609" s="37"/>
      <c r="CV609" s="37"/>
      <c r="CW609" s="37"/>
      <c r="CX609" s="37"/>
      <c r="CY609" s="37"/>
      <c r="CZ609" s="37"/>
      <c r="DA609" s="37"/>
      <c r="DB609" s="37"/>
      <c r="DC609" s="37"/>
      <c r="DD609" s="37"/>
      <c r="DE609" s="37"/>
      <c r="DF609" s="37"/>
      <c r="DG609" s="37"/>
      <c r="DH609" s="37"/>
      <c r="DI609" s="37"/>
      <c r="DJ609" s="37"/>
      <c r="DK609" s="39">
        <v>106.4</v>
      </c>
      <c r="DL609" s="37"/>
      <c r="DM609" s="37"/>
      <c r="DN609" s="37"/>
      <c r="DO609" s="39">
        <f t="shared" si="416"/>
        <v>2.4992263820037457</v>
      </c>
      <c r="DP609" s="37"/>
      <c r="DQ609" s="37">
        <f>DO609/'Conversions, Sources &amp; Comments'!E607</f>
        <v>5.3646381885367616</v>
      </c>
    </row>
    <row r="610" spans="1:121">
      <c r="A610" s="42">
        <f t="shared" si="414"/>
        <v>1858</v>
      </c>
      <c r="B610" s="36"/>
      <c r="C610" s="38">
        <v>44</v>
      </c>
      <c r="D610" s="38">
        <v>2</v>
      </c>
      <c r="E610" s="36"/>
      <c r="F610" s="36"/>
      <c r="G610" s="38">
        <v>24</v>
      </c>
      <c r="H610" s="38">
        <v>6</v>
      </c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8">
        <v>7.5</v>
      </c>
      <c r="BG610" s="36"/>
      <c r="BH610" s="36"/>
      <c r="BI610" s="36"/>
      <c r="BJ610" s="36"/>
      <c r="BK610" s="36"/>
      <c r="BL610" s="36"/>
      <c r="BM610" s="36"/>
      <c r="BN610" s="38">
        <f>61+5/16</f>
        <v>61.3125</v>
      </c>
      <c r="BO610" s="36"/>
      <c r="BP610" s="39">
        <f t="shared" si="412"/>
        <v>0.46919469928644242</v>
      </c>
      <c r="BQ610" s="37"/>
      <c r="BR610" s="39">
        <f t="shared" si="417"/>
        <v>0.85469507647308851</v>
      </c>
      <c r="BS610" s="39">
        <f t="shared" si="397"/>
        <v>1.9394964222518907</v>
      </c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37"/>
      <c r="CF610" s="37"/>
      <c r="CG610" s="37"/>
      <c r="CH610" s="37"/>
      <c r="CI610" s="37"/>
      <c r="CJ610" s="37"/>
      <c r="CK610" s="37"/>
      <c r="CL610" s="37"/>
      <c r="CM610" s="37"/>
      <c r="CN610" s="37"/>
      <c r="CO610" s="37"/>
      <c r="CP610" s="37"/>
      <c r="CQ610" s="37"/>
      <c r="CR610" s="37"/>
      <c r="CS610" s="37"/>
      <c r="CT610" s="37"/>
      <c r="CU610" s="37"/>
      <c r="CV610" s="37"/>
      <c r="CW610" s="37"/>
      <c r="CX610" s="37"/>
      <c r="CY610" s="37"/>
      <c r="CZ610" s="37"/>
      <c r="DA610" s="37"/>
      <c r="DB610" s="37"/>
      <c r="DC610" s="37"/>
      <c r="DD610" s="37"/>
      <c r="DE610" s="37"/>
      <c r="DF610" s="37"/>
      <c r="DG610" s="37"/>
      <c r="DH610" s="37"/>
      <c r="DI610" s="37"/>
      <c r="DJ610" s="37"/>
      <c r="DK610" s="39">
        <v>95.3</v>
      </c>
      <c r="DL610" s="37"/>
      <c r="DM610" s="37"/>
      <c r="DN610" s="37"/>
      <c r="DO610" s="39">
        <f t="shared" si="416"/>
        <v>2.2544717960276981</v>
      </c>
      <c r="DP610" s="37"/>
      <c r="DQ610" s="37">
        <f>DO610/'Conversions, Sources &amp; Comments'!E608</f>
        <v>4.8049813850333969</v>
      </c>
    </row>
    <row r="611" spans="1:121">
      <c r="A611" s="42">
        <f t="shared" si="414"/>
        <v>1859</v>
      </c>
      <c r="B611" s="36"/>
      <c r="C611" s="38">
        <v>43</v>
      </c>
      <c r="D611" s="38">
        <v>9</v>
      </c>
      <c r="E611" s="36"/>
      <c r="F611" s="36"/>
      <c r="G611" s="38">
        <v>23</v>
      </c>
      <c r="H611" s="38">
        <v>2</v>
      </c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8">
        <v>7.5</v>
      </c>
      <c r="BG611" s="36"/>
      <c r="BH611" s="36"/>
      <c r="BI611" s="36"/>
      <c r="BJ611" s="36"/>
      <c r="BK611" s="36"/>
      <c r="BL611" s="36"/>
      <c r="BM611" s="36"/>
      <c r="BN611" s="38">
        <f>62+1/16</f>
        <v>62.0625</v>
      </c>
      <c r="BO611" s="36"/>
      <c r="BP611" s="39">
        <f t="shared" si="412"/>
        <v>0.46352467270896275</v>
      </c>
      <c r="BQ611" s="37"/>
      <c r="BR611" s="39">
        <f t="shared" si="417"/>
        <v>0.83640071398003457</v>
      </c>
      <c r="BS611" s="39">
        <f t="shared" si="397"/>
        <v>1.9160583990222604</v>
      </c>
      <c r="BT611" s="37"/>
      <c r="BU611" s="37"/>
      <c r="BV611" s="37"/>
      <c r="BW611" s="37"/>
      <c r="BX611" s="37"/>
      <c r="BY611" s="37"/>
      <c r="BZ611" s="37"/>
      <c r="CA611" s="37"/>
      <c r="CB611" s="37"/>
      <c r="CC611" s="37"/>
      <c r="CD611" s="37"/>
      <c r="CE611" s="37"/>
      <c r="CF611" s="37"/>
      <c r="CG611" s="37"/>
      <c r="CH611" s="37"/>
      <c r="CI611" s="37"/>
      <c r="CJ611" s="37"/>
      <c r="CK611" s="37"/>
      <c r="CL611" s="37"/>
      <c r="CM611" s="37"/>
      <c r="CN611" s="37"/>
      <c r="CO611" s="37"/>
      <c r="CP611" s="37"/>
      <c r="CQ611" s="37"/>
      <c r="CR611" s="37"/>
      <c r="CS611" s="37"/>
      <c r="CT611" s="37"/>
      <c r="CU611" s="37"/>
      <c r="CV611" s="37"/>
      <c r="CW611" s="37"/>
      <c r="CX611" s="37"/>
      <c r="CY611" s="37"/>
      <c r="CZ611" s="37"/>
      <c r="DA611" s="37"/>
      <c r="DB611" s="37"/>
      <c r="DC611" s="37"/>
      <c r="DD611" s="37"/>
      <c r="DE611" s="37"/>
      <c r="DF611" s="37"/>
      <c r="DG611" s="37"/>
      <c r="DH611" s="37"/>
      <c r="DI611" s="37"/>
      <c r="DJ611" s="37"/>
      <c r="DK611" s="39">
        <v>95.9</v>
      </c>
      <c r="DL611" s="37"/>
      <c r="DM611" s="37"/>
      <c r="DN611" s="37"/>
      <c r="DO611" s="39">
        <f t="shared" si="416"/>
        <v>2.2412498420688176</v>
      </c>
      <c r="DP611" s="37"/>
      <c r="DQ611" s="37">
        <f>DO611/'Conversions, Sources &amp; Comments'!E609</f>
        <v>4.8352331041416869</v>
      </c>
    </row>
    <row r="612" spans="1:121">
      <c r="A612" s="42">
        <f t="shared" si="414"/>
        <v>1860</v>
      </c>
      <c r="B612" s="36"/>
      <c r="C612" s="38">
        <v>53</v>
      </c>
      <c r="D612" s="38">
        <v>3</v>
      </c>
      <c r="E612" s="36"/>
      <c r="F612" s="36"/>
      <c r="G612" s="38">
        <v>24</v>
      </c>
      <c r="H612" s="38">
        <v>5</v>
      </c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8">
        <v>8.75</v>
      </c>
      <c r="BG612" s="36"/>
      <c r="BH612" s="36"/>
      <c r="BI612" s="36"/>
      <c r="BJ612" s="36"/>
      <c r="BK612" s="36"/>
      <c r="BL612" s="36"/>
      <c r="BM612" s="36"/>
      <c r="BN612" s="38">
        <f>61+11/16</f>
        <v>61.6875</v>
      </c>
      <c r="BO612" s="36"/>
      <c r="BP612" s="39">
        <f t="shared" si="412"/>
        <v>0.46634245187436679</v>
      </c>
      <c r="BQ612" s="37"/>
      <c r="BR612" s="39">
        <f t="shared" si="417"/>
        <v>1.0242077210201368</v>
      </c>
      <c r="BS612" s="39">
        <f t="shared" si="397"/>
        <v>2.2489905321857027</v>
      </c>
      <c r="BT612" s="37"/>
      <c r="BU612" s="37"/>
      <c r="BV612" s="37"/>
      <c r="BW612" s="37"/>
      <c r="BX612" s="37"/>
      <c r="BY612" s="37"/>
      <c r="BZ612" s="37"/>
      <c r="CA612" s="37"/>
      <c r="CB612" s="37"/>
      <c r="CC612" s="37"/>
      <c r="CD612" s="37"/>
      <c r="CE612" s="37"/>
      <c r="CF612" s="37"/>
      <c r="CG612" s="37"/>
      <c r="CH612" s="37"/>
      <c r="CI612" s="37"/>
      <c r="CJ612" s="37"/>
      <c r="CK612" s="37"/>
      <c r="CL612" s="37"/>
      <c r="CM612" s="37"/>
      <c r="CN612" s="37"/>
      <c r="CO612" s="37"/>
      <c r="CP612" s="37"/>
      <c r="CQ612" s="37"/>
      <c r="CR612" s="37"/>
      <c r="CS612" s="37"/>
      <c r="CT612" s="37"/>
      <c r="CU612" s="37"/>
      <c r="CV612" s="37"/>
      <c r="CW612" s="37"/>
      <c r="CX612" s="37"/>
      <c r="CY612" s="37"/>
      <c r="CZ612" s="37"/>
      <c r="DA612" s="37"/>
      <c r="DB612" s="37"/>
      <c r="DC612" s="37"/>
      <c r="DD612" s="37"/>
      <c r="DE612" s="37"/>
      <c r="DF612" s="37"/>
      <c r="DG612" s="37"/>
      <c r="DH612" s="37"/>
      <c r="DI612" s="37"/>
      <c r="DJ612" s="37"/>
      <c r="DK612" s="39">
        <v>103.7</v>
      </c>
      <c r="DL612" s="37"/>
      <c r="DM612" s="37"/>
      <c r="DN612" s="37"/>
      <c r="DO612" s="39">
        <f t="shared" si="416"/>
        <v>2.4382740523804101</v>
      </c>
      <c r="DP612" s="39"/>
      <c r="DQ612" s="37">
        <f>DO612/'Conversions, Sources &amp; Comments'!E610</f>
        <v>5.2285054525494585</v>
      </c>
    </row>
    <row r="613" spans="1:121">
      <c r="A613" s="42">
        <f t="shared" si="414"/>
        <v>1861</v>
      </c>
      <c r="B613" s="36"/>
      <c r="C613" s="38">
        <v>55</v>
      </c>
      <c r="D613" s="38">
        <v>4</v>
      </c>
      <c r="E613" s="36"/>
      <c r="F613" s="36"/>
      <c r="G613" s="38">
        <v>23</v>
      </c>
      <c r="H613" s="38">
        <v>9</v>
      </c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8">
        <v>9</v>
      </c>
      <c r="BG613" s="36"/>
      <c r="BH613" s="36"/>
      <c r="BI613" s="36"/>
      <c r="BJ613" s="36"/>
      <c r="BK613" s="36"/>
      <c r="BL613" s="36"/>
      <c r="BM613" s="36"/>
      <c r="BN613" s="38">
        <f>60+13/16</f>
        <v>60.8125</v>
      </c>
      <c r="BO613" s="36"/>
      <c r="BP613" s="39">
        <f t="shared" si="412"/>
        <v>0.47305241521068864</v>
      </c>
      <c r="BQ613" s="37"/>
      <c r="BR613" s="39">
        <f t="shared" si="417"/>
        <v>1.0795918045596118</v>
      </c>
      <c r="BS613" s="39">
        <f t="shared" si="397"/>
        <v>2.3465315398509001</v>
      </c>
      <c r="BT613" s="37"/>
      <c r="BU613" s="37"/>
      <c r="BV613" s="37"/>
      <c r="BW613" s="37"/>
      <c r="BX613" s="37"/>
      <c r="BY613" s="37"/>
      <c r="BZ613" s="37"/>
      <c r="CA613" s="37"/>
      <c r="CB613" s="37"/>
      <c r="CC613" s="37"/>
      <c r="CD613" s="37"/>
      <c r="CE613" s="37"/>
      <c r="CF613" s="37"/>
      <c r="CG613" s="37"/>
      <c r="CH613" s="37"/>
      <c r="CI613" s="37"/>
      <c r="CJ613" s="37"/>
      <c r="CK613" s="37"/>
      <c r="CL613" s="37"/>
      <c r="CM613" s="37"/>
      <c r="CN613" s="37"/>
      <c r="CO613" s="37"/>
      <c r="CP613" s="37"/>
      <c r="CQ613" s="37"/>
      <c r="CR613" s="37"/>
      <c r="CS613" s="37"/>
      <c r="CT613" s="37"/>
      <c r="CU613" s="37"/>
      <c r="CV613" s="37"/>
      <c r="CW613" s="37"/>
      <c r="CX613" s="37"/>
      <c r="CY613" s="37"/>
      <c r="CZ613" s="37"/>
      <c r="DA613" s="37"/>
      <c r="DB613" s="37"/>
      <c r="DC613" s="37"/>
      <c r="DD613" s="37"/>
      <c r="DE613" s="37"/>
      <c r="DF613" s="37"/>
      <c r="DG613" s="37"/>
      <c r="DH613" s="37"/>
      <c r="DI613" s="37"/>
      <c r="DJ613" s="37"/>
      <c r="DK613" s="39">
        <v>105.9</v>
      </c>
      <c r="DL613" s="37"/>
      <c r="DM613" s="37"/>
      <c r="DN613" s="37"/>
      <c r="DO613" s="39">
        <f t="shared" si="416"/>
        <v>2.5258295111617657</v>
      </c>
      <c r="DP613" s="37"/>
      <c r="DQ613" s="37">
        <f>DO613/'Conversions, Sources &amp; Comments'!E611</f>
        <v>5.339428422613187</v>
      </c>
    </row>
    <row r="614" spans="1:121">
      <c r="A614" s="42">
        <f t="shared" si="414"/>
        <v>1862</v>
      </c>
      <c r="B614" s="36"/>
      <c r="C614" s="38">
        <v>55</v>
      </c>
      <c r="D614" s="38">
        <v>5</v>
      </c>
      <c r="E614" s="36"/>
      <c r="F614" s="36"/>
      <c r="G614" s="38">
        <v>22</v>
      </c>
      <c r="H614" s="38">
        <v>7</v>
      </c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8">
        <v>8.5</v>
      </c>
      <c r="BG614" s="36"/>
      <c r="BH614" s="36"/>
      <c r="BI614" s="36"/>
      <c r="BJ614" s="36"/>
      <c r="BK614" s="36"/>
      <c r="BL614" s="36"/>
      <c r="BM614" s="36"/>
      <c r="BN614" s="38">
        <f>61+7/16</f>
        <v>61.4375</v>
      </c>
      <c r="BO614" s="36"/>
      <c r="BP614" s="39">
        <f t="shared" si="412"/>
        <v>0.46824008138351986</v>
      </c>
      <c r="BQ614" s="37"/>
      <c r="BR614" s="39">
        <f t="shared" si="417"/>
        <v>1.070218533106905</v>
      </c>
      <c r="BS614" s="39">
        <f t="shared" si="397"/>
        <v>2.193623725594763</v>
      </c>
      <c r="BT614" s="37"/>
      <c r="BU614" s="37"/>
      <c r="BV614" s="37"/>
      <c r="BW614" s="37"/>
      <c r="BX614" s="37"/>
      <c r="BY614" s="37"/>
      <c r="BZ614" s="37"/>
      <c r="CA614" s="37"/>
      <c r="CB614" s="37"/>
      <c r="CC614" s="37"/>
      <c r="CD614" s="37"/>
      <c r="CE614" s="37"/>
      <c r="CF614" s="37"/>
      <c r="CG614" s="37"/>
      <c r="CH614" s="37"/>
      <c r="CI614" s="37"/>
      <c r="CJ614" s="37"/>
      <c r="CK614" s="37"/>
      <c r="CL614" s="37"/>
      <c r="CM614" s="37"/>
      <c r="CN614" s="37"/>
      <c r="CO614" s="37"/>
      <c r="CP614" s="37"/>
      <c r="CQ614" s="37"/>
      <c r="CR614" s="37"/>
      <c r="CS614" s="37"/>
      <c r="CT614" s="37"/>
      <c r="CU614" s="37"/>
      <c r="CV614" s="37"/>
      <c r="CW614" s="37"/>
      <c r="CX614" s="37"/>
      <c r="CY614" s="37"/>
      <c r="CZ614" s="37"/>
      <c r="DA614" s="37"/>
      <c r="DB614" s="37"/>
      <c r="DC614" s="37"/>
      <c r="DD614" s="37"/>
      <c r="DE614" s="37"/>
      <c r="DF614" s="37"/>
      <c r="DG614" s="37"/>
      <c r="DH614" s="37"/>
      <c r="DI614" s="37"/>
      <c r="DJ614" s="37"/>
      <c r="DK614" s="39">
        <v>105.6</v>
      </c>
      <c r="DL614" s="37"/>
      <c r="DM614" s="37"/>
      <c r="DN614" s="37"/>
      <c r="DO614" s="39">
        <f t="shared" si="416"/>
        <v>2.4930518654372493</v>
      </c>
      <c r="DP614" s="37"/>
      <c r="DQ614" s="37">
        <f>DO614/'Conversions, Sources &amp; Comments'!E612</f>
        <v>5.3243025630590424</v>
      </c>
    </row>
    <row r="615" spans="1:121">
      <c r="A615" s="42">
        <f t="shared" si="414"/>
        <v>1863</v>
      </c>
      <c r="B615" s="36"/>
      <c r="C615" s="38">
        <v>44</v>
      </c>
      <c r="D615" s="38">
        <v>9</v>
      </c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8">
        <v>7.5</v>
      </c>
      <c r="BG615" s="36"/>
      <c r="BH615" s="36"/>
      <c r="BI615" s="36"/>
      <c r="BJ615" s="36"/>
      <c r="BK615" s="36"/>
      <c r="BL615" s="36"/>
      <c r="BM615" s="36"/>
      <c r="BN615" s="38">
        <f>61+3/8</f>
        <v>61.375</v>
      </c>
      <c r="BO615" s="36"/>
      <c r="BP615" s="39">
        <f t="shared" si="412"/>
        <v>0.46871690427698576</v>
      </c>
      <c r="BQ615" s="37"/>
      <c r="BR615" s="39">
        <f t="shared" si="417"/>
        <v>0.86510164508472043</v>
      </c>
      <c r="BS615" s="39">
        <f t="shared" si="397"/>
        <v>1.9375213749787217</v>
      </c>
      <c r="BT615" s="37"/>
      <c r="BU615" s="37"/>
      <c r="BV615" s="37"/>
      <c r="BW615" s="37"/>
      <c r="BX615" s="37"/>
      <c r="BY615" s="37"/>
      <c r="BZ615" s="37"/>
      <c r="CA615" s="37"/>
      <c r="CB615" s="37"/>
      <c r="CC615" s="37"/>
      <c r="CD615" s="37"/>
      <c r="CE615" s="37"/>
      <c r="CF615" s="37"/>
      <c r="CG615" s="37"/>
      <c r="CH615" s="37"/>
      <c r="CI615" s="37"/>
      <c r="CJ615" s="37"/>
      <c r="CK615" s="37"/>
      <c r="CL615" s="37"/>
      <c r="CM615" s="37"/>
      <c r="CN615" s="37"/>
      <c r="CO615" s="37"/>
      <c r="CP615" s="37"/>
      <c r="CQ615" s="37"/>
      <c r="CR615" s="37"/>
      <c r="CS615" s="37"/>
      <c r="CT615" s="37"/>
      <c r="CU615" s="37"/>
      <c r="CV615" s="37"/>
      <c r="CW615" s="37"/>
      <c r="CX615" s="37"/>
      <c r="CY615" s="37"/>
      <c r="CZ615" s="37"/>
      <c r="DA615" s="37"/>
      <c r="DB615" s="37"/>
      <c r="DC615" s="37"/>
      <c r="DD615" s="37"/>
      <c r="DE615" s="37"/>
      <c r="DF615" s="37"/>
      <c r="DG615" s="37"/>
      <c r="DH615" s="37"/>
      <c r="DI615" s="37"/>
      <c r="DJ615" s="37"/>
      <c r="DK615" s="39">
        <v>100.5</v>
      </c>
      <c r="DL615" s="37"/>
      <c r="DM615" s="37"/>
      <c r="DN615" s="37"/>
      <c r="DO615" s="39">
        <f t="shared" si="416"/>
        <v>2.3750649316903512</v>
      </c>
      <c r="DP615" s="37"/>
      <c r="DQ615" s="37">
        <f>DO615/'Conversions, Sources &amp; Comments'!E613</f>
        <v>5.0671629506385782</v>
      </c>
    </row>
    <row r="616" spans="1:121">
      <c r="A616" s="42">
        <f t="shared" si="414"/>
        <v>1864</v>
      </c>
      <c r="B616" s="36"/>
      <c r="C616" s="38">
        <v>40</v>
      </c>
      <c r="D616" s="38">
        <v>2</v>
      </c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8">
        <v>7</v>
      </c>
      <c r="BG616" s="36"/>
      <c r="BH616" s="36"/>
      <c r="BI616" s="36"/>
      <c r="BJ616" s="36"/>
      <c r="BK616" s="36"/>
      <c r="BL616" s="36"/>
      <c r="BM616" s="36"/>
      <c r="BN616" s="38">
        <f>61+3/8</f>
        <v>61.375</v>
      </c>
      <c r="BO616" s="36"/>
      <c r="BP616" s="39">
        <f t="shared" si="412"/>
        <v>0.46871690427698576</v>
      </c>
      <c r="BQ616" s="37"/>
      <c r="BR616" s="39">
        <f t="shared" si="417"/>
        <v>0.77649719353973035</v>
      </c>
      <c r="BS616" s="39">
        <f t="shared" si="397"/>
        <v>1.8083532833134734</v>
      </c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  <c r="CR616" s="37"/>
      <c r="CS616" s="37"/>
      <c r="CT616" s="37"/>
      <c r="CU616" s="37"/>
      <c r="CV616" s="37"/>
      <c r="CW616" s="37"/>
      <c r="CX616" s="37"/>
      <c r="CY616" s="37"/>
      <c r="CZ616" s="37"/>
      <c r="DA616" s="37"/>
      <c r="DB616" s="37"/>
      <c r="DC616" s="37"/>
      <c r="DD616" s="37"/>
      <c r="DE616" s="37"/>
      <c r="DF616" s="37"/>
      <c r="DG616" s="37"/>
      <c r="DH616" s="37"/>
      <c r="DI616" s="37"/>
      <c r="DJ616" s="37"/>
      <c r="DK616" s="39">
        <v>98.9</v>
      </c>
      <c r="DL616" s="37"/>
      <c r="DM616" s="37"/>
      <c r="DN616" s="37"/>
      <c r="DO616" s="39">
        <f t="shared" si="416"/>
        <v>2.3372529526783654</v>
      </c>
      <c r="DP616" s="37"/>
      <c r="DQ616" s="37">
        <f>DO616/'Conversions, Sources &amp; Comments'!E614</f>
        <v>4.9864916996831381</v>
      </c>
    </row>
    <row r="617" spans="1:121">
      <c r="A617" s="42">
        <f t="shared" si="414"/>
        <v>1865</v>
      </c>
      <c r="B617" s="36"/>
      <c r="C617" s="38">
        <v>41</v>
      </c>
      <c r="D617" s="38">
        <v>10</v>
      </c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8">
        <v>7.5</v>
      </c>
      <c r="BG617" s="36"/>
      <c r="BH617" s="36"/>
      <c r="BI617" s="36"/>
      <c r="BJ617" s="36"/>
      <c r="BK617" s="36"/>
      <c r="BL617" s="36"/>
      <c r="BM617" s="36"/>
      <c r="BN617" s="38">
        <f>61+1/16</f>
        <v>61.0625</v>
      </c>
      <c r="BO617" s="36"/>
      <c r="BP617" s="39">
        <f t="shared" si="412"/>
        <v>0.47111566018423751</v>
      </c>
      <c r="BQ617" s="37"/>
      <c r="BR617" s="39">
        <f t="shared" si="417"/>
        <v>0.81285577093932171</v>
      </c>
      <c r="BS617" s="39">
        <f t="shared" ref="BS617:BS665" si="418">BP617*(BF617/4)/0.453592</f>
        <v>1.9474370421996978</v>
      </c>
      <c r="BT617" s="37"/>
      <c r="BU617" s="37"/>
      <c r="BV617" s="37"/>
      <c r="BW617" s="37"/>
      <c r="BX617" s="37"/>
      <c r="BY617" s="37"/>
      <c r="BZ617" s="37"/>
      <c r="CA617" s="37"/>
      <c r="CB617" s="37"/>
      <c r="CC617" s="37"/>
      <c r="CD617" s="37"/>
      <c r="CE617" s="37"/>
      <c r="CF617" s="37"/>
      <c r="CG617" s="37"/>
      <c r="CH617" s="37"/>
      <c r="CI617" s="37"/>
      <c r="CJ617" s="37"/>
      <c r="CK617" s="37"/>
      <c r="CL617" s="37"/>
      <c r="CM617" s="37"/>
      <c r="CN617" s="37"/>
      <c r="CO617" s="37"/>
      <c r="CP617" s="37"/>
      <c r="CQ617" s="37"/>
      <c r="CR617" s="37"/>
      <c r="CS617" s="37"/>
      <c r="CT617" s="37"/>
      <c r="CU617" s="37"/>
      <c r="CV617" s="37"/>
      <c r="CW617" s="37"/>
      <c r="CX617" s="37"/>
      <c r="CY617" s="37"/>
      <c r="CZ617" s="37"/>
      <c r="DA617" s="37"/>
      <c r="DB617" s="37"/>
      <c r="DC617" s="37"/>
      <c r="DD617" s="37"/>
      <c r="DE617" s="37"/>
      <c r="DF617" s="37"/>
      <c r="DG617" s="37"/>
      <c r="DH617" s="37"/>
      <c r="DI617" s="37"/>
      <c r="DJ617" s="37"/>
      <c r="DK617" s="39">
        <v>100.4</v>
      </c>
      <c r="DL617" s="37"/>
      <c r="DM617" s="37"/>
      <c r="DN617" s="37"/>
      <c r="DO617" s="39">
        <f t="shared" si="416"/>
        <v>2.3848444756479679</v>
      </c>
      <c r="DP617" s="37"/>
      <c r="DQ617" s="37">
        <f>DO617/'Conversions, Sources &amp; Comments'!E615</f>
        <v>5.0621209974538637</v>
      </c>
    </row>
    <row r="618" spans="1:121">
      <c r="A618" s="42">
        <f t="shared" si="414"/>
        <v>1866</v>
      </c>
      <c r="B618" s="36"/>
      <c r="C618" s="38">
        <v>49</v>
      </c>
      <c r="D618" s="38">
        <v>11</v>
      </c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8">
        <v>8.75</v>
      </c>
      <c r="BG618" s="36"/>
      <c r="BH618" s="36"/>
      <c r="BI618" s="36"/>
      <c r="BJ618" s="36"/>
      <c r="BK618" s="36"/>
      <c r="BL618" s="36"/>
      <c r="BM618" s="36"/>
      <c r="BN618" s="38">
        <f>61+1/8</f>
        <v>61.125</v>
      </c>
      <c r="BO618" s="36"/>
      <c r="BP618" s="39">
        <f t="shared" si="412"/>
        <v>0.47063394683026588</v>
      </c>
      <c r="BQ618" s="37"/>
      <c r="BR618" s="39">
        <f t="shared" si="417"/>
        <v>0.96892978767226101</v>
      </c>
      <c r="BS618" s="39">
        <f t="shared" si="418"/>
        <v>2.2696867640769822</v>
      </c>
      <c r="BT618" s="37"/>
      <c r="BU618" s="37"/>
      <c r="BV618" s="37"/>
      <c r="BW618" s="37"/>
      <c r="BX618" s="37"/>
      <c r="BY618" s="37"/>
      <c r="BZ618" s="37"/>
      <c r="CA618" s="37"/>
      <c r="CB618" s="37"/>
      <c r="CC618" s="37"/>
      <c r="CD618" s="37"/>
      <c r="CE618" s="37"/>
      <c r="CF618" s="37"/>
      <c r="CG618" s="37"/>
      <c r="CH618" s="37"/>
      <c r="CI618" s="37"/>
      <c r="CJ618" s="37"/>
      <c r="CK618" s="37"/>
      <c r="CL618" s="37"/>
      <c r="CM618" s="37"/>
      <c r="CN618" s="37"/>
      <c r="CO618" s="37"/>
      <c r="CP618" s="37"/>
      <c r="CQ618" s="37"/>
      <c r="CR618" s="37"/>
      <c r="CS618" s="37"/>
      <c r="CT618" s="37"/>
      <c r="CU618" s="37"/>
      <c r="CV618" s="37"/>
      <c r="CW618" s="37"/>
      <c r="CX618" s="37"/>
      <c r="CY618" s="37"/>
      <c r="CZ618" s="37"/>
      <c r="DA618" s="37"/>
      <c r="DB618" s="37"/>
      <c r="DC618" s="37"/>
      <c r="DD618" s="37"/>
      <c r="DE618" s="37"/>
      <c r="DF618" s="37"/>
      <c r="DG618" s="37"/>
      <c r="DH618" s="37"/>
      <c r="DI618" s="37"/>
      <c r="DJ618" s="37"/>
      <c r="DK618" s="39">
        <v>107.1</v>
      </c>
      <c r="DL618" s="37"/>
      <c r="DM618" s="37"/>
      <c r="DN618" s="37"/>
      <c r="DO618" s="39">
        <f t="shared" si="416"/>
        <v>2.5413912442768156</v>
      </c>
      <c r="DP618" s="37"/>
      <c r="DQ618" s="37">
        <f>DO618/'Conversions, Sources &amp; Comments'!E616</f>
        <v>5.3999318608297679</v>
      </c>
    </row>
    <row r="619" spans="1:121">
      <c r="A619" s="42">
        <f t="shared" si="414"/>
        <v>1867</v>
      </c>
      <c r="B619" s="36"/>
      <c r="C619" s="38">
        <v>64</v>
      </c>
      <c r="D619" s="38">
        <v>5</v>
      </c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8">
        <v>10.25</v>
      </c>
      <c r="BG619" s="36"/>
      <c r="BH619" s="36"/>
      <c r="BI619" s="36"/>
      <c r="BJ619" s="36"/>
      <c r="BK619" s="36"/>
      <c r="BL619" s="36"/>
      <c r="BM619" s="36"/>
      <c r="BN619" s="38">
        <f>60+9/16</f>
        <v>60.5625</v>
      </c>
      <c r="BO619" s="36"/>
      <c r="BP619" s="39">
        <f t="shared" si="412"/>
        <v>0.47500515995872034</v>
      </c>
      <c r="BQ619" s="37"/>
      <c r="BR619" s="39">
        <f t="shared" si="417"/>
        <v>1.262002039693785</v>
      </c>
      <c r="BS619" s="39">
        <f t="shared" si="418"/>
        <v>2.6834704368556346</v>
      </c>
      <c r="BT619" s="37"/>
      <c r="BU619" s="37"/>
      <c r="BV619" s="37"/>
      <c r="BW619" s="37"/>
      <c r="BX619" s="37"/>
      <c r="BY619" s="37"/>
      <c r="BZ619" s="37"/>
      <c r="CA619" s="37"/>
      <c r="CB619" s="37"/>
      <c r="CC619" s="37"/>
      <c r="CD619" s="37"/>
      <c r="CE619" s="37"/>
      <c r="CF619" s="37"/>
      <c r="CG619" s="37"/>
      <c r="CH619" s="37"/>
      <c r="CI619" s="37"/>
      <c r="CJ619" s="37"/>
      <c r="CK619" s="37"/>
      <c r="CL619" s="37"/>
      <c r="CM619" s="37"/>
      <c r="CN619" s="37"/>
      <c r="CO619" s="37"/>
      <c r="CP619" s="37"/>
      <c r="CQ619" s="37"/>
      <c r="CR619" s="37"/>
      <c r="CS619" s="37"/>
      <c r="CT619" s="37"/>
      <c r="CU619" s="37"/>
      <c r="CV619" s="37"/>
      <c r="CW619" s="37"/>
      <c r="CX619" s="37"/>
      <c r="CY619" s="37"/>
      <c r="CZ619" s="37"/>
      <c r="DA619" s="37"/>
      <c r="DB619" s="37"/>
      <c r="DC619" s="37"/>
      <c r="DD619" s="37"/>
      <c r="DE619" s="37"/>
      <c r="DF619" s="37"/>
      <c r="DG619" s="37"/>
      <c r="DH619" s="37"/>
      <c r="DI619" s="37"/>
      <c r="DJ619" s="37"/>
      <c r="DK619" s="39">
        <v>115.5</v>
      </c>
      <c r="DL619" s="37"/>
      <c r="DM619" s="37"/>
      <c r="DN619" s="37"/>
      <c r="DO619" s="39">
        <f t="shared" si="416"/>
        <v>2.7661716147564683</v>
      </c>
      <c r="DP619" s="37"/>
      <c r="DQ619" s="37">
        <f>DO619/'Conversions, Sources &amp; Comments'!E617</f>
        <v>5.8234559283458278</v>
      </c>
    </row>
    <row r="620" spans="1:121">
      <c r="A620" s="42">
        <f t="shared" si="414"/>
        <v>1868</v>
      </c>
      <c r="B620" s="36"/>
      <c r="C620" s="38">
        <v>63</v>
      </c>
      <c r="D620" s="38">
        <v>9</v>
      </c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8">
        <v>9.25</v>
      </c>
      <c r="BG620" s="36"/>
      <c r="BH620" s="36"/>
      <c r="BI620" s="36"/>
      <c r="BJ620" s="36"/>
      <c r="BK620" s="36"/>
      <c r="BL620" s="36"/>
      <c r="BM620" s="36"/>
      <c r="BN620" s="38">
        <v>60.5</v>
      </c>
      <c r="BO620" s="36"/>
      <c r="BP620" s="39">
        <f t="shared" si="412"/>
        <v>0.47549586776859509</v>
      </c>
      <c r="BQ620" s="37"/>
      <c r="BR620" s="39">
        <f t="shared" si="417"/>
        <v>1.2502314450440051</v>
      </c>
      <c r="BS620" s="39">
        <f t="shared" si="418"/>
        <v>2.4241701666142172</v>
      </c>
      <c r="BT620" s="37"/>
      <c r="BU620" s="37"/>
      <c r="BV620" s="37"/>
      <c r="BW620" s="37"/>
      <c r="BX620" s="37"/>
      <c r="BY620" s="37"/>
      <c r="BZ620" s="37"/>
      <c r="CA620" s="37"/>
      <c r="CB620" s="37"/>
      <c r="CC620" s="37"/>
      <c r="CD620" s="37"/>
      <c r="CE620" s="37"/>
      <c r="CF620" s="37"/>
      <c r="CG620" s="37"/>
      <c r="CH620" s="37"/>
      <c r="CI620" s="37"/>
      <c r="CJ620" s="37"/>
      <c r="CK620" s="37"/>
      <c r="CL620" s="37"/>
      <c r="CM620" s="37"/>
      <c r="CN620" s="37"/>
      <c r="CO620" s="37"/>
      <c r="CP620" s="37"/>
      <c r="CQ620" s="37"/>
      <c r="CR620" s="37"/>
      <c r="CS620" s="37"/>
      <c r="CT620" s="37"/>
      <c r="CU620" s="37"/>
      <c r="CV620" s="37"/>
      <c r="CW620" s="37"/>
      <c r="CX620" s="37"/>
      <c r="CY620" s="37"/>
      <c r="CZ620" s="37"/>
      <c r="DA620" s="37"/>
      <c r="DB620" s="37"/>
      <c r="DC620" s="37"/>
      <c r="DD620" s="37"/>
      <c r="DE620" s="37"/>
      <c r="DF620" s="37"/>
      <c r="DG620" s="37"/>
      <c r="DH620" s="37"/>
      <c r="DI620" s="37"/>
      <c r="DJ620" s="37"/>
      <c r="DK620" s="39">
        <v>111.3</v>
      </c>
      <c r="DL620" s="37"/>
      <c r="DM620" s="37"/>
      <c r="DN620" s="37"/>
      <c r="DO620" s="39">
        <f t="shared" si="416"/>
        <v>2.6683372580587514</v>
      </c>
      <c r="DP620" s="37"/>
      <c r="DQ620" s="37">
        <f>DO620/'Conversions, Sources &amp; Comments'!E618</f>
        <v>5.6116938945877965</v>
      </c>
    </row>
    <row r="621" spans="1:121">
      <c r="A621" s="42">
        <f t="shared" si="414"/>
        <v>1869</v>
      </c>
      <c r="B621" s="36"/>
      <c r="C621" s="38">
        <v>48</v>
      </c>
      <c r="D621" s="38">
        <v>2</v>
      </c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8">
        <v>7.75</v>
      </c>
      <c r="BG621" s="36"/>
      <c r="BH621" s="36"/>
      <c r="BI621" s="36"/>
      <c r="BJ621" s="36"/>
      <c r="BK621" s="36"/>
      <c r="BL621" s="36"/>
      <c r="BM621" s="36"/>
      <c r="BN621" s="38">
        <f>60+7/16</f>
        <v>60.4375</v>
      </c>
      <c r="BO621" s="36"/>
      <c r="BP621" s="39">
        <f t="shared" si="412"/>
        <v>0.47598759048603934</v>
      </c>
      <c r="BQ621" s="37"/>
      <c r="BR621" s="39">
        <f t="shared" si="417"/>
        <v>0.94559616958033543</v>
      </c>
      <c r="BS621" s="39">
        <f t="shared" si="418"/>
        <v>2.0331618647742933</v>
      </c>
      <c r="BT621" s="37"/>
      <c r="BU621" s="37"/>
      <c r="BV621" s="37"/>
      <c r="BW621" s="37"/>
      <c r="BX621" s="37"/>
      <c r="BY621" s="37"/>
      <c r="BZ621" s="37"/>
      <c r="CA621" s="37"/>
      <c r="CB621" s="37"/>
      <c r="CC621" s="37"/>
      <c r="CD621" s="37"/>
      <c r="CE621" s="37"/>
      <c r="CF621" s="37"/>
      <c r="CG621" s="37"/>
      <c r="CH621" s="37"/>
      <c r="CI621" s="37"/>
      <c r="CJ621" s="37"/>
      <c r="CK621" s="37"/>
      <c r="CL621" s="37"/>
      <c r="CM621" s="37"/>
      <c r="CN621" s="37"/>
      <c r="CO621" s="37"/>
      <c r="CP621" s="37"/>
      <c r="CQ621" s="37"/>
      <c r="CR621" s="37"/>
      <c r="CS621" s="37"/>
      <c r="CT621" s="37"/>
      <c r="CU621" s="37"/>
      <c r="CV621" s="37"/>
      <c r="CW621" s="37"/>
      <c r="CX621" s="37"/>
      <c r="CY621" s="37"/>
      <c r="CZ621" s="37"/>
      <c r="DA621" s="37"/>
      <c r="DB621" s="37"/>
      <c r="DC621" s="37"/>
      <c r="DD621" s="37"/>
      <c r="DE621" s="37"/>
      <c r="DF621" s="37"/>
      <c r="DG621" s="37"/>
      <c r="DH621" s="37"/>
      <c r="DI621" s="37"/>
      <c r="DJ621" s="37"/>
      <c r="DK621" s="39">
        <v>102</v>
      </c>
      <c r="DL621" s="37"/>
      <c r="DM621" s="37"/>
      <c r="DN621" s="37"/>
      <c r="DO621" s="39">
        <f t="shared" si="416"/>
        <v>2.4479052906906245</v>
      </c>
      <c r="DP621" s="37"/>
      <c r="DQ621" s="37">
        <f>DO621/'Conversions, Sources &amp; Comments'!E619</f>
        <v>5.142792248409302</v>
      </c>
    </row>
    <row r="622" spans="1:121">
      <c r="A622" s="42">
        <f t="shared" si="414"/>
        <v>1870</v>
      </c>
      <c r="B622" s="36"/>
      <c r="C622" s="38">
        <v>46</v>
      </c>
      <c r="D622" s="38">
        <v>11</v>
      </c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8">
        <v>8</v>
      </c>
      <c r="BG622" s="36"/>
      <c r="BH622" s="36"/>
      <c r="BI622" s="36"/>
      <c r="BJ622" s="36"/>
      <c r="BK622" s="36"/>
      <c r="BL622" s="36"/>
      <c r="BM622" s="36"/>
      <c r="BN622" s="38">
        <f>60+9/16</f>
        <v>60.5625</v>
      </c>
      <c r="BO622" s="36"/>
      <c r="BP622" s="39">
        <f t="shared" si="412"/>
        <v>0.47500515995872034</v>
      </c>
      <c r="BQ622" s="37"/>
      <c r="BR622" s="39">
        <f t="shared" si="417"/>
        <v>0.91915543123881094</v>
      </c>
      <c r="BS622" s="39">
        <f t="shared" si="418"/>
        <v>2.0944159507165927</v>
      </c>
      <c r="BT622" s="37"/>
      <c r="BU622" s="37"/>
      <c r="BV622" s="37"/>
      <c r="BW622" s="37"/>
      <c r="BX622" s="37"/>
      <c r="BY622" s="37"/>
      <c r="BZ622" s="37"/>
      <c r="CA622" s="37"/>
      <c r="CB622" s="37"/>
      <c r="CC622" s="37"/>
      <c r="CD622" s="37"/>
      <c r="CE622" s="37"/>
      <c r="CF622" s="37"/>
      <c r="CG622" s="37"/>
      <c r="CH622" s="37"/>
      <c r="CI622" s="37"/>
      <c r="CJ622" s="37"/>
      <c r="CK622" s="37"/>
      <c r="CL622" s="37"/>
      <c r="CM622" s="37"/>
      <c r="CN622" s="37"/>
      <c r="CO622" s="37"/>
      <c r="CP622" s="37"/>
      <c r="CQ622" s="37"/>
      <c r="CR622" s="37"/>
      <c r="CS622" s="37"/>
      <c r="CT622" s="37"/>
      <c r="CU622" s="37"/>
      <c r="CV622" s="37"/>
      <c r="CW622" s="37"/>
      <c r="CX622" s="37"/>
      <c r="CY622" s="37"/>
      <c r="CZ622" s="37"/>
      <c r="DA622" s="37"/>
      <c r="DB622" s="37"/>
      <c r="DC622" s="37"/>
      <c r="DD622" s="37"/>
      <c r="DE622" s="37"/>
      <c r="DF622" s="37"/>
      <c r="DG622" s="37"/>
      <c r="DH622" s="37"/>
      <c r="DI622" s="37"/>
      <c r="DJ622" s="37"/>
      <c r="DK622" s="39">
        <v>102.5</v>
      </c>
      <c r="DL622" s="37"/>
      <c r="DM622" s="37"/>
      <c r="DN622" s="37"/>
      <c r="DO622" s="39">
        <f t="shared" si="416"/>
        <v>2.4548276234851771</v>
      </c>
      <c r="DP622" s="39"/>
      <c r="DQ622" s="37">
        <f>DO622/'Conversions, Sources &amp; Comments'!E620</f>
        <v>5.1680020143328766</v>
      </c>
    </row>
    <row r="623" spans="1:121">
      <c r="A623" s="42">
        <f t="shared" si="414"/>
        <v>1871</v>
      </c>
      <c r="B623" s="36"/>
      <c r="C623" s="38">
        <v>56</v>
      </c>
      <c r="D623" s="38">
        <v>8</v>
      </c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8">
        <v>9</v>
      </c>
      <c r="BG623" s="36"/>
      <c r="BH623" s="36"/>
      <c r="BI623" s="36"/>
      <c r="BJ623" s="36"/>
      <c r="BK623" s="36"/>
      <c r="BL623" s="36"/>
      <c r="BM623" s="36"/>
      <c r="BN623" s="38">
        <v>60.5</v>
      </c>
      <c r="BO623" s="36"/>
      <c r="BP623" s="39">
        <f t="shared" si="412"/>
        <v>0.47549586776859509</v>
      </c>
      <c r="BQ623" s="37"/>
      <c r="BR623" s="39">
        <f t="shared" si="417"/>
        <v>1.1113168400391158</v>
      </c>
      <c r="BS623" s="39">
        <f t="shared" si="418"/>
        <v>2.3586520540030227</v>
      </c>
      <c r="BT623" s="37"/>
      <c r="BU623" s="37"/>
      <c r="BV623" s="37"/>
      <c r="BW623" s="37"/>
      <c r="BX623" s="37"/>
      <c r="BY623" s="37"/>
      <c r="BZ623" s="37"/>
      <c r="CA623" s="37"/>
      <c r="CB623" s="37"/>
      <c r="CC623" s="37"/>
      <c r="CD623" s="37"/>
      <c r="CE623" s="37"/>
      <c r="CF623" s="37"/>
      <c r="CG623" s="37"/>
      <c r="CH623" s="37"/>
      <c r="CI623" s="37"/>
      <c r="CJ623" s="37"/>
      <c r="CK623" s="37"/>
      <c r="CL623" s="37"/>
      <c r="CM623" s="37"/>
      <c r="CN623" s="37"/>
      <c r="CO623" s="37"/>
      <c r="CP623" s="37"/>
      <c r="CQ623" s="37"/>
      <c r="CR623" s="37"/>
      <c r="CS623" s="37"/>
      <c r="CT623" s="37"/>
      <c r="CU623" s="37"/>
      <c r="CV623" s="37"/>
      <c r="CW623" s="37"/>
      <c r="CX623" s="37"/>
      <c r="CY623" s="37"/>
      <c r="CZ623" s="37"/>
      <c r="DA623" s="37"/>
      <c r="DB623" s="37"/>
      <c r="DC623" s="37"/>
      <c r="DD623" s="37"/>
      <c r="DE623" s="37"/>
      <c r="DF623" s="37"/>
      <c r="DG623" s="37"/>
      <c r="DH623" s="37"/>
      <c r="DI623" s="37"/>
      <c r="DJ623" s="37"/>
      <c r="DK623" s="39">
        <v>105.39153696498055</v>
      </c>
      <c r="DL623" s="37"/>
      <c r="DM623" s="37"/>
      <c r="DN623" s="37"/>
      <c r="DO623" s="39">
        <f t="shared" si="416"/>
        <v>2.526686116511534</v>
      </c>
      <c r="DP623" s="37"/>
      <c r="DQ623" s="37">
        <f>DO623/'Conversions, Sources &amp; Comments'!E621</f>
        <v>5.3137919544259251</v>
      </c>
    </row>
    <row r="624" spans="1:121">
      <c r="A624" s="42">
        <f t="shared" si="414"/>
        <v>1872</v>
      </c>
      <c r="B624" s="36"/>
      <c r="C624" s="38">
        <v>57</v>
      </c>
      <c r="D624" s="38">
        <v>0</v>
      </c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8">
        <v>9.75</v>
      </c>
      <c r="BG624" s="36"/>
      <c r="BH624" s="36"/>
      <c r="BI624" s="36"/>
      <c r="BJ624" s="36"/>
      <c r="BK624" s="36"/>
      <c r="BL624" s="36"/>
      <c r="BM624" s="36"/>
      <c r="BN624" s="38">
        <f>60+5/16</f>
        <v>60.3125</v>
      </c>
      <c r="BO624" s="36"/>
      <c r="BP624" s="39">
        <f t="shared" si="412"/>
        <v>0.47697409326424872</v>
      </c>
      <c r="BQ624" s="37"/>
      <c r="BR624" s="39">
        <f t="shared" si="417"/>
        <v>1.1213291916976211</v>
      </c>
      <c r="BS624" s="39">
        <f t="shared" si="418"/>
        <v>2.5631500386506074</v>
      </c>
      <c r="BT624" s="37"/>
      <c r="BU624" s="37"/>
      <c r="BV624" s="37"/>
      <c r="BW624" s="37"/>
      <c r="BX624" s="37"/>
      <c r="BY624" s="37"/>
      <c r="BZ624" s="37"/>
      <c r="CA624" s="37"/>
      <c r="CB624" s="37"/>
      <c r="CC624" s="37"/>
      <c r="CD624" s="37"/>
      <c r="CE624" s="37"/>
      <c r="CF624" s="37"/>
      <c r="CG624" s="37"/>
      <c r="CH624" s="37"/>
      <c r="CI624" s="37"/>
      <c r="CJ624" s="37"/>
      <c r="CK624" s="37"/>
      <c r="CL624" s="37"/>
      <c r="CM624" s="37"/>
      <c r="CN624" s="37"/>
      <c r="CO624" s="37"/>
      <c r="CP624" s="37"/>
      <c r="CQ624" s="37"/>
      <c r="CR624" s="37"/>
      <c r="CS624" s="37"/>
      <c r="CT624" s="37"/>
      <c r="CU624" s="37"/>
      <c r="CV624" s="37"/>
      <c r="CW624" s="37"/>
      <c r="CX624" s="37"/>
      <c r="CY624" s="37"/>
      <c r="CZ624" s="37"/>
      <c r="DA624" s="37"/>
      <c r="DB624" s="37"/>
      <c r="DC624" s="37"/>
      <c r="DD624" s="37"/>
      <c r="DE624" s="37"/>
      <c r="DF624" s="37"/>
      <c r="DG624" s="37"/>
      <c r="DH624" s="37"/>
      <c r="DI624" s="37"/>
      <c r="DJ624" s="37"/>
      <c r="DK624" s="39">
        <v>109.8784046692607</v>
      </c>
      <c r="DL624" s="37"/>
      <c r="DM624" s="37"/>
      <c r="DN624" s="37"/>
      <c r="DO624" s="39">
        <f t="shared" si="416"/>
        <v>2.6424449303513682</v>
      </c>
      <c r="DP624" s="37"/>
      <c r="DQ624" s="37">
        <f>DO624/'Conversions, Sources &amp; Comments'!E622</f>
        <v>5.5400177235358266</v>
      </c>
    </row>
    <row r="625" spans="1:121">
      <c r="A625" s="42">
        <f t="shared" si="414"/>
        <v>1873</v>
      </c>
      <c r="B625" s="36"/>
      <c r="C625" s="38">
        <v>58</v>
      </c>
      <c r="D625" s="38">
        <v>8</v>
      </c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8">
        <v>8</v>
      </c>
      <c r="BG625" s="36"/>
      <c r="BH625" s="36"/>
      <c r="BI625" s="36"/>
      <c r="BJ625" s="36"/>
      <c r="BK625" s="36"/>
      <c r="BL625" s="36"/>
      <c r="BM625" s="36"/>
      <c r="BN625" s="38">
        <v>59.25</v>
      </c>
      <c r="BO625" s="36"/>
      <c r="BP625" s="39">
        <f t="shared" si="412"/>
        <v>0.48552742616033756</v>
      </c>
      <c r="BQ625" s="37"/>
      <c r="BR625" s="39">
        <f t="shared" si="417"/>
        <v>1.1748127786285931</v>
      </c>
      <c r="BS625" s="39">
        <f t="shared" si="418"/>
        <v>2.140811240764112</v>
      </c>
      <c r="BT625" s="37"/>
      <c r="BU625" s="37"/>
      <c r="BV625" s="37"/>
      <c r="BW625" s="37"/>
      <c r="BX625" s="37"/>
      <c r="BY625" s="37"/>
      <c r="BZ625" s="37"/>
      <c r="CA625" s="37"/>
      <c r="CB625" s="37"/>
      <c r="CC625" s="37"/>
      <c r="CD625" s="37"/>
      <c r="CE625" s="37"/>
      <c r="CF625" s="37"/>
      <c r="CG625" s="37"/>
      <c r="CH625" s="37"/>
      <c r="CI625" s="37"/>
      <c r="CJ625" s="37"/>
      <c r="CK625" s="37"/>
      <c r="CL625" s="37"/>
      <c r="CM625" s="37"/>
      <c r="CN625" s="37"/>
      <c r="CO625" s="37"/>
      <c r="CP625" s="37"/>
      <c r="CQ625" s="37"/>
      <c r="CR625" s="37"/>
      <c r="CS625" s="37"/>
      <c r="CT625" s="37"/>
      <c r="CU625" s="37"/>
      <c r="CV625" s="37"/>
      <c r="CW625" s="37"/>
      <c r="CX625" s="37"/>
      <c r="CY625" s="37"/>
      <c r="CZ625" s="37"/>
      <c r="DA625" s="37"/>
      <c r="DB625" s="37"/>
      <c r="DC625" s="37"/>
      <c r="DD625" s="37"/>
      <c r="DE625" s="37"/>
      <c r="DF625" s="37"/>
      <c r="DG625" s="37"/>
      <c r="DH625" s="37"/>
      <c r="DI625" s="37"/>
      <c r="DJ625" s="37"/>
      <c r="DK625" s="39">
        <v>110.67607003891051</v>
      </c>
      <c r="DL625" s="37"/>
      <c r="DM625" s="37"/>
      <c r="DN625" s="37"/>
      <c r="DO625" s="39">
        <f t="shared" si="416"/>
        <v>2.7093574467078159</v>
      </c>
      <c r="DP625" s="37"/>
      <c r="DQ625" s="37">
        <f>DO625/'Conversions, Sources &amp; Comments'!E623</f>
        <v>5.5802356380442539</v>
      </c>
    </row>
    <row r="626" spans="1:121">
      <c r="A626" s="42">
        <f t="shared" si="414"/>
        <v>1874</v>
      </c>
      <c r="B626" s="36"/>
      <c r="C626" s="38">
        <v>55</v>
      </c>
      <c r="D626" s="38">
        <v>9</v>
      </c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8">
        <v>7.25</v>
      </c>
      <c r="BG626" s="36"/>
      <c r="BH626" s="36"/>
      <c r="BI626" s="36"/>
      <c r="BJ626" s="36"/>
      <c r="BK626" s="36"/>
      <c r="BL626" s="36"/>
      <c r="BM626" s="36"/>
      <c r="BN626" s="38">
        <f>58+5/16</f>
        <v>58.3125</v>
      </c>
      <c r="BO626" s="36"/>
      <c r="BP626" s="39">
        <f t="shared" si="412"/>
        <v>0.49333333333333335</v>
      </c>
      <c r="BQ626" s="37"/>
      <c r="BR626" s="39">
        <f t="shared" si="417"/>
        <v>1.1343545411301479</v>
      </c>
      <c r="BS626" s="39">
        <f t="shared" si="418"/>
        <v>1.971301669047661</v>
      </c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  <c r="DI626" s="37"/>
      <c r="DJ626" s="37"/>
      <c r="DK626" s="39">
        <v>105.69066147859922</v>
      </c>
      <c r="DL626" s="37"/>
      <c r="DM626" s="37"/>
      <c r="DN626" s="37"/>
      <c r="DO626" s="39">
        <f t="shared" si="416"/>
        <v>2.6289110117008492</v>
      </c>
      <c r="DP626" s="37"/>
      <c r="DQ626" s="37">
        <f>DO626/'Conversions, Sources &amp; Comments'!E624</f>
        <v>5.3288736723665862</v>
      </c>
    </row>
    <row r="627" spans="1:121">
      <c r="A627" s="42">
        <f t="shared" si="414"/>
        <v>1875</v>
      </c>
      <c r="B627" s="36"/>
      <c r="C627" s="38">
        <v>45</v>
      </c>
      <c r="D627" s="38">
        <v>2</v>
      </c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8">
        <v>6.83</v>
      </c>
      <c r="BG627" s="36"/>
      <c r="BH627" s="36"/>
      <c r="BI627" s="36"/>
      <c r="BJ627" s="36"/>
      <c r="BK627" s="36"/>
      <c r="BL627" s="36"/>
      <c r="BM627" s="36"/>
      <c r="BN627" s="38">
        <f>56+7/8</f>
        <v>56.875</v>
      </c>
      <c r="BO627" s="36"/>
      <c r="BP627" s="39">
        <f t="shared" si="412"/>
        <v>0.50580219780219782</v>
      </c>
      <c r="BQ627" s="37"/>
      <c r="BR627" s="39">
        <f t="shared" si="417"/>
        <v>0.94224151264958345</v>
      </c>
      <c r="BS627" s="39">
        <f t="shared" si="418"/>
        <v>1.9040398700754264</v>
      </c>
      <c r="BT627" s="37"/>
      <c r="BU627" s="37"/>
      <c r="BV627" s="37"/>
      <c r="BW627" s="37"/>
      <c r="BX627" s="37"/>
      <c r="BY627" s="37"/>
      <c r="BZ627" s="37"/>
      <c r="CA627" s="37"/>
      <c r="CB627" s="37"/>
      <c r="CC627" s="37"/>
      <c r="CD627" s="37"/>
      <c r="CE627" s="37"/>
      <c r="CF627" s="37"/>
      <c r="CG627" s="37"/>
      <c r="CH627" s="37"/>
      <c r="CI627" s="37"/>
      <c r="CJ627" s="37"/>
      <c r="CK627" s="37"/>
      <c r="CL627" s="37"/>
      <c r="CM627" s="37"/>
      <c r="CN627" s="37"/>
      <c r="CO627" s="37"/>
      <c r="CP627" s="37"/>
      <c r="CQ627" s="37"/>
      <c r="CR627" s="37"/>
      <c r="CS627" s="37"/>
      <c r="CT627" s="37"/>
      <c r="CU627" s="37"/>
      <c r="CV627" s="37"/>
      <c r="CW627" s="37"/>
      <c r="CX627" s="37"/>
      <c r="CY627" s="37"/>
      <c r="CZ627" s="37"/>
      <c r="DA627" s="37"/>
      <c r="DB627" s="37"/>
      <c r="DC627" s="37"/>
      <c r="DD627" s="37"/>
      <c r="DE627" s="37"/>
      <c r="DF627" s="37"/>
      <c r="DG627" s="37"/>
      <c r="DH627" s="37"/>
      <c r="DI627" s="37"/>
      <c r="DJ627" s="37"/>
      <c r="DK627" s="39">
        <v>104.09533073929961</v>
      </c>
      <c r="DL627" s="37"/>
      <c r="DM627" s="37"/>
      <c r="DN627" s="37"/>
      <c r="DO627" s="39">
        <f t="shared" si="416"/>
        <v>2.6546713961945212</v>
      </c>
      <c r="DP627" s="37"/>
      <c r="DQ627" s="37">
        <f>DO627/'Conversions, Sources &amp; Comments'!E625</f>
        <v>5.2484378433497314</v>
      </c>
    </row>
    <row r="628" spans="1:121">
      <c r="A628" s="42">
        <f t="shared" si="414"/>
        <v>1876</v>
      </c>
      <c r="B628" s="36"/>
      <c r="C628" s="38">
        <v>46</v>
      </c>
      <c r="D628" s="38">
        <v>2</v>
      </c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8">
        <v>7.15</v>
      </c>
      <c r="BG628" s="36"/>
      <c r="BH628" s="36"/>
      <c r="BI628" s="36"/>
      <c r="BJ628" s="36"/>
      <c r="BK628" s="36"/>
      <c r="BL628" s="36"/>
      <c r="BM628" s="36"/>
      <c r="BN628" s="38">
        <v>52.75</v>
      </c>
      <c r="BO628" s="36"/>
      <c r="BP628" s="39">
        <f t="shared" si="412"/>
        <v>0.54535545023696685</v>
      </c>
      <c r="BQ628" s="37"/>
      <c r="BR628" s="39">
        <f t="shared" si="417"/>
        <v>1.0384166860214954</v>
      </c>
      <c r="BS628" s="39">
        <f t="shared" si="418"/>
        <v>2.1491182986000155</v>
      </c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  <c r="DI628" s="37"/>
      <c r="DJ628" s="37"/>
      <c r="DK628" s="39">
        <v>104.29474708171206</v>
      </c>
      <c r="DL628" s="37"/>
      <c r="DM628" s="37"/>
      <c r="DN628" s="37"/>
      <c r="DO628" s="39">
        <f t="shared" ref="DO628:DO659" si="419">($DK628*$DM$532/$DK$532)*$BP628/$BP$532</f>
        <v>2.8677474478193115</v>
      </c>
      <c r="DP628" s="37"/>
      <c r="DQ628" s="37">
        <f>DO628/'Conversions, Sources &amp; Comments'!E626</f>
        <v>5.2584923219768376</v>
      </c>
    </row>
    <row r="629" spans="1:121">
      <c r="A629" s="42">
        <f t="shared" si="414"/>
        <v>1877</v>
      </c>
      <c r="B629" s="36"/>
      <c r="C629" s="38">
        <v>56</v>
      </c>
      <c r="D629" s="38">
        <v>9</v>
      </c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8">
        <v>8.1300000000000008</v>
      </c>
      <c r="BG629" s="36"/>
      <c r="BH629" s="36"/>
      <c r="BI629" s="36"/>
      <c r="BJ629" s="36"/>
      <c r="BK629" s="36"/>
      <c r="BL629" s="36"/>
      <c r="BM629" s="36"/>
      <c r="BN629" s="38">
        <f>54+13/16</f>
        <v>54.8125</v>
      </c>
      <c r="BO629" s="36"/>
      <c r="BP629" s="39">
        <f t="shared" si="412"/>
        <v>0.52483466362599773</v>
      </c>
      <c r="BQ629" s="37"/>
      <c r="BR629" s="39">
        <f t="shared" si="417"/>
        <v>1.2284340859355176</v>
      </c>
      <c r="BS629" s="39">
        <f t="shared" si="418"/>
        <v>2.3517311897472628</v>
      </c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  <c r="DI629" s="37"/>
      <c r="DJ629" s="37"/>
      <c r="DK629" s="39">
        <v>104.19503891050584</v>
      </c>
      <c r="DL629" s="37"/>
      <c r="DM629" s="37"/>
      <c r="DN629" s="37"/>
      <c r="DO629" s="39">
        <f t="shared" si="419"/>
        <v>2.7572005795305099</v>
      </c>
      <c r="DP629" s="37"/>
      <c r="DQ629" s="37">
        <f>DO629/'Conversions, Sources &amp; Comments'!E627</f>
        <v>5.2534650826632854</v>
      </c>
    </row>
    <row r="630" spans="1:121">
      <c r="A630" s="42">
        <f t="shared" si="414"/>
        <v>1878</v>
      </c>
      <c r="B630" s="36"/>
      <c r="C630" s="38">
        <v>46</v>
      </c>
      <c r="D630" s="38">
        <v>5</v>
      </c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8">
        <v>7.5</v>
      </c>
      <c r="BG630" s="36"/>
      <c r="BH630" s="36"/>
      <c r="BI630" s="36"/>
      <c r="BJ630" s="36"/>
      <c r="BK630" s="36"/>
      <c r="BL630" s="36"/>
      <c r="BM630" s="36"/>
      <c r="BN630" s="38">
        <f>52+9/16</f>
        <v>52.5625</v>
      </c>
      <c r="BO630" s="36"/>
      <c r="BP630" s="39">
        <f t="shared" si="412"/>
        <v>0.54730083234244953</v>
      </c>
      <c r="BQ630" s="37"/>
      <c r="BR630" s="39">
        <f t="shared" si="417"/>
        <v>1.0477641612662276</v>
      </c>
      <c r="BS630" s="39">
        <f t="shared" si="418"/>
        <v>2.2623614628170094</v>
      </c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  <c r="DI630" s="37"/>
      <c r="DJ630" s="37"/>
      <c r="DK630" s="39">
        <v>101.10408560311285</v>
      </c>
      <c r="DL630" s="37"/>
      <c r="DM630" s="37"/>
      <c r="DN630" s="37"/>
      <c r="DO630" s="39">
        <f t="shared" si="419"/>
        <v>2.7899320323421457</v>
      </c>
      <c r="DP630" s="37"/>
      <c r="DQ630" s="37">
        <f>DO630/'Conversions, Sources &amp; Comments'!E628</f>
        <v>5.0976206639431307</v>
      </c>
    </row>
    <row r="631" spans="1:121">
      <c r="A631" s="42">
        <f t="shared" si="414"/>
        <v>1879</v>
      </c>
      <c r="B631" s="36"/>
      <c r="C631" s="38">
        <v>43</v>
      </c>
      <c r="D631" s="38">
        <v>10</v>
      </c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8">
        <v>7.13</v>
      </c>
      <c r="BG631" s="36"/>
      <c r="BH631" s="36"/>
      <c r="BI631" s="36"/>
      <c r="BJ631" s="36"/>
      <c r="BK631" s="36"/>
      <c r="BL631" s="36"/>
      <c r="BM631" s="36"/>
      <c r="BN631" s="38">
        <v>51.25</v>
      </c>
      <c r="BO631" s="36"/>
      <c r="BP631" s="39">
        <f t="shared" si="412"/>
        <v>0.56131707317073176</v>
      </c>
      <c r="BQ631" s="37"/>
      <c r="BR631" s="39">
        <f t="shared" si="417"/>
        <v>1.0147901234021457</v>
      </c>
      <c r="BS631" s="39">
        <f t="shared" si="418"/>
        <v>2.2058318553387832</v>
      </c>
      <c r="BT631" s="37"/>
      <c r="BU631" s="37"/>
      <c r="BV631" s="37"/>
      <c r="BW631" s="37"/>
      <c r="BX631" s="37"/>
      <c r="BY631" s="37"/>
      <c r="BZ631" s="37"/>
      <c r="CA631" s="37"/>
      <c r="CB631" s="37"/>
      <c r="CC631" s="37"/>
      <c r="CD631" s="37"/>
      <c r="CE631" s="37"/>
      <c r="CF631" s="37"/>
      <c r="CG631" s="37"/>
      <c r="CH631" s="37"/>
      <c r="CI631" s="37"/>
      <c r="CJ631" s="37"/>
      <c r="CK631" s="37"/>
      <c r="CL631" s="37"/>
      <c r="CM631" s="37"/>
      <c r="CN631" s="37"/>
      <c r="CO631" s="37"/>
      <c r="CP631" s="37"/>
      <c r="CQ631" s="37"/>
      <c r="CR631" s="37"/>
      <c r="CS631" s="37"/>
      <c r="CT631" s="37"/>
      <c r="CU631" s="37"/>
      <c r="CV631" s="37"/>
      <c r="CW631" s="37"/>
      <c r="CX631" s="37"/>
      <c r="CY631" s="37"/>
      <c r="CZ631" s="37"/>
      <c r="DA631" s="37"/>
      <c r="DB631" s="37"/>
      <c r="DC631" s="37"/>
      <c r="DD631" s="37"/>
      <c r="DE631" s="37"/>
      <c r="DF631" s="37"/>
      <c r="DG631" s="37"/>
      <c r="DH631" s="37"/>
      <c r="DI631" s="37"/>
      <c r="DJ631" s="37"/>
      <c r="DK631" s="39">
        <v>96.517509727626461</v>
      </c>
      <c r="DL631" s="37"/>
      <c r="DM631" s="37"/>
      <c r="DN631" s="37"/>
      <c r="DO631" s="39">
        <f t="shared" si="419"/>
        <v>2.7315752493690191</v>
      </c>
      <c r="DP631" s="37"/>
      <c r="DQ631" s="37">
        <f>DO631/'Conversions, Sources &amp; Comments'!E629</f>
        <v>4.8663676555196735</v>
      </c>
    </row>
    <row r="632" spans="1:121">
      <c r="A632" s="42">
        <f t="shared" si="414"/>
        <v>1880</v>
      </c>
      <c r="B632" s="36"/>
      <c r="C632" s="38">
        <v>44</v>
      </c>
      <c r="D632" s="38">
        <v>4</v>
      </c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8">
        <v>6.98</v>
      </c>
      <c r="BG632" s="36"/>
      <c r="BH632" s="36"/>
      <c r="BI632" s="36"/>
      <c r="BJ632" s="36"/>
      <c r="BK632" s="36"/>
      <c r="BL632" s="36"/>
      <c r="BM632" s="36"/>
      <c r="BN632" s="38">
        <v>52.25</v>
      </c>
      <c r="BO632" s="36"/>
      <c r="BP632" s="39">
        <f t="shared" si="412"/>
        <v>0.55057416267942583</v>
      </c>
      <c r="BQ632" s="37"/>
      <c r="BR632" s="39">
        <f t="shared" si="417"/>
        <v>1.006722313917787</v>
      </c>
      <c r="BS632" s="39">
        <f t="shared" si="418"/>
        <v>2.1180971310684451</v>
      </c>
      <c r="BT632" s="37"/>
      <c r="BU632" s="37"/>
      <c r="BV632" s="37"/>
      <c r="BW632" s="37"/>
      <c r="BX632" s="37"/>
      <c r="BY632" s="37"/>
      <c r="BZ632" s="37"/>
      <c r="CA632" s="37"/>
      <c r="CB632" s="37"/>
      <c r="CC632" s="37"/>
      <c r="CD632" s="37"/>
      <c r="CE632" s="37"/>
      <c r="CF632" s="37"/>
      <c r="CG632" s="37"/>
      <c r="CH632" s="37"/>
      <c r="CI632" s="37"/>
      <c r="CJ632" s="37"/>
      <c r="CK632" s="37"/>
      <c r="CL632" s="37"/>
      <c r="CM632" s="37"/>
      <c r="CN632" s="37"/>
      <c r="CO632" s="37"/>
      <c r="CP632" s="37"/>
      <c r="CQ632" s="37"/>
      <c r="CR632" s="37"/>
      <c r="CS632" s="37"/>
      <c r="CT632" s="37"/>
      <c r="CU632" s="37"/>
      <c r="CV632" s="37"/>
      <c r="CW632" s="37"/>
      <c r="CX632" s="37"/>
      <c r="CY632" s="37"/>
      <c r="CZ632" s="37"/>
      <c r="DA632" s="37"/>
      <c r="DB632" s="37"/>
      <c r="DC632" s="37"/>
      <c r="DD632" s="37"/>
      <c r="DE632" s="37"/>
      <c r="DF632" s="37"/>
      <c r="DG632" s="37"/>
      <c r="DH632" s="37"/>
      <c r="DI632" s="37"/>
      <c r="DJ632" s="37"/>
      <c r="DK632" s="39">
        <v>98.511673151750969</v>
      </c>
      <c r="DL632" s="37"/>
      <c r="DM632" s="37"/>
      <c r="DN632" s="37"/>
      <c r="DO632" s="39">
        <f t="shared" si="419"/>
        <v>2.7346536587409602</v>
      </c>
      <c r="DP632" s="39"/>
      <c r="DQ632" s="37">
        <f>DO632/'Conversions, Sources &amp; Comments'!E630</f>
        <v>4.9669124417907424</v>
      </c>
    </row>
    <row r="633" spans="1:121">
      <c r="A633" s="42">
        <f t="shared" si="414"/>
        <v>1881</v>
      </c>
      <c r="B633" s="36"/>
      <c r="C633" s="38">
        <v>45</v>
      </c>
      <c r="D633" s="38">
        <v>4</v>
      </c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8">
        <v>7.04</v>
      </c>
      <c r="BG633" s="36"/>
      <c r="BH633" s="36"/>
      <c r="BI633" s="36"/>
      <c r="BJ633" s="36"/>
      <c r="BK633" s="36"/>
      <c r="BL633" s="36"/>
      <c r="BM633" s="36"/>
      <c r="BN633" s="38">
        <f>51+11/16</f>
        <v>51.6875</v>
      </c>
      <c r="BO633" s="36"/>
      <c r="BP633" s="39">
        <f t="shared" si="412"/>
        <v>0.55656590084643287</v>
      </c>
      <c r="BQ633" s="37"/>
      <c r="BR633" s="39">
        <f t="shared" si="417"/>
        <v>1.0406333263921295</v>
      </c>
      <c r="BS633" s="39">
        <f t="shared" si="418"/>
        <v>2.1595530465478268</v>
      </c>
      <c r="BT633" s="37"/>
      <c r="BU633" s="37"/>
      <c r="BV633" s="37"/>
      <c r="BW633" s="37"/>
      <c r="BX633" s="37"/>
      <c r="BY633" s="37"/>
      <c r="BZ633" s="37"/>
      <c r="CA633" s="37"/>
      <c r="CB633" s="37"/>
      <c r="CC633" s="37"/>
      <c r="CD633" s="37"/>
      <c r="CE633" s="37"/>
      <c r="CF633" s="37"/>
      <c r="CG633" s="37"/>
      <c r="CH633" s="37"/>
      <c r="CI633" s="37"/>
      <c r="CJ633" s="37"/>
      <c r="CK633" s="37"/>
      <c r="CL633" s="37"/>
      <c r="CM633" s="37"/>
      <c r="CN633" s="37"/>
      <c r="CO633" s="37"/>
      <c r="CP633" s="37"/>
      <c r="CQ633" s="37"/>
      <c r="CR633" s="37"/>
      <c r="CS633" s="37"/>
      <c r="CT633" s="37"/>
      <c r="CU633" s="37"/>
      <c r="CV633" s="37"/>
      <c r="CW633" s="37"/>
      <c r="CX633" s="37"/>
      <c r="CY633" s="37"/>
      <c r="CZ633" s="37"/>
      <c r="DA633" s="37"/>
      <c r="DB633" s="37"/>
      <c r="DC633" s="37"/>
      <c r="DD633" s="37"/>
      <c r="DE633" s="37"/>
      <c r="DF633" s="37"/>
      <c r="DG633" s="37"/>
      <c r="DH633" s="37"/>
      <c r="DI633" s="37"/>
      <c r="DJ633" s="37"/>
      <c r="DK633" s="39">
        <v>97.215466926070036</v>
      </c>
      <c r="DL633" s="37"/>
      <c r="DM633" s="37"/>
      <c r="DN633" s="37"/>
      <c r="DO633" s="39">
        <f t="shared" si="419"/>
        <v>2.7280402278854803</v>
      </c>
      <c r="DP633" s="37"/>
      <c r="DQ633" s="37">
        <f>DO633/'Conversions, Sources &amp; Comments'!E631</f>
        <v>4.9015583307145478</v>
      </c>
    </row>
    <row r="634" spans="1:121">
      <c r="A634" s="42">
        <f t="shared" si="414"/>
        <v>1882</v>
      </c>
      <c r="B634" s="36"/>
      <c r="C634" s="38">
        <v>45</v>
      </c>
      <c r="D634" s="38">
        <v>1</v>
      </c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8">
        <v>7.38</v>
      </c>
      <c r="BG634" s="36"/>
      <c r="BH634" s="36"/>
      <c r="BI634" s="36"/>
      <c r="BJ634" s="36"/>
      <c r="BK634" s="36"/>
      <c r="BL634" s="36"/>
      <c r="BM634" s="36"/>
      <c r="BN634" s="38">
        <f>51+5/8</f>
        <v>51.625</v>
      </c>
      <c r="BO634" s="36"/>
      <c r="BP634" s="39">
        <f t="shared" si="412"/>
        <v>0.55723970944309931</v>
      </c>
      <c r="BQ634" s="37"/>
      <c r="BR634" s="39">
        <f t="shared" ref="BR634:BR666" si="420">(31.1*0.925/$BN634)*(12*C634+D634)/36.3687/8</f>
        <v>1.0361474386241354</v>
      </c>
      <c r="BS634" s="39">
        <f t="shared" si="418"/>
        <v>2.2665903806119116</v>
      </c>
      <c r="BT634" s="37"/>
      <c r="BU634" s="37"/>
      <c r="BV634" s="37"/>
      <c r="BW634" s="37"/>
      <c r="BX634" s="37"/>
      <c r="BY634" s="37"/>
      <c r="BZ634" s="37"/>
      <c r="CA634" s="37"/>
      <c r="CB634" s="37"/>
      <c r="CC634" s="37"/>
      <c r="CD634" s="37"/>
      <c r="CE634" s="37"/>
      <c r="CF634" s="37"/>
      <c r="CG634" s="37"/>
      <c r="CH634" s="37"/>
      <c r="CI634" s="37"/>
      <c r="CJ634" s="37"/>
      <c r="CK634" s="37"/>
      <c r="CL634" s="37"/>
      <c r="CM634" s="37"/>
      <c r="CN634" s="37"/>
      <c r="CO634" s="37"/>
      <c r="CP634" s="37"/>
      <c r="CQ634" s="37"/>
      <c r="CR634" s="37"/>
      <c r="CS634" s="37"/>
      <c r="CT634" s="37"/>
      <c r="CU634" s="37"/>
      <c r="CV634" s="37"/>
      <c r="CW634" s="37"/>
      <c r="CX634" s="37"/>
      <c r="CY634" s="37"/>
      <c r="CZ634" s="37"/>
      <c r="DA634" s="37"/>
      <c r="DB634" s="37"/>
      <c r="DC634" s="37"/>
      <c r="DD634" s="37"/>
      <c r="DE634" s="37"/>
      <c r="DF634" s="37"/>
      <c r="DG634" s="37"/>
      <c r="DH634" s="37"/>
      <c r="DI634" s="37"/>
      <c r="DJ634" s="37"/>
      <c r="DK634" s="39">
        <v>97.414883268482498</v>
      </c>
      <c r="DL634" s="37"/>
      <c r="DM634" s="37"/>
      <c r="DN634" s="37"/>
      <c r="DO634" s="39">
        <f t="shared" si="419"/>
        <v>2.7369456947745485</v>
      </c>
      <c r="DP634" s="37"/>
      <c r="DQ634" s="37">
        <f>DO634/'Conversions, Sources &amp; Comments'!E632</f>
        <v>4.9116128093416549</v>
      </c>
    </row>
    <row r="635" spans="1:121">
      <c r="A635" s="42">
        <f t="shared" si="414"/>
        <v>1883</v>
      </c>
      <c r="B635" s="36"/>
      <c r="C635" s="38">
        <v>41</v>
      </c>
      <c r="D635" s="38">
        <v>7</v>
      </c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8">
        <v>7</v>
      </c>
      <c r="BG635" s="36"/>
      <c r="BH635" s="36"/>
      <c r="BI635" s="36"/>
      <c r="BJ635" s="36"/>
      <c r="BK635" s="36"/>
      <c r="BL635" s="36"/>
      <c r="BM635" s="36"/>
      <c r="BN635" s="38">
        <f>50+9/16</f>
        <v>50.5625</v>
      </c>
      <c r="BO635" s="36"/>
      <c r="BP635" s="39">
        <f t="shared" si="412"/>
        <v>0.56894932014833133</v>
      </c>
      <c r="BQ635" s="37"/>
      <c r="BR635" s="39">
        <f t="shared" si="420"/>
        <v>0.97579000195916177</v>
      </c>
      <c r="BS635" s="39">
        <f t="shared" si="418"/>
        <v>2.1950592388304462</v>
      </c>
      <c r="BT635" s="37"/>
      <c r="BU635" s="37"/>
      <c r="BV635" s="37"/>
      <c r="BW635" s="37"/>
      <c r="BX635" s="37"/>
      <c r="BY635" s="37"/>
      <c r="BZ635" s="37"/>
      <c r="CA635" s="37"/>
      <c r="CB635" s="37"/>
      <c r="CC635" s="37"/>
      <c r="CD635" s="37"/>
      <c r="CE635" s="37"/>
      <c r="CF635" s="37"/>
      <c r="CG635" s="37"/>
      <c r="CH635" s="37"/>
      <c r="CI635" s="37"/>
      <c r="CJ635" s="37"/>
      <c r="CK635" s="37"/>
      <c r="CL635" s="37"/>
      <c r="CM635" s="37"/>
      <c r="CN635" s="37"/>
      <c r="CO635" s="37"/>
      <c r="CP635" s="37"/>
      <c r="CQ635" s="37"/>
      <c r="CR635" s="37"/>
      <c r="CS635" s="37"/>
      <c r="CT635" s="37"/>
      <c r="CU635" s="37"/>
      <c r="CV635" s="37"/>
      <c r="CW635" s="37"/>
      <c r="CX635" s="37"/>
      <c r="CY635" s="37"/>
      <c r="CZ635" s="37"/>
      <c r="DA635" s="37"/>
      <c r="DB635" s="37"/>
      <c r="DC635" s="37"/>
      <c r="DD635" s="37"/>
      <c r="DE635" s="37"/>
      <c r="DF635" s="37"/>
      <c r="DG635" s="37"/>
      <c r="DH635" s="37"/>
      <c r="DI635" s="37"/>
      <c r="DJ635" s="37"/>
      <c r="DK635" s="39">
        <v>97.414883268482498</v>
      </c>
      <c r="DL635" s="37"/>
      <c r="DM635" s="37"/>
      <c r="DN635" s="37"/>
      <c r="DO635" s="39">
        <f t="shared" si="419"/>
        <v>2.7944587687067699</v>
      </c>
      <c r="DP635" s="37"/>
      <c r="DQ635" s="37">
        <f>DO635/'Conversions, Sources &amp; Comments'!E633</f>
        <v>4.911612809341654</v>
      </c>
    </row>
    <row r="636" spans="1:121">
      <c r="A636" s="42">
        <f t="shared" si="414"/>
        <v>1884</v>
      </c>
      <c r="B636" s="36"/>
      <c r="C636" s="38">
        <v>35</v>
      </c>
      <c r="D636" s="38">
        <v>8</v>
      </c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8">
        <v>6.78</v>
      </c>
      <c r="BG636" s="36"/>
      <c r="BH636" s="36"/>
      <c r="BI636" s="36"/>
      <c r="BJ636" s="36"/>
      <c r="BK636" s="36"/>
      <c r="BL636" s="36"/>
      <c r="BM636" s="36"/>
      <c r="BN636" s="38">
        <f>50+5/8</f>
        <v>50.625</v>
      </c>
      <c r="BO636" s="36"/>
      <c r="BP636" s="39">
        <f t="shared" si="412"/>
        <v>0.56824691358024693</v>
      </c>
      <c r="BQ636" s="37"/>
      <c r="BR636" s="39">
        <f t="shared" si="420"/>
        <v>0.83591687018076566</v>
      </c>
      <c r="BS636" s="39">
        <f t="shared" si="418"/>
        <v>2.1234468829223587</v>
      </c>
      <c r="BT636" s="37"/>
      <c r="BU636" s="37"/>
      <c r="BV636" s="37"/>
      <c r="BW636" s="37"/>
      <c r="BX636" s="37"/>
      <c r="BY636" s="37"/>
      <c r="BZ636" s="37"/>
      <c r="CA636" s="37"/>
      <c r="CB636" s="37"/>
      <c r="CC636" s="37"/>
      <c r="CD636" s="37"/>
      <c r="CE636" s="37"/>
      <c r="CF636" s="37"/>
      <c r="CG636" s="37"/>
      <c r="CH636" s="37"/>
      <c r="CI636" s="37"/>
      <c r="CJ636" s="37"/>
      <c r="CK636" s="37"/>
      <c r="CL636" s="37"/>
      <c r="CM636" s="37"/>
      <c r="CN636" s="37"/>
      <c r="CO636" s="37"/>
      <c r="CP636" s="37"/>
      <c r="CQ636" s="37"/>
      <c r="CR636" s="37"/>
      <c r="CS636" s="37"/>
      <c r="CT636" s="37"/>
      <c r="CU636" s="37"/>
      <c r="CV636" s="37"/>
      <c r="CW636" s="37"/>
      <c r="CX636" s="37"/>
      <c r="CY636" s="37"/>
      <c r="CZ636" s="37"/>
      <c r="DA636" s="37"/>
      <c r="DB636" s="37"/>
      <c r="DC636" s="37"/>
      <c r="DD636" s="37"/>
      <c r="DE636" s="37"/>
      <c r="DF636" s="37"/>
      <c r="DG636" s="37"/>
      <c r="DH636" s="37"/>
      <c r="DI636" s="37"/>
      <c r="DJ636" s="37"/>
      <c r="DK636" s="39">
        <v>94.124513618677042</v>
      </c>
      <c r="DL636" s="37"/>
      <c r="DM636" s="37"/>
      <c r="DN636" s="37"/>
      <c r="DO636" s="39">
        <f t="shared" si="419"/>
        <v>2.6967372832256533</v>
      </c>
      <c r="DP636" s="37"/>
      <c r="DQ636" s="37">
        <f>DO636/'Conversions, Sources &amp; Comments'!E634</f>
        <v>4.7457139119943932</v>
      </c>
    </row>
    <row r="637" spans="1:121">
      <c r="A637" s="42">
        <f t="shared" si="414"/>
        <v>1885</v>
      </c>
      <c r="B637" s="36"/>
      <c r="C637" s="38">
        <v>32</v>
      </c>
      <c r="D637" s="38">
        <v>10</v>
      </c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8">
        <v>6.23</v>
      </c>
      <c r="BG637" s="36"/>
      <c r="BH637" s="36"/>
      <c r="BI637" s="36"/>
      <c r="BJ637" s="36"/>
      <c r="BK637" s="36"/>
      <c r="BL637" s="36"/>
      <c r="BM637" s="36"/>
      <c r="BN637" s="38">
        <f>48+9/16</f>
        <v>48.5625</v>
      </c>
      <c r="BO637" s="36"/>
      <c r="BP637" s="39">
        <f t="shared" si="412"/>
        <v>0.59238095238095245</v>
      </c>
      <c r="BQ637" s="37"/>
      <c r="BR637" s="39">
        <f t="shared" si="420"/>
        <v>0.80219424683208118</v>
      </c>
      <c r="BS637" s="39">
        <f t="shared" si="418"/>
        <v>2.0340599775422263</v>
      </c>
      <c r="BT637" s="37"/>
      <c r="BU637" s="37"/>
      <c r="BV637" s="37"/>
      <c r="BW637" s="37"/>
      <c r="BX637" s="37"/>
      <c r="BY637" s="37"/>
      <c r="BZ637" s="37"/>
      <c r="CA637" s="37"/>
      <c r="CB637" s="37"/>
      <c r="CC637" s="37"/>
      <c r="CD637" s="37"/>
      <c r="CE637" s="37"/>
      <c r="CF637" s="37"/>
      <c r="CG637" s="37"/>
      <c r="CH637" s="37"/>
      <c r="CI637" s="37"/>
      <c r="CJ637" s="37"/>
      <c r="CK637" s="37"/>
      <c r="CL637" s="37"/>
      <c r="CM637" s="37"/>
      <c r="CN637" s="37"/>
      <c r="CO637" s="37"/>
      <c r="CP637" s="37"/>
      <c r="CQ637" s="37"/>
      <c r="CR637" s="37"/>
      <c r="CS637" s="37"/>
      <c r="CT637" s="37"/>
      <c r="CU637" s="37"/>
      <c r="CV637" s="37"/>
      <c r="CW637" s="37"/>
      <c r="CX637" s="37"/>
      <c r="CY637" s="37"/>
      <c r="CZ637" s="37"/>
      <c r="DA637" s="37"/>
      <c r="DB637" s="37"/>
      <c r="DC637" s="37"/>
      <c r="DD637" s="37"/>
      <c r="DE637" s="37"/>
      <c r="DF637" s="37"/>
      <c r="DG637" s="37"/>
      <c r="DH637" s="37"/>
      <c r="DI637" s="37"/>
      <c r="DJ637" s="37"/>
      <c r="DK637" s="39">
        <v>90.834143968871601</v>
      </c>
      <c r="DL637" s="37"/>
      <c r="DM637" s="37"/>
      <c r="DN637" s="37"/>
      <c r="DO637" s="39">
        <f t="shared" si="419"/>
        <v>2.7129951801052536</v>
      </c>
      <c r="DP637" s="37"/>
      <c r="DQ637" s="37">
        <f>DO637/'Conversions, Sources &amp; Comments'!E635</f>
        <v>4.5798150146471315</v>
      </c>
    </row>
    <row r="638" spans="1:121">
      <c r="A638" s="42">
        <f t="shared" si="414"/>
        <v>1886</v>
      </c>
      <c r="B638" s="36"/>
      <c r="C638" s="38">
        <v>31</v>
      </c>
      <c r="D638" s="38">
        <v>0</v>
      </c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8">
        <v>6.25</v>
      </c>
      <c r="BG638" s="36"/>
      <c r="BH638" s="36"/>
      <c r="BI638" s="36"/>
      <c r="BJ638" s="36"/>
      <c r="BK638" s="36"/>
      <c r="BL638" s="36"/>
      <c r="BM638" s="36"/>
      <c r="BN638" s="38">
        <f>45+3/8</f>
        <v>45.375</v>
      </c>
      <c r="BO638" s="36"/>
      <c r="BP638" s="39">
        <f t="shared" si="412"/>
        <v>0.63399449035812672</v>
      </c>
      <c r="BQ638" s="37"/>
      <c r="BR638" s="39">
        <f t="shared" si="420"/>
        <v>0.81060757744029599</v>
      </c>
      <c r="BS638" s="39">
        <f t="shared" si="418"/>
        <v>2.1839370870398356</v>
      </c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  <c r="DI638" s="37"/>
      <c r="DJ638" s="37"/>
      <c r="DK638" s="39">
        <v>90.036478599221795</v>
      </c>
      <c r="DL638" s="37"/>
      <c r="DM638" s="37"/>
      <c r="DN638" s="37"/>
      <c r="DO638" s="39">
        <f t="shared" si="419"/>
        <v>2.878079549933668</v>
      </c>
      <c r="DP638" s="37"/>
      <c r="DQ638" s="37">
        <f>DO638/'Conversions, Sources &amp; Comments'!E636</f>
        <v>4.539597100138705</v>
      </c>
    </row>
    <row r="639" spans="1:121">
      <c r="A639" s="42">
        <f t="shared" si="414"/>
        <v>1887</v>
      </c>
      <c r="B639" s="36"/>
      <c r="C639" s="38">
        <v>32</v>
      </c>
      <c r="D639" s="38">
        <v>6</v>
      </c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8">
        <v>5.63</v>
      </c>
      <c r="BG639" s="36"/>
      <c r="BH639" s="36"/>
      <c r="BI639" s="36"/>
      <c r="BJ639" s="36"/>
      <c r="BK639" s="36"/>
      <c r="BL639" s="36"/>
      <c r="BM639" s="36"/>
      <c r="BN639" s="38">
        <f>44+11/16</f>
        <v>44.6875</v>
      </c>
      <c r="BO639" s="36"/>
      <c r="BP639" s="39">
        <f t="shared" si="412"/>
        <v>0.64374825174825179</v>
      </c>
      <c r="BQ639" s="37"/>
      <c r="BR639" s="39">
        <f t="shared" si="420"/>
        <v>0.86290484050096039</v>
      </c>
      <c r="BS639" s="39">
        <f t="shared" si="418"/>
        <v>1.9975565361286449</v>
      </c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  <c r="DI639" s="37"/>
      <c r="DJ639" s="37"/>
      <c r="DK639" s="39">
        <v>88.241731517509734</v>
      </c>
      <c r="DL639" s="37"/>
      <c r="DM639" s="37"/>
      <c r="DN639" s="37"/>
      <c r="DO639" s="39">
        <f t="shared" si="419"/>
        <v>2.8641047195097626</v>
      </c>
      <c r="DP639" s="37"/>
      <c r="DQ639" s="37">
        <f>DO639/'Conversions, Sources &amp; Comments'!E637</f>
        <v>4.4491067924947423</v>
      </c>
    </row>
    <row r="640" spans="1:121">
      <c r="A640" s="42">
        <f t="shared" si="414"/>
        <v>1888</v>
      </c>
      <c r="B640" s="36"/>
      <c r="C640" s="38">
        <v>31</v>
      </c>
      <c r="D640" s="38">
        <v>10</v>
      </c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8">
        <v>5.69</v>
      </c>
      <c r="BG640" s="36"/>
      <c r="BH640" s="36"/>
      <c r="BI640" s="36"/>
      <c r="BJ640" s="36"/>
      <c r="BK640" s="36"/>
      <c r="BL640" s="36"/>
      <c r="BM640" s="36"/>
      <c r="BN640" s="38">
        <f>42+7/8</f>
        <v>42.875</v>
      </c>
      <c r="BO640" s="36"/>
      <c r="BP640" s="39">
        <f t="shared" si="412"/>
        <v>0.67096209912536442</v>
      </c>
      <c r="BQ640" s="37"/>
      <c r="BR640" s="39">
        <f t="shared" si="420"/>
        <v>0.88093443629374035</v>
      </c>
      <c r="BS640" s="39">
        <f t="shared" si="418"/>
        <v>2.1041896373962303</v>
      </c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  <c r="DI640" s="37"/>
      <c r="DJ640" s="37"/>
      <c r="DK640" s="39">
        <v>88.042315175097272</v>
      </c>
      <c r="DL640" s="37"/>
      <c r="DM640" s="37"/>
      <c r="DN640" s="37"/>
      <c r="DO640" s="39">
        <f t="shared" si="419"/>
        <v>2.9784358586399358</v>
      </c>
      <c r="DP640" s="37"/>
      <c r="DQ640" s="37">
        <f>DO640/'Conversions, Sources &amp; Comments'!E638</f>
        <v>4.439052313867637</v>
      </c>
    </row>
    <row r="641" spans="1:121">
      <c r="A641" s="42">
        <f t="shared" si="414"/>
        <v>1889</v>
      </c>
      <c r="B641" s="36"/>
      <c r="C641" s="38">
        <v>29</v>
      </c>
      <c r="D641" s="38">
        <v>9</v>
      </c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8">
        <v>6.02</v>
      </c>
      <c r="BG641" s="36"/>
      <c r="BH641" s="36"/>
      <c r="BI641" s="36"/>
      <c r="BJ641" s="36"/>
      <c r="BK641" s="36"/>
      <c r="BL641" s="36"/>
      <c r="BM641" s="36"/>
      <c r="BN641" s="38">
        <f>42+11/16</f>
        <v>42.6875</v>
      </c>
      <c r="BO641" s="36"/>
      <c r="BP641" s="39">
        <f t="shared" si="412"/>
        <v>0.67390922401171305</v>
      </c>
      <c r="BQ641" s="37"/>
      <c r="BR641" s="39">
        <f t="shared" si="420"/>
        <v>0.82689783031900221</v>
      </c>
      <c r="BS641" s="39">
        <f t="shared" si="418"/>
        <v>2.2360036820262001</v>
      </c>
      <c r="BT641" s="37"/>
      <c r="BU641" s="37"/>
      <c r="BV641" s="37"/>
      <c r="BW641" s="37"/>
      <c r="BX641" s="37"/>
      <c r="BY641" s="37"/>
      <c r="BZ641" s="37"/>
      <c r="CA641" s="37"/>
      <c r="CB641" s="37"/>
      <c r="CC641" s="37"/>
      <c r="CD641" s="37"/>
      <c r="CE641" s="37"/>
      <c r="CF641" s="37"/>
      <c r="CG641" s="37"/>
      <c r="CH641" s="37"/>
      <c r="CI641" s="37"/>
      <c r="CJ641" s="37"/>
      <c r="CK641" s="37"/>
      <c r="CL641" s="37"/>
      <c r="CM641" s="37"/>
      <c r="CN641" s="37"/>
      <c r="CO641" s="37"/>
      <c r="CP641" s="37"/>
      <c r="CQ641" s="37"/>
      <c r="CR641" s="37"/>
      <c r="CS641" s="37"/>
      <c r="CT641" s="37"/>
      <c r="CU641" s="37"/>
      <c r="CV641" s="37"/>
      <c r="CW641" s="37"/>
      <c r="CX641" s="37"/>
      <c r="CY641" s="37"/>
      <c r="CZ641" s="37"/>
      <c r="DA641" s="37"/>
      <c r="DB641" s="37"/>
      <c r="DC641" s="37"/>
      <c r="DD641" s="37"/>
      <c r="DE641" s="37"/>
      <c r="DF641" s="37"/>
      <c r="DG641" s="37"/>
      <c r="DH641" s="37"/>
      <c r="DI641" s="37"/>
      <c r="DJ641" s="37"/>
      <c r="DK641" s="39">
        <v>88.740272373540861</v>
      </c>
      <c r="DL641" s="37"/>
      <c r="DM641" s="37"/>
      <c r="DN641" s="37"/>
      <c r="DO641" s="39">
        <f t="shared" si="419"/>
        <v>3.0152336207989641</v>
      </c>
      <c r="DP641" s="37"/>
      <c r="DQ641" s="37">
        <f>DO641/'Conversions, Sources &amp; Comments'!E639</f>
        <v>4.4742429890625104</v>
      </c>
    </row>
    <row r="642" spans="1:121">
      <c r="A642" s="42">
        <f t="shared" si="414"/>
        <v>1890</v>
      </c>
      <c r="B642" s="36"/>
      <c r="C642" s="38">
        <v>31</v>
      </c>
      <c r="D642" s="38">
        <v>11</v>
      </c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8">
        <v>6</v>
      </c>
      <c r="BG642" s="36"/>
      <c r="BH642" s="36"/>
      <c r="BI642" s="36"/>
      <c r="BJ642" s="36"/>
      <c r="BK642" s="36"/>
      <c r="BL642" s="36"/>
      <c r="BM642" s="36"/>
      <c r="BN642" s="38">
        <f>47+3/4</f>
        <v>47.75</v>
      </c>
      <c r="BO642" s="36"/>
      <c r="BP642" s="39">
        <f t="shared" si="412"/>
        <v>0.60246073298429326</v>
      </c>
      <c r="BQ642" s="37"/>
      <c r="BR642" s="39">
        <f t="shared" si="420"/>
        <v>0.79306677422132332</v>
      </c>
      <c r="BS642" s="39">
        <f t="shared" si="418"/>
        <v>1.9922994662084867</v>
      </c>
      <c r="BT642" s="37"/>
      <c r="BU642" s="37"/>
      <c r="BV642" s="37"/>
      <c r="BW642" s="37"/>
      <c r="BX642" s="37"/>
      <c r="BY642" s="37"/>
      <c r="BZ642" s="37"/>
      <c r="CA642" s="37"/>
      <c r="CB642" s="37"/>
      <c r="CC642" s="37"/>
      <c r="CD642" s="37"/>
      <c r="CE642" s="37"/>
      <c r="CF642" s="37"/>
      <c r="CG642" s="37"/>
      <c r="CH642" s="37"/>
      <c r="CI642" s="37"/>
      <c r="CJ642" s="37"/>
      <c r="CK642" s="37"/>
      <c r="CL642" s="37"/>
      <c r="CM642" s="37"/>
      <c r="CN642" s="37"/>
      <c r="CO642" s="37"/>
      <c r="CP642" s="37"/>
      <c r="CQ642" s="37"/>
      <c r="CR642" s="37"/>
      <c r="CS642" s="37"/>
      <c r="CT642" s="37"/>
      <c r="CU642" s="37"/>
      <c r="CV642" s="37"/>
      <c r="CW642" s="37"/>
      <c r="CX642" s="37"/>
      <c r="CY642" s="37"/>
      <c r="CZ642" s="37"/>
      <c r="DA642" s="37"/>
      <c r="DB642" s="37"/>
      <c r="DC642" s="37"/>
      <c r="DD642" s="37"/>
      <c r="DE642" s="37"/>
      <c r="DF642" s="37"/>
      <c r="DG642" s="37"/>
      <c r="DH642" s="37"/>
      <c r="DI642" s="37"/>
      <c r="DJ642" s="37"/>
      <c r="DK642" s="39">
        <v>89.139105058365757</v>
      </c>
      <c r="DL642" s="37"/>
      <c r="DM642" s="37"/>
      <c r="DN642" s="37"/>
      <c r="DO642" s="39">
        <f t="shared" si="419"/>
        <v>2.7076705678673583</v>
      </c>
      <c r="DP642" s="37"/>
      <c r="DQ642" s="37">
        <f>DO642/'Conversions, Sources &amp; Comments'!E640</f>
        <v>4.4943519463167236</v>
      </c>
    </row>
    <row r="643" spans="1:121">
      <c r="A643" s="42">
        <f t="shared" si="414"/>
        <v>1891</v>
      </c>
      <c r="B643" s="36"/>
      <c r="C643" s="38">
        <v>37</v>
      </c>
      <c r="D643" s="38">
        <v>0</v>
      </c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8">
        <v>6.21</v>
      </c>
      <c r="BG643" s="36"/>
      <c r="BH643" s="36"/>
      <c r="BI643" s="36"/>
      <c r="BJ643" s="36"/>
      <c r="BK643" s="36"/>
      <c r="BL643" s="36"/>
      <c r="BM643" s="36"/>
      <c r="BN643" s="38">
        <f>45+1/16</f>
        <v>45.0625</v>
      </c>
      <c r="BO643" s="36"/>
      <c r="BP643" s="39">
        <f t="shared" si="412"/>
        <v>0.6383911234396672</v>
      </c>
      <c r="BQ643" s="37"/>
      <c r="BR643" s="39">
        <f t="shared" si="420"/>
        <v>0.97420879357528678</v>
      </c>
      <c r="BS643" s="39">
        <f t="shared" si="418"/>
        <v>2.1850081552145615</v>
      </c>
      <c r="BT643" s="37"/>
      <c r="BU643" s="37"/>
      <c r="BV643" s="37"/>
      <c r="BW643" s="37"/>
      <c r="BX643" s="37"/>
      <c r="BY643" s="37"/>
      <c r="BZ643" s="37"/>
      <c r="CA643" s="37"/>
      <c r="CB643" s="37"/>
      <c r="CC643" s="37"/>
      <c r="CD643" s="37"/>
      <c r="CE643" s="37"/>
      <c r="CF643" s="37"/>
      <c r="CG643" s="37"/>
      <c r="CH643" s="37"/>
      <c r="CI643" s="37"/>
      <c r="CJ643" s="37"/>
      <c r="CK643" s="37"/>
      <c r="CL643" s="37"/>
      <c r="CM643" s="37"/>
      <c r="CN643" s="37"/>
      <c r="CO643" s="37"/>
      <c r="CP643" s="37"/>
      <c r="CQ643" s="37"/>
      <c r="CR643" s="37"/>
      <c r="CS643" s="37"/>
      <c r="CT643" s="37"/>
      <c r="CU643" s="37"/>
      <c r="CV643" s="37"/>
      <c r="CW643" s="37"/>
      <c r="CX643" s="37"/>
      <c r="CY643" s="37"/>
      <c r="CZ643" s="37"/>
      <c r="DA643" s="37"/>
      <c r="DB643" s="37"/>
      <c r="DC643" s="37"/>
      <c r="DD643" s="37"/>
      <c r="DE643" s="37"/>
      <c r="DF643" s="37"/>
      <c r="DG643" s="37"/>
      <c r="DH643" s="37"/>
      <c r="DI643" s="37"/>
      <c r="DJ643" s="37"/>
      <c r="DK643" s="39">
        <v>89.837062256809347</v>
      </c>
      <c r="DL643" s="37"/>
      <c r="DM643" s="37"/>
      <c r="DN643" s="37"/>
      <c r="DO643" s="39">
        <f t="shared" si="419"/>
        <v>2.891619802814644</v>
      </c>
      <c r="DP643" s="37"/>
      <c r="DQ643" s="37">
        <f>DO643/'Conversions, Sources &amp; Comments'!E641</f>
        <v>4.5295426215115979</v>
      </c>
    </row>
    <row r="644" spans="1:121">
      <c r="A644" s="42">
        <f t="shared" si="414"/>
        <v>1892</v>
      </c>
      <c r="B644" s="36"/>
      <c r="C644" s="38">
        <v>30</v>
      </c>
      <c r="D644" s="38">
        <v>3</v>
      </c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8">
        <v>6.23</v>
      </c>
      <c r="BG644" s="36"/>
      <c r="BH644" s="36"/>
      <c r="BI644" s="36"/>
      <c r="BJ644" s="36"/>
      <c r="BK644" s="36"/>
      <c r="BL644" s="36"/>
      <c r="BM644" s="36"/>
      <c r="BN644" s="38">
        <f>39+3/4</f>
        <v>39.75</v>
      </c>
      <c r="BO644" s="36"/>
      <c r="BP644" s="39">
        <f t="shared" si="412"/>
        <v>0.72371069182389947</v>
      </c>
      <c r="BQ644" s="37"/>
      <c r="BR644" s="39">
        <f t="shared" si="420"/>
        <v>0.90292951470658667</v>
      </c>
      <c r="BS644" s="39">
        <f t="shared" si="418"/>
        <v>2.4850072367143237</v>
      </c>
      <c r="BT644" s="37"/>
      <c r="BU644" s="37"/>
      <c r="BV644" s="37"/>
      <c r="BW644" s="37"/>
      <c r="BX644" s="37"/>
      <c r="BY644" s="37"/>
      <c r="BZ644" s="37"/>
      <c r="CA644" s="37"/>
      <c r="CB644" s="37"/>
      <c r="CC644" s="37"/>
      <c r="CD644" s="37"/>
      <c r="CE644" s="37"/>
      <c r="CF644" s="37"/>
      <c r="CG644" s="37"/>
      <c r="CH644" s="37"/>
      <c r="CI644" s="37"/>
      <c r="CJ644" s="37"/>
      <c r="CK644" s="37"/>
      <c r="CL644" s="37"/>
      <c r="CM644" s="37"/>
      <c r="CN644" s="37"/>
      <c r="CO644" s="37"/>
      <c r="CP644" s="37"/>
      <c r="CQ644" s="37"/>
      <c r="CR644" s="37"/>
      <c r="CS644" s="37"/>
      <c r="CT644" s="37"/>
      <c r="CU644" s="37"/>
      <c r="CV644" s="37"/>
      <c r="CW644" s="37"/>
      <c r="CX644" s="37"/>
      <c r="CY644" s="37"/>
      <c r="CZ644" s="37"/>
      <c r="DA644" s="37"/>
      <c r="DB644" s="37"/>
      <c r="DC644" s="37"/>
      <c r="DD644" s="37"/>
      <c r="DE644" s="37"/>
      <c r="DF644" s="37"/>
      <c r="DG644" s="37"/>
      <c r="DH644" s="37"/>
      <c r="DI644" s="37"/>
      <c r="DJ644" s="37"/>
      <c r="DK644" s="39">
        <v>90.235894941634243</v>
      </c>
      <c r="DL644" s="37"/>
      <c r="DM644" s="37"/>
      <c r="DN644" s="37"/>
      <c r="DO644" s="39">
        <f t="shared" si="419"/>
        <v>3.2926314916263015</v>
      </c>
      <c r="DP644" s="37"/>
      <c r="DQ644" s="37">
        <f>DO644/'Conversions, Sources &amp; Comments'!E642</f>
        <v>4.5496515787658112</v>
      </c>
    </row>
    <row r="645" spans="1:121">
      <c r="A645" s="42">
        <f t="shared" si="414"/>
        <v>1893</v>
      </c>
      <c r="B645" s="36"/>
      <c r="C645" s="38">
        <v>26</v>
      </c>
      <c r="D645" s="38">
        <v>4</v>
      </c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8">
        <v>5.75</v>
      </c>
      <c r="BG645" s="36"/>
      <c r="BH645" s="36"/>
      <c r="BI645" s="36"/>
      <c r="BJ645" s="36"/>
      <c r="BK645" s="36"/>
      <c r="BL645" s="36"/>
      <c r="BM645" s="36"/>
      <c r="BN645" s="38">
        <f>35+9/10</f>
        <v>35.9</v>
      </c>
      <c r="BO645" s="36"/>
      <c r="BP645" s="39">
        <f t="shared" si="412"/>
        <v>0.80132311977715887</v>
      </c>
      <c r="BQ645" s="37"/>
      <c r="BR645" s="39">
        <f t="shared" si="420"/>
        <v>0.87031604734834567</v>
      </c>
      <c r="BS645" s="39">
        <f t="shared" si="418"/>
        <v>2.5395112450829509</v>
      </c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  <c r="DI645" s="37"/>
      <c r="DJ645" s="37"/>
      <c r="DK645" s="39">
        <v>88.441147859922182</v>
      </c>
      <c r="DL645" s="37"/>
      <c r="DM645" s="37"/>
      <c r="DN645" s="37"/>
      <c r="DO645" s="39">
        <f t="shared" si="419"/>
        <v>3.5732290213648428</v>
      </c>
      <c r="DP645" s="37"/>
      <c r="DQ645" s="37">
        <f>DO645/'Conversions, Sources &amp; Comments'!E643</f>
        <v>4.4591612711218511</v>
      </c>
    </row>
    <row r="646" spans="1:121">
      <c r="A646" s="42">
        <f t="shared" si="414"/>
        <v>1894</v>
      </c>
      <c r="B646" s="36"/>
      <c r="C646" s="38">
        <v>22</v>
      </c>
      <c r="D646" s="38">
        <v>10</v>
      </c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8">
        <v>5.48</v>
      </c>
      <c r="BG646" s="36"/>
      <c r="BH646" s="36"/>
      <c r="BI646" s="36"/>
      <c r="BJ646" s="36"/>
      <c r="BK646" s="36"/>
      <c r="BL646" s="36"/>
      <c r="BM646" s="36"/>
      <c r="BN646" s="38">
        <f>28+15/16</f>
        <v>28.9375</v>
      </c>
      <c r="BO646" s="36"/>
      <c r="BP646" s="39">
        <f t="shared" si="412"/>
        <v>0.99412526997840178</v>
      </c>
      <c r="BQ646" s="37"/>
      <c r="BR646" s="39">
        <f t="shared" si="420"/>
        <v>0.9362113712274639</v>
      </c>
      <c r="BS646" s="39">
        <f t="shared" si="418"/>
        <v>3.0025918002751601</v>
      </c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  <c r="DI646" s="37"/>
      <c r="DJ646" s="37"/>
      <c r="DK646" s="39">
        <v>86.147859922178995</v>
      </c>
      <c r="DL646" s="37"/>
      <c r="DM646" s="37"/>
      <c r="DN646" s="37"/>
      <c r="DO646" s="39">
        <f t="shared" si="419"/>
        <v>4.3180176728150998</v>
      </c>
      <c r="DP646" s="37"/>
      <c r="DQ646" s="37">
        <f>DO646/'Conversions, Sources &amp; Comments'!E644</f>
        <v>4.3435347669101221</v>
      </c>
    </row>
    <row r="647" spans="1:121">
      <c r="A647" s="42">
        <f t="shared" si="414"/>
        <v>1895</v>
      </c>
      <c r="B647" s="36"/>
      <c r="C647" s="38">
        <v>23</v>
      </c>
      <c r="D647" s="38">
        <v>1</v>
      </c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8">
        <v>5.08</v>
      </c>
      <c r="BG647" s="36"/>
      <c r="BH647" s="36"/>
      <c r="BI647" s="36"/>
      <c r="BJ647" s="36"/>
      <c r="BK647" s="36"/>
      <c r="BL647" s="36"/>
      <c r="BM647" s="36"/>
      <c r="BN647" s="38">
        <f>29+13/16</f>
        <v>29.8125</v>
      </c>
      <c r="BO647" s="36"/>
      <c r="BP647" s="39">
        <f t="shared" si="412"/>
        <v>0.96494758909853251</v>
      </c>
      <c r="BQ647" s="37"/>
      <c r="BR647" s="39">
        <f t="shared" si="420"/>
        <v>0.91868310587226631</v>
      </c>
      <c r="BS647" s="39">
        <f t="shared" si="418"/>
        <v>2.7017307142875895</v>
      </c>
      <c r="BT647" s="37"/>
      <c r="BU647" s="37"/>
      <c r="BV647" s="37"/>
      <c r="BW647" s="37"/>
      <c r="BX647" s="37"/>
      <c r="BY647" s="37"/>
      <c r="BZ647" s="37"/>
      <c r="CA647" s="37"/>
      <c r="CB647" s="37"/>
      <c r="CC647" s="37"/>
      <c r="CD647" s="37"/>
      <c r="CE647" s="37"/>
      <c r="CF647" s="37"/>
      <c r="CG647" s="37"/>
      <c r="CH647" s="37"/>
      <c r="CI647" s="37"/>
      <c r="CJ647" s="37"/>
      <c r="CK647" s="37"/>
      <c r="CL647" s="37"/>
      <c r="CM647" s="37"/>
      <c r="CN647" s="37"/>
      <c r="CO647" s="37"/>
      <c r="CP647" s="37"/>
      <c r="CQ647" s="37"/>
      <c r="CR647" s="37"/>
      <c r="CS647" s="37"/>
      <c r="CT647" s="37"/>
      <c r="CU647" s="37"/>
      <c r="CV647" s="37"/>
      <c r="CW647" s="37"/>
      <c r="CX647" s="37"/>
      <c r="CY647" s="37"/>
      <c r="CZ647" s="37"/>
      <c r="DA647" s="37"/>
      <c r="DB647" s="37"/>
      <c r="DC647" s="37"/>
      <c r="DD647" s="37"/>
      <c r="DE647" s="37"/>
      <c r="DF647" s="37"/>
      <c r="DG647" s="37"/>
      <c r="DH647" s="37"/>
      <c r="DI647" s="37"/>
      <c r="DJ647" s="37"/>
      <c r="DK647" s="39">
        <v>84.951361867704279</v>
      </c>
      <c r="DL647" s="37"/>
      <c r="DM647" s="37"/>
      <c r="DN647" s="37"/>
      <c r="DO647" s="39">
        <f t="shared" si="419"/>
        <v>4.1330711320303628</v>
      </c>
      <c r="DP647" s="37"/>
      <c r="DQ647" s="37">
        <f>DO647/'Conversions, Sources &amp; Comments'!E645</f>
        <v>4.2832078951474823</v>
      </c>
    </row>
    <row r="648" spans="1:121">
      <c r="A648" s="42">
        <f t="shared" si="414"/>
        <v>1896</v>
      </c>
      <c r="B648" s="36"/>
      <c r="C648" s="38">
        <v>26</v>
      </c>
      <c r="D648" s="38">
        <v>2</v>
      </c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8">
        <v>5.09</v>
      </c>
      <c r="BG648" s="36"/>
      <c r="BH648" s="36"/>
      <c r="BI648" s="36"/>
      <c r="BJ648" s="36"/>
      <c r="BK648" s="36"/>
      <c r="BL648" s="36"/>
      <c r="BM648" s="36"/>
      <c r="BN648" s="38">
        <f>30+13/16</f>
        <v>30.8125</v>
      </c>
      <c r="BO648" s="36"/>
      <c r="BP648" s="39">
        <f t="shared" si="412"/>
        <v>0.93363083164300209</v>
      </c>
      <c r="BQ648" s="37"/>
      <c r="BR648" s="39">
        <f t="shared" si="420"/>
        <v>1.0075974709568347</v>
      </c>
      <c r="BS648" s="39">
        <f t="shared" si="418"/>
        <v>2.619193533540539</v>
      </c>
      <c r="BT648" s="37"/>
      <c r="BU648" s="37"/>
      <c r="BV648" s="37"/>
      <c r="BW648" s="37"/>
      <c r="BX648" s="37"/>
      <c r="BY648" s="37"/>
      <c r="BZ648" s="37"/>
      <c r="CA648" s="37"/>
      <c r="CB648" s="37"/>
      <c r="CC648" s="37"/>
      <c r="CD648" s="37"/>
      <c r="CE648" s="37"/>
      <c r="CF648" s="37"/>
      <c r="CG648" s="37"/>
      <c r="CH648" s="37"/>
      <c r="CI648" s="37"/>
      <c r="CJ648" s="37"/>
      <c r="CK648" s="37"/>
      <c r="CL648" s="37"/>
      <c r="CM648" s="37"/>
      <c r="CN648" s="37"/>
      <c r="CO648" s="37"/>
      <c r="CP648" s="37"/>
      <c r="CQ648" s="37"/>
      <c r="CR648" s="37"/>
      <c r="CS648" s="37"/>
      <c r="CT648" s="37"/>
      <c r="CU648" s="37"/>
      <c r="CV648" s="37"/>
      <c r="CW648" s="37"/>
      <c r="CX648" s="37"/>
      <c r="CY648" s="37"/>
      <c r="CZ648" s="37"/>
      <c r="DA648" s="37"/>
      <c r="DB648" s="37"/>
      <c r="DC648" s="37"/>
      <c r="DD648" s="37"/>
      <c r="DE648" s="37"/>
      <c r="DF648" s="37"/>
      <c r="DG648" s="37"/>
      <c r="DH648" s="37"/>
      <c r="DI648" s="37"/>
      <c r="DJ648" s="37"/>
      <c r="DK648" s="39">
        <v>84.751945525291831</v>
      </c>
      <c r="DL648" s="37"/>
      <c r="DM648" s="37"/>
      <c r="DN648" s="37"/>
      <c r="DO648" s="39">
        <f t="shared" si="419"/>
        <v>3.9895477780040531</v>
      </c>
      <c r="DP648" s="37"/>
      <c r="DQ648" s="37">
        <f>DO648/'Conversions, Sources &amp; Comments'!E646</f>
        <v>4.2731534165203744</v>
      </c>
    </row>
    <row r="649" spans="1:121">
      <c r="A649" s="42">
        <f t="shared" si="414"/>
        <v>1897</v>
      </c>
      <c r="B649" s="36"/>
      <c r="C649" s="38">
        <v>30</v>
      </c>
      <c r="D649" s="38">
        <v>2</v>
      </c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8">
        <v>5.5</v>
      </c>
      <c r="BG649" s="36"/>
      <c r="BH649" s="36"/>
      <c r="BI649" s="36"/>
      <c r="BJ649" s="36"/>
      <c r="BK649" s="36"/>
      <c r="BL649" s="36"/>
      <c r="BM649" s="36"/>
      <c r="BN649" s="38">
        <f>27+9/16</f>
        <v>27.5625</v>
      </c>
      <c r="BO649" s="36"/>
      <c r="BP649" s="39">
        <f t="shared" si="412"/>
        <v>1.0437188208616781</v>
      </c>
      <c r="BQ649" s="37"/>
      <c r="BR649" s="39">
        <f t="shared" si="420"/>
        <v>1.2985967781083991</v>
      </c>
      <c r="BS649" s="39">
        <f t="shared" si="418"/>
        <v>3.1638860003809754</v>
      </c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  <c r="CR649" s="37"/>
      <c r="CS649" s="37"/>
      <c r="CT649" s="37"/>
      <c r="CU649" s="37"/>
      <c r="CV649" s="37"/>
      <c r="CW649" s="37"/>
      <c r="CX649" s="37"/>
      <c r="CY649" s="37"/>
      <c r="CZ649" s="37"/>
      <c r="DA649" s="37"/>
      <c r="DB649" s="37"/>
      <c r="DC649" s="37"/>
      <c r="DD649" s="37"/>
      <c r="DE649" s="37"/>
      <c r="DF649" s="37"/>
      <c r="DG649" s="37"/>
      <c r="DH649" s="37"/>
      <c r="DI649" s="37"/>
      <c r="DJ649" s="37"/>
      <c r="DK649" s="39">
        <v>86.446984435797674</v>
      </c>
      <c r="DL649" s="37"/>
      <c r="DM649" s="37"/>
      <c r="DN649" s="37"/>
      <c r="DO649" s="39">
        <f t="shared" si="419"/>
        <v>4.5491700581567311</v>
      </c>
      <c r="DP649" s="37"/>
      <c r="DQ649" s="37">
        <f>DO649/'Conversions, Sources &amp; Comments'!E647</f>
        <v>4.3586164848507822</v>
      </c>
    </row>
    <row r="650" spans="1:121">
      <c r="A650" s="42">
        <f t="shared" si="414"/>
        <v>1898</v>
      </c>
      <c r="B650" s="36"/>
      <c r="C650" s="38">
        <v>34</v>
      </c>
      <c r="D650" s="38">
        <v>0</v>
      </c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8">
        <v>6.02</v>
      </c>
      <c r="BG650" s="36"/>
      <c r="BH650" s="36"/>
      <c r="BI650" s="36"/>
      <c r="BJ650" s="36"/>
      <c r="BK650" s="36"/>
      <c r="BL650" s="36"/>
      <c r="BM650" s="36"/>
      <c r="BN650" s="38">
        <f>26+15/16</f>
        <v>26.9375</v>
      </c>
      <c r="BO650" s="36"/>
      <c r="BP650" s="39">
        <f t="shared" si="412"/>
        <v>1.0679350348027843</v>
      </c>
      <c r="BQ650" s="37"/>
      <c r="BR650" s="39">
        <f t="shared" si="420"/>
        <v>1.4975703496397177</v>
      </c>
      <c r="BS650" s="39">
        <f t="shared" si="418"/>
        <v>3.5433654636285259</v>
      </c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  <c r="DI650" s="37"/>
      <c r="DJ650" s="37"/>
      <c r="DK650" s="39">
        <v>88.042315175097272</v>
      </c>
      <c r="DL650" s="37"/>
      <c r="DM650" s="37"/>
      <c r="DN650" s="37"/>
      <c r="DO650" s="39">
        <f t="shared" si="419"/>
        <v>4.7406194873016148</v>
      </c>
      <c r="DP650" s="37"/>
      <c r="DQ650" s="37">
        <f>DO650/'Conversions, Sources &amp; Comments'!E648</f>
        <v>4.439052313867637</v>
      </c>
    </row>
    <row r="651" spans="1:121">
      <c r="A651" s="42">
        <f t="shared" si="414"/>
        <v>1899</v>
      </c>
      <c r="B651" s="36"/>
      <c r="C651" s="38">
        <v>25</v>
      </c>
      <c r="D651" s="38">
        <v>8</v>
      </c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8">
        <v>5.09</v>
      </c>
      <c r="BG651" s="36"/>
      <c r="BH651" s="36"/>
      <c r="BI651" s="36"/>
      <c r="BJ651" s="36"/>
      <c r="BK651" s="36"/>
      <c r="BL651" s="36"/>
      <c r="BM651" s="36"/>
      <c r="BN651" s="38">
        <f>27+7/16</f>
        <v>27.4375</v>
      </c>
      <c r="BO651" s="36"/>
      <c r="BP651" s="39">
        <f t="shared" ref="BP651:BP665" si="421">(31.1*0.925/$BN651)</f>
        <v>1.0484738041002279</v>
      </c>
      <c r="BQ651" s="37"/>
      <c r="BR651" s="39">
        <f t="shared" si="420"/>
        <v>1.1099170841371504</v>
      </c>
      <c r="BS651" s="39">
        <f t="shared" si="418"/>
        <v>2.9413722369828834</v>
      </c>
      <c r="BT651" s="37"/>
      <c r="BU651" s="37"/>
      <c r="BV651" s="37"/>
      <c r="BW651" s="37"/>
      <c r="BX651" s="37"/>
      <c r="BY651" s="37"/>
      <c r="BZ651" s="37"/>
      <c r="CA651" s="37"/>
      <c r="CB651" s="37"/>
      <c r="CC651" s="37"/>
      <c r="CD651" s="37"/>
      <c r="CE651" s="37"/>
      <c r="CF651" s="37"/>
      <c r="CG651" s="37"/>
      <c r="CH651" s="37"/>
      <c r="CI651" s="37"/>
      <c r="CJ651" s="37"/>
      <c r="CK651" s="37"/>
      <c r="CL651" s="37"/>
      <c r="CM651" s="37"/>
      <c r="CN651" s="37"/>
      <c r="CO651" s="37"/>
      <c r="CP651" s="37"/>
      <c r="CQ651" s="37"/>
      <c r="CR651" s="37"/>
      <c r="CS651" s="37"/>
      <c r="CT651" s="37"/>
      <c r="CU651" s="37"/>
      <c r="CV651" s="37"/>
      <c r="CW651" s="37"/>
      <c r="CX651" s="37"/>
      <c r="CY651" s="37"/>
      <c r="CZ651" s="37"/>
      <c r="DA651" s="37"/>
      <c r="DB651" s="37"/>
      <c r="DC651" s="37"/>
      <c r="DD651" s="37"/>
      <c r="DE651" s="37"/>
      <c r="DF651" s="37"/>
      <c r="DG651" s="37"/>
      <c r="DH651" s="37"/>
      <c r="DI651" s="37"/>
      <c r="DJ651" s="37"/>
      <c r="DK651" s="39">
        <v>87.144941634241249</v>
      </c>
      <c r="DL651" s="37"/>
      <c r="DM651" s="37"/>
      <c r="DN651" s="37"/>
      <c r="DO651" s="39">
        <f t="shared" si="419"/>
        <v>4.606791707575888</v>
      </c>
      <c r="DP651" s="37"/>
      <c r="DQ651" s="37">
        <f>DO651/'Conversions, Sources &amp; Comments'!E649</f>
        <v>4.3938071600456556</v>
      </c>
    </row>
    <row r="652" spans="1:121">
      <c r="A652" s="42">
        <f t="shared" ref="A652:A666" si="422">A651+1</f>
        <v>1900</v>
      </c>
      <c r="B652" s="36"/>
      <c r="C652" s="38">
        <v>26</v>
      </c>
      <c r="D652" s="38">
        <v>11</v>
      </c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8">
        <v>5.23</v>
      </c>
      <c r="BG652" s="36"/>
      <c r="BH652" s="36"/>
      <c r="BI652" s="36"/>
      <c r="BJ652" s="36"/>
      <c r="BK652" s="36"/>
      <c r="BL652" s="36"/>
      <c r="BM652" s="36"/>
      <c r="BN652" s="38">
        <f>28+5/16</f>
        <v>28.3125</v>
      </c>
      <c r="BO652" s="36"/>
      <c r="BP652" s="39">
        <f t="shared" si="421"/>
        <v>1.0160706401766004</v>
      </c>
      <c r="BQ652" s="37"/>
      <c r="BR652" s="39">
        <f t="shared" si="420"/>
        <v>1.1279988588299898</v>
      </c>
      <c r="BS652" s="39">
        <f t="shared" si="418"/>
        <v>2.9288707958493649</v>
      </c>
      <c r="BT652" s="37"/>
      <c r="BU652" s="37"/>
      <c r="BV652" s="37"/>
      <c r="BW652" s="37"/>
      <c r="BX652" s="37"/>
      <c r="BY652" s="37"/>
      <c r="BZ652" s="37"/>
      <c r="CA652" s="37"/>
      <c r="CB652" s="37"/>
      <c r="CC652" s="37"/>
      <c r="CD652" s="37"/>
      <c r="CE652" s="37"/>
      <c r="CF652" s="37"/>
      <c r="CG652" s="37"/>
      <c r="CH652" s="37"/>
      <c r="CI652" s="37"/>
      <c r="CJ652" s="37"/>
      <c r="CK652" s="37"/>
      <c r="CL652" s="37"/>
      <c r="CM652" s="37"/>
      <c r="CN652" s="37"/>
      <c r="CO652" s="37"/>
      <c r="CP652" s="37"/>
      <c r="CQ652" s="37"/>
      <c r="CR652" s="37"/>
      <c r="CS652" s="37"/>
      <c r="CT652" s="37"/>
      <c r="CU652" s="37"/>
      <c r="CV652" s="37"/>
      <c r="CW652" s="37"/>
      <c r="CX652" s="37"/>
      <c r="CY652" s="37"/>
      <c r="CZ652" s="37"/>
      <c r="DA652" s="37"/>
      <c r="DB652" s="37"/>
      <c r="DC652" s="37"/>
      <c r="DD652" s="37"/>
      <c r="DE652" s="37"/>
      <c r="DF652" s="37"/>
      <c r="DG652" s="37"/>
      <c r="DH652" s="37"/>
      <c r="DI652" s="37"/>
      <c r="DJ652" s="37"/>
      <c r="DK652" s="39">
        <v>90.634727626459153</v>
      </c>
      <c r="DL652" s="37"/>
      <c r="DM652" s="37"/>
      <c r="DN652" s="37"/>
      <c r="DO652" s="39">
        <f t="shared" si="419"/>
        <v>4.643199513287632</v>
      </c>
      <c r="DP652" s="37"/>
      <c r="DQ652" s="37">
        <f>DO652/'Conversions, Sources &amp; Comments'!E650</f>
        <v>4.5697605360200253</v>
      </c>
    </row>
    <row r="653" spans="1:121">
      <c r="A653" s="42">
        <f t="shared" si="422"/>
        <v>1901</v>
      </c>
      <c r="B653" s="36"/>
      <c r="C653" s="38">
        <v>26</v>
      </c>
      <c r="D653" s="38">
        <v>9</v>
      </c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8">
        <v>5</v>
      </c>
      <c r="BG653" s="36"/>
      <c r="BH653" s="36"/>
      <c r="BI653" s="36"/>
      <c r="BJ653" s="36"/>
      <c r="BK653" s="36"/>
      <c r="BL653" s="36"/>
      <c r="BM653" s="36"/>
      <c r="BN653" s="38">
        <f>27+3/16</f>
        <v>27.1875</v>
      </c>
      <c r="BO653" s="36"/>
      <c r="BP653" s="39">
        <f t="shared" si="421"/>
        <v>1.0581149425287357</v>
      </c>
      <c r="BQ653" s="37"/>
      <c r="BR653" s="39">
        <f t="shared" si="420"/>
        <v>1.1674011462869314</v>
      </c>
      <c r="BS653" s="39">
        <f t="shared" si="418"/>
        <v>2.9159325520752564</v>
      </c>
      <c r="BT653" s="37"/>
      <c r="BU653" s="37"/>
      <c r="BV653" s="37"/>
      <c r="BW653" s="37"/>
      <c r="BX653" s="37"/>
      <c r="BY653" s="37"/>
      <c r="BZ653" s="37"/>
      <c r="CA653" s="37"/>
      <c r="CB653" s="37"/>
      <c r="CC653" s="37"/>
      <c r="CD653" s="37"/>
      <c r="CE653" s="37"/>
      <c r="CF653" s="37"/>
      <c r="CG653" s="37"/>
      <c r="CH653" s="37"/>
      <c r="CI653" s="37"/>
      <c r="CJ653" s="37"/>
      <c r="CK653" s="37"/>
      <c r="CL653" s="37"/>
      <c r="CM653" s="37"/>
      <c r="CN653" s="37"/>
      <c r="CO653" s="37"/>
      <c r="CP653" s="37"/>
      <c r="CQ653" s="37"/>
      <c r="CR653" s="37"/>
      <c r="CS653" s="37"/>
      <c r="CT653" s="37"/>
      <c r="CU653" s="37"/>
      <c r="CV653" s="37"/>
      <c r="CW653" s="37"/>
      <c r="CX653" s="37"/>
      <c r="CY653" s="37"/>
      <c r="CZ653" s="37"/>
      <c r="DA653" s="37"/>
      <c r="DB653" s="37"/>
      <c r="DC653" s="37"/>
      <c r="DD653" s="37"/>
      <c r="DE653" s="37"/>
      <c r="DF653" s="37"/>
      <c r="DG653" s="37"/>
      <c r="DH653" s="37"/>
      <c r="DI653" s="37"/>
      <c r="DJ653" s="37"/>
      <c r="DK653" s="39">
        <v>90.335603112840474</v>
      </c>
      <c r="DL653" s="37"/>
      <c r="DM653" s="37"/>
      <c r="DN653" s="37"/>
      <c r="DO653" s="39">
        <f t="shared" si="419"/>
        <v>4.8193737158288972</v>
      </c>
      <c r="DP653" s="37"/>
      <c r="DQ653" s="37">
        <f>DO653/'Conversions, Sources &amp; Comments'!E651</f>
        <v>4.5546788180793651</v>
      </c>
    </row>
    <row r="654" spans="1:121">
      <c r="A654" s="42">
        <f t="shared" si="422"/>
        <v>1902</v>
      </c>
      <c r="B654" s="36"/>
      <c r="C654" s="38">
        <v>28</v>
      </c>
      <c r="D654" s="38">
        <v>1</v>
      </c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8">
        <v>5.28</v>
      </c>
      <c r="BG654" s="36"/>
      <c r="BH654" s="36"/>
      <c r="BI654" s="36"/>
      <c r="BJ654" s="36"/>
      <c r="BK654" s="36"/>
      <c r="BL654" s="36"/>
      <c r="BM654" s="36"/>
      <c r="BN654" s="38">
        <f>24+1/16</f>
        <v>24.0625</v>
      </c>
      <c r="BO654" s="36"/>
      <c r="BP654" s="39">
        <f t="shared" si="421"/>
        <v>1.1955324675324677</v>
      </c>
      <c r="BQ654" s="37"/>
      <c r="BR654" s="39">
        <f t="shared" si="420"/>
        <v>1.3847568154705889</v>
      </c>
      <c r="BS654" s="39">
        <f t="shared" si="418"/>
        <v>3.4791240964189347</v>
      </c>
      <c r="BT654" s="37"/>
      <c r="BU654" s="37"/>
      <c r="BV654" s="37"/>
      <c r="BW654" s="37"/>
      <c r="BX654" s="37"/>
      <c r="BY654" s="37"/>
      <c r="BZ654" s="37"/>
      <c r="CA654" s="37"/>
      <c r="CB654" s="37"/>
      <c r="CC654" s="37"/>
      <c r="CD654" s="37"/>
      <c r="CE654" s="37"/>
      <c r="CF654" s="37"/>
      <c r="CG654" s="37"/>
      <c r="CH654" s="37"/>
      <c r="CI654" s="37"/>
      <c r="CJ654" s="37"/>
      <c r="CK654" s="37"/>
      <c r="CL654" s="37"/>
      <c r="CM654" s="37"/>
      <c r="CN654" s="37"/>
      <c r="CO654" s="37"/>
      <c r="CP654" s="37"/>
      <c r="CQ654" s="37"/>
      <c r="CR654" s="37"/>
      <c r="CS654" s="37"/>
      <c r="CT654" s="37"/>
      <c r="CU654" s="37"/>
      <c r="CV654" s="37"/>
      <c r="CW654" s="37"/>
      <c r="CX654" s="37"/>
      <c r="CY654" s="37"/>
      <c r="CZ654" s="37"/>
      <c r="DA654" s="37"/>
      <c r="DB654" s="37"/>
      <c r="DC654" s="37"/>
      <c r="DD654" s="37"/>
      <c r="DE654" s="37"/>
      <c r="DF654" s="37"/>
      <c r="DG654" s="37"/>
      <c r="DH654" s="37"/>
      <c r="DI654" s="37"/>
      <c r="DJ654" s="37"/>
      <c r="DK654" s="39">
        <v>90.335603112840474</v>
      </c>
      <c r="DL654" s="37"/>
      <c r="DM654" s="37"/>
      <c r="DN654" s="37"/>
      <c r="DO654" s="39">
        <f t="shared" si="419"/>
        <v>5.4452664061962874</v>
      </c>
      <c r="DP654" s="37"/>
      <c r="DQ654" s="37">
        <f>DO654/'Conversions, Sources &amp; Comments'!E652</f>
        <v>4.554678818079366</v>
      </c>
    </row>
    <row r="655" spans="1:121">
      <c r="A655" s="42">
        <f t="shared" si="422"/>
        <v>1903</v>
      </c>
      <c r="B655" s="36"/>
      <c r="C655" s="38">
        <v>26</v>
      </c>
      <c r="D655" s="38">
        <v>9</v>
      </c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8">
        <v>5.59</v>
      </c>
      <c r="BG655" s="36"/>
      <c r="BH655" s="36"/>
      <c r="BI655" s="36"/>
      <c r="BJ655" s="36"/>
      <c r="BK655" s="36"/>
      <c r="BL655" s="36"/>
      <c r="BM655" s="36"/>
      <c r="BN655" s="38">
        <v>24.75</v>
      </c>
      <c r="BO655" s="36"/>
      <c r="BP655" s="39">
        <f t="shared" si="421"/>
        <v>1.1623232323232324</v>
      </c>
      <c r="BQ655" s="37"/>
      <c r="BR655" s="39">
        <f t="shared" si="420"/>
        <v>1.2823724713000384</v>
      </c>
      <c r="BS655" s="39">
        <f t="shared" si="418"/>
        <v>3.5810744395221197</v>
      </c>
      <c r="BT655" s="37"/>
      <c r="BU655" s="37"/>
      <c r="BV655" s="37"/>
      <c r="BW655" s="37"/>
      <c r="BX655" s="37"/>
      <c r="BY655" s="37"/>
      <c r="BZ655" s="37"/>
      <c r="CA655" s="37"/>
      <c r="CB655" s="37"/>
      <c r="CC655" s="37"/>
      <c r="CD655" s="37"/>
      <c r="CE655" s="37"/>
      <c r="CF655" s="37"/>
      <c r="CG655" s="37"/>
      <c r="CH655" s="37"/>
      <c r="CI655" s="37"/>
      <c r="CJ655" s="37"/>
      <c r="CK655" s="37"/>
      <c r="CL655" s="37"/>
      <c r="CM655" s="37"/>
      <c r="CN655" s="37"/>
      <c r="CO655" s="37"/>
      <c r="CP655" s="37"/>
      <c r="CQ655" s="37"/>
      <c r="CR655" s="37"/>
      <c r="CS655" s="37"/>
      <c r="CT655" s="37"/>
      <c r="CU655" s="37"/>
      <c r="CV655" s="37"/>
      <c r="CW655" s="37"/>
      <c r="CX655" s="37"/>
      <c r="CY655" s="37"/>
      <c r="CZ655" s="37"/>
      <c r="DA655" s="37"/>
      <c r="DB655" s="37"/>
      <c r="DC655" s="37"/>
      <c r="DD655" s="37"/>
      <c r="DE655" s="37"/>
      <c r="DF655" s="37"/>
      <c r="DG655" s="37"/>
      <c r="DH655" s="37"/>
      <c r="DI655" s="37"/>
      <c r="DJ655" s="37"/>
      <c r="DK655" s="39">
        <v>91.332684824902728</v>
      </c>
      <c r="DL655" s="37"/>
      <c r="DM655" s="37"/>
      <c r="DN655" s="37"/>
      <c r="DO655" s="39">
        <f t="shared" si="419"/>
        <v>5.3524417765100853</v>
      </c>
      <c r="DP655" s="37"/>
      <c r="DQ655" s="37">
        <f>DO655/'Conversions, Sources &amp; Comments'!E653</f>
        <v>4.6049512112148987</v>
      </c>
    </row>
    <row r="656" spans="1:121">
      <c r="A656" s="42">
        <f t="shared" si="422"/>
        <v>1904</v>
      </c>
      <c r="B656" s="36"/>
      <c r="C656" s="38">
        <v>28</v>
      </c>
      <c r="D656" s="38">
        <v>4</v>
      </c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8">
        <v>5.5</v>
      </c>
      <c r="BG656" s="36"/>
      <c r="BH656" s="36"/>
      <c r="BI656" s="36"/>
      <c r="BJ656" s="36"/>
      <c r="BK656" s="36"/>
      <c r="BL656" s="36"/>
      <c r="BM656" s="36"/>
      <c r="BN656" s="38">
        <f>26+13/32</f>
        <v>26.40625</v>
      </c>
      <c r="BO656" s="36"/>
      <c r="BP656" s="39">
        <f t="shared" si="421"/>
        <v>1.0894201183431953</v>
      </c>
      <c r="BQ656" s="37"/>
      <c r="BR656" s="39">
        <f t="shared" si="420"/>
        <v>1.2730824865773538</v>
      </c>
      <c r="BS656" s="39">
        <f t="shared" si="418"/>
        <v>3.3024230205160001</v>
      </c>
      <c r="BT656" s="37"/>
      <c r="BU656" s="37"/>
      <c r="BV656" s="37"/>
      <c r="BW656" s="37"/>
      <c r="BX656" s="37"/>
      <c r="BY656" s="37"/>
      <c r="BZ656" s="37"/>
      <c r="CA656" s="37"/>
      <c r="CB656" s="37"/>
      <c r="CC656" s="37"/>
      <c r="CD656" s="37"/>
      <c r="CE656" s="37"/>
      <c r="CF656" s="37"/>
      <c r="CG656" s="37"/>
      <c r="CH656" s="37"/>
      <c r="CI656" s="37"/>
      <c r="CJ656" s="37"/>
      <c r="CK656" s="37"/>
      <c r="CL656" s="37"/>
      <c r="CM656" s="37"/>
      <c r="CN656" s="37"/>
      <c r="CO656" s="37"/>
      <c r="CP656" s="37"/>
      <c r="CQ656" s="37"/>
      <c r="CR656" s="37"/>
      <c r="CS656" s="37"/>
      <c r="CT656" s="37"/>
      <c r="CU656" s="37"/>
      <c r="CV656" s="37"/>
      <c r="CW656" s="37"/>
      <c r="CX656" s="37"/>
      <c r="CY656" s="37"/>
      <c r="CZ656" s="37"/>
      <c r="DA656" s="37"/>
      <c r="DB656" s="37"/>
      <c r="DC656" s="37"/>
      <c r="DD656" s="37"/>
      <c r="DE656" s="37"/>
      <c r="DF656" s="37"/>
      <c r="DG656" s="37"/>
      <c r="DH656" s="37"/>
      <c r="DI656" s="37"/>
      <c r="DJ656" s="37"/>
      <c r="DK656" s="39">
        <v>91.033560311284049</v>
      </c>
      <c r="DL656" s="37"/>
      <c r="DM656" s="37"/>
      <c r="DN656" s="37"/>
      <c r="DO656" s="39">
        <f t="shared" si="419"/>
        <v>5.0002961665426424</v>
      </c>
      <c r="DP656" s="37"/>
      <c r="DQ656" s="37">
        <f>DO656/'Conversions, Sources &amp; Comments'!E654</f>
        <v>4.5898694932742385</v>
      </c>
    </row>
    <row r="657" spans="1:121">
      <c r="A657" s="42">
        <f t="shared" si="422"/>
        <v>1905</v>
      </c>
      <c r="B657" s="36"/>
      <c r="C657" s="38">
        <v>29</v>
      </c>
      <c r="D657" s="38">
        <v>8</v>
      </c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8">
        <v>5.5</v>
      </c>
      <c r="BG657" s="36"/>
      <c r="BH657" s="36"/>
      <c r="BI657" s="36"/>
      <c r="BJ657" s="36"/>
      <c r="BK657" s="36"/>
      <c r="BL657" s="36"/>
      <c r="BM657" s="36"/>
      <c r="BN657" s="38">
        <f>27+27/32</f>
        <v>27.84375</v>
      </c>
      <c r="BO657" s="36"/>
      <c r="BP657" s="39">
        <f t="shared" si="421"/>
        <v>1.03317620650954</v>
      </c>
      <c r="BQ657" s="37"/>
      <c r="BR657" s="39">
        <f t="shared" si="420"/>
        <v>1.2641733465775387</v>
      </c>
      <c r="BS657" s="39">
        <f t="shared" si="418"/>
        <v>3.1319275559326827</v>
      </c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  <c r="DI657" s="37"/>
      <c r="DJ657" s="37"/>
      <c r="DK657" s="39">
        <v>91.332684824902728</v>
      </c>
      <c r="DL657" s="37"/>
      <c r="DM657" s="37"/>
      <c r="DN657" s="37"/>
      <c r="DO657" s="39">
        <f t="shared" si="419"/>
        <v>4.7577260235645209</v>
      </c>
      <c r="DP657" s="37"/>
      <c r="DQ657" s="37">
        <f>DO657/'Conversions, Sources &amp; Comments'!E655</f>
        <v>4.6049512112148987</v>
      </c>
    </row>
    <row r="658" spans="1:121">
      <c r="A658" s="42">
        <f t="shared" si="422"/>
        <v>1906</v>
      </c>
      <c r="B658" s="36"/>
      <c r="C658" s="38">
        <v>28</v>
      </c>
      <c r="D658" s="38">
        <v>3</v>
      </c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8">
        <v>5.5</v>
      </c>
      <c r="BG658" s="36"/>
      <c r="BH658" s="36"/>
      <c r="BI658" s="36"/>
      <c r="BJ658" s="36"/>
      <c r="BK658" s="36"/>
      <c r="BL658" s="36"/>
      <c r="BM658" s="36"/>
      <c r="BN658" s="38">
        <f>30+7/8</f>
        <v>30.875</v>
      </c>
      <c r="BO658" s="36"/>
      <c r="BP658" s="39">
        <f t="shared" si="421"/>
        <v>0.93174089068825916</v>
      </c>
      <c r="BQ658" s="37"/>
      <c r="BR658" s="39">
        <f t="shared" si="420"/>
        <v>1.0856181343549531</v>
      </c>
      <c r="BS658" s="39">
        <f t="shared" si="418"/>
        <v>2.8244407412307897</v>
      </c>
      <c r="BT658" s="37"/>
      <c r="BU658" s="37"/>
      <c r="BV658" s="37"/>
      <c r="BW658" s="37"/>
      <c r="BX658" s="37"/>
      <c r="BY658" s="37"/>
      <c r="BZ658" s="37"/>
      <c r="CA658" s="37"/>
      <c r="CB658" s="37"/>
      <c r="CC658" s="37"/>
      <c r="CD658" s="37"/>
      <c r="CE658" s="37"/>
      <c r="CF658" s="37"/>
      <c r="CG658" s="37"/>
      <c r="CH658" s="37"/>
      <c r="CI658" s="37"/>
      <c r="CJ658" s="37"/>
      <c r="CK658" s="37"/>
      <c r="CL658" s="37"/>
      <c r="CM658" s="37"/>
      <c r="CN658" s="37"/>
      <c r="CO658" s="37"/>
      <c r="CP658" s="37"/>
      <c r="CQ658" s="37"/>
      <c r="CR658" s="37"/>
      <c r="CS658" s="37"/>
      <c r="CT658" s="37"/>
      <c r="CU658" s="37"/>
      <c r="CV658" s="37"/>
      <c r="CW658" s="37"/>
      <c r="CX658" s="37"/>
      <c r="CY658" s="37"/>
      <c r="CZ658" s="37"/>
      <c r="DA658" s="37"/>
      <c r="DB658" s="37"/>
      <c r="DC658" s="37"/>
      <c r="DD658" s="37"/>
      <c r="DE658" s="37"/>
      <c r="DF658" s="37"/>
      <c r="DG658" s="37"/>
      <c r="DH658" s="37"/>
      <c r="DI658" s="37"/>
      <c r="DJ658" s="37"/>
      <c r="DK658" s="39">
        <v>91.232976653696497</v>
      </c>
      <c r="DL658" s="37"/>
      <c r="DM658" s="37"/>
      <c r="DN658" s="37"/>
      <c r="DO658" s="39">
        <f t="shared" si="419"/>
        <v>4.2859372586776336</v>
      </c>
      <c r="DP658" s="37"/>
      <c r="DQ658" s="37">
        <f>DO658/'Conversions, Sources &amp; Comments'!E656</f>
        <v>4.5999239719013447</v>
      </c>
    </row>
    <row r="659" spans="1:121">
      <c r="A659" s="42">
        <f t="shared" si="422"/>
        <v>1907</v>
      </c>
      <c r="B659" s="36"/>
      <c r="C659" s="38">
        <v>30</v>
      </c>
      <c r="D659" s="38">
        <v>7</v>
      </c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8">
        <v>5.4</v>
      </c>
      <c r="BG659" s="36"/>
      <c r="BH659" s="36"/>
      <c r="BI659" s="36"/>
      <c r="BJ659" s="36"/>
      <c r="BK659" s="36"/>
      <c r="BL659" s="36"/>
      <c r="BM659" s="36"/>
      <c r="BN659" s="38">
        <f>30+3/16</f>
        <v>30.1875</v>
      </c>
      <c r="BO659" s="36"/>
      <c r="BP659" s="39">
        <f t="shared" si="421"/>
        <v>0.95296066252587996</v>
      </c>
      <c r="BQ659" s="37"/>
      <c r="BR659" s="39">
        <f t="shared" si="420"/>
        <v>1.2020520500698333</v>
      </c>
      <c r="BS659" s="39">
        <f t="shared" si="418"/>
        <v>2.8362424699067401</v>
      </c>
      <c r="BT659" s="37"/>
      <c r="BU659" s="37"/>
      <c r="BV659" s="37"/>
      <c r="BW659" s="37"/>
      <c r="BX659" s="37"/>
      <c r="BY659" s="37"/>
      <c r="BZ659" s="37"/>
      <c r="CA659" s="37"/>
      <c r="CB659" s="37"/>
      <c r="CC659" s="37"/>
      <c r="CD659" s="37"/>
      <c r="CE659" s="37"/>
      <c r="CF659" s="37"/>
      <c r="CG659" s="37"/>
      <c r="CH659" s="37"/>
      <c r="CI659" s="37"/>
      <c r="CJ659" s="37"/>
      <c r="CK659" s="37"/>
      <c r="CL659" s="37"/>
      <c r="CM659" s="37"/>
      <c r="CN659" s="37"/>
      <c r="CO659" s="37"/>
      <c r="CP659" s="37"/>
      <c r="CQ659" s="37"/>
      <c r="CR659" s="37"/>
      <c r="CS659" s="37"/>
      <c r="CT659" s="37"/>
      <c r="CU659" s="37"/>
      <c r="CV659" s="37"/>
      <c r="CW659" s="37"/>
      <c r="CX659" s="37"/>
      <c r="CY659" s="37"/>
      <c r="CZ659" s="37"/>
      <c r="DA659" s="37"/>
      <c r="DB659" s="37"/>
      <c r="DC659" s="37"/>
      <c r="DD659" s="37"/>
      <c r="DE659" s="37"/>
      <c r="DF659" s="37"/>
      <c r="DG659" s="37"/>
      <c r="DH659" s="37"/>
      <c r="DI659" s="37"/>
      <c r="DJ659" s="37"/>
      <c r="DK659" s="39">
        <v>92.728599221789892</v>
      </c>
      <c r="DL659" s="37"/>
      <c r="DM659" s="37"/>
      <c r="DN659" s="37"/>
      <c r="DO659" s="39">
        <f t="shared" si="419"/>
        <v>4.4554080154355828</v>
      </c>
      <c r="DP659" s="37"/>
      <c r="DQ659" s="37">
        <f>DO659/'Conversions, Sources &amp; Comments'!E657</f>
        <v>4.6753325616046455</v>
      </c>
    </row>
    <row r="660" spans="1:121">
      <c r="A660" s="42">
        <f t="shared" si="422"/>
        <v>1908</v>
      </c>
      <c r="B660" s="36"/>
      <c r="C660" s="38">
        <v>32</v>
      </c>
      <c r="D660" s="38">
        <v>0</v>
      </c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8">
        <v>5.8</v>
      </c>
      <c r="BG660" s="36"/>
      <c r="BH660" s="36"/>
      <c r="BI660" s="36"/>
      <c r="BJ660" s="36"/>
      <c r="BK660" s="36"/>
      <c r="BL660" s="36"/>
      <c r="BM660" s="36"/>
      <c r="BN660" s="38">
        <f>24+13/32</f>
        <v>24.40625</v>
      </c>
      <c r="BO660" s="36"/>
      <c r="BP660" s="39">
        <f t="shared" si="421"/>
        <v>1.1786939820742639</v>
      </c>
      <c r="BQ660" s="37"/>
      <c r="BR660" s="39">
        <f t="shared" si="420"/>
        <v>1.5556594307622948</v>
      </c>
      <c r="BS660" s="39">
        <f t="shared" si="418"/>
        <v>3.7679374283666434</v>
      </c>
      <c r="BT660" s="37"/>
      <c r="BU660" s="37"/>
      <c r="BV660" s="37"/>
      <c r="BW660" s="37"/>
      <c r="BX660" s="37"/>
      <c r="BY660" s="37"/>
      <c r="BZ660" s="37"/>
      <c r="CA660" s="37"/>
      <c r="CB660" s="37"/>
      <c r="CC660" s="37"/>
      <c r="CD660" s="37"/>
      <c r="CE660" s="37"/>
      <c r="CF660" s="37"/>
      <c r="CG660" s="37"/>
      <c r="CH660" s="37"/>
      <c r="CI660" s="37"/>
      <c r="CJ660" s="37"/>
      <c r="CK660" s="37"/>
      <c r="CL660" s="37"/>
      <c r="CM660" s="37"/>
      <c r="CN660" s="37"/>
      <c r="CO660" s="37"/>
      <c r="CP660" s="37"/>
      <c r="CQ660" s="37"/>
      <c r="CR660" s="37"/>
      <c r="CS660" s="37"/>
      <c r="CT660" s="37"/>
      <c r="CU660" s="37"/>
      <c r="CV660" s="37"/>
      <c r="CW660" s="37"/>
      <c r="CX660" s="37"/>
      <c r="CY660" s="37"/>
      <c r="CZ660" s="37"/>
      <c r="DA660" s="37"/>
      <c r="DB660" s="37"/>
      <c r="DC660" s="37"/>
      <c r="DD660" s="37"/>
      <c r="DE660" s="37"/>
      <c r="DF660" s="37"/>
      <c r="DG660" s="37"/>
      <c r="DH660" s="37"/>
      <c r="DI660" s="37"/>
      <c r="DJ660" s="37"/>
      <c r="DK660" s="39">
        <v>93.925097276264594</v>
      </c>
      <c r="DL660" s="37"/>
      <c r="DM660" s="37"/>
      <c r="DN660" s="37"/>
      <c r="DO660" s="39">
        <f t="shared" ref="DO660:DO665" si="423">($DK660*$DM$532/$DK$532)*$BP660/$BP$532</f>
        <v>5.5818932752632398</v>
      </c>
      <c r="DP660" s="37"/>
      <c r="DQ660" s="37">
        <f>DO660/'Conversions, Sources &amp; Comments'!E658</f>
        <v>4.735659433367287</v>
      </c>
    </row>
    <row r="661" spans="1:121">
      <c r="A661" s="42">
        <f t="shared" si="422"/>
        <v>1909</v>
      </c>
      <c r="B661" s="36"/>
      <c r="C661" s="38">
        <v>36</v>
      </c>
      <c r="D661" s="38">
        <v>11</v>
      </c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8">
        <v>6.1</v>
      </c>
      <c r="BG661" s="36"/>
      <c r="BH661" s="36"/>
      <c r="BI661" s="36"/>
      <c r="BJ661" s="36"/>
      <c r="BK661" s="36"/>
      <c r="BL661" s="36"/>
      <c r="BM661" s="36"/>
      <c r="BN661" s="38">
        <f>23+23/32</f>
        <v>23.71875</v>
      </c>
      <c r="BO661" s="36"/>
      <c r="BP661" s="39">
        <f t="shared" si="421"/>
        <v>1.2128590250329381</v>
      </c>
      <c r="BQ661" s="37"/>
      <c r="BR661" s="39">
        <f t="shared" si="420"/>
        <v>1.8466997311204127</v>
      </c>
      <c r="BS661" s="39">
        <f t="shared" si="418"/>
        <v>4.0776954028625516</v>
      </c>
      <c r="BT661" s="37"/>
      <c r="BU661" s="37"/>
      <c r="BV661" s="37"/>
      <c r="BW661" s="37"/>
      <c r="BX661" s="37"/>
      <c r="BY661" s="37"/>
      <c r="BZ661" s="37"/>
      <c r="CA661" s="37"/>
      <c r="CB661" s="37"/>
      <c r="CC661" s="37"/>
      <c r="CD661" s="37"/>
      <c r="CE661" s="37"/>
      <c r="CF661" s="37"/>
      <c r="CG661" s="37"/>
      <c r="CH661" s="37"/>
      <c r="CI661" s="37"/>
      <c r="CJ661" s="37"/>
      <c r="CK661" s="37"/>
      <c r="CL661" s="37"/>
      <c r="CM661" s="37"/>
      <c r="CN661" s="37"/>
      <c r="CO661" s="37"/>
      <c r="CP661" s="37"/>
      <c r="CQ661" s="37"/>
      <c r="CR661" s="37"/>
      <c r="CS661" s="37"/>
      <c r="CT661" s="37"/>
      <c r="CU661" s="37"/>
      <c r="CV661" s="37"/>
      <c r="CW661" s="37"/>
      <c r="CX661" s="37"/>
      <c r="CY661" s="37"/>
      <c r="CZ661" s="37"/>
      <c r="DA661" s="37"/>
      <c r="DB661" s="37"/>
      <c r="DC661" s="37"/>
      <c r="DD661" s="37"/>
      <c r="DE661" s="37"/>
      <c r="DF661" s="37"/>
      <c r="DG661" s="37"/>
      <c r="DH661" s="37"/>
      <c r="DI661" s="37"/>
      <c r="DJ661" s="37"/>
      <c r="DK661" s="39">
        <v>94.124513618677042</v>
      </c>
      <c r="DL661" s="37"/>
      <c r="DM661" s="37"/>
      <c r="DN661" s="37"/>
      <c r="DO661" s="39">
        <f t="shared" si="423"/>
        <v>5.7558819483867696</v>
      </c>
      <c r="DP661" s="37"/>
      <c r="DQ661" s="37">
        <f>DO661/'Conversions, Sources &amp; Comments'!E659</f>
        <v>4.7457139119943923</v>
      </c>
    </row>
    <row r="662" spans="1:121">
      <c r="A662" s="42">
        <f t="shared" si="422"/>
        <v>1910</v>
      </c>
      <c r="B662" s="36"/>
      <c r="C662" s="38">
        <v>31</v>
      </c>
      <c r="D662" s="38">
        <v>8</v>
      </c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8">
        <v>5.9</v>
      </c>
      <c r="BG662" s="36"/>
      <c r="BH662" s="36"/>
      <c r="BI662" s="36"/>
      <c r="BJ662" s="36"/>
      <c r="BK662" s="36"/>
      <c r="BL662" s="36"/>
      <c r="BM662" s="36"/>
      <c r="BN662" s="38">
        <f>24+21/32</f>
        <v>24.65625</v>
      </c>
      <c r="BO662" s="36"/>
      <c r="BP662" s="39">
        <f t="shared" si="421"/>
        <v>1.1667427122940432</v>
      </c>
      <c r="BQ662" s="37"/>
      <c r="BR662" s="39">
        <f t="shared" si="420"/>
        <v>1.5238454724520551</v>
      </c>
      <c r="BS662" s="39">
        <f t="shared" si="418"/>
        <v>3.7940384765024824</v>
      </c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  <c r="CH662" s="37"/>
      <c r="CI662" s="37"/>
      <c r="CJ662" s="37"/>
      <c r="CK662" s="37"/>
      <c r="CL662" s="37"/>
      <c r="CM662" s="37"/>
      <c r="CN662" s="37"/>
      <c r="CO662" s="37"/>
      <c r="CP662" s="37"/>
      <c r="CQ662" s="37"/>
      <c r="CR662" s="37"/>
      <c r="CS662" s="37"/>
      <c r="CT662" s="37"/>
      <c r="CU662" s="37"/>
      <c r="CV662" s="37"/>
      <c r="CW662" s="37"/>
      <c r="CX662" s="37"/>
      <c r="CY662" s="37"/>
      <c r="CZ662" s="37"/>
      <c r="DA662" s="37"/>
      <c r="DB662" s="37"/>
      <c r="DC662" s="37"/>
      <c r="DD662" s="37"/>
      <c r="DE662" s="37"/>
      <c r="DF662" s="37"/>
      <c r="DG662" s="37"/>
      <c r="DH662" s="37"/>
      <c r="DI662" s="37"/>
      <c r="DJ662" s="37"/>
      <c r="DK662" s="39">
        <v>96.118677042801565</v>
      </c>
      <c r="DL662" s="37"/>
      <c r="DM662" s="37"/>
      <c r="DN662" s="37"/>
      <c r="DO662" s="39">
        <f t="shared" si="423"/>
        <v>5.6543370180928445</v>
      </c>
      <c r="DP662" s="37"/>
      <c r="DQ662" s="37">
        <f>DO662/'Conversions, Sources &amp; Comments'!E660</f>
        <v>4.8462586982654621</v>
      </c>
    </row>
    <row r="663" spans="1:121">
      <c r="A663" s="42">
        <f t="shared" si="422"/>
        <v>1911</v>
      </c>
      <c r="B663" s="36"/>
      <c r="C663" s="38">
        <v>31</v>
      </c>
      <c r="D663" s="38">
        <v>8</v>
      </c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8">
        <v>5.5</v>
      </c>
      <c r="BG663" s="36"/>
      <c r="BH663" s="36"/>
      <c r="BI663" s="36"/>
      <c r="BJ663" s="36"/>
      <c r="BK663" s="36"/>
      <c r="BL663" s="36"/>
      <c r="BM663" s="36"/>
      <c r="BN663" s="38">
        <f>24+19/32</f>
        <v>24.59375</v>
      </c>
      <c r="BO663" s="36"/>
      <c r="BP663" s="39">
        <f t="shared" si="421"/>
        <v>1.1697077509529861</v>
      </c>
      <c r="BQ663" s="37"/>
      <c r="BR663" s="39">
        <f t="shared" si="420"/>
        <v>1.5277180149487566</v>
      </c>
      <c r="BS663" s="39">
        <f t="shared" si="418"/>
        <v>3.5458036243151461</v>
      </c>
      <c r="BT663" s="37"/>
      <c r="BU663" s="37"/>
      <c r="BV663" s="37"/>
      <c r="BW663" s="37"/>
      <c r="BX663" s="37"/>
      <c r="BY663" s="37"/>
      <c r="BZ663" s="37"/>
      <c r="CA663" s="37"/>
      <c r="CB663" s="37"/>
      <c r="CC663" s="37"/>
      <c r="CD663" s="37"/>
      <c r="CE663" s="37"/>
      <c r="CF663" s="37"/>
      <c r="CG663" s="37"/>
      <c r="CH663" s="37"/>
      <c r="CI663" s="37"/>
      <c r="CJ663" s="37"/>
      <c r="CK663" s="37"/>
      <c r="CL663" s="37"/>
      <c r="CM663" s="37"/>
      <c r="CN663" s="37"/>
      <c r="CO663" s="37"/>
      <c r="CP663" s="37"/>
      <c r="CQ663" s="37"/>
      <c r="CR663" s="37"/>
      <c r="CS663" s="37"/>
      <c r="CT663" s="37"/>
      <c r="CU663" s="37"/>
      <c r="CV663" s="37"/>
      <c r="CW663" s="37"/>
      <c r="CX663" s="37"/>
      <c r="CY663" s="37"/>
      <c r="CZ663" s="37"/>
      <c r="DA663" s="37"/>
      <c r="DB663" s="37"/>
      <c r="DC663" s="37"/>
      <c r="DD663" s="37"/>
      <c r="DE663" s="37"/>
      <c r="DF663" s="37"/>
      <c r="DG663" s="37"/>
      <c r="DH663" s="37"/>
      <c r="DI663" s="37"/>
      <c r="DJ663" s="37"/>
      <c r="DK663" s="39">
        <v>96.318093385214013</v>
      </c>
      <c r="DL663" s="37"/>
      <c r="DM663" s="37"/>
      <c r="DN663" s="37"/>
      <c r="DO663" s="39">
        <f t="shared" si="423"/>
        <v>5.6804671640663553</v>
      </c>
      <c r="DP663" s="37"/>
      <c r="DQ663" s="37">
        <f>DO663/'Conversions, Sources &amp; Comments'!E661</f>
        <v>4.8563131768925674</v>
      </c>
    </row>
    <row r="664" spans="1:121">
      <c r="A664" s="42">
        <f t="shared" si="422"/>
        <v>1912</v>
      </c>
      <c r="B664" s="36"/>
      <c r="C664" s="38">
        <v>34</v>
      </c>
      <c r="D664" s="38">
        <v>9</v>
      </c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8">
        <v>5.8</v>
      </c>
      <c r="BG664" s="36"/>
      <c r="BH664" s="36"/>
      <c r="BI664" s="36"/>
      <c r="BJ664" s="36"/>
      <c r="BK664" s="36"/>
      <c r="BL664" s="36"/>
      <c r="BM664" s="36"/>
      <c r="BN664" s="38">
        <f>28+1/16</f>
        <v>28.0625</v>
      </c>
      <c r="BO664" s="36"/>
      <c r="BP664" s="39">
        <f t="shared" si="421"/>
        <v>1.0251224944320714</v>
      </c>
      <c r="BQ664" s="37"/>
      <c r="BR664" s="39">
        <f t="shared" si="420"/>
        <v>1.469244433325132</v>
      </c>
      <c r="BS664" s="39">
        <f t="shared" si="418"/>
        <v>3.2770146231117465</v>
      </c>
      <c r="BT664" s="37"/>
      <c r="BU664" s="37"/>
      <c r="BV664" s="37"/>
      <c r="BW664" s="37"/>
      <c r="BX664" s="37"/>
      <c r="BY664" s="37"/>
      <c r="BZ664" s="37"/>
      <c r="CA664" s="37"/>
      <c r="CB664" s="37"/>
      <c r="CC664" s="37"/>
      <c r="CD664" s="37"/>
      <c r="CE664" s="37"/>
      <c r="CF664" s="37"/>
      <c r="CG664" s="37"/>
      <c r="CH664" s="37"/>
      <c r="CI664" s="37"/>
      <c r="CJ664" s="37"/>
      <c r="CK664" s="37"/>
      <c r="CL664" s="37"/>
      <c r="CM664" s="37"/>
      <c r="CN664" s="37"/>
      <c r="CO664" s="37"/>
      <c r="CP664" s="37"/>
      <c r="CQ664" s="37"/>
      <c r="CR664" s="37"/>
      <c r="CS664" s="37"/>
      <c r="CT664" s="37"/>
      <c r="CU664" s="37"/>
      <c r="CV664" s="37"/>
      <c r="CW664" s="37"/>
      <c r="CX664" s="37"/>
      <c r="CY664" s="37"/>
      <c r="CZ664" s="37"/>
      <c r="DA664" s="37"/>
      <c r="DB664" s="37"/>
      <c r="DC664" s="37"/>
      <c r="DD664" s="37"/>
      <c r="DE664" s="37"/>
      <c r="DF664" s="37"/>
      <c r="DG664" s="37"/>
      <c r="DH664" s="37"/>
      <c r="DI664" s="37"/>
      <c r="DJ664" s="37"/>
      <c r="DK664" s="39">
        <v>99.109922178988327</v>
      </c>
      <c r="DL664" s="37"/>
      <c r="DM664" s="37"/>
      <c r="DN664" s="37"/>
      <c r="DO664" s="39">
        <f t="shared" si="423"/>
        <v>5.1226148885855167</v>
      </c>
      <c r="DP664" s="37"/>
      <c r="DQ664" s="37">
        <f>DO664/'Conversions, Sources &amp; Comments'!E662</f>
        <v>4.9970758776720618</v>
      </c>
    </row>
    <row r="665" spans="1:121">
      <c r="A665" s="42">
        <f t="shared" si="422"/>
        <v>1913</v>
      </c>
      <c r="B665" s="36"/>
      <c r="C665" s="38">
        <v>31</v>
      </c>
      <c r="D665" s="38">
        <v>8</v>
      </c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8">
        <v>5.8</v>
      </c>
      <c r="BG665" s="36"/>
      <c r="BH665" s="36"/>
      <c r="BI665" s="36"/>
      <c r="BJ665" s="36"/>
      <c r="BK665" s="36"/>
      <c r="BL665" s="36"/>
      <c r="BM665" s="36"/>
      <c r="BN665" s="38">
        <f>27+9/16</f>
        <v>27.5625</v>
      </c>
      <c r="BO665" s="36"/>
      <c r="BP665" s="39">
        <f t="shared" si="421"/>
        <v>1.0437188208616781</v>
      </c>
      <c r="BQ665" s="37"/>
      <c r="BR665" s="39">
        <f t="shared" si="420"/>
        <v>1.3631678886220766</v>
      </c>
      <c r="BS665" s="39">
        <f t="shared" si="418"/>
        <v>3.3364616004017558</v>
      </c>
      <c r="BT665" s="37"/>
      <c r="BU665" s="37"/>
      <c r="BV665" s="37"/>
      <c r="BW665" s="37"/>
      <c r="BX665" s="37"/>
      <c r="BY665" s="37"/>
      <c r="BZ665" s="37"/>
      <c r="CA665" s="37"/>
      <c r="CB665" s="37"/>
      <c r="CC665" s="37"/>
      <c r="CD665" s="37"/>
      <c r="CE665" s="37"/>
      <c r="CF665" s="37"/>
      <c r="CG665" s="37"/>
      <c r="CH665" s="37"/>
      <c r="CI665" s="37"/>
      <c r="CJ665" s="37"/>
      <c r="CK665" s="37"/>
      <c r="CL665" s="37"/>
      <c r="CM665" s="37"/>
      <c r="CN665" s="37"/>
      <c r="CO665" s="37"/>
      <c r="CP665" s="37"/>
      <c r="CQ665" s="37"/>
      <c r="CR665" s="37"/>
      <c r="CS665" s="37"/>
      <c r="CT665" s="37"/>
      <c r="CU665" s="37"/>
      <c r="CV665" s="37"/>
      <c r="CW665" s="37"/>
      <c r="CX665" s="37"/>
      <c r="CY665" s="37"/>
      <c r="CZ665" s="37"/>
      <c r="DA665" s="37"/>
      <c r="DB665" s="37"/>
      <c r="DC665" s="37"/>
      <c r="DD665" s="37"/>
      <c r="DE665" s="37"/>
      <c r="DF665" s="37"/>
      <c r="DG665" s="37"/>
      <c r="DH665" s="37"/>
      <c r="DI665" s="37"/>
      <c r="DJ665" s="37"/>
      <c r="DK665" s="39">
        <v>99.708171206225686</v>
      </c>
      <c r="DL665" s="37"/>
      <c r="DM665" s="37"/>
      <c r="DN665" s="37"/>
      <c r="DO665" s="39">
        <f t="shared" si="423"/>
        <v>5.2470242885314091</v>
      </c>
      <c r="DP665" s="37"/>
      <c r="DQ665" s="37">
        <f>DO665/'Conversions, Sources &amp; Comments'!E663</f>
        <v>5.027239313553383</v>
      </c>
    </row>
    <row r="666" spans="1:121">
      <c r="A666" s="42">
        <f t="shared" si="422"/>
        <v>1914</v>
      </c>
      <c r="B666" s="36"/>
      <c r="C666" s="38">
        <v>34</v>
      </c>
      <c r="D666" s="38">
        <v>11</v>
      </c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8">
        <v>5.8</v>
      </c>
      <c r="BG666" s="36"/>
      <c r="BH666" s="36"/>
      <c r="BI666" s="36"/>
      <c r="BJ666" s="36"/>
      <c r="BK666" s="36"/>
      <c r="BL666" s="36"/>
      <c r="BM666" s="36"/>
      <c r="BN666" s="38">
        <f>25+1/4</f>
        <v>25.25</v>
      </c>
      <c r="BO666" s="36"/>
      <c r="BP666" s="36"/>
      <c r="BQ666" s="36"/>
      <c r="BR666" s="38">
        <f t="shared" si="420"/>
        <v>1.6407295420251347</v>
      </c>
      <c r="BS666" s="36"/>
      <c r="BT666" s="36"/>
      <c r="BU666" s="36"/>
      <c r="BV666" s="36"/>
      <c r="BW666" s="36"/>
      <c r="BX666" s="36"/>
      <c r="BY666" s="36"/>
      <c r="BZ666" s="36"/>
      <c r="CA666" s="36"/>
      <c r="CB666" s="36"/>
      <c r="CC666" s="36"/>
      <c r="CD666" s="36"/>
      <c r="CE666" s="36"/>
      <c r="CF666" s="36"/>
      <c r="CG666" s="36"/>
      <c r="CH666" s="36"/>
      <c r="CI666" s="36"/>
      <c r="CJ666" s="36"/>
      <c r="CK666" s="36"/>
      <c r="CL666" s="36"/>
      <c r="CM666" s="36"/>
      <c r="CN666" s="36"/>
      <c r="CO666" s="38"/>
      <c r="CP666" s="38"/>
      <c r="CQ666" s="38"/>
      <c r="CR666" s="38"/>
      <c r="CS666" s="38"/>
      <c r="CT666" s="38"/>
      <c r="CU666" s="38"/>
      <c r="CV666" s="38"/>
      <c r="CW666" s="38"/>
      <c r="CX666" s="38"/>
      <c r="CY666" s="38"/>
      <c r="CZ666" s="38"/>
      <c r="DA666" s="38"/>
      <c r="DB666" s="38"/>
      <c r="DC666" s="38"/>
      <c r="DD666" s="38"/>
      <c r="DE666" s="38"/>
      <c r="DF666" s="38"/>
      <c r="DG666" s="38"/>
      <c r="DH666" s="38"/>
      <c r="DI666" s="38"/>
      <c r="DJ666" s="36"/>
      <c r="DK666" s="36"/>
      <c r="DL666" s="36"/>
      <c r="DM666" s="36"/>
      <c r="DN666" s="36"/>
      <c r="DO666" s="36"/>
      <c r="DP666" s="36"/>
      <c r="DQ666" s="36"/>
    </row>
    <row r="667" spans="1:121">
      <c r="CO667" s="94"/>
      <c r="CP667" s="94"/>
      <c r="CQ667" s="95"/>
      <c r="CR667" s="95"/>
      <c r="CS667" s="95"/>
      <c r="CT667" s="95"/>
      <c r="CU667" s="95"/>
      <c r="CV667" s="95"/>
      <c r="CW667" s="95"/>
      <c r="CX667" s="95"/>
      <c r="CY667" s="95"/>
      <c r="CZ667" s="95"/>
      <c r="DA667" s="95"/>
      <c r="DB667" s="95"/>
      <c r="DC667" s="95"/>
      <c r="DD667" s="95"/>
      <c r="DE667" s="95"/>
      <c r="DF667" s="95"/>
      <c r="DG667" s="95"/>
      <c r="DH667" s="95"/>
      <c r="DI667" s="95"/>
      <c r="DJ667" s="95"/>
      <c r="DK667" s="95"/>
    </row>
    <row r="668" spans="1:121">
      <c r="CO668" s="94"/>
      <c r="CP668" s="94"/>
      <c r="CQ668" s="95"/>
      <c r="CR668" s="95"/>
      <c r="CS668" s="95"/>
      <c r="CT668" s="95"/>
      <c r="CU668" s="95"/>
      <c r="CV668" s="95"/>
      <c r="CW668" s="95"/>
      <c r="CX668" s="95"/>
      <c r="CY668" s="95"/>
      <c r="CZ668" s="95"/>
      <c r="DA668" s="95"/>
      <c r="DB668" s="95"/>
      <c r="DC668" s="95"/>
      <c r="DD668" s="95"/>
      <c r="DE668" s="95"/>
      <c r="DF668" s="95"/>
      <c r="DG668" s="95"/>
      <c r="DH668" s="95"/>
      <c r="DI668" s="95"/>
    </row>
    <row r="671" spans="1:121">
      <c r="BM671" s="95"/>
      <c r="BS671" s="95"/>
      <c r="BT671" s="95"/>
      <c r="BU671" s="95"/>
      <c r="BV671" s="95"/>
      <c r="BW671" s="95"/>
      <c r="BX671" s="95"/>
      <c r="BZ671" s="95"/>
      <c r="CA671" s="95"/>
      <c r="CB671" s="95"/>
      <c r="CC671" s="95"/>
      <c r="CD671" s="95"/>
      <c r="CE671" s="95"/>
      <c r="CF671" s="95"/>
      <c r="CG671" s="95"/>
      <c r="CH671" s="95"/>
      <c r="CI671" s="95"/>
      <c r="CJ671" s="95"/>
      <c r="CK671" s="95"/>
      <c r="CL671" s="95"/>
      <c r="CM671" s="95"/>
    </row>
  </sheetData>
  <phoneticPr fontId="0" type="noConversion"/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4"/>
  <sheetViews>
    <sheetView tabSelected="1" workbookViewId="0">
      <selection activeCell="B25" sqref="B25"/>
    </sheetView>
  </sheetViews>
  <sheetFormatPr baseColWidth="10" defaultColWidth="8.83203125" defaultRowHeight="12" x14ac:dyDescent="0"/>
  <cols>
    <col min="1" max="1" width="6.5" customWidth="1"/>
    <col min="2" max="2" width="11.33203125" customWidth="1"/>
    <col min="3" max="3" width="15.1640625" customWidth="1"/>
    <col min="4" max="4" width="13.83203125" customWidth="1"/>
    <col min="5" max="5" width="16.33203125" customWidth="1"/>
    <col min="6" max="6" width="14.5" customWidth="1"/>
    <col min="7" max="7" width="15.1640625" customWidth="1"/>
    <col min="8" max="8" width="14.33203125" customWidth="1"/>
    <col min="9" max="9" width="14.5" customWidth="1"/>
    <col min="10" max="10" width="11.6640625" customWidth="1"/>
    <col min="11" max="11" width="12.83203125" customWidth="1"/>
    <col min="12" max="12" width="5.1640625" customWidth="1"/>
    <col min="13" max="13" width="14.6640625" customWidth="1"/>
    <col min="14" max="14" width="14.5" customWidth="1"/>
    <col min="15" max="15" width="16.5" customWidth="1"/>
    <col min="16" max="16" width="14.6640625" customWidth="1"/>
    <col min="17" max="17" width="14.33203125" customWidth="1"/>
  </cols>
  <sheetData>
    <row r="1" spans="1:30" ht="30" customHeight="1">
      <c r="A1" s="77" t="s">
        <v>250</v>
      </c>
      <c r="C1" s="78" t="s">
        <v>257</v>
      </c>
    </row>
    <row r="2" spans="1:30" s="109" customFormat="1" ht="30" customHeight="1">
      <c r="C2" s="110" t="s">
        <v>59</v>
      </c>
      <c r="M2" s="110" t="s">
        <v>87</v>
      </c>
    </row>
    <row r="3" spans="1:30" ht="12.75" customHeight="1">
      <c r="C3" s="45"/>
      <c r="M3" s="45"/>
    </row>
    <row r="4" spans="1:30">
      <c r="A4" s="43"/>
      <c r="B4" s="104" t="s">
        <v>9</v>
      </c>
      <c r="C4" s="80" t="s">
        <v>233</v>
      </c>
      <c r="D4" s="80" t="s">
        <v>233</v>
      </c>
      <c r="E4" s="80" t="s">
        <v>234</v>
      </c>
      <c r="F4" s="80" t="s">
        <v>82</v>
      </c>
      <c r="G4" s="80" t="s">
        <v>82</v>
      </c>
      <c r="H4" s="80"/>
      <c r="I4" s="80"/>
      <c r="J4" s="80" t="s">
        <v>238</v>
      </c>
      <c r="K4" s="80" t="s">
        <v>238</v>
      </c>
      <c r="L4" s="36"/>
      <c r="M4" s="52" t="s">
        <v>233</v>
      </c>
      <c r="N4" s="52" t="s">
        <v>233</v>
      </c>
      <c r="O4" s="52" t="s">
        <v>234</v>
      </c>
      <c r="P4" s="52" t="s">
        <v>82</v>
      </c>
      <c r="Q4" s="52" t="s">
        <v>82</v>
      </c>
      <c r="T4" s="36"/>
      <c r="U4" s="36"/>
      <c r="V4" s="36"/>
      <c r="W4" s="36"/>
      <c r="X4" s="3"/>
      <c r="Y4" s="3"/>
      <c r="Z4" s="3"/>
      <c r="AA4" s="3"/>
      <c r="AB4" s="3"/>
      <c r="AC4" s="3"/>
      <c r="AD4" s="3"/>
    </row>
    <row r="5" spans="1:30">
      <c r="A5" s="43"/>
      <c r="B5" s="108" t="s">
        <v>55</v>
      </c>
      <c r="C5" s="80" t="s">
        <v>85</v>
      </c>
      <c r="D5" s="80" t="s">
        <v>85</v>
      </c>
      <c r="E5" s="80" t="s">
        <v>85</v>
      </c>
      <c r="F5" s="80" t="s">
        <v>85</v>
      </c>
      <c r="G5" s="80" t="s">
        <v>85</v>
      </c>
      <c r="H5" s="80" t="s">
        <v>236</v>
      </c>
      <c r="I5" s="80" t="s">
        <v>236</v>
      </c>
      <c r="J5" s="80" t="s">
        <v>85</v>
      </c>
      <c r="K5" s="80" t="s">
        <v>85</v>
      </c>
      <c r="L5" s="36"/>
      <c r="M5" s="52" t="s">
        <v>88</v>
      </c>
      <c r="N5" s="52" t="s">
        <v>88</v>
      </c>
      <c r="O5" s="52" t="s">
        <v>88</v>
      </c>
      <c r="P5" s="52" t="s">
        <v>88</v>
      </c>
      <c r="Q5" s="52" t="s">
        <v>88</v>
      </c>
      <c r="T5" s="36"/>
      <c r="U5" s="36"/>
      <c r="V5" s="36"/>
      <c r="W5" s="36"/>
      <c r="X5" s="3"/>
      <c r="Y5" s="3"/>
      <c r="Z5" s="3"/>
      <c r="AA5" s="3"/>
      <c r="AB5" s="3"/>
      <c r="AC5" s="3"/>
      <c r="AD5" s="3"/>
    </row>
    <row r="6" spans="1:30">
      <c r="A6" s="43"/>
      <c r="B6" s="104" t="s">
        <v>11</v>
      </c>
      <c r="C6" s="80" t="s">
        <v>89</v>
      </c>
      <c r="D6" s="80" t="s">
        <v>89</v>
      </c>
      <c r="E6" s="80" t="s">
        <v>89</v>
      </c>
      <c r="F6" s="80" t="s">
        <v>0</v>
      </c>
      <c r="G6" s="80" t="s">
        <v>0</v>
      </c>
      <c r="H6" s="80" t="s">
        <v>90</v>
      </c>
      <c r="I6" s="80" t="s">
        <v>90</v>
      </c>
      <c r="J6" s="80" t="s">
        <v>237</v>
      </c>
      <c r="K6" s="80" t="s">
        <v>237</v>
      </c>
      <c r="L6" s="36"/>
      <c r="M6" s="106" t="s">
        <v>89</v>
      </c>
      <c r="N6" s="52" t="s">
        <v>89</v>
      </c>
      <c r="O6" s="52" t="s">
        <v>89</v>
      </c>
      <c r="P6" s="52" t="s">
        <v>0</v>
      </c>
      <c r="Q6" s="52" t="s">
        <v>0</v>
      </c>
      <c r="T6" s="36"/>
      <c r="U6" s="36"/>
      <c r="V6" s="36"/>
      <c r="W6" s="36"/>
      <c r="X6" s="3"/>
      <c r="Y6" s="3"/>
      <c r="Z6" s="3"/>
      <c r="AA6" s="3"/>
      <c r="AB6" s="3"/>
      <c r="AC6" s="3"/>
      <c r="AD6" s="3"/>
    </row>
    <row r="7" spans="1:30">
      <c r="A7" s="43"/>
      <c r="B7" s="104" t="s">
        <v>58</v>
      </c>
      <c r="C7" s="81" t="s">
        <v>83</v>
      </c>
      <c r="D7" s="81" t="s">
        <v>84</v>
      </c>
      <c r="E7" s="81" t="s">
        <v>86</v>
      </c>
      <c r="F7" s="81" t="s">
        <v>83</v>
      </c>
      <c r="G7" s="81" t="s">
        <v>84</v>
      </c>
      <c r="H7" s="81" t="s">
        <v>83</v>
      </c>
      <c r="I7" s="81" t="s">
        <v>84</v>
      </c>
      <c r="J7" s="81" t="s">
        <v>91</v>
      </c>
      <c r="K7" s="81" t="s">
        <v>92</v>
      </c>
      <c r="L7" s="50"/>
      <c r="M7" s="53" t="s">
        <v>83</v>
      </c>
      <c r="N7" s="53" t="s">
        <v>84</v>
      </c>
      <c r="O7" s="53" t="s">
        <v>86</v>
      </c>
      <c r="P7" s="53" t="s">
        <v>83</v>
      </c>
      <c r="Q7" s="53" t="s">
        <v>84</v>
      </c>
      <c r="T7" s="50"/>
      <c r="U7" s="50"/>
      <c r="V7" s="36"/>
      <c r="W7" s="36"/>
      <c r="X7" s="3"/>
      <c r="Y7" s="3"/>
      <c r="Z7" s="3"/>
      <c r="AA7" s="3"/>
      <c r="AB7" s="3"/>
      <c r="AC7" s="3"/>
      <c r="AD7" s="3"/>
    </row>
    <row r="8" spans="1:30">
      <c r="A8" s="2" t="s">
        <v>12</v>
      </c>
    </row>
    <row r="9" spans="1:30">
      <c r="A9" s="54">
        <v>1259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  <c r="N9" s="37"/>
      <c r="O9" s="37"/>
      <c r="P9" s="37"/>
      <c r="Q9" s="37"/>
    </row>
    <row r="10" spans="1:30">
      <c r="A10" s="54">
        <f t="shared" ref="A10:A73" si="0">A9+1</f>
        <v>1260</v>
      </c>
      <c r="B10" s="36"/>
      <c r="C10" s="36"/>
      <c r="D10" s="36"/>
      <c r="E10" s="38">
        <v>1.63</v>
      </c>
      <c r="F10" s="36"/>
      <c r="G10" s="36"/>
      <c r="H10" s="39">
        <f t="shared" ref="H10:H41" si="1">4/3</f>
        <v>1.3333333333333333</v>
      </c>
      <c r="I10" s="38">
        <f t="shared" ref="I10:I41" si="2">5/4</f>
        <v>1.25</v>
      </c>
      <c r="J10" s="36"/>
      <c r="K10" s="36"/>
      <c r="L10" s="38"/>
      <c r="M10" s="37"/>
      <c r="N10" s="37"/>
      <c r="O10" s="39">
        <f>Prices!$BP12*Wages!E10</f>
        <v>2.2014565727699527</v>
      </c>
      <c r="P10" s="37"/>
      <c r="Q10" s="37"/>
    </row>
    <row r="11" spans="1:30">
      <c r="A11" s="54">
        <f t="shared" si="0"/>
        <v>1261</v>
      </c>
      <c r="B11" s="36"/>
      <c r="C11" s="36"/>
      <c r="D11" s="36"/>
      <c r="E11" s="38">
        <v>1.63</v>
      </c>
      <c r="F11" s="36"/>
      <c r="G11" s="36"/>
      <c r="H11" s="39">
        <f t="shared" si="1"/>
        <v>1.3333333333333333</v>
      </c>
      <c r="I11" s="38">
        <f t="shared" si="2"/>
        <v>1.25</v>
      </c>
      <c r="J11" s="36"/>
      <c r="K11" s="36"/>
      <c r="L11" s="38"/>
      <c r="M11" s="37"/>
      <c r="N11" s="37"/>
      <c r="O11" s="39">
        <f>Prices!$BP13*Wages!E11</f>
        <v>2.2014565727699527</v>
      </c>
      <c r="P11" s="37"/>
      <c r="Q11" s="37"/>
    </row>
    <row r="12" spans="1:30">
      <c r="A12" s="54">
        <f t="shared" si="0"/>
        <v>1262</v>
      </c>
      <c r="B12" s="36"/>
      <c r="C12" s="36"/>
      <c r="D12" s="36"/>
      <c r="E12" s="38">
        <v>1.63</v>
      </c>
      <c r="F12" s="36"/>
      <c r="G12" s="36"/>
      <c r="H12" s="39">
        <f t="shared" si="1"/>
        <v>1.3333333333333333</v>
      </c>
      <c r="I12" s="38">
        <f t="shared" si="2"/>
        <v>1.25</v>
      </c>
      <c r="J12" s="36"/>
      <c r="K12" s="36"/>
      <c r="L12" s="38"/>
      <c r="M12" s="37"/>
      <c r="N12" s="37"/>
      <c r="O12" s="39">
        <f>Prices!$BP14*Wages!E12</f>
        <v>2.2014565727699527</v>
      </c>
      <c r="P12" s="37"/>
      <c r="Q12" s="37"/>
    </row>
    <row r="13" spans="1:30">
      <c r="A13" s="54">
        <f t="shared" si="0"/>
        <v>1263</v>
      </c>
      <c r="B13" s="36"/>
      <c r="C13" s="36"/>
      <c r="D13" s="36"/>
      <c r="E13" s="38">
        <v>1.63</v>
      </c>
      <c r="F13" s="36"/>
      <c r="G13" s="36"/>
      <c r="H13" s="39">
        <f t="shared" si="1"/>
        <v>1.3333333333333333</v>
      </c>
      <c r="I13" s="38">
        <f t="shared" si="2"/>
        <v>1.25</v>
      </c>
      <c r="J13" s="36"/>
      <c r="K13" s="36"/>
      <c r="L13" s="38"/>
      <c r="M13" s="37"/>
      <c r="N13" s="37"/>
      <c r="O13" s="39">
        <f>Prices!$BP15*Wages!E13</f>
        <v>2.2014565727699527</v>
      </c>
      <c r="P13" s="37"/>
      <c r="Q13" s="37"/>
    </row>
    <row r="14" spans="1:30">
      <c r="A14" s="54">
        <f t="shared" si="0"/>
        <v>1264</v>
      </c>
      <c r="B14" s="36"/>
      <c r="C14" s="38">
        <v>3</v>
      </c>
      <c r="D14" s="36"/>
      <c r="E14" s="38">
        <v>1.63</v>
      </c>
      <c r="F14" s="38">
        <f>Wages!C14*H14</f>
        <v>4</v>
      </c>
      <c r="G14" s="36"/>
      <c r="H14" s="39">
        <f t="shared" si="1"/>
        <v>1.3333333333333333</v>
      </c>
      <c r="I14" s="38">
        <f t="shared" si="2"/>
        <v>1.25</v>
      </c>
      <c r="J14" s="36"/>
      <c r="K14" s="36"/>
      <c r="L14" s="38"/>
      <c r="M14" s="39">
        <f>Prices!BP16*Wages!$C14</f>
        <v>4.0517605633802818</v>
      </c>
      <c r="N14" s="37"/>
      <c r="O14" s="39">
        <f>Prices!$BP16*Wages!E14</f>
        <v>2.2014565727699527</v>
      </c>
      <c r="P14" s="39">
        <f>Prices!$BP16*F14</f>
        <v>5.4023474178403754</v>
      </c>
      <c r="Q14" s="37"/>
    </row>
    <row r="15" spans="1:30">
      <c r="A15" s="54">
        <f t="shared" si="0"/>
        <v>1265</v>
      </c>
      <c r="B15" s="36"/>
      <c r="C15" s="38">
        <v>3</v>
      </c>
      <c r="D15" s="36"/>
      <c r="E15" s="38">
        <v>1.63</v>
      </c>
      <c r="F15" s="38">
        <f>Wages!C15*H15</f>
        <v>4</v>
      </c>
      <c r="G15" s="36"/>
      <c r="H15" s="39">
        <f t="shared" si="1"/>
        <v>1.3333333333333333</v>
      </c>
      <c r="I15" s="38">
        <f t="shared" si="2"/>
        <v>1.25</v>
      </c>
      <c r="J15" s="36"/>
      <c r="K15" s="36"/>
      <c r="L15" s="38"/>
      <c r="M15" s="39">
        <f>Prices!BP17*Wages!$C15</f>
        <v>4.0517605633802818</v>
      </c>
      <c r="N15" s="37"/>
      <c r="O15" s="39">
        <f>Prices!$BP17*Wages!E15</f>
        <v>2.2014565727699527</v>
      </c>
      <c r="P15" s="39">
        <f>Prices!$BP17*F15</f>
        <v>5.4023474178403754</v>
      </c>
      <c r="Q15" s="37"/>
    </row>
    <row r="16" spans="1:30">
      <c r="A16" s="54">
        <f t="shared" si="0"/>
        <v>1266</v>
      </c>
      <c r="B16" s="36"/>
      <c r="C16" s="38">
        <v>3</v>
      </c>
      <c r="D16" s="36"/>
      <c r="E16" s="38">
        <v>1.63</v>
      </c>
      <c r="F16" s="38">
        <f>Wages!C16*H16</f>
        <v>4</v>
      </c>
      <c r="G16" s="36"/>
      <c r="H16" s="39">
        <f t="shared" si="1"/>
        <v>1.3333333333333333</v>
      </c>
      <c r="I16" s="38">
        <f t="shared" si="2"/>
        <v>1.25</v>
      </c>
      <c r="J16" s="36"/>
      <c r="K16" s="36"/>
      <c r="L16" s="38"/>
      <c r="M16" s="39">
        <f>Prices!BP18*Wages!$C16</f>
        <v>4.0517605633802818</v>
      </c>
      <c r="N16" s="37"/>
      <c r="O16" s="39">
        <f>Prices!$BP18*Wages!E16</f>
        <v>2.2014565727699527</v>
      </c>
      <c r="P16" s="39">
        <f>Prices!$BP18*F16</f>
        <v>5.4023474178403754</v>
      </c>
      <c r="Q16" s="37"/>
    </row>
    <row r="17" spans="1:17">
      <c r="A17" s="54">
        <f t="shared" si="0"/>
        <v>1267</v>
      </c>
      <c r="B17" s="36"/>
      <c r="C17" s="38">
        <v>3</v>
      </c>
      <c r="D17" s="36"/>
      <c r="E17" s="38">
        <v>1.63</v>
      </c>
      <c r="F17" s="38">
        <f>Wages!C17*H17</f>
        <v>4</v>
      </c>
      <c r="G17" s="36"/>
      <c r="H17" s="39">
        <f t="shared" si="1"/>
        <v>1.3333333333333333</v>
      </c>
      <c r="I17" s="38">
        <f t="shared" si="2"/>
        <v>1.25</v>
      </c>
      <c r="J17" s="36"/>
      <c r="K17" s="36"/>
      <c r="L17" s="38"/>
      <c r="M17" s="39">
        <f>Prices!BP19*Wages!$C17</f>
        <v>4.0517605633802818</v>
      </c>
      <c r="N17" s="37"/>
      <c r="O17" s="39">
        <f>Prices!$BP19*Wages!E17</f>
        <v>2.2014565727699527</v>
      </c>
      <c r="P17" s="39">
        <f>Prices!$BP19*F17</f>
        <v>5.4023474178403754</v>
      </c>
      <c r="Q17" s="37"/>
    </row>
    <row r="18" spans="1:17">
      <c r="A18" s="54">
        <f t="shared" si="0"/>
        <v>1268</v>
      </c>
      <c r="B18" s="36"/>
      <c r="C18" s="38">
        <v>3</v>
      </c>
      <c r="D18" s="36"/>
      <c r="E18" s="38">
        <v>1.63</v>
      </c>
      <c r="F18" s="38">
        <f>Wages!C18*H18</f>
        <v>4</v>
      </c>
      <c r="G18" s="36"/>
      <c r="H18" s="39">
        <f t="shared" si="1"/>
        <v>1.3333333333333333</v>
      </c>
      <c r="I18" s="38">
        <f t="shared" si="2"/>
        <v>1.25</v>
      </c>
      <c r="J18" s="36"/>
      <c r="K18" s="36"/>
      <c r="L18" s="38"/>
      <c r="M18" s="39">
        <f>Prices!BP20*Wages!$C18</f>
        <v>4.0517605633802818</v>
      </c>
      <c r="N18" s="37"/>
      <c r="O18" s="39">
        <f>Prices!$BP20*Wages!E18</f>
        <v>2.2014565727699527</v>
      </c>
      <c r="P18" s="39">
        <f>Prices!$BP20*F18</f>
        <v>5.4023474178403754</v>
      </c>
      <c r="Q18" s="37"/>
    </row>
    <row r="19" spans="1:17">
      <c r="A19" s="54">
        <f t="shared" si="0"/>
        <v>1269</v>
      </c>
      <c r="B19" s="36"/>
      <c r="C19" s="38">
        <v>3</v>
      </c>
      <c r="D19" s="36"/>
      <c r="E19" s="38">
        <v>1.63</v>
      </c>
      <c r="F19" s="38">
        <f>Wages!C19*H19</f>
        <v>4</v>
      </c>
      <c r="G19" s="36"/>
      <c r="H19" s="39">
        <f t="shared" si="1"/>
        <v>1.3333333333333333</v>
      </c>
      <c r="I19" s="38">
        <f t="shared" si="2"/>
        <v>1.25</v>
      </c>
      <c r="J19" s="36"/>
      <c r="K19" s="36"/>
      <c r="L19" s="38"/>
      <c r="M19" s="39">
        <f>Prices!BP21*Wages!$C19</f>
        <v>4.0517605633802818</v>
      </c>
      <c r="N19" s="37"/>
      <c r="O19" s="39">
        <f>Prices!$BP21*Wages!E19</f>
        <v>2.2014565727699527</v>
      </c>
      <c r="P19" s="39">
        <f>Prices!$BP21*F19</f>
        <v>5.4023474178403754</v>
      </c>
      <c r="Q19" s="37"/>
    </row>
    <row r="20" spans="1:17">
      <c r="A20" s="54">
        <f t="shared" si="0"/>
        <v>1270</v>
      </c>
      <c r="B20" s="36"/>
      <c r="C20" s="38">
        <v>3</v>
      </c>
      <c r="D20" s="36"/>
      <c r="E20" s="38">
        <v>1.63</v>
      </c>
      <c r="F20" s="38">
        <f>Wages!C20*H20</f>
        <v>4</v>
      </c>
      <c r="G20" s="36"/>
      <c r="H20" s="39">
        <f t="shared" si="1"/>
        <v>1.3333333333333333</v>
      </c>
      <c r="I20" s="38">
        <f t="shared" si="2"/>
        <v>1.25</v>
      </c>
      <c r="J20" s="36"/>
      <c r="K20" s="36"/>
      <c r="L20" s="38"/>
      <c r="M20" s="39">
        <f>Prices!BP22*Wages!$C20</f>
        <v>4.0517605633802818</v>
      </c>
      <c r="N20" s="37"/>
      <c r="O20" s="39">
        <f>Prices!$BP22*Wages!E20</f>
        <v>2.2014565727699527</v>
      </c>
      <c r="P20" s="39">
        <f>Prices!$BP22*F20</f>
        <v>5.4023474178403754</v>
      </c>
      <c r="Q20" s="37"/>
    </row>
    <row r="21" spans="1:17">
      <c r="A21" s="54">
        <f t="shared" si="0"/>
        <v>1271</v>
      </c>
      <c r="B21" s="36"/>
      <c r="C21" s="38">
        <v>3</v>
      </c>
      <c r="D21" s="36"/>
      <c r="E21" s="38">
        <v>1.63</v>
      </c>
      <c r="F21" s="38">
        <f>Wages!C21*H21</f>
        <v>4</v>
      </c>
      <c r="G21" s="36"/>
      <c r="H21" s="39">
        <f t="shared" si="1"/>
        <v>1.3333333333333333</v>
      </c>
      <c r="I21" s="38">
        <f t="shared" si="2"/>
        <v>1.25</v>
      </c>
      <c r="J21" s="36"/>
      <c r="K21" s="36"/>
      <c r="L21" s="38"/>
      <c r="M21" s="39">
        <f>Prices!BP23*Wages!$C21</f>
        <v>4.0517605633802818</v>
      </c>
      <c r="N21" s="37"/>
      <c r="O21" s="39">
        <f>Prices!$BP23*Wages!E21</f>
        <v>2.2014565727699527</v>
      </c>
      <c r="P21" s="39">
        <f>Prices!$BP23*F21</f>
        <v>5.4023474178403754</v>
      </c>
      <c r="Q21" s="37"/>
    </row>
    <row r="22" spans="1:17">
      <c r="A22" s="54">
        <f t="shared" si="0"/>
        <v>1272</v>
      </c>
      <c r="B22" s="36"/>
      <c r="C22" s="38">
        <v>3</v>
      </c>
      <c r="D22" s="36"/>
      <c r="E22" s="38">
        <v>1.63</v>
      </c>
      <c r="F22" s="38">
        <f>Wages!C22*H22</f>
        <v>4</v>
      </c>
      <c r="G22" s="36"/>
      <c r="H22" s="39">
        <f t="shared" si="1"/>
        <v>1.3333333333333333</v>
      </c>
      <c r="I22" s="38">
        <f t="shared" si="2"/>
        <v>1.25</v>
      </c>
      <c r="J22" s="36"/>
      <c r="K22" s="36"/>
      <c r="L22" s="38"/>
      <c r="M22" s="39">
        <f>Prices!BP24*Wages!$C22</f>
        <v>4.0517605633802818</v>
      </c>
      <c r="N22" s="37"/>
      <c r="O22" s="39">
        <f>Prices!$BP24*Wages!E22</f>
        <v>2.2014565727699527</v>
      </c>
      <c r="P22" s="39">
        <f>Prices!$BP24*F22</f>
        <v>5.4023474178403754</v>
      </c>
      <c r="Q22" s="37"/>
    </row>
    <row r="23" spans="1:17">
      <c r="A23" s="54">
        <f t="shared" si="0"/>
        <v>1273</v>
      </c>
      <c r="B23" s="36"/>
      <c r="C23" s="38">
        <v>3</v>
      </c>
      <c r="D23" s="36"/>
      <c r="E23" s="38">
        <v>1.63</v>
      </c>
      <c r="F23" s="38">
        <f>Wages!C23*H23</f>
        <v>4</v>
      </c>
      <c r="G23" s="36"/>
      <c r="H23" s="39">
        <f t="shared" si="1"/>
        <v>1.3333333333333333</v>
      </c>
      <c r="I23" s="38">
        <f t="shared" si="2"/>
        <v>1.25</v>
      </c>
      <c r="J23" s="36"/>
      <c r="K23" s="36"/>
      <c r="L23" s="38"/>
      <c r="M23" s="39">
        <f>Prices!BP25*Wages!$C23</f>
        <v>4.0517605633802818</v>
      </c>
      <c r="N23" s="37"/>
      <c r="O23" s="39">
        <f>Prices!$BP25*Wages!E23</f>
        <v>2.2014565727699527</v>
      </c>
      <c r="P23" s="39">
        <f>Prices!$BP25*F23</f>
        <v>5.4023474178403754</v>
      </c>
      <c r="Q23" s="37"/>
    </row>
    <row r="24" spans="1:17">
      <c r="A24" s="54">
        <f t="shared" si="0"/>
        <v>1274</v>
      </c>
      <c r="B24" s="36"/>
      <c r="C24" s="38">
        <v>3</v>
      </c>
      <c r="D24" s="36"/>
      <c r="E24" s="38">
        <v>1.63</v>
      </c>
      <c r="F24" s="38">
        <f>Wages!C24*H24</f>
        <v>4</v>
      </c>
      <c r="G24" s="36"/>
      <c r="H24" s="39">
        <f t="shared" si="1"/>
        <v>1.3333333333333333</v>
      </c>
      <c r="I24" s="38">
        <f t="shared" si="2"/>
        <v>1.25</v>
      </c>
      <c r="J24" s="36"/>
      <c r="K24" s="36"/>
      <c r="L24" s="38"/>
      <c r="M24" s="39">
        <f>Prices!BP26*Wages!$C24</f>
        <v>4.0517605633802818</v>
      </c>
      <c r="N24" s="37"/>
      <c r="O24" s="39">
        <f>Prices!$BP26*Wages!E24</f>
        <v>2.2014565727699527</v>
      </c>
      <c r="P24" s="39">
        <f>Prices!$BP26*F24</f>
        <v>5.4023474178403754</v>
      </c>
      <c r="Q24" s="37"/>
    </row>
    <row r="25" spans="1:17">
      <c r="A25" s="54">
        <f t="shared" si="0"/>
        <v>1275</v>
      </c>
      <c r="B25" s="36"/>
      <c r="C25" s="38">
        <v>3</v>
      </c>
      <c r="D25" s="36"/>
      <c r="E25" s="38">
        <v>1.63</v>
      </c>
      <c r="F25" s="38">
        <f>Wages!C25*H25</f>
        <v>4</v>
      </c>
      <c r="G25" s="36"/>
      <c r="H25" s="39">
        <f t="shared" si="1"/>
        <v>1.3333333333333333</v>
      </c>
      <c r="I25" s="38">
        <f t="shared" si="2"/>
        <v>1.25</v>
      </c>
      <c r="J25" s="36"/>
      <c r="K25" s="36"/>
      <c r="L25" s="38"/>
      <c r="M25" s="39">
        <f>Prices!BP27*Wages!$C25</f>
        <v>4.0517605633802818</v>
      </c>
      <c r="N25" s="37"/>
      <c r="O25" s="39">
        <f>Prices!$BP27*Wages!E25</f>
        <v>2.2014565727699527</v>
      </c>
      <c r="P25" s="39">
        <f>Prices!$BP27*F25</f>
        <v>5.4023474178403754</v>
      </c>
      <c r="Q25" s="37"/>
    </row>
    <row r="26" spans="1:17">
      <c r="A26" s="54">
        <f t="shared" si="0"/>
        <v>1276</v>
      </c>
      <c r="B26" s="36"/>
      <c r="C26" s="38">
        <v>3</v>
      </c>
      <c r="D26" s="36"/>
      <c r="E26" s="38">
        <v>1.63</v>
      </c>
      <c r="F26" s="38">
        <f>Wages!C26*H26</f>
        <v>4</v>
      </c>
      <c r="G26" s="36"/>
      <c r="H26" s="39">
        <f t="shared" si="1"/>
        <v>1.3333333333333333</v>
      </c>
      <c r="I26" s="38">
        <f t="shared" si="2"/>
        <v>1.25</v>
      </c>
      <c r="J26" s="36"/>
      <c r="K26" s="36"/>
      <c r="L26" s="38"/>
      <c r="M26" s="39">
        <f>Prices!BP28*Wages!$C26</f>
        <v>3.9954861111111111</v>
      </c>
      <c r="N26" s="37"/>
      <c r="O26" s="39">
        <f>Prices!$BP28*Wages!E26</f>
        <v>2.1708807870370368</v>
      </c>
      <c r="P26" s="39">
        <f>Prices!$BP28*F26</f>
        <v>5.3273148148148151</v>
      </c>
      <c r="Q26" s="37"/>
    </row>
    <row r="27" spans="1:17">
      <c r="A27" s="54">
        <f t="shared" si="0"/>
        <v>1277</v>
      </c>
      <c r="B27" s="36"/>
      <c r="C27" s="38">
        <v>3</v>
      </c>
      <c r="D27" s="36"/>
      <c r="E27" s="38">
        <v>1.63</v>
      </c>
      <c r="F27" s="38">
        <f>Wages!C27*H27</f>
        <v>4</v>
      </c>
      <c r="G27" s="36"/>
      <c r="H27" s="39">
        <f t="shared" si="1"/>
        <v>1.3333333333333333</v>
      </c>
      <c r="I27" s="38">
        <f t="shared" si="2"/>
        <v>1.25</v>
      </c>
      <c r="J27" s="36"/>
      <c r="K27" s="36"/>
      <c r="L27" s="38"/>
      <c r="M27" s="39">
        <f>Prices!BP29*Wages!$C27</f>
        <v>3.9954861111111111</v>
      </c>
      <c r="N27" s="37"/>
      <c r="O27" s="39">
        <f>Prices!$BP29*Wages!E27</f>
        <v>2.1708807870370368</v>
      </c>
      <c r="P27" s="39">
        <f>Prices!$BP29*F27</f>
        <v>5.3273148148148151</v>
      </c>
      <c r="Q27" s="37"/>
    </row>
    <row r="28" spans="1:17">
      <c r="A28" s="54">
        <f t="shared" si="0"/>
        <v>1278</v>
      </c>
      <c r="B28" s="36"/>
      <c r="C28" s="38">
        <v>3</v>
      </c>
      <c r="D28" s="36"/>
      <c r="E28" s="38">
        <v>1.63</v>
      </c>
      <c r="F28" s="38">
        <f>Wages!C28*H28</f>
        <v>4</v>
      </c>
      <c r="G28" s="36"/>
      <c r="H28" s="39">
        <f t="shared" si="1"/>
        <v>1.3333333333333333</v>
      </c>
      <c r="I28" s="38">
        <f t="shared" si="2"/>
        <v>1.25</v>
      </c>
      <c r="J28" s="36"/>
      <c r="K28" s="36"/>
      <c r="L28" s="38"/>
      <c r="M28" s="39">
        <f>Prices!BP30*Wages!$C28</f>
        <v>3.9954861111111111</v>
      </c>
      <c r="N28" s="37"/>
      <c r="O28" s="39">
        <f>Prices!$BP30*Wages!E28</f>
        <v>2.1708807870370368</v>
      </c>
      <c r="P28" s="39">
        <f>Prices!$BP30*F28</f>
        <v>5.3273148148148151</v>
      </c>
      <c r="Q28" s="37"/>
    </row>
    <row r="29" spans="1:17">
      <c r="A29" s="54">
        <f t="shared" si="0"/>
        <v>1279</v>
      </c>
      <c r="B29" s="36"/>
      <c r="C29" s="38">
        <v>3</v>
      </c>
      <c r="D29" s="36"/>
      <c r="E29" s="38">
        <v>1.63</v>
      </c>
      <c r="F29" s="38">
        <f>Wages!C29*H29</f>
        <v>4</v>
      </c>
      <c r="G29" s="36"/>
      <c r="H29" s="39">
        <f t="shared" si="1"/>
        <v>1.3333333333333333</v>
      </c>
      <c r="I29" s="38">
        <f t="shared" si="2"/>
        <v>1.25</v>
      </c>
      <c r="J29" s="36"/>
      <c r="K29" s="36"/>
      <c r="L29" s="38"/>
      <c r="M29" s="39">
        <f>Prices!BP31*Wages!$C29</f>
        <v>3.9954861111111111</v>
      </c>
      <c r="N29" s="37"/>
      <c r="O29" s="39">
        <f>Prices!$BP31*Wages!E29</f>
        <v>2.1708807870370368</v>
      </c>
      <c r="P29" s="39">
        <f>Prices!$BP31*F29</f>
        <v>5.3273148148148151</v>
      </c>
      <c r="Q29" s="37"/>
    </row>
    <row r="30" spans="1:17">
      <c r="A30" s="54">
        <f t="shared" si="0"/>
        <v>1280</v>
      </c>
      <c r="B30" s="36"/>
      <c r="C30" s="38">
        <v>3</v>
      </c>
      <c r="D30" s="36"/>
      <c r="E30" s="38">
        <v>1.63</v>
      </c>
      <c r="F30" s="38">
        <f>Wages!C30*H30</f>
        <v>4</v>
      </c>
      <c r="G30" s="36"/>
      <c r="H30" s="39">
        <f t="shared" si="1"/>
        <v>1.3333333333333333</v>
      </c>
      <c r="I30" s="38">
        <f t="shared" si="2"/>
        <v>1.25</v>
      </c>
      <c r="J30" s="36"/>
      <c r="K30" s="36"/>
      <c r="L30" s="38"/>
      <c r="M30" s="39">
        <f>Prices!BP32*Wages!$C30</f>
        <v>3.9954861111111111</v>
      </c>
      <c r="N30" s="37"/>
      <c r="O30" s="39">
        <f>Prices!$BP32*Wages!E30</f>
        <v>2.1708807870370368</v>
      </c>
      <c r="P30" s="39">
        <f>Prices!$BP32*F30</f>
        <v>5.3273148148148151</v>
      </c>
      <c r="Q30" s="37"/>
    </row>
    <row r="31" spans="1:17">
      <c r="A31" s="54">
        <f t="shared" si="0"/>
        <v>1281</v>
      </c>
      <c r="B31" s="36"/>
      <c r="C31" s="38">
        <v>3</v>
      </c>
      <c r="D31" s="36"/>
      <c r="E31" s="38">
        <v>1.63</v>
      </c>
      <c r="F31" s="38">
        <f>Wages!C31*H31</f>
        <v>4</v>
      </c>
      <c r="G31" s="36"/>
      <c r="H31" s="39">
        <f t="shared" si="1"/>
        <v>1.3333333333333333</v>
      </c>
      <c r="I31" s="38">
        <f t="shared" si="2"/>
        <v>1.25</v>
      </c>
      <c r="J31" s="36"/>
      <c r="K31" s="36"/>
      <c r="L31" s="38"/>
      <c r="M31" s="39">
        <f>Prices!BP33*Wages!$C31</f>
        <v>3.9954861111111111</v>
      </c>
      <c r="N31" s="37"/>
      <c r="O31" s="39">
        <f>Prices!$BP33*Wages!E31</f>
        <v>2.1708807870370368</v>
      </c>
      <c r="P31" s="39">
        <f>Prices!$BP33*F31</f>
        <v>5.3273148148148151</v>
      </c>
      <c r="Q31" s="37"/>
    </row>
    <row r="32" spans="1:17">
      <c r="A32" s="54">
        <f t="shared" si="0"/>
        <v>1282</v>
      </c>
      <c r="B32" s="36"/>
      <c r="C32" s="38">
        <v>3</v>
      </c>
      <c r="D32" s="36"/>
      <c r="E32" s="38">
        <v>1.63</v>
      </c>
      <c r="F32" s="38">
        <f>Wages!C32*H32</f>
        <v>4</v>
      </c>
      <c r="G32" s="36"/>
      <c r="H32" s="39">
        <f t="shared" si="1"/>
        <v>1.3333333333333333</v>
      </c>
      <c r="I32" s="38">
        <f t="shared" si="2"/>
        <v>1.25</v>
      </c>
      <c r="J32" s="36"/>
      <c r="K32" s="36"/>
      <c r="L32" s="38"/>
      <c r="M32" s="39">
        <f>Prices!BP34*Wages!$C32</f>
        <v>3.9954861111111111</v>
      </c>
      <c r="N32" s="37"/>
      <c r="O32" s="39">
        <f>Prices!$BP34*Wages!E32</f>
        <v>2.1708807870370368</v>
      </c>
      <c r="P32" s="39">
        <f>Prices!$BP34*F32</f>
        <v>5.3273148148148151</v>
      </c>
      <c r="Q32" s="37"/>
    </row>
    <row r="33" spans="1:17">
      <c r="A33" s="54">
        <f t="shared" si="0"/>
        <v>1283</v>
      </c>
      <c r="B33" s="36"/>
      <c r="C33" s="38">
        <v>3</v>
      </c>
      <c r="D33" s="36"/>
      <c r="E33" s="38">
        <v>1.63</v>
      </c>
      <c r="F33" s="38">
        <f>Wages!C33*H33</f>
        <v>4</v>
      </c>
      <c r="G33" s="36"/>
      <c r="H33" s="39">
        <f t="shared" si="1"/>
        <v>1.3333333333333333</v>
      </c>
      <c r="I33" s="38">
        <f t="shared" si="2"/>
        <v>1.25</v>
      </c>
      <c r="J33" s="36"/>
      <c r="K33" s="36"/>
      <c r="L33" s="38"/>
      <c r="M33" s="39">
        <f>Prices!BP35*Wages!$C33</f>
        <v>3.9954861111111111</v>
      </c>
      <c r="N33" s="37"/>
      <c r="O33" s="39">
        <f>Prices!$BP35*Wages!E33</f>
        <v>2.1708807870370368</v>
      </c>
      <c r="P33" s="39">
        <f>Prices!$BP35*F33</f>
        <v>5.3273148148148151</v>
      </c>
      <c r="Q33" s="37"/>
    </row>
    <row r="34" spans="1:17">
      <c r="A34" s="54">
        <f t="shared" si="0"/>
        <v>1284</v>
      </c>
      <c r="B34" s="36"/>
      <c r="C34" s="38">
        <v>3</v>
      </c>
      <c r="D34" s="36"/>
      <c r="E34" s="38">
        <v>1.63</v>
      </c>
      <c r="F34" s="38">
        <f>Wages!C34*H34</f>
        <v>4</v>
      </c>
      <c r="G34" s="36"/>
      <c r="H34" s="39">
        <f t="shared" si="1"/>
        <v>1.3333333333333333</v>
      </c>
      <c r="I34" s="38">
        <f t="shared" si="2"/>
        <v>1.25</v>
      </c>
      <c r="J34" s="36"/>
      <c r="K34" s="36"/>
      <c r="L34" s="38"/>
      <c r="M34" s="39">
        <f>Prices!BP36*Wages!$C34</f>
        <v>3.9954861111111111</v>
      </c>
      <c r="N34" s="37"/>
      <c r="O34" s="39">
        <f>Prices!$BP36*Wages!E34</f>
        <v>2.1708807870370368</v>
      </c>
      <c r="P34" s="39">
        <f>Prices!$BP36*F34</f>
        <v>5.3273148148148151</v>
      </c>
      <c r="Q34" s="37"/>
    </row>
    <row r="35" spans="1:17">
      <c r="A35" s="54">
        <f t="shared" si="0"/>
        <v>1285</v>
      </c>
      <c r="B35" s="36"/>
      <c r="C35" s="38">
        <v>3</v>
      </c>
      <c r="D35" s="36"/>
      <c r="E35" s="38">
        <v>1.63</v>
      </c>
      <c r="F35" s="38">
        <f>Wages!C35*H35</f>
        <v>4</v>
      </c>
      <c r="G35" s="36"/>
      <c r="H35" s="39">
        <f t="shared" si="1"/>
        <v>1.3333333333333333</v>
      </c>
      <c r="I35" s="38">
        <f t="shared" si="2"/>
        <v>1.25</v>
      </c>
      <c r="J35" s="36"/>
      <c r="K35" s="36"/>
      <c r="L35" s="38"/>
      <c r="M35" s="39">
        <f>Prices!BP37*Wages!$C35</f>
        <v>3.9954861111111111</v>
      </c>
      <c r="N35" s="37"/>
      <c r="O35" s="39">
        <f>Prices!$BP37*Wages!E35</f>
        <v>2.1708807870370368</v>
      </c>
      <c r="P35" s="39">
        <f>Prices!$BP37*F35</f>
        <v>5.3273148148148151</v>
      </c>
      <c r="Q35" s="37"/>
    </row>
    <row r="36" spans="1:17">
      <c r="A36" s="54">
        <f t="shared" si="0"/>
        <v>1286</v>
      </c>
      <c r="B36" s="36"/>
      <c r="C36" s="38">
        <v>3</v>
      </c>
      <c r="D36" s="36"/>
      <c r="E36" s="38">
        <v>1.63</v>
      </c>
      <c r="F36" s="38">
        <f>Wages!C36*H36</f>
        <v>4</v>
      </c>
      <c r="G36" s="36"/>
      <c r="H36" s="39">
        <f t="shared" si="1"/>
        <v>1.3333333333333333</v>
      </c>
      <c r="I36" s="38">
        <f t="shared" si="2"/>
        <v>1.25</v>
      </c>
      <c r="J36" s="36"/>
      <c r="K36" s="36"/>
      <c r="L36" s="38"/>
      <c r="M36" s="39">
        <f>Prices!BP38*Wages!$C36</f>
        <v>3.9954861111111111</v>
      </c>
      <c r="N36" s="37"/>
      <c r="O36" s="39">
        <f>Prices!$BP38*Wages!E36</f>
        <v>2.1708807870370368</v>
      </c>
      <c r="P36" s="39">
        <f>Prices!$BP38*F36</f>
        <v>5.3273148148148151</v>
      </c>
      <c r="Q36" s="37"/>
    </row>
    <row r="37" spans="1:17">
      <c r="A37" s="54">
        <f t="shared" si="0"/>
        <v>1287</v>
      </c>
      <c r="B37" s="36"/>
      <c r="C37" s="38">
        <v>3</v>
      </c>
      <c r="D37" s="36"/>
      <c r="E37" s="38">
        <v>1.63</v>
      </c>
      <c r="F37" s="38">
        <f>Wages!C37*H37</f>
        <v>4</v>
      </c>
      <c r="G37" s="36"/>
      <c r="H37" s="39">
        <f t="shared" si="1"/>
        <v>1.3333333333333333</v>
      </c>
      <c r="I37" s="38">
        <f t="shared" si="2"/>
        <v>1.25</v>
      </c>
      <c r="J37" s="36"/>
      <c r="K37" s="36"/>
      <c r="L37" s="38"/>
      <c r="M37" s="39">
        <f>Prices!BP39*Wages!$C37</f>
        <v>3.9954861111111111</v>
      </c>
      <c r="N37" s="37"/>
      <c r="O37" s="39">
        <f>Prices!$BP39*Wages!E37</f>
        <v>2.1708807870370368</v>
      </c>
      <c r="P37" s="39">
        <f>Prices!$BP39*F37</f>
        <v>5.3273148148148151</v>
      </c>
      <c r="Q37" s="37"/>
    </row>
    <row r="38" spans="1:17">
      <c r="A38" s="54">
        <f t="shared" si="0"/>
        <v>1288</v>
      </c>
      <c r="B38" s="36"/>
      <c r="C38" s="38">
        <v>3</v>
      </c>
      <c r="D38" s="36"/>
      <c r="E38" s="38">
        <v>1.63</v>
      </c>
      <c r="F38" s="38">
        <f>Wages!C38*H38</f>
        <v>4</v>
      </c>
      <c r="G38" s="36"/>
      <c r="H38" s="39">
        <f t="shared" si="1"/>
        <v>1.3333333333333333</v>
      </c>
      <c r="I38" s="38">
        <f t="shared" si="2"/>
        <v>1.25</v>
      </c>
      <c r="J38" s="36"/>
      <c r="K38" s="36"/>
      <c r="L38" s="38"/>
      <c r="M38" s="39">
        <f>Prices!BP40*Wages!$C38</f>
        <v>3.9954861111111111</v>
      </c>
      <c r="N38" s="37"/>
      <c r="O38" s="39">
        <f>Prices!$BP40*Wages!E38</f>
        <v>2.1708807870370368</v>
      </c>
      <c r="P38" s="39">
        <f>Prices!$BP40*F38</f>
        <v>5.3273148148148151</v>
      </c>
      <c r="Q38" s="37"/>
    </row>
    <row r="39" spans="1:17">
      <c r="A39" s="54">
        <f t="shared" si="0"/>
        <v>1289</v>
      </c>
      <c r="B39" s="36"/>
      <c r="C39" s="38">
        <v>3</v>
      </c>
      <c r="D39" s="36"/>
      <c r="E39" s="38">
        <v>1.63</v>
      </c>
      <c r="F39" s="38">
        <f>Wages!C39*H39</f>
        <v>4</v>
      </c>
      <c r="G39" s="36"/>
      <c r="H39" s="39">
        <f t="shared" si="1"/>
        <v>1.3333333333333333</v>
      </c>
      <c r="I39" s="38">
        <f t="shared" si="2"/>
        <v>1.25</v>
      </c>
      <c r="J39" s="36"/>
      <c r="K39" s="36"/>
      <c r="L39" s="38"/>
      <c r="M39" s="39">
        <f>Prices!BP41*Wages!$C39</f>
        <v>3.9954861111111111</v>
      </c>
      <c r="N39" s="37"/>
      <c r="O39" s="39">
        <f>Prices!$BP41*Wages!E39</f>
        <v>2.1708807870370368</v>
      </c>
      <c r="P39" s="39">
        <f>Prices!$BP41*F39</f>
        <v>5.3273148148148151</v>
      </c>
      <c r="Q39" s="37"/>
    </row>
    <row r="40" spans="1:17">
      <c r="A40" s="54">
        <f t="shared" si="0"/>
        <v>1290</v>
      </c>
      <c r="B40" s="36"/>
      <c r="C40" s="38">
        <v>3</v>
      </c>
      <c r="D40" s="36"/>
      <c r="E40" s="38">
        <v>1.57</v>
      </c>
      <c r="F40" s="38">
        <f>Wages!C40*H40</f>
        <v>4</v>
      </c>
      <c r="G40" s="36"/>
      <c r="H40" s="39">
        <f t="shared" si="1"/>
        <v>1.3333333333333333</v>
      </c>
      <c r="I40" s="38">
        <f t="shared" si="2"/>
        <v>1.25</v>
      </c>
      <c r="J40" s="36"/>
      <c r="K40" s="36"/>
      <c r="L40" s="38"/>
      <c r="M40" s="39">
        <f>Prices!BP42*Wages!$C40</f>
        <v>3.9954861111111111</v>
      </c>
      <c r="N40" s="37"/>
      <c r="O40" s="39">
        <f>Prices!$BP42*Wages!E40</f>
        <v>2.090971064814815</v>
      </c>
      <c r="P40" s="39">
        <f>Prices!$BP42*F40</f>
        <v>5.3273148148148151</v>
      </c>
      <c r="Q40" s="37"/>
    </row>
    <row r="41" spans="1:17">
      <c r="A41" s="54">
        <f t="shared" si="0"/>
        <v>1291</v>
      </c>
      <c r="B41" s="36"/>
      <c r="C41" s="38">
        <v>3</v>
      </c>
      <c r="D41" s="36"/>
      <c r="E41" s="38">
        <v>1.57</v>
      </c>
      <c r="F41" s="38">
        <f>Wages!C41*H41</f>
        <v>4</v>
      </c>
      <c r="G41" s="36"/>
      <c r="H41" s="39">
        <f t="shared" si="1"/>
        <v>1.3333333333333333</v>
      </c>
      <c r="I41" s="38">
        <f t="shared" si="2"/>
        <v>1.25</v>
      </c>
      <c r="J41" s="36"/>
      <c r="K41" s="36"/>
      <c r="L41" s="38"/>
      <c r="M41" s="39">
        <f>Prices!BP43*Wages!$C41</f>
        <v>3.9954861111111111</v>
      </c>
      <c r="N41" s="37"/>
      <c r="O41" s="39">
        <f>Prices!$BP43*Wages!E41</f>
        <v>2.090971064814815</v>
      </c>
      <c r="P41" s="39">
        <f>Prices!$BP43*F41</f>
        <v>5.3273148148148151</v>
      </c>
      <c r="Q41" s="37"/>
    </row>
    <row r="42" spans="1:17">
      <c r="A42" s="54">
        <f t="shared" si="0"/>
        <v>1292</v>
      </c>
      <c r="B42" s="36"/>
      <c r="C42" s="38">
        <v>3</v>
      </c>
      <c r="D42" s="36"/>
      <c r="E42" s="38">
        <v>1.57</v>
      </c>
      <c r="F42" s="38">
        <f>Wages!C42*H42</f>
        <v>4</v>
      </c>
      <c r="G42" s="36"/>
      <c r="H42" s="39">
        <f t="shared" ref="H42:H73" si="3">4/3</f>
        <v>1.3333333333333333</v>
      </c>
      <c r="I42" s="38">
        <f t="shared" ref="I42:I73" si="4">5/4</f>
        <v>1.25</v>
      </c>
      <c r="J42" s="36"/>
      <c r="K42" s="36"/>
      <c r="L42" s="38"/>
      <c r="M42" s="39">
        <f>Prices!BP44*Wages!$C42</f>
        <v>3.9954861111111111</v>
      </c>
      <c r="N42" s="37"/>
      <c r="O42" s="39">
        <f>Prices!$BP44*Wages!E42</f>
        <v>2.090971064814815</v>
      </c>
      <c r="P42" s="39">
        <f>Prices!$BP44*F42</f>
        <v>5.3273148148148151</v>
      </c>
      <c r="Q42" s="37"/>
    </row>
    <row r="43" spans="1:17">
      <c r="A43" s="54">
        <f t="shared" si="0"/>
        <v>1293</v>
      </c>
      <c r="B43" s="36"/>
      <c r="C43" s="38">
        <v>3</v>
      </c>
      <c r="D43" s="36"/>
      <c r="E43" s="38">
        <v>1.57</v>
      </c>
      <c r="F43" s="38">
        <f>Wages!C43*H43</f>
        <v>4</v>
      </c>
      <c r="G43" s="36"/>
      <c r="H43" s="39">
        <f t="shared" si="3"/>
        <v>1.3333333333333333</v>
      </c>
      <c r="I43" s="38">
        <f t="shared" si="4"/>
        <v>1.25</v>
      </c>
      <c r="J43" s="36"/>
      <c r="K43" s="36"/>
      <c r="L43" s="38"/>
      <c r="M43" s="39">
        <f>Prices!BP45*Wages!$C43</f>
        <v>3.9954861111111111</v>
      </c>
      <c r="N43" s="37"/>
      <c r="O43" s="39">
        <f>Prices!$BP45*Wages!E43</f>
        <v>2.090971064814815</v>
      </c>
      <c r="P43" s="39">
        <f>Prices!$BP45*F43</f>
        <v>5.3273148148148151</v>
      </c>
      <c r="Q43" s="37"/>
    </row>
    <row r="44" spans="1:17">
      <c r="A44" s="54">
        <f t="shared" si="0"/>
        <v>1294</v>
      </c>
      <c r="B44" s="36"/>
      <c r="C44" s="38">
        <v>3</v>
      </c>
      <c r="D44" s="36"/>
      <c r="E44" s="38">
        <v>1.57</v>
      </c>
      <c r="F44" s="38">
        <f>Wages!C44*H44</f>
        <v>4</v>
      </c>
      <c r="G44" s="36"/>
      <c r="H44" s="39">
        <f t="shared" si="3"/>
        <v>1.3333333333333333</v>
      </c>
      <c r="I44" s="38">
        <f t="shared" si="4"/>
        <v>1.25</v>
      </c>
      <c r="J44" s="36"/>
      <c r="K44" s="36"/>
      <c r="L44" s="38"/>
      <c r="M44" s="39">
        <f>Prices!BP46*Wages!$C44</f>
        <v>3.9954861111111111</v>
      </c>
      <c r="N44" s="37"/>
      <c r="O44" s="39">
        <f>Prices!$BP46*Wages!E44</f>
        <v>2.090971064814815</v>
      </c>
      <c r="P44" s="39">
        <f>Prices!$BP46*F44</f>
        <v>5.3273148148148151</v>
      </c>
      <c r="Q44" s="37"/>
    </row>
    <row r="45" spans="1:17">
      <c r="A45" s="54">
        <f t="shared" si="0"/>
        <v>1295</v>
      </c>
      <c r="B45" s="36"/>
      <c r="C45" s="38">
        <v>3</v>
      </c>
      <c r="D45" s="36"/>
      <c r="E45" s="38">
        <v>1.57</v>
      </c>
      <c r="F45" s="38">
        <f>Wages!C45*H45</f>
        <v>4</v>
      </c>
      <c r="G45" s="36"/>
      <c r="H45" s="39">
        <f t="shared" si="3"/>
        <v>1.3333333333333333</v>
      </c>
      <c r="I45" s="38">
        <f t="shared" si="4"/>
        <v>1.25</v>
      </c>
      <c r="J45" s="36"/>
      <c r="K45" s="36"/>
      <c r="L45" s="38"/>
      <c r="M45" s="39">
        <f>Prices!BP47*Wages!$C45</f>
        <v>3.9954861111111111</v>
      </c>
      <c r="N45" s="37"/>
      <c r="O45" s="39">
        <f>Prices!$BP47*Wages!E45</f>
        <v>2.090971064814815</v>
      </c>
      <c r="P45" s="39">
        <f>Prices!$BP47*F45</f>
        <v>5.3273148148148151</v>
      </c>
      <c r="Q45" s="37"/>
    </row>
    <row r="46" spans="1:17">
      <c r="A46" s="54">
        <f t="shared" si="0"/>
        <v>1296</v>
      </c>
      <c r="B46" s="36"/>
      <c r="C46" s="38">
        <v>3</v>
      </c>
      <c r="D46" s="36"/>
      <c r="E46" s="38">
        <v>1.57</v>
      </c>
      <c r="F46" s="38">
        <f>Wages!C46*H46</f>
        <v>4</v>
      </c>
      <c r="G46" s="36"/>
      <c r="H46" s="39">
        <f t="shared" si="3"/>
        <v>1.3333333333333333</v>
      </c>
      <c r="I46" s="38">
        <f t="shared" si="4"/>
        <v>1.25</v>
      </c>
      <c r="J46" s="36"/>
      <c r="K46" s="36"/>
      <c r="L46" s="38"/>
      <c r="M46" s="39">
        <f>Prices!BP48*Wages!$C46</f>
        <v>3.9954861111111111</v>
      </c>
      <c r="N46" s="37"/>
      <c r="O46" s="39">
        <f>Prices!$BP48*Wages!E46</f>
        <v>2.090971064814815</v>
      </c>
      <c r="P46" s="39">
        <f>Prices!$BP48*F46</f>
        <v>5.3273148148148151</v>
      </c>
      <c r="Q46" s="37"/>
    </row>
    <row r="47" spans="1:17">
      <c r="A47" s="54">
        <f t="shared" si="0"/>
        <v>1297</v>
      </c>
      <c r="B47" s="36"/>
      <c r="C47" s="38">
        <v>3</v>
      </c>
      <c r="D47" s="36"/>
      <c r="E47" s="38">
        <v>1.57</v>
      </c>
      <c r="F47" s="38">
        <f>Wages!C47*H47</f>
        <v>4</v>
      </c>
      <c r="G47" s="36"/>
      <c r="H47" s="39">
        <f t="shared" si="3"/>
        <v>1.3333333333333333</v>
      </c>
      <c r="I47" s="38">
        <f t="shared" si="4"/>
        <v>1.25</v>
      </c>
      <c r="J47" s="36"/>
      <c r="K47" s="36"/>
      <c r="L47" s="38"/>
      <c r="M47" s="39">
        <f>Prices!BP49*Wages!$C47</f>
        <v>3.9954861111111111</v>
      </c>
      <c r="N47" s="37"/>
      <c r="O47" s="39">
        <f>Prices!$BP49*Wages!E47</f>
        <v>2.090971064814815</v>
      </c>
      <c r="P47" s="39">
        <f>Prices!$BP49*F47</f>
        <v>5.3273148148148151</v>
      </c>
      <c r="Q47" s="37"/>
    </row>
    <row r="48" spans="1:17">
      <c r="A48" s="54">
        <f t="shared" si="0"/>
        <v>1298</v>
      </c>
      <c r="B48" s="36"/>
      <c r="C48" s="38">
        <v>3</v>
      </c>
      <c r="D48" s="36"/>
      <c r="E48" s="38">
        <v>1.57</v>
      </c>
      <c r="F48" s="38">
        <f>Wages!C48*H48</f>
        <v>4</v>
      </c>
      <c r="G48" s="36"/>
      <c r="H48" s="39">
        <f t="shared" si="3"/>
        <v>1.3333333333333333</v>
      </c>
      <c r="I48" s="38">
        <f t="shared" si="4"/>
        <v>1.25</v>
      </c>
      <c r="J48" s="36"/>
      <c r="K48" s="36"/>
      <c r="L48" s="38"/>
      <c r="M48" s="39">
        <f>Prices!BP50*Wages!$C48</f>
        <v>3.9954861111111111</v>
      </c>
      <c r="N48" s="37"/>
      <c r="O48" s="39">
        <f>Prices!$BP50*Wages!E48</f>
        <v>2.090971064814815</v>
      </c>
      <c r="P48" s="39">
        <f>Prices!$BP50*F48</f>
        <v>5.3273148148148151</v>
      </c>
      <c r="Q48" s="37"/>
    </row>
    <row r="49" spans="1:17">
      <c r="A49" s="54">
        <f t="shared" si="0"/>
        <v>1299</v>
      </c>
      <c r="B49" s="36"/>
      <c r="C49" s="38">
        <v>3</v>
      </c>
      <c r="D49" s="36"/>
      <c r="E49" s="38">
        <v>1.57</v>
      </c>
      <c r="F49" s="38">
        <f>Wages!C49*H49</f>
        <v>4</v>
      </c>
      <c r="G49" s="36"/>
      <c r="H49" s="39">
        <f t="shared" si="3"/>
        <v>1.3333333333333333</v>
      </c>
      <c r="I49" s="38">
        <f t="shared" si="4"/>
        <v>1.25</v>
      </c>
      <c r="J49" s="36"/>
      <c r="K49" s="36"/>
      <c r="L49" s="38"/>
      <c r="M49" s="39">
        <f>Prices!BP51*Wages!$C49</f>
        <v>3.9954861111111111</v>
      </c>
      <c r="N49" s="37"/>
      <c r="O49" s="39">
        <f>Prices!$BP51*Wages!E49</f>
        <v>2.090971064814815</v>
      </c>
      <c r="P49" s="39">
        <f>Prices!$BP51*F49</f>
        <v>5.3273148148148151</v>
      </c>
      <c r="Q49" s="37"/>
    </row>
    <row r="50" spans="1:17">
      <c r="A50" s="54">
        <f t="shared" si="0"/>
        <v>1300</v>
      </c>
      <c r="B50" s="36"/>
      <c r="C50" s="38">
        <v>3</v>
      </c>
      <c r="D50" s="36"/>
      <c r="E50" s="38">
        <v>1.49</v>
      </c>
      <c r="F50" s="38">
        <f>Wages!C50*H50</f>
        <v>4</v>
      </c>
      <c r="G50" s="36"/>
      <c r="H50" s="39">
        <f t="shared" si="3"/>
        <v>1.3333333333333333</v>
      </c>
      <c r="I50" s="38">
        <f t="shared" si="4"/>
        <v>1.25</v>
      </c>
      <c r="J50" s="36"/>
      <c r="K50" s="36"/>
      <c r="L50" s="38"/>
      <c r="M50" s="39">
        <f>Prices!BP52*Wages!$C50</f>
        <v>3.9954861111111111</v>
      </c>
      <c r="N50" s="37"/>
      <c r="O50" s="39">
        <f>Prices!$BP52*Wages!E50</f>
        <v>1.9844247685185186</v>
      </c>
      <c r="P50" s="39">
        <f>Prices!$BP52*F50</f>
        <v>5.3273148148148151</v>
      </c>
      <c r="Q50" s="37"/>
    </row>
    <row r="51" spans="1:17">
      <c r="A51" s="54">
        <f t="shared" si="0"/>
        <v>1301</v>
      </c>
      <c r="B51" s="36"/>
      <c r="C51" s="38">
        <v>3.25</v>
      </c>
      <c r="D51" s="38">
        <v>1.75</v>
      </c>
      <c r="E51" s="38">
        <v>1.49</v>
      </c>
      <c r="F51" s="39">
        <f>Wages!C51*H51</f>
        <v>4.333333333333333</v>
      </c>
      <c r="G51" s="38">
        <f>Wages!D51*I51</f>
        <v>2.1875</v>
      </c>
      <c r="H51" s="39">
        <f t="shared" si="3"/>
        <v>1.3333333333333333</v>
      </c>
      <c r="I51" s="38">
        <f t="shared" si="4"/>
        <v>1.25</v>
      </c>
      <c r="J51" s="36"/>
      <c r="K51" s="36"/>
      <c r="L51" s="38"/>
      <c r="M51" s="39">
        <f>Prices!BP53*Wages!$C51</f>
        <v>4.3284432870370368</v>
      </c>
      <c r="N51" s="39">
        <f>Prices!BP53*Wages!D51</f>
        <v>2.3307002314814818</v>
      </c>
      <c r="O51" s="39">
        <f>Prices!$BP53*Wages!E51</f>
        <v>1.9844247685185186</v>
      </c>
      <c r="P51" s="39">
        <f>Prices!$BP53*F51</f>
        <v>5.7712577160493828</v>
      </c>
      <c r="Q51" s="39">
        <f>(31.1*0.925/Prices!$BN53)*G51</f>
        <v>2.9133752893518521</v>
      </c>
    </row>
    <row r="52" spans="1:17">
      <c r="A52" s="54">
        <f t="shared" si="0"/>
        <v>1302</v>
      </c>
      <c r="B52" s="36"/>
      <c r="C52" s="38">
        <v>3.25</v>
      </c>
      <c r="D52" s="38">
        <v>1.75</v>
      </c>
      <c r="E52" s="38">
        <v>1.49</v>
      </c>
      <c r="F52" s="39">
        <f>Wages!C52*H52</f>
        <v>4.333333333333333</v>
      </c>
      <c r="G52" s="38">
        <f>Wages!D52*I52</f>
        <v>2.1875</v>
      </c>
      <c r="H52" s="39">
        <f t="shared" si="3"/>
        <v>1.3333333333333333</v>
      </c>
      <c r="I52" s="38">
        <f t="shared" si="4"/>
        <v>1.25</v>
      </c>
      <c r="J52" s="36"/>
      <c r="K52" s="36"/>
      <c r="L52" s="38"/>
      <c r="M52" s="39">
        <f>Prices!BP54*Wages!$C52</f>
        <v>4.3284432870370368</v>
      </c>
      <c r="N52" s="39">
        <f>Prices!BP54*Wages!D52</f>
        <v>2.3307002314814818</v>
      </c>
      <c r="O52" s="39">
        <f>Prices!$BP54*Wages!E52</f>
        <v>1.9844247685185186</v>
      </c>
      <c r="P52" s="39">
        <f>Prices!$BP54*F52</f>
        <v>5.7712577160493828</v>
      </c>
      <c r="Q52" s="39">
        <f>(31.1*0.925/Prices!$BN54)*G52</f>
        <v>2.9133752893518521</v>
      </c>
    </row>
    <row r="53" spans="1:17">
      <c r="A53" s="54">
        <f t="shared" si="0"/>
        <v>1303</v>
      </c>
      <c r="B53" s="36"/>
      <c r="C53" s="38">
        <v>3.25</v>
      </c>
      <c r="D53" s="38">
        <v>1.75</v>
      </c>
      <c r="E53" s="38">
        <v>1.49</v>
      </c>
      <c r="F53" s="39">
        <f>Wages!C53*H53</f>
        <v>4.333333333333333</v>
      </c>
      <c r="G53" s="38">
        <f>Wages!D53*I53</f>
        <v>2.1875</v>
      </c>
      <c r="H53" s="39">
        <f t="shared" si="3"/>
        <v>1.3333333333333333</v>
      </c>
      <c r="I53" s="38">
        <f t="shared" si="4"/>
        <v>1.25</v>
      </c>
      <c r="J53" s="36"/>
      <c r="K53" s="36"/>
      <c r="L53" s="38"/>
      <c r="M53" s="39">
        <f>Prices!BP55*Wages!$C53</f>
        <v>4.3284432870370368</v>
      </c>
      <c r="N53" s="39">
        <f>Prices!BP55*Wages!D53</f>
        <v>2.3307002314814818</v>
      </c>
      <c r="O53" s="39">
        <f>Prices!$BP55*Wages!E53</f>
        <v>1.9844247685185186</v>
      </c>
      <c r="P53" s="39">
        <f>Prices!$BP55*F53</f>
        <v>5.7712577160493828</v>
      </c>
      <c r="Q53" s="39">
        <f>(31.1*0.925/Prices!$BN55)*G53</f>
        <v>2.9133752893518521</v>
      </c>
    </row>
    <row r="54" spans="1:17">
      <c r="A54" s="54">
        <f t="shared" si="0"/>
        <v>1304</v>
      </c>
      <c r="B54" s="36"/>
      <c r="C54" s="38">
        <v>3.25</v>
      </c>
      <c r="D54" s="38">
        <v>1.75</v>
      </c>
      <c r="E54" s="38">
        <v>1.49</v>
      </c>
      <c r="F54" s="39">
        <f>Wages!C54*H54</f>
        <v>4.333333333333333</v>
      </c>
      <c r="G54" s="38">
        <f>Wages!D54*I54</f>
        <v>2.1875</v>
      </c>
      <c r="H54" s="39">
        <f t="shared" si="3"/>
        <v>1.3333333333333333</v>
      </c>
      <c r="I54" s="38">
        <f t="shared" si="4"/>
        <v>1.25</v>
      </c>
      <c r="J54" s="36"/>
      <c r="K54" s="36"/>
      <c r="L54" s="38"/>
      <c r="M54" s="39">
        <f>Prices!BP56*Wages!$C54</f>
        <v>4.3284432870370368</v>
      </c>
      <c r="N54" s="39">
        <f>Prices!BP56*Wages!D54</f>
        <v>2.3307002314814818</v>
      </c>
      <c r="O54" s="39">
        <f>Prices!$BP56*Wages!E54</f>
        <v>1.9844247685185186</v>
      </c>
      <c r="P54" s="39">
        <f>Prices!$BP56*F54</f>
        <v>5.7712577160493828</v>
      </c>
      <c r="Q54" s="39">
        <f>(31.1*0.925/Prices!$BN56)*G54</f>
        <v>2.9133752893518521</v>
      </c>
    </row>
    <row r="55" spans="1:17">
      <c r="A55" s="54">
        <f t="shared" si="0"/>
        <v>1305</v>
      </c>
      <c r="B55" s="36"/>
      <c r="C55" s="38">
        <v>3.5</v>
      </c>
      <c r="D55" s="38">
        <v>1.75</v>
      </c>
      <c r="E55" s="38">
        <v>1.49</v>
      </c>
      <c r="F55" s="39">
        <f>Wages!C55*H55</f>
        <v>4.6666666666666661</v>
      </c>
      <c r="G55" s="38">
        <f>Wages!D55*I55</f>
        <v>2.1875</v>
      </c>
      <c r="H55" s="39">
        <f t="shared" si="3"/>
        <v>1.3333333333333333</v>
      </c>
      <c r="I55" s="38">
        <f t="shared" si="4"/>
        <v>1.25</v>
      </c>
      <c r="J55" s="36"/>
      <c r="K55" s="36"/>
      <c r="L55" s="38"/>
      <c r="M55" s="39">
        <f>Prices!BP57*Wages!$C55</f>
        <v>4.6614004629629635</v>
      </c>
      <c r="N55" s="39">
        <f>Prices!BP57*Wages!D55</f>
        <v>2.3307002314814818</v>
      </c>
      <c r="O55" s="39">
        <f>Prices!$BP57*Wages!E55</f>
        <v>1.9844247685185186</v>
      </c>
      <c r="P55" s="39">
        <f>Prices!$BP57*F55</f>
        <v>6.2152006172839505</v>
      </c>
      <c r="Q55" s="39">
        <f>(31.1*0.925/Prices!$BN57)*G55</f>
        <v>2.9133752893518521</v>
      </c>
    </row>
    <row r="56" spans="1:17">
      <c r="A56" s="54">
        <f t="shared" si="0"/>
        <v>1306</v>
      </c>
      <c r="B56" s="36"/>
      <c r="C56" s="38">
        <v>3.5</v>
      </c>
      <c r="D56" s="38">
        <v>1.75</v>
      </c>
      <c r="E56" s="38">
        <v>1.49</v>
      </c>
      <c r="F56" s="39">
        <f>Wages!C56*H56</f>
        <v>4.6666666666666661</v>
      </c>
      <c r="G56" s="38">
        <f>Wages!D56*I56</f>
        <v>2.1875</v>
      </c>
      <c r="H56" s="39">
        <f t="shared" si="3"/>
        <v>1.3333333333333333</v>
      </c>
      <c r="I56" s="38">
        <f t="shared" si="4"/>
        <v>1.25</v>
      </c>
      <c r="J56" s="36"/>
      <c r="K56" s="36"/>
      <c r="L56" s="38"/>
      <c r="M56" s="39">
        <f>Prices!BP58*Wages!$C56</f>
        <v>4.6614004629629635</v>
      </c>
      <c r="N56" s="39">
        <f>Prices!BP58*Wages!D56</f>
        <v>2.3307002314814818</v>
      </c>
      <c r="O56" s="39">
        <f>Prices!$BP58*Wages!E56</f>
        <v>1.9844247685185186</v>
      </c>
      <c r="P56" s="39">
        <f>Prices!$BP58*F56</f>
        <v>6.2152006172839505</v>
      </c>
      <c r="Q56" s="39">
        <f>(31.1*0.925/Prices!$BN58)*G56</f>
        <v>2.9133752893518521</v>
      </c>
    </row>
    <row r="57" spans="1:17">
      <c r="A57" s="54">
        <f t="shared" si="0"/>
        <v>1307</v>
      </c>
      <c r="B57" s="36"/>
      <c r="C57" s="38">
        <v>3.5</v>
      </c>
      <c r="D57" s="38">
        <v>1.75</v>
      </c>
      <c r="E57" s="38">
        <v>1.49</v>
      </c>
      <c r="F57" s="39">
        <f>Wages!C57*H57</f>
        <v>4.6666666666666661</v>
      </c>
      <c r="G57" s="38">
        <f>Wages!D57*I57</f>
        <v>2.1875</v>
      </c>
      <c r="H57" s="39">
        <f t="shared" si="3"/>
        <v>1.3333333333333333</v>
      </c>
      <c r="I57" s="38">
        <f t="shared" si="4"/>
        <v>1.25</v>
      </c>
      <c r="J57" s="36"/>
      <c r="K57" s="36"/>
      <c r="L57" s="38"/>
      <c r="M57" s="39">
        <f>Prices!BP59*Wages!$C57</f>
        <v>4.6614004629629635</v>
      </c>
      <c r="N57" s="39">
        <f>Prices!BP59*Wages!D57</f>
        <v>2.3307002314814818</v>
      </c>
      <c r="O57" s="39">
        <f>Prices!$BP59*Wages!E57</f>
        <v>1.9844247685185186</v>
      </c>
      <c r="P57" s="39">
        <f>Prices!$BP59*F57</f>
        <v>6.2152006172839505</v>
      </c>
      <c r="Q57" s="39">
        <f>(31.1*0.925/Prices!$BN59)*G57</f>
        <v>2.9133752893518521</v>
      </c>
    </row>
    <row r="58" spans="1:17">
      <c r="A58" s="54">
        <f t="shared" si="0"/>
        <v>1308</v>
      </c>
      <c r="B58" s="36"/>
      <c r="C58" s="38">
        <v>3.5</v>
      </c>
      <c r="D58" s="38">
        <v>1.75</v>
      </c>
      <c r="E58" s="38">
        <v>1.49</v>
      </c>
      <c r="F58" s="39">
        <f>Wages!C58*H58</f>
        <v>4.6666666666666661</v>
      </c>
      <c r="G58" s="38">
        <f>Wages!D58*I58</f>
        <v>2.1875</v>
      </c>
      <c r="H58" s="39">
        <f t="shared" si="3"/>
        <v>1.3333333333333333</v>
      </c>
      <c r="I58" s="38">
        <f t="shared" si="4"/>
        <v>1.25</v>
      </c>
      <c r="J58" s="36"/>
      <c r="K58" s="36"/>
      <c r="L58" s="38"/>
      <c r="M58" s="39">
        <f>Prices!BP60*Wages!$C58</f>
        <v>4.6614004629629635</v>
      </c>
      <c r="N58" s="39">
        <f>Prices!BP60*Wages!D58</f>
        <v>2.3307002314814818</v>
      </c>
      <c r="O58" s="39">
        <f>Prices!$BP60*Wages!E58</f>
        <v>1.9844247685185186</v>
      </c>
      <c r="P58" s="39">
        <f>Prices!$BP60*F58</f>
        <v>6.2152006172839505</v>
      </c>
      <c r="Q58" s="39">
        <f>(31.1*0.925/Prices!$BN60)*G58</f>
        <v>2.9133752893518521</v>
      </c>
    </row>
    <row r="59" spans="1:17">
      <c r="A59" s="54">
        <f t="shared" si="0"/>
        <v>1309</v>
      </c>
      <c r="B59" s="36"/>
      <c r="C59" s="38">
        <v>3.75</v>
      </c>
      <c r="D59" s="38">
        <v>1.75</v>
      </c>
      <c r="E59" s="38">
        <v>1.49</v>
      </c>
      <c r="F59" s="39">
        <f>Wages!C59*H59</f>
        <v>5</v>
      </c>
      <c r="G59" s="38">
        <f>Wages!D59*I59</f>
        <v>2.1875</v>
      </c>
      <c r="H59" s="39">
        <f t="shared" si="3"/>
        <v>1.3333333333333333</v>
      </c>
      <c r="I59" s="38">
        <f t="shared" si="4"/>
        <v>1.25</v>
      </c>
      <c r="J59" s="36"/>
      <c r="K59" s="36"/>
      <c r="L59" s="38"/>
      <c r="M59" s="39">
        <f>Prices!BP61*Wages!$C59</f>
        <v>4.9943576388888893</v>
      </c>
      <c r="N59" s="39">
        <f>Prices!BP61*Wages!D59</f>
        <v>2.3307002314814818</v>
      </c>
      <c r="O59" s="39">
        <f>Prices!$BP61*Wages!E59</f>
        <v>1.9844247685185186</v>
      </c>
      <c r="P59" s="39">
        <f>Prices!$BP61*F59</f>
        <v>6.659143518518519</v>
      </c>
      <c r="Q59" s="39">
        <f>(31.1*0.925/Prices!$BN61)*G59</f>
        <v>2.9133752893518521</v>
      </c>
    </row>
    <row r="60" spans="1:17">
      <c r="A60" s="54">
        <f t="shared" si="0"/>
        <v>1310</v>
      </c>
      <c r="B60" s="36"/>
      <c r="C60" s="38">
        <v>3.75</v>
      </c>
      <c r="D60" s="38">
        <v>1.75</v>
      </c>
      <c r="E60" s="38">
        <v>1.87</v>
      </c>
      <c r="F60" s="39">
        <f>Wages!C60*H60</f>
        <v>5</v>
      </c>
      <c r="G60" s="38">
        <f>Wages!D60*I60</f>
        <v>2.1875</v>
      </c>
      <c r="H60" s="39">
        <f t="shared" si="3"/>
        <v>1.3333333333333333</v>
      </c>
      <c r="I60" s="38">
        <f t="shared" si="4"/>
        <v>1.25</v>
      </c>
      <c r="J60" s="36"/>
      <c r="K60" s="36"/>
      <c r="L60" s="38"/>
      <c r="M60" s="39">
        <f>Prices!BP62*Wages!$C60</f>
        <v>4.9943576388888893</v>
      </c>
      <c r="N60" s="39">
        <f>Prices!BP62*Wages!D60</f>
        <v>2.3307002314814818</v>
      </c>
      <c r="O60" s="39">
        <f>Prices!$BP62*Wages!E60</f>
        <v>2.4905196759259263</v>
      </c>
      <c r="P60" s="39">
        <f>Prices!$BP62*F60</f>
        <v>6.659143518518519</v>
      </c>
      <c r="Q60" s="39">
        <f>(31.1*0.925/Prices!$BN62)*G60</f>
        <v>2.9133752893518521</v>
      </c>
    </row>
    <row r="61" spans="1:17">
      <c r="A61" s="54">
        <f t="shared" si="0"/>
        <v>1311</v>
      </c>
      <c r="B61" s="36"/>
      <c r="C61" s="38">
        <v>3.75</v>
      </c>
      <c r="D61" s="38">
        <v>1.75</v>
      </c>
      <c r="E61" s="38">
        <v>1.87</v>
      </c>
      <c r="F61" s="39">
        <f>Wages!C61*H61</f>
        <v>5</v>
      </c>
      <c r="G61" s="38">
        <f>Wages!D61*I61</f>
        <v>2.1875</v>
      </c>
      <c r="H61" s="39">
        <f t="shared" si="3"/>
        <v>1.3333333333333333</v>
      </c>
      <c r="I61" s="38">
        <f t="shared" si="4"/>
        <v>1.25</v>
      </c>
      <c r="J61" s="36"/>
      <c r="K61" s="36"/>
      <c r="L61" s="38"/>
      <c r="M61" s="39">
        <f>Prices!BP63*Wages!$C61</f>
        <v>4.9943576388888893</v>
      </c>
      <c r="N61" s="39">
        <f>Prices!BP63*Wages!D61</f>
        <v>2.3307002314814818</v>
      </c>
      <c r="O61" s="39">
        <f>Prices!$BP63*Wages!E61</f>
        <v>2.4905196759259263</v>
      </c>
      <c r="P61" s="39">
        <f>Prices!$BP63*F61</f>
        <v>6.659143518518519</v>
      </c>
      <c r="Q61" s="39">
        <f>(31.1*0.925/Prices!$BN63)*G61</f>
        <v>2.9133752893518521</v>
      </c>
    </row>
    <row r="62" spans="1:17">
      <c r="A62" s="54">
        <f t="shared" si="0"/>
        <v>1312</v>
      </c>
      <c r="B62" s="36"/>
      <c r="C62" s="38">
        <v>4</v>
      </c>
      <c r="D62" s="38">
        <v>1.75</v>
      </c>
      <c r="E62" s="38">
        <v>1.87</v>
      </c>
      <c r="F62" s="39">
        <f>Wages!C62*H62</f>
        <v>5.333333333333333</v>
      </c>
      <c r="G62" s="38">
        <f>Wages!D62*I62</f>
        <v>2.1875</v>
      </c>
      <c r="H62" s="39">
        <f t="shared" si="3"/>
        <v>1.3333333333333333</v>
      </c>
      <c r="I62" s="38">
        <f t="shared" si="4"/>
        <v>1.25</v>
      </c>
      <c r="J62" s="36"/>
      <c r="K62" s="36"/>
      <c r="L62" s="38"/>
      <c r="M62" s="39">
        <f>Prices!BP64*Wages!$C62</f>
        <v>5.3273148148148151</v>
      </c>
      <c r="N62" s="39">
        <f>Prices!BP64*Wages!D62</f>
        <v>2.3307002314814818</v>
      </c>
      <c r="O62" s="39">
        <f>Prices!$BP64*Wages!E62</f>
        <v>2.4905196759259263</v>
      </c>
      <c r="P62" s="39">
        <f>Prices!$BP64*F62</f>
        <v>7.1030864197530867</v>
      </c>
      <c r="Q62" s="39">
        <f>(31.1*0.925/Prices!$BN64)*G62</f>
        <v>2.9133752893518521</v>
      </c>
    </row>
    <row r="63" spans="1:17">
      <c r="A63" s="54">
        <f t="shared" si="0"/>
        <v>1313</v>
      </c>
      <c r="B63" s="36"/>
      <c r="C63" s="38">
        <v>4</v>
      </c>
      <c r="D63" s="38">
        <v>1.75</v>
      </c>
      <c r="E63" s="38">
        <v>1.87</v>
      </c>
      <c r="F63" s="39">
        <f>Wages!C63*H63</f>
        <v>5.333333333333333</v>
      </c>
      <c r="G63" s="38">
        <f>Wages!D63*I63</f>
        <v>2.1875</v>
      </c>
      <c r="H63" s="39">
        <f t="shared" si="3"/>
        <v>1.3333333333333333</v>
      </c>
      <c r="I63" s="38">
        <f t="shared" si="4"/>
        <v>1.25</v>
      </c>
      <c r="J63" s="36"/>
      <c r="K63" s="36"/>
      <c r="L63" s="38"/>
      <c r="M63" s="39">
        <f>Prices!BP65*Wages!$C63</f>
        <v>5.3273148148148151</v>
      </c>
      <c r="N63" s="39">
        <f>Prices!BP65*Wages!D63</f>
        <v>2.3307002314814818</v>
      </c>
      <c r="O63" s="39">
        <f>Prices!$BP65*Wages!E63</f>
        <v>2.4905196759259263</v>
      </c>
      <c r="P63" s="39">
        <f>Prices!$BP65*F63</f>
        <v>7.1030864197530867</v>
      </c>
      <c r="Q63" s="39">
        <f>(31.1*0.925/Prices!$BN65)*G63</f>
        <v>2.9133752893518521</v>
      </c>
    </row>
    <row r="64" spans="1:17">
      <c r="A64" s="54">
        <f t="shared" si="0"/>
        <v>1314</v>
      </c>
      <c r="B64" s="36"/>
      <c r="C64" s="38">
        <v>4</v>
      </c>
      <c r="D64" s="38">
        <v>1.75</v>
      </c>
      <c r="E64" s="38">
        <v>1.87</v>
      </c>
      <c r="F64" s="39">
        <f>Wages!C64*H64</f>
        <v>5.333333333333333</v>
      </c>
      <c r="G64" s="38">
        <f>Wages!D64*I64</f>
        <v>2.1875</v>
      </c>
      <c r="H64" s="39">
        <f t="shared" si="3"/>
        <v>1.3333333333333333</v>
      </c>
      <c r="I64" s="38">
        <f t="shared" si="4"/>
        <v>1.25</v>
      </c>
      <c r="J64" s="36"/>
      <c r="K64" s="36"/>
      <c r="L64" s="38"/>
      <c r="M64" s="39">
        <f>Prices!BP66*Wages!$C64</f>
        <v>5.3273148148148151</v>
      </c>
      <c r="N64" s="39">
        <f>Prices!BP66*Wages!D64</f>
        <v>2.3307002314814818</v>
      </c>
      <c r="O64" s="39">
        <f>Prices!$BP66*Wages!E64</f>
        <v>2.4905196759259263</v>
      </c>
      <c r="P64" s="39">
        <f>Prices!$BP66*F64</f>
        <v>7.1030864197530867</v>
      </c>
      <c r="Q64" s="39">
        <f>(31.1*0.925/Prices!$BN66)*G64</f>
        <v>2.9133752893518521</v>
      </c>
    </row>
    <row r="65" spans="1:17">
      <c r="A65" s="54">
        <f t="shared" si="0"/>
        <v>1315</v>
      </c>
      <c r="B65" s="36"/>
      <c r="C65" s="38">
        <v>4</v>
      </c>
      <c r="D65" s="38">
        <v>1.75</v>
      </c>
      <c r="E65" s="38">
        <v>1.87</v>
      </c>
      <c r="F65" s="39">
        <f>Wages!C65*H65</f>
        <v>5.333333333333333</v>
      </c>
      <c r="G65" s="38">
        <f>Wages!D65*I65</f>
        <v>2.1875</v>
      </c>
      <c r="H65" s="39">
        <f t="shared" si="3"/>
        <v>1.3333333333333333</v>
      </c>
      <c r="I65" s="38">
        <f t="shared" si="4"/>
        <v>1.25</v>
      </c>
      <c r="J65" s="36"/>
      <c r="K65" s="36"/>
      <c r="L65" s="38"/>
      <c r="M65" s="39">
        <f>Prices!BP67*Wages!$C65</f>
        <v>5.3273148148148151</v>
      </c>
      <c r="N65" s="39">
        <f>Prices!BP67*Wages!D65</f>
        <v>2.3307002314814818</v>
      </c>
      <c r="O65" s="39">
        <f>Prices!$BP67*Wages!E65</f>
        <v>2.4905196759259263</v>
      </c>
      <c r="P65" s="39">
        <f>Prices!$BP67*F65</f>
        <v>7.1030864197530867</v>
      </c>
      <c r="Q65" s="39">
        <f>(31.1*0.925/Prices!$BN67)*G65</f>
        <v>2.9133752893518521</v>
      </c>
    </row>
    <row r="66" spans="1:17">
      <c r="A66" s="54">
        <f t="shared" si="0"/>
        <v>1316</v>
      </c>
      <c r="B66" s="36"/>
      <c r="C66" s="38">
        <v>4</v>
      </c>
      <c r="D66" s="38">
        <v>1.75</v>
      </c>
      <c r="E66" s="38">
        <v>1.87</v>
      </c>
      <c r="F66" s="39">
        <f>Wages!C66*H66</f>
        <v>5.333333333333333</v>
      </c>
      <c r="G66" s="38">
        <f>Wages!D66*I66</f>
        <v>2.1875</v>
      </c>
      <c r="H66" s="39">
        <f t="shared" si="3"/>
        <v>1.3333333333333333</v>
      </c>
      <c r="I66" s="38">
        <f t="shared" si="4"/>
        <v>1.25</v>
      </c>
      <c r="J66" s="36"/>
      <c r="K66" s="36"/>
      <c r="L66" s="38"/>
      <c r="M66" s="39">
        <f>Prices!BP68*Wages!$C66</f>
        <v>5.3273148148148151</v>
      </c>
      <c r="N66" s="39">
        <f>Prices!BP68*Wages!D66</f>
        <v>2.3307002314814818</v>
      </c>
      <c r="O66" s="39">
        <f>Prices!$BP68*Wages!E66</f>
        <v>2.4905196759259263</v>
      </c>
      <c r="P66" s="39">
        <f>Prices!$BP68*F66</f>
        <v>7.1030864197530867</v>
      </c>
      <c r="Q66" s="39">
        <f>(31.1*0.925/Prices!$BN68)*G66</f>
        <v>2.9133752893518521</v>
      </c>
    </row>
    <row r="67" spans="1:17">
      <c r="A67" s="54">
        <f t="shared" si="0"/>
        <v>1317</v>
      </c>
      <c r="B67" s="36"/>
      <c r="C67" s="38">
        <v>4</v>
      </c>
      <c r="D67" s="38">
        <v>1.75</v>
      </c>
      <c r="E67" s="38">
        <v>1.87</v>
      </c>
      <c r="F67" s="39">
        <f>Wages!C67*H67</f>
        <v>5.333333333333333</v>
      </c>
      <c r="G67" s="38">
        <f>Wages!D67*I67</f>
        <v>2.1875</v>
      </c>
      <c r="H67" s="39">
        <f t="shared" si="3"/>
        <v>1.3333333333333333</v>
      </c>
      <c r="I67" s="38">
        <f t="shared" si="4"/>
        <v>1.25</v>
      </c>
      <c r="J67" s="36"/>
      <c r="K67" s="36"/>
      <c r="L67" s="38"/>
      <c r="M67" s="39">
        <f>Prices!BP69*Wages!$C67</f>
        <v>5.3273148148148151</v>
      </c>
      <c r="N67" s="39">
        <f>Prices!BP69*Wages!D67</f>
        <v>2.3307002314814818</v>
      </c>
      <c r="O67" s="39">
        <f>Prices!$BP69*Wages!E67</f>
        <v>2.4905196759259263</v>
      </c>
      <c r="P67" s="39">
        <f>Prices!$BP69*F67</f>
        <v>7.1030864197530867</v>
      </c>
      <c r="Q67" s="39">
        <f>(31.1*0.925/Prices!$BN69)*G67</f>
        <v>2.9133752893518521</v>
      </c>
    </row>
    <row r="68" spans="1:17">
      <c r="A68" s="54">
        <f t="shared" si="0"/>
        <v>1318</v>
      </c>
      <c r="B68" s="36"/>
      <c r="C68" s="38">
        <v>4</v>
      </c>
      <c r="D68" s="38">
        <v>1.75</v>
      </c>
      <c r="E68" s="38">
        <v>1.87</v>
      </c>
      <c r="F68" s="39">
        <f>Wages!C68*H68</f>
        <v>5.333333333333333</v>
      </c>
      <c r="G68" s="38">
        <f>Wages!D68*I68</f>
        <v>2.1875</v>
      </c>
      <c r="H68" s="39">
        <f t="shared" si="3"/>
        <v>1.3333333333333333</v>
      </c>
      <c r="I68" s="38">
        <f t="shared" si="4"/>
        <v>1.25</v>
      </c>
      <c r="J68" s="36"/>
      <c r="K68" s="36"/>
      <c r="L68" s="38"/>
      <c r="M68" s="39">
        <f>Prices!BP70*Wages!$C68</f>
        <v>5.3273148148148151</v>
      </c>
      <c r="N68" s="39">
        <f>Prices!BP70*Wages!D68</f>
        <v>2.3307002314814818</v>
      </c>
      <c r="O68" s="39">
        <f>Prices!$BP70*Wages!E68</f>
        <v>2.4905196759259263</v>
      </c>
      <c r="P68" s="39">
        <f>Prices!$BP70*F68</f>
        <v>7.1030864197530867</v>
      </c>
      <c r="Q68" s="39">
        <f>(31.1*0.925/Prices!$BN70)*G68</f>
        <v>2.9133752893518521</v>
      </c>
    </row>
    <row r="69" spans="1:17">
      <c r="A69" s="54">
        <f t="shared" si="0"/>
        <v>1319</v>
      </c>
      <c r="B69" s="36"/>
      <c r="C69" s="38">
        <v>4</v>
      </c>
      <c r="D69" s="38">
        <v>1.75</v>
      </c>
      <c r="E69" s="38">
        <v>1.87</v>
      </c>
      <c r="F69" s="39">
        <f>Wages!C69*H69</f>
        <v>5.333333333333333</v>
      </c>
      <c r="G69" s="38">
        <f>Wages!D69*I69</f>
        <v>2.1875</v>
      </c>
      <c r="H69" s="39">
        <f t="shared" si="3"/>
        <v>1.3333333333333333</v>
      </c>
      <c r="I69" s="38">
        <f t="shared" si="4"/>
        <v>1.25</v>
      </c>
      <c r="J69" s="36"/>
      <c r="K69" s="36"/>
      <c r="L69" s="38"/>
      <c r="M69" s="39">
        <f>Prices!BP71*Wages!$C69</f>
        <v>5.3273148148148151</v>
      </c>
      <c r="N69" s="39">
        <f>Prices!BP71*Wages!D69</f>
        <v>2.3307002314814818</v>
      </c>
      <c r="O69" s="39">
        <f>Prices!$BP71*Wages!E69</f>
        <v>2.4905196759259263</v>
      </c>
      <c r="P69" s="39">
        <f>Prices!$BP71*F69</f>
        <v>7.1030864197530867</v>
      </c>
      <c r="Q69" s="39">
        <f>(31.1*0.925/Prices!$BN71)*G69</f>
        <v>2.9133752893518521</v>
      </c>
    </row>
    <row r="70" spans="1:17">
      <c r="A70" s="54">
        <f t="shared" si="0"/>
        <v>1320</v>
      </c>
      <c r="B70" s="36"/>
      <c r="C70" s="38">
        <v>4</v>
      </c>
      <c r="D70" s="38">
        <v>1.75</v>
      </c>
      <c r="E70" s="38">
        <v>1.84</v>
      </c>
      <c r="F70" s="39">
        <f>Wages!C70*H70</f>
        <v>5.333333333333333</v>
      </c>
      <c r="G70" s="38">
        <f>Wages!D70*I70</f>
        <v>2.1875</v>
      </c>
      <c r="H70" s="39">
        <f t="shared" si="3"/>
        <v>1.3333333333333333</v>
      </c>
      <c r="I70" s="38">
        <f t="shared" si="4"/>
        <v>1.25</v>
      </c>
      <c r="J70" s="36"/>
      <c r="K70" s="36"/>
      <c r="L70" s="38"/>
      <c r="M70" s="39">
        <f>Prices!BP72*Wages!$C70</f>
        <v>5.3273148148148151</v>
      </c>
      <c r="N70" s="39">
        <f>Prices!BP72*Wages!D70</f>
        <v>2.3307002314814818</v>
      </c>
      <c r="O70" s="39">
        <f>Prices!$BP72*Wages!E70</f>
        <v>2.4505648148148151</v>
      </c>
      <c r="P70" s="39">
        <f>Prices!$BP72*F70</f>
        <v>7.1030864197530867</v>
      </c>
      <c r="Q70" s="39">
        <f>(31.1*0.925/Prices!$BN72)*G70</f>
        <v>2.9133752893518521</v>
      </c>
    </row>
    <row r="71" spans="1:17">
      <c r="A71" s="54">
        <f t="shared" si="0"/>
        <v>1321</v>
      </c>
      <c r="B71" s="36"/>
      <c r="C71" s="38">
        <v>4</v>
      </c>
      <c r="D71" s="38">
        <v>1.75</v>
      </c>
      <c r="E71" s="38">
        <v>1.84</v>
      </c>
      <c r="F71" s="39">
        <f>Wages!C71*H71</f>
        <v>5.333333333333333</v>
      </c>
      <c r="G71" s="38">
        <f>Wages!D71*I71</f>
        <v>2.1875</v>
      </c>
      <c r="H71" s="39">
        <f t="shared" si="3"/>
        <v>1.3333333333333333</v>
      </c>
      <c r="I71" s="38">
        <f t="shared" si="4"/>
        <v>1.25</v>
      </c>
      <c r="J71" s="36"/>
      <c r="K71" s="36"/>
      <c r="L71" s="38"/>
      <c r="M71" s="39">
        <f>Prices!BP73*Wages!$C71</f>
        <v>5.3273148148148151</v>
      </c>
      <c r="N71" s="39">
        <f>Prices!BP73*Wages!D71</f>
        <v>2.3307002314814818</v>
      </c>
      <c r="O71" s="39">
        <f>Prices!$BP73*Wages!E71</f>
        <v>2.4505648148148151</v>
      </c>
      <c r="P71" s="39">
        <f>Prices!$BP73*F71</f>
        <v>7.1030864197530867</v>
      </c>
      <c r="Q71" s="39">
        <f>(31.1*0.925/Prices!$BN73)*G71</f>
        <v>2.9133752893518521</v>
      </c>
    </row>
    <row r="72" spans="1:17">
      <c r="A72" s="54">
        <f t="shared" si="0"/>
        <v>1322</v>
      </c>
      <c r="B72" s="36"/>
      <c r="C72" s="38">
        <v>4</v>
      </c>
      <c r="D72" s="38">
        <v>1.75</v>
      </c>
      <c r="E72" s="38">
        <v>1.84</v>
      </c>
      <c r="F72" s="39">
        <f>Wages!C72*H72</f>
        <v>5.333333333333333</v>
      </c>
      <c r="G72" s="38">
        <f>Wages!D72*I72</f>
        <v>2.1875</v>
      </c>
      <c r="H72" s="39">
        <f t="shared" si="3"/>
        <v>1.3333333333333333</v>
      </c>
      <c r="I72" s="38">
        <f t="shared" si="4"/>
        <v>1.25</v>
      </c>
      <c r="J72" s="36"/>
      <c r="K72" s="36"/>
      <c r="L72" s="38"/>
      <c r="M72" s="39">
        <f>Prices!BP74*Wages!$C72</f>
        <v>5.3273148148148151</v>
      </c>
      <c r="N72" s="39">
        <f>Prices!BP74*Wages!D72</f>
        <v>2.3307002314814818</v>
      </c>
      <c r="O72" s="39">
        <f>Prices!$BP74*Wages!E72</f>
        <v>2.4505648148148151</v>
      </c>
      <c r="P72" s="39">
        <f>Prices!$BP74*F72</f>
        <v>7.1030864197530867</v>
      </c>
      <c r="Q72" s="39">
        <f>(31.1*0.925/Prices!$BN74)*G72</f>
        <v>2.9133752893518521</v>
      </c>
    </row>
    <row r="73" spans="1:17">
      <c r="A73" s="54">
        <f t="shared" si="0"/>
        <v>1323</v>
      </c>
      <c r="B73" s="36"/>
      <c r="C73" s="38">
        <v>4</v>
      </c>
      <c r="D73" s="38">
        <v>1.75</v>
      </c>
      <c r="E73" s="38">
        <v>1.84</v>
      </c>
      <c r="F73" s="39">
        <f>Wages!C73*H73</f>
        <v>5.333333333333333</v>
      </c>
      <c r="G73" s="38">
        <f>Wages!D73*I73</f>
        <v>2.1875</v>
      </c>
      <c r="H73" s="39">
        <f t="shared" si="3"/>
        <v>1.3333333333333333</v>
      </c>
      <c r="I73" s="38">
        <f t="shared" si="4"/>
        <v>1.25</v>
      </c>
      <c r="J73" s="36"/>
      <c r="K73" s="36"/>
      <c r="L73" s="38"/>
      <c r="M73" s="39">
        <f>Prices!BP75*Wages!$C73</f>
        <v>5.3273148148148151</v>
      </c>
      <c r="N73" s="39">
        <f>Prices!BP75*Wages!D73</f>
        <v>2.3307002314814818</v>
      </c>
      <c r="O73" s="39">
        <f>Prices!$BP75*Wages!E73</f>
        <v>2.4505648148148151</v>
      </c>
      <c r="P73" s="39">
        <f>Prices!$BP75*F73</f>
        <v>7.1030864197530867</v>
      </c>
      <c r="Q73" s="39">
        <f>(31.1*0.925/Prices!$BN75)*G73</f>
        <v>2.9133752893518521</v>
      </c>
    </row>
    <row r="74" spans="1:17">
      <c r="A74" s="54">
        <f t="shared" ref="A74:A137" si="5">A73+1</f>
        <v>1324</v>
      </c>
      <c r="B74" s="36"/>
      <c r="C74" s="38">
        <v>4</v>
      </c>
      <c r="D74" s="38">
        <v>1.75</v>
      </c>
      <c r="E74" s="38">
        <v>1.84</v>
      </c>
      <c r="F74" s="39">
        <f>Wages!C74*H74</f>
        <v>5.333333333333333</v>
      </c>
      <c r="G74" s="38">
        <f>Wages!D74*I74</f>
        <v>2.1875</v>
      </c>
      <c r="H74" s="39">
        <f t="shared" ref="H74:H105" si="6">4/3</f>
        <v>1.3333333333333333</v>
      </c>
      <c r="I74" s="38">
        <f t="shared" ref="I74:I105" si="7">5/4</f>
        <v>1.25</v>
      </c>
      <c r="J74" s="36"/>
      <c r="K74" s="36"/>
      <c r="L74" s="38"/>
      <c r="M74" s="39">
        <f>Prices!BP76*Wages!$C74</f>
        <v>5.3273148148148151</v>
      </c>
      <c r="N74" s="39">
        <f>Prices!BP76*Wages!D74</f>
        <v>2.3307002314814818</v>
      </c>
      <c r="O74" s="39">
        <f>Prices!$BP76*Wages!E74</f>
        <v>2.4505648148148151</v>
      </c>
      <c r="P74" s="39">
        <f>Prices!$BP76*F74</f>
        <v>7.1030864197530867</v>
      </c>
      <c r="Q74" s="39">
        <f>(31.1*0.925/Prices!$BN76)*G74</f>
        <v>2.9133752893518521</v>
      </c>
    </row>
    <row r="75" spans="1:17">
      <c r="A75" s="54">
        <f t="shared" si="5"/>
        <v>1325</v>
      </c>
      <c r="B75" s="36"/>
      <c r="C75" s="38">
        <v>4</v>
      </c>
      <c r="D75" s="38">
        <v>1.75</v>
      </c>
      <c r="E75" s="38">
        <v>1.84</v>
      </c>
      <c r="F75" s="39">
        <f>Wages!C75*H75</f>
        <v>5.333333333333333</v>
      </c>
      <c r="G75" s="38">
        <f>Wages!D75*I75</f>
        <v>2.1875</v>
      </c>
      <c r="H75" s="39">
        <f t="shared" si="6"/>
        <v>1.3333333333333333</v>
      </c>
      <c r="I75" s="38">
        <f t="shared" si="7"/>
        <v>1.25</v>
      </c>
      <c r="J75" s="36"/>
      <c r="K75" s="36"/>
      <c r="L75" s="38"/>
      <c r="M75" s="39">
        <f>Prices!BP77*Wages!$C75</f>
        <v>5.3273148148148151</v>
      </c>
      <c r="N75" s="39">
        <f>Prices!BP77*Wages!D75</f>
        <v>2.3307002314814818</v>
      </c>
      <c r="O75" s="39">
        <f>Prices!$BP77*Wages!E75</f>
        <v>2.4505648148148151</v>
      </c>
      <c r="P75" s="39">
        <f>Prices!$BP77*F75</f>
        <v>7.1030864197530867</v>
      </c>
      <c r="Q75" s="39">
        <f>(31.1*0.925/Prices!$BN77)*G75</f>
        <v>2.9133752893518521</v>
      </c>
    </row>
    <row r="76" spans="1:17">
      <c r="A76" s="54">
        <f t="shared" si="5"/>
        <v>1326</v>
      </c>
      <c r="B76" s="36"/>
      <c r="C76" s="38">
        <v>4</v>
      </c>
      <c r="D76" s="38">
        <v>1.75</v>
      </c>
      <c r="E76" s="38">
        <v>1.84</v>
      </c>
      <c r="F76" s="39">
        <f>Wages!C76*H76</f>
        <v>5.333333333333333</v>
      </c>
      <c r="G76" s="38">
        <f>Wages!D76*I76</f>
        <v>2.1875</v>
      </c>
      <c r="H76" s="39">
        <f t="shared" si="6"/>
        <v>1.3333333333333333</v>
      </c>
      <c r="I76" s="38">
        <f t="shared" si="7"/>
        <v>1.25</v>
      </c>
      <c r="J76" s="36"/>
      <c r="K76" s="36"/>
      <c r="L76" s="38"/>
      <c r="M76" s="39">
        <f>Prices!BP78*Wages!$C76</f>
        <v>5.3273148148148151</v>
      </c>
      <c r="N76" s="39">
        <f>Prices!BP78*Wages!D76</f>
        <v>2.3307002314814818</v>
      </c>
      <c r="O76" s="39">
        <f>Prices!$BP78*Wages!E76</f>
        <v>2.4505648148148151</v>
      </c>
      <c r="P76" s="39">
        <f>Prices!$BP78*F76</f>
        <v>7.1030864197530867</v>
      </c>
      <c r="Q76" s="39">
        <f>(31.1*0.925/Prices!$BN78)*G76</f>
        <v>2.9133752893518521</v>
      </c>
    </row>
    <row r="77" spans="1:17">
      <c r="A77" s="54">
        <f t="shared" si="5"/>
        <v>1327</v>
      </c>
      <c r="B77" s="36"/>
      <c r="C77" s="38">
        <v>4</v>
      </c>
      <c r="D77" s="38">
        <v>1.75</v>
      </c>
      <c r="E77" s="38">
        <v>1.84</v>
      </c>
      <c r="F77" s="39">
        <f>Wages!C77*H77</f>
        <v>5.333333333333333</v>
      </c>
      <c r="G77" s="38">
        <f>Wages!D77*I77</f>
        <v>2.1875</v>
      </c>
      <c r="H77" s="39">
        <f t="shared" si="6"/>
        <v>1.3333333333333333</v>
      </c>
      <c r="I77" s="38">
        <f t="shared" si="7"/>
        <v>1.25</v>
      </c>
      <c r="J77" s="36"/>
      <c r="K77" s="36"/>
      <c r="L77" s="38"/>
      <c r="M77" s="39">
        <f>Prices!BP79*Wages!$C77</f>
        <v>5.3273148148148151</v>
      </c>
      <c r="N77" s="39">
        <f>Prices!BP79*Wages!D77</f>
        <v>2.3307002314814818</v>
      </c>
      <c r="O77" s="39">
        <f>Prices!$BP79*Wages!E77</f>
        <v>2.4505648148148151</v>
      </c>
      <c r="P77" s="39">
        <f>Prices!$BP79*F77</f>
        <v>7.1030864197530867</v>
      </c>
      <c r="Q77" s="39">
        <f>(31.1*0.925/Prices!$BN79)*G77</f>
        <v>2.9133752893518521</v>
      </c>
    </row>
    <row r="78" spans="1:17">
      <c r="A78" s="54">
        <f t="shared" si="5"/>
        <v>1328</v>
      </c>
      <c r="B78" s="36"/>
      <c r="C78" s="38">
        <v>4</v>
      </c>
      <c r="D78" s="38">
        <v>1.75</v>
      </c>
      <c r="E78" s="38">
        <v>1.84</v>
      </c>
      <c r="F78" s="39">
        <f>Wages!C78*H78</f>
        <v>5.333333333333333</v>
      </c>
      <c r="G78" s="38">
        <f>Wages!D78*I78</f>
        <v>2.1875</v>
      </c>
      <c r="H78" s="39">
        <f t="shared" si="6"/>
        <v>1.3333333333333333</v>
      </c>
      <c r="I78" s="38">
        <f t="shared" si="7"/>
        <v>1.25</v>
      </c>
      <c r="J78" s="36"/>
      <c r="K78" s="36"/>
      <c r="L78" s="38"/>
      <c r="M78" s="39">
        <f>Prices!BP80*Wages!$C78</f>
        <v>5.3273148148148151</v>
      </c>
      <c r="N78" s="39">
        <f>Prices!BP80*Wages!D78</f>
        <v>2.3307002314814818</v>
      </c>
      <c r="O78" s="39">
        <f>Prices!$BP80*Wages!E78</f>
        <v>2.4505648148148151</v>
      </c>
      <c r="P78" s="39">
        <f>Prices!$BP80*F78</f>
        <v>7.1030864197530867</v>
      </c>
      <c r="Q78" s="39">
        <f>(31.1*0.925/Prices!$BN80)*G78</f>
        <v>2.9133752893518521</v>
      </c>
    </row>
    <row r="79" spans="1:17">
      <c r="A79" s="54">
        <f t="shared" si="5"/>
        <v>1329</v>
      </c>
      <c r="B79" s="36"/>
      <c r="C79" s="38">
        <v>4</v>
      </c>
      <c r="D79" s="38">
        <v>1.75</v>
      </c>
      <c r="E79" s="38">
        <v>1.84</v>
      </c>
      <c r="F79" s="39">
        <f>Wages!C79*H79</f>
        <v>5.333333333333333</v>
      </c>
      <c r="G79" s="38">
        <f>Wages!D79*I79</f>
        <v>2.1875</v>
      </c>
      <c r="H79" s="39">
        <f t="shared" si="6"/>
        <v>1.3333333333333333</v>
      </c>
      <c r="I79" s="38">
        <f t="shared" si="7"/>
        <v>1.25</v>
      </c>
      <c r="J79" s="36"/>
      <c r="K79" s="36"/>
      <c r="L79" s="38"/>
      <c r="M79" s="39">
        <f>Prices!BP81*Wages!$C79</f>
        <v>5.3273148148148151</v>
      </c>
      <c r="N79" s="39">
        <f>Prices!BP81*Wages!D79</f>
        <v>2.3307002314814818</v>
      </c>
      <c r="O79" s="39">
        <f>Prices!$BP81*Wages!E79</f>
        <v>2.4505648148148151</v>
      </c>
      <c r="P79" s="39">
        <f>Prices!$BP81*F79</f>
        <v>7.1030864197530867</v>
      </c>
      <c r="Q79" s="39">
        <f>(31.1*0.925/Prices!$BN81)*G79</f>
        <v>2.9133752893518521</v>
      </c>
    </row>
    <row r="80" spans="1:17">
      <c r="A80" s="54">
        <f t="shared" si="5"/>
        <v>1330</v>
      </c>
      <c r="B80" s="36"/>
      <c r="C80" s="38">
        <v>4</v>
      </c>
      <c r="D80" s="38">
        <v>1.75</v>
      </c>
      <c r="E80" s="38">
        <v>1.78</v>
      </c>
      <c r="F80" s="39">
        <f>Wages!C80*H80</f>
        <v>5.333333333333333</v>
      </c>
      <c r="G80" s="38">
        <f>Wages!D80*I80</f>
        <v>2.1875</v>
      </c>
      <c r="H80" s="39">
        <f t="shared" si="6"/>
        <v>1.3333333333333333</v>
      </c>
      <c r="I80" s="38">
        <f t="shared" si="7"/>
        <v>1.25</v>
      </c>
      <c r="J80" s="36"/>
      <c r="K80" s="36"/>
      <c r="L80" s="38"/>
      <c r="M80" s="39">
        <f>Prices!BP82*Wages!$C80</f>
        <v>5.3273148148148151</v>
      </c>
      <c r="N80" s="39">
        <f>Prices!BP82*Wages!D80</f>
        <v>2.3307002314814818</v>
      </c>
      <c r="O80" s="39">
        <f>Prices!$BP82*Wages!E80</f>
        <v>2.3706550925925929</v>
      </c>
      <c r="P80" s="39">
        <f>Prices!$BP82*F80</f>
        <v>7.1030864197530867</v>
      </c>
      <c r="Q80" s="39">
        <f>(31.1*0.925/Prices!$BN82)*G80</f>
        <v>2.9133752893518521</v>
      </c>
    </row>
    <row r="81" spans="1:17">
      <c r="A81" s="54">
        <f t="shared" si="5"/>
        <v>1331</v>
      </c>
      <c r="B81" s="36"/>
      <c r="C81" s="38">
        <v>4</v>
      </c>
      <c r="D81" s="38">
        <v>1.75</v>
      </c>
      <c r="E81" s="38">
        <v>1.78</v>
      </c>
      <c r="F81" s="39">
        <f>Wages!C81*H81</f>
        <v>5.333333333333333</v>
      </c>
      <c r="G81" s="38">
        <f>Wages!D81*I81</f>
        <v>2.1875</v>
      </c>
      <c r="H81" s="39">
        <f t="shared" si="6"/>
        <v>1.3333333333333333</v>
      </c>
      <c r="I81" s="38">
        <f t="shared" si="7"/>
        <v>1.25</v>
      </c>
      <c r="J81" s="36"/>
      <c r="K81" s="36"/>
      <c r="L81" s="38"/>
      <c r="M81" s="39">
        <f>Prices!BP83*Wages!$C81</f>
        <v>5.3273148148148151</v>
      </c>
      <c r="N81" s="39">
        <f>Prices!BP83*Wages!D81</f>
        <v>2.3307002314814818</v>
      </c>
      <c r="O81" s="39">
        <f>Prices!$BP83*Wages!E81</f>
        <v>2.3706550925925929</v>
      </c>
      <c r="P81" s="39">
        <f>Prices!$BP83*F81</f>
        <v>7.1030864197530867</v>
      </c>
      <c r="Q81" s="39">
        <f>(31.1*0.925/Prices!$BN83)*G81</f>
        <v>2.9133752893518521</v>
      </c>
    </row>
    <row r="82" spans="1:17">
      <c r="A82" s="54">
        <f t="shared" si="5"/>
        <v>1332</v>
      </c>
      <c r="B82" s="36"/>
      <c r="C82" s="38">
        <v>4</v>
      </c>
      <c r="D82" s="38">
        <v>1.75</v>
      </c>
      <c r="E82" s="38">
        <v>1.78</v>
      </c>
      <c r="F82" s="39">
        <f>Wages!C82*H82</f>
        <v>5.333333333333333</v>
      </c>
      <c r="G82" s="38">
        <f>Wages!D82*I82</f>
        <v>2.1875</v>
      </c>
      <c r="H82" s="39">
        <f t="shared" si="6"/>
        <v>1.3333333333333333</v>
      </c>
      <c r="I82" s="38">
        <f t="shared" si="7"/>
        <v>1.25</v>
      </c>
      <c r="J82" s="36"/>
      <c r="K82" s="36"/>
      <c r="L82" s="38"/>
      <c r="M82" s="39">
        <f>Prices!BP84*Wages!$C82</f>
        <v>5.3273148148148151</v>
      </c>
      <c r="N82" s="39">
        <f>Prices!BP84*Wages!D82</f>
        <v>2.3307002314814818</v>
      </c>
      <c r="O82" s="39">
        <f>Prices!$BP84*Wages!E82</f>
        <v>2.3706550925925929</v>
      </c>
      <c r="P82" s="39">
        <f>Prices!$BP84*F82</f>
        <v>7.1030864197530867</v>
      </c>
      <c r="Q82" s="39">
        <f>(31.1*0.925/Prices!$BN84)*G82</f>
        <v>2.9133752893518521</v>
      </c>
    </row>
    <row r="83" spans="1:17">
      <c r="A83" s="54">
        <f t="shared" si="5"/>
        <v>1333</v>
      </c>
      <c r="B83" s="36"/>
      <c r="C83" s="38">
        <v>4</v>
      </c>
      <c r="D83" s="38">
        <v>1.75</v>
      </c>
      <c r="E83" s="38">
        <v>1.78</v>
      </c>
      <c r="F83" s="39">
        <f>Wages!C83*H83</f>
        <v>5.333333333333333</v>
      </c>
      <c r="G83" s="38">
        <f>Wages!D83*I83</f>
        <v>2.1875</v>
      </c>
      <c r="H83" s="39">
        <f t="shared" si="6"/>
        <v>1.3333333333333333</v>
      </c>
      <c r="I83" s="38">
        <f t="shared" si="7"/>
        <v>1.25</v>
      </c>
      <c r="J83" s="36"/>
      <c r="K83" s="36"/>
      <c r="L83" s="38"/>
      <c r="M83" s="39">
        <f>Prices!BP85*Wages!$C83</f>
        <v>5.3273148148148151</v>
      </c>
      <c r="N83" s="39">
        <f>Prices!BP85*Wages!D83</f>
        <v>2.3307002314814818</v>
      </c>
      <c r="O83" s="39">
        <f>Prices!$BP85*Wages!E83</f>
        <v>2.3706550925925929</v>
      </c>
      <c r="P83" s="39">
        <f>Prices!$BP85*F83</f>
        <v>7.1030864197530867</v>
      </c>
      <c r="Q83" s="39">
        <f>(31.1*0.925/Prices!$BN85)*G83</f>
        <v>2.9133752893518521</v>
      </c>
    </row>
    <row r="84" spans="1:17">
      <c r="A84" s="54">
        <f t="shared" si="5"/>
        <v>1334</v>
      </c>
      <c r="B84" s="36"/>
      <c r="C84" s="38">
        <v>4</v>
      </c>
      <c r="D84" s="38">
        <v>1.75</v>
      </c>
      <c r="E84" s="38">
        <v>1.78</v>
      </c>
      <c r="F84" s="39">
        <f>Wages!C84*H84</f>
        <v>5.333333333333333</v>
      </c>
      <c r="G84" s="38">
        <f>Wages!D84*I84</f>
        <v>2.1875</v>
      </c>
      <c r="H84" s="39">
        <f t="shared" si="6"/>
        <v>1.3333333333333333</v>
      </c>
      <c r="I84" s="38">
        <f t="shared" si="7"/>
        <v>1.25</v>
      </c>
      <c r="J84" s="36"/>
      <c r="K84" s="36"/>
      <c r="L84" s="38"/>
      <c r="M84" s="39">
        <f>Prices!BP86*Wages!$C84</f>
        <v>5.3273148148148151</v>
      </c>
      <c r="N84" s="39">
        <f>Prices!BP86*Wages!D84</f>
        <v>2.3307002314814818</v>
      </c>
      <c r="O84" s="39">
        <f>Prices!$BP86*Wages!E84</f>
        <v>2.3706550925925929</v>
      </c>
      <c r="P84" s="39">
        <f>Prices!$BP86*F84</f>
        <v>7.1030864197530867</v>
      </c>
      <c r="Q84" s="39">
        <f>(31.1*0.925/Prices!$BN86)*G84</f>
        <v>2.9133752893518521</v>
      </c>
    </row>
    <row r="85" spans="1:17">
      <c r="A85" s="54">
        <f t="shared" si="5"/>
        <v>1335</v>
      </c>
      <c r="B85" s="36"/>
      <c r="C85" s="38">
        <v>4</v>
      </c>
      <c r="D85" s="38">
        <v>1.75</v>
      </c>
      <c r="E85" s="38">
        <v>1.78</v>
      </c>
      <c r="F85" s="39">
        <f>Wages!C85*H85</f>
        <v>5.333333333333333</v>
      </c>
      <c r="G85" s="38">
        <f>Wages!D85*I85</f>
        <v>2.1875</v>
      </c>
      <c r="H85" s="39">
        <f t="shared" si="6"/>
        <v>1.3333333333333333</v>
      </c>
      <c r="I85" s="38">
        <f t="shared" si="7"/>
        <v>1.25</v>
      </c>
      <c r="J85" s="36"/>
      <c r="K85" s="36"/>
      <c r="L85" s="38"/>
      <c r="M85" s="39">
        <f>Prices!BP87*Wages!$C85</f>
        <v>5.3273148148148151</v>
      </c>
      <c r="N85" s="39">
        <f>Prices!BP87*Wages!D85</f>
        <v>2.3307002314814818</v>
      </c>
      <c r="O85" s="39">
        <f>Prices!$BP87*Wages!E85</f>
        <v>2.3706550925925929</v>
      </c>
      <c r="P85" s="39">
        <f>Prices!$BP87*F85</f>
        <v>7.1030864197530867</v>
      </c>
      <c r="Q85" s="39">
        <f>(31.1*0.925/Prices!$BN87)*G85</f>
        <v>2.9133752893518521</v>
      </c>
    </row>
    <row r="86" spans="1:17">
      <c r="A86" s="54">
        <f t="shared" si="5"/>
        <v>1336</v>
      </c>
      <c r="B86" s="36"/>
      <c r="C86" s="38">
        <v>4</v>
      </c>
      <c r="D86" s="38">
        <v>1.75</v>
      </c>
      <c r="E86" s="38">
        <v>1.78</v>
      </c>
      <c r="F86" s="39">
        <f>Wages!C86*H86</f>
        <v>5.333333333333333</v>
      </c>
      <c r="G86" s="38">
        <f>Wages!D86*I86</f>
        <v>2.1875</v>
      </c>
      <c r="H86" s="39">
        <f t="shared" si="6"/>
        <v>1.3333333333333333</v>
      </c>
      <c r="I86" s="38">
        <f t="shared" si="7"/>
        <v>1.25</v>
      </c>
      <c r="J86" s="36"/>
      <c r="K86" s="36"/>
      <c r="L86" s="38"/>
      <c r="M86" s="39">
        <f>Prices!BP88*Wages!$C86</f>
        <v>5.3273148148148151</v>
      </c>
      <c r="N86" s="39">
        <f>Prices!BP88*Wages!D86</f>
        <v>2.3307002314814818</v>
      </c>
      <c r="O86" s="39">
        <f>Prices!$BP88*Wages!E86</f>
        <v>2.3706550925925929</v>
      </c>
      <c r="P86" s="39">
        <f>Prices!$BP88*F86</f>
        <v>7.1030864197530867</v>
      </c>
      <c r="Q86" s="39">
        <f>(31.1*0.925/Prices!$BN88)*G86</f>
        <v>2.9133752893518521</v>
      </c>
    </row>
    <row r="87" spans="1:17">
      <c r="A87" s="54">
        <f t="shared" si="5"/>
        <v>1337</v>
      </c>
      <c r="B87" s="36"/>
      <c r="C87" s="38">
        <v>4</v>
      </c>
      <c r="D87" s="38">
        <v>1.75</v>
      </c>
      <c r="E87" s="38">
        <v>1.78</v>
      </c>
      <c r="F87" s="39">
        <f>Wages!C87*H87</f>
        <v>5.333333333333333</v>
      </c>
      <c r="G87" s="38">
        <f>Wages!D87*I87</f>
        <v>2.1875</v>
      </c>
      <c r="H87" s="39">
        <f t="shared" si="6"/>
        <v>1.3333333333333333</v>
      </c>
      <c r="I87" s="38">
        <f t="shared" si="7"/>
        <v>1.25</v>
      </c>
      <c r="J87" s="36"/>
      <c r="K87" s="36"/>
      <c r="L87" s="38"/>
      <c r="M87" s="39">
        <f>Prices!BP89*Wages!$C87</f>
        <v>5.3273148148148151</v>
      </c>
      <c r="N87" s="39">
        <f>Prices!BP89*Wages!D87</f>
        <v>2.3307002314814818</v>
      </c>
      <c r="O87" s="39">
        <f>Prices!$BP89*Wages!E87</f>
        <v>2.3706550925925929</v>
      </c>
      <c r="P87" s="39">
        <f>Prices!$BP89*F87</f>
        <v>7.1030864197530867</v>
      </c>
      <c r="Q87" s="39">
        <f>(31.1*0.925/Prices!$BN89)*G87</f>
        <v>2.9133752893518521</v>
      </c>
    </row>
    <row r="88" spans="1:17">
      <c r="A88" s="54">
        <f t="shared" si="5"/>
        <v>1338</v>
      </c>
      <c r="B88" s="36"/>
      <c r="C88" s="38">
        <v>3.5</v>
      </c>
      <c r="D88" s="38">
        <v>1.75</v>
      </c>
      <c r="E88" s="38">
        <v>1.78</v>
      </c>
      <c r="F88" s="39">
        <f>Wages!C88*H88</f>
        <v>4.6666666666666661</v>
      </c>
      <c r="G88" s="38">
        <f>Wages!D88*I88</f>
        <v>2.1875</v>
      </c>
      <c r="H88" s="39">
        <f t="shared" si="6"/>
        <v>1.3333333333333333</v>
      </c>
      <c r="I88" s="38">
        <f t="shared" si="7"/>
        <v>1.25</v>
      </c>
      <c r="J88" s="36"/>
      <c r="K88" s="36"/>
      <c r="L88" s="38"/>
      <c r="M88" s="39">
        <f>Prices!BP90*Wages!$C88</f>
        <v>4.6614004629629635</v>
      </c>
      <c r="N88" s="39">
        <f>Prices!BP90*Wages!D88</f>
        <v>2.3307002314814818</v>
      </c>
      <c r="O88" s="39">
        <f>Prices!$BP90*Wages!E88</f>
        <v>2.3706550925925929</v>
      </c>
      <c r="P88" s="39">
        <f>Prices!$BP90*F88</f>
        <v>6.2152006172839505</v>
      </c>
      <c r="Q88" s="39">
        <f>(31.1*0.925/Prices!$BN90)*G88</f>
        <v>2.9133752893518521</v>
      </c>
    </row>
    <row r="89" spans="1:17">
      <c r="A89" s="54">
        <f t="shared" si="5"/>
        <v>1339</v>
      </c>
      <c r="B89" s="36"/>
      <c r="C89" s="38">
        <v>3.5</v>
      </c>
      <c r="D89" s="38">
        <v>1.75</v>
      </c>
      <c r="E89" s="38">
        <v>1.78</v>
      </c>
      <c r="F89" s="39">
        <f>Wages!C89*H89</f>
        <v>4.6666666666666661</v>
      </c>
      <c r="G89" s="38">
        <f>Wages!D89*I89</f>
        <v>2.1875</v>
      </c>
      <c r="H89" s="39">
        <f t="shared" si="6"/>
        <v>1.3333333333333333</v>
      </c>
      <c r="I89" s="38">
        <f t="shared" si="7"/>
        <v>1.25</v>
      </c>
      <c r="J89" s="36"/>
      <c r="K89" s="36"/>
      <c r="L89" s="38"/>
      <c r="M89" s="39">
        <f>Prices!BP91*Wages!$C89</f>
        <v>4.6614004629629635</v>
      </c>
      <c r="N89" s="39">
        <f>Prices!BP91*Wages!D89</f>
        <v>2.3307002314814818</v>
      </c>
      <c r="O89" s="39">
        <f>Prices!$BP91*Wages!E89</f>
        <v>2.3706550925925929</v>
      </c>
      <c r="P89" s="39">
        <f>Prices!$BP91*F89</f>
        <v>6.2152006172839505</v>
      </c>
      <c r="Q89" s="39">
        <f>(31.1*0.925/Prices!$BN91)*G89</f>
        <v>2.9133752893518521</v>
      </c>
    </row>
    <row r="90" spans="1:17">
      <c r="A90" s="54">
        <f t="shared" si="5"/>
        <v>1340</v>
      </c>
      <c r="B90" s="36"/>
      <c r="C90" s="38">
        <v>3.5</v>
      </c>
      <c r="D90" s="38">
        <v>1.75</v>
      </c>
      <c r="E90" s="38">
        <v>1.96</v>
      </c>
      <c r="F90" s="39">
        <f>Wages!C90*H90</f>
        <v>4.6666666666666661</v>
      </c>
      <c r="G90" s="38">
        <f>Wages!D90*I90</f>
        <v>2.1875</v>
      </c>
      <c r="H90" s="39">
        <f t="shared" si="6"/>
        <v>1.3333333333333333</v>
      </c>
      <c r="I90" s="38">
        <f t="shared" si="7"/>
        <v>1.25</v>
      </c>
      <c r="J90" s="36"/>
      <c r="K90" s="36"/>
      <c r="L90" s="38"/>
      <c r="M90" s="39">
        <f>Prices!BP92*Wages!$C90</f>
        <v>4.6614004629629635</v>
      </c>
      <c r="N90" s="39">
        <f>Prices!BP92*Wages!D90</f>
        <v>2.3307002314814818</v>
      </c>
      <c r="O90" s="39">
        <f>Prices!$BP92*Wages!E90</f>
        <v>2.6103842592592592</v>
      </c>
      <c r="P90" s="39">
        <f>Prices!$BP92*F90</f>
        <v>6.2152006172839505</v>
      </c>
      <c r="Q90" s="39">
        <f>(31.1*0.925/Prices!$BN92)*G90</f>
        <v>2.9133752893518521</v>
      </c>
    </row>
    <row r="91" spans="1:17">
      <c r="A91" s="54">
        <f t="shared" si="5"/>
        <v>1341</v>
      </c>
      <c r="B91" s="36"/>
      <c r="C91" s="38">
        <v>3</v>
      </c>
      <c r="D91" s="38">
        <v>1.75</v>
      </c>
      <c r="E91" s="38">
        <v>1.96</v>
      </c>
      <c r="F91" s="39">
        <f>Wages!C91*H91</f>
        <v>4</v>
      </c>
      <c r="G91" s="38">
        <f>Wages!D91*I91</f>
        <v>2.1875</v>
      </c>
      <c r="H91" s="39">
        <f t="shared" si="6"/>
        <v>1.3333333333333333</v>
      </c>
      <c r="I91" s="38">
        <f t="shared" si="7"/>
        <v>1.25</v>
      </c>
      <c r="J91" s="36"/>
      <c r="K91" s="36"/>
      <c r="L91" s="38"/>
      <c r="M91" s="39">
        <f>Prices!BP93*Wages!$C91</f>
        <v>3.9954861111111111</v>
      </c>
      <c r="N91" s="39">
        <f>Prices!BP93*Wages!D91</f>
        <v>2.3307002314814818</v>
      </c>
      <c r="O91" s="39">
        <f>Prices!$BP93*Wages!E91</f>
        <v>2.6103842592592592</v>
      </c>
      <c r="P91" s="39">
        <f>Prices!$BP93*F91</f>
        <v>5.3273148148148151</v>
      </c>
      <c r="Q91" s="39">
        <f>(31.1*0.925/Prices!$BN93)*G91</f>
        <v>2.9133752893518521</v>
      </c>
    </row>
    <row r="92" spans="1:17">
      <c r="A92" s="54">
        <f t="shared" si="5"/>
        <v>1342</v>
      </c>
      <c r="B92" s="36"/>
      <c r="C92" s="38">
        <v>3</v>
      </c>
      <c r="D92" s="38">
        <v>1.75</v>
      </c>
      <c r="E92" s="38">
        <v>1.96</v>
      </c>
      <c r="F92" s="39">
        <f>Wages!C92*H92</f>
        <v>4</v>
      </c>
      <c r="G92" s="38">
        <f>Wages!D92*I92</f>
        <v>2.1875</v>
      </c>
      <c r="H92" s="39">
        <f t="shared" si="6"/>
        <v>1.3333333333333333</v>
      </c>
      <c r="I92" s="38">
        <f t="shared" si="7"/>
        <v>1.25</v>
      </c>
      <c r="J92" s="36"/>
      <c r="K92" s="36"/>
      <c r="L92" s="38"/>
      <c r="M92" s="39">
        <f>Prices!BP94*Wages!$C92</f>
        <v>3.9954861111111111</v>
      </c>
      <c r="N92" s="39">
        <f>Prices!BP94*Wages!D92</f>
        <v>2.3307002314814818</v>
      </c>
      <c r="O92" s="39">
        <f>Prices!$BP94*Wages!E92</f>
        <v>2.6103842592592592</v>
      </c>
      <c r="P92" s="39">
        <f>Prices!$BP94*F92</f>
        <v>5.3273148148148151</v>
      </c>
      <c r="Q92" s="39">
        <f>(31.1*0.925/Prices!$BN94)*G92</f>
        <v>2.9133752893518521</v>
      </c>
    </row>
    <row r="93" spans="1:17">
      <c r="A93" s="54">
        <f t="shared" si="5"/>
        <v>1343</v>
      </c>
      <c r="B93" s="36"/>
      <c r="C93" s="38">
        <v>3</v>
      </c>
      <c r="D93" s="38">
        <v>1.75</v>
      </c>
      <c r="E93" s="38">
        <v>1.96</v>
      </c>
      <c r="F93" s="39">
        <f>Wages!C93*H93</f>
        <v>4</v>
      </c>
      <c r="G93" s="38">
        <f>Wages!D93*I93</f>
        <v>2.1875</v>
      </c>
      <c r="H93" s="39">
        <f t="shared" si="6"/>
        <v>1.3333333333333333</v>
      </c>
      <c r="I93" s="38">
        <f t="shared" si="7"/>
        <v>1.25</v>
      </c>
      <c r="J93" s="36"/>
      <c r="K93" s="36"/>
      <c r="L93" s="38"/>
      <c r="M93" s="39">
        <f>Prices!BP95*Wages!$C93</f>
        <v>3.8186946902654872</v>
      </c>
      <c r="N93" s="39">
        <f>Prices!BP95*Wages!D93</f>
        <v>2.2275719026548675</v>
      </c>
      <c r="O93" s="39">
        <f>Prices!$BP95*Wages!E93</f>
        <v>2.4948805309734516</v>
      </c>
      <c r="P93" s="39">
        <f>Prices!$BP95*F93</f>
        <v>5.0915929203539827</v>
      </c>
      <c r="Q93" s="39">
        <f>(31.1*0.925/Prices!$BN95)*G93</f>
        <v>2.7844648783185844</v>
      </c>
    </row>
    <row r="94" spans="1:17">
      <c r="A94" s="54">
        <f t="shared" si="5"/>
        <v>1344</v>
      </c>
      <c r="B94" s="36"/>
      <c r="C94" s="38">
        <v>3</v>
      </c>
      <c r="D94" s="38">
        <v>1.75</v>
      </c>
      <c r="E94" s="38">
        <v>1.96</v>
      </c>
      <c r="F94" s="39">
        <f>Wages!C94*H94</f>
        <v>4</v>
      </c>
      <c r="G94" s="38">
        <f>Wages!D94*I94</f>
        <v>2.1875</v>
      </c>
      <c r="H94" s="39">
        <f t="shared" si="6"/>
        <v>1.3333333333333333</v>
      </c>
      <c r="I94" s="38">
        <f t="shared" si="7"/>
        <v>1.25</v>
      </c>
      <c r="J94" s="36"/>
      <c r="K94" s="36"/>
      <c r="L94" s="38"/>
      <c r="M94" s="39">
        <f>Prices!BP96*Wages!$C94</f>
        <v>3.656885593220339</v>
      </c>
      <c r="N94" s="39">
        <f>Prices!BP96*Wages!D94</f>
        <v>2.1331832627118645</v>
      </c>
      <c r="O94" s="39">
        <f>Prices!$BP96*Wages!E94</f>
        <v>2.3891652542372883</v>
      </c>
      <c r="P94" s="39">
        <f>Prices!$BP96*F94</f>
        <v>4.8758474576271187</v>
      </c>
      <c r="Q94" s="39">
        <f>(31.1*0.925/Prices!$BN96)*G94</f>
        <v>2.6664790783898304</v>
      </c>
    </row>
    <row r="95" spans="1:17">
      <c r="A95" s="54">
        <f t="shared" si="5"/>
        <v>1345</v>
      </c>
      <c r="B95" s="36"/>
      <c r="C95" s="38">
        <v>3</v>
      </c>
      <c r="D95" s="38">
        <v>1.75</v>
      </c>
      <c r="E95" s="38">
        <v>1.96</v>
      </c>
      <c r="F95" s="39">
        <f>Wages!C95*H95</f>
        <v>4</v>
      </c>
      <c r="G95" s="38">
        <f>Wages!D95*I95</f>
        <v>2.1875</v>
      </c>
      <c r="H95" s="39">
        <f t="shared" si="6"/>
        <v>1.3333333333333333</v>
      </c>
      <c r="I95" s="38">
        <f t="shared" si="7"/>
        <v>1.25</v>
      </c>
      <c r="J95" s="36"/>
      <c r="K95" s="36"/>
      <c r="L95" s="38"/>
      <c r="M95" s="39">
        <f>Prices!BP97*Wages!$C95</f>
        <v>3.6261554621848742</v>
      </c>
      <c r="N95" s="39">
        <f>Prices!BP97*Wages!D95</f>
        <v>2.1152573529411769</v>
      </c>
      <c r="O95" s="39">
        <f>Prices!$BP97*Wages!E95</f>
        <v>2.369088235294118</v>
      </c>
      <c r="P95" s="39">
        <f>Prices!$BP97*F95</f>
        <v>4.8348739495798325</v>
      </c>
      <c r="Q95" s="39">
        <f>(31.1*0.925/Prices!$BN97)*G95</f>
        <v>2.644071691176471</v>
      </c>
    </row>
    <row r="96" spans="1:17">
      <c r="A96" s="54">
        <f t="shared" si="5"/>
        <v>1346</v>
      </c>
      <c r="B96" s="36"/>
      <c r="C96" s="38">
        <v>3</v>
      </c>
      <c r="D96" s="38">
        <v>1.75</v>
      </c>
      <c r="E96" s="38">
        <v>1.96</v>
      </c>
      <c r="F96" s="39">
        <f>Wages!C96*H96</f>
        <v>4</v>
      </c>
      <c r="G96" s="38">
        <f>Wages!D96*I96</f>
        <v>2.1875</v>
      </c>
      <c r="H96" s="39">
        <f t="shared" si="6"/>
        <v>1.3333333333333333</v>
      </c>
      <c r="I96" s="38">
        <f t="shared" si="7"/>
        <v>1.25</v>
      </c>
      <c r="J96" s="36"/>
      <c r="K96" s="36"/>
      <c r="L96" s="38"/>
      <c r="M96" s="39">
        <f>Prices!BP98*Wages!$C96</f>
        <v>3.5959375000000002</v>
      </c>
      <c r="N96" s="39">
        <f>Prices!BP98*Wages!D96</f>
        <v>2.0976302083333334</v>
      </c>
      <c r="O96" s="39">
        <f>Prices!$BP98*Wages!E96</f>
        <v>2.3493458333333335</v>
      </c>
      <c r="P96" s="39">
        <f>Prices!$BP98*F96</f>
        <v>4.7945833333333336</v>
      </c>
      <c r="Q96" s="39">
        <f>(31.1*0.925/Prices!$BN98)*G96</f>
        <v>2.6220377604166667</v>
      </c>
    </row>
    <row r="97" spans="1:17">
      <c r="A97" s="54">
        <f t="shared" si="5"/>
        <v>1347</v>
      </c>
      <c r="B97" s="36"/>
      <c r="C97" s="38">
        <v>3</v>
      </c>
      <c r="D97" s="38">
        <v>1.75</v>
      </c>
      <c r="E97" s="38">
        <v>1.96</v>
      </c>
      <c r="F97" s="39">
        <f>Wages!C97*H97</f>
        <v>4</v>
      </c>
      <c r="G97" s="38">
        <f>Wages!D97*I97</f>
        <v>2.1875</v>
      </c>
      <c r="H97" s="39">
        <f t="shared" si="6"/>
        <v>1.3333333333333333</v>
      </c>
      <c r="I97" s="38">
        <f t="shared" si="7"/>
        <v>1.25</v>
      </c>
      <c r="J97" s="36"/>
      <c r="K97" s="36"/>
      <c r="L97" s="38"/>
      <c r="M97" s="39">
        <f>Prices!BP99*Wages!$C97</f>
        <v>3.5959375000000002</v>
      </c>
      <c r="N97" s="39">
        <f>Prices!BP99*Wages!D97</f>
        <v>2.0976302083333334</v>
      </c>
      <c r="O97" s="39">
        <f>Prices!$BP99*Wages!E97</f>
        <v>2.3493458333333335</v>
      </c>
      <c r="P97" s="39">
        <f>Prices!$BP99*F97</f>
        <v>4.7945833333333336</v>
      </c>
      <c r="Q97" s="39">
        <f>(31.1*0.925/Prices!$BN99)*G97</f>
        <v>2.6220377604166667</v>
      </c>
    </row>
    <row r="98" spans="1:17">
      <c r="A98" s="54">
        <f t="shared" si="5"/>
        <v>1348</v>
      </c>
      <c r="B98" s="36"/>
      <c r="C98" s="38">
        <v>3</v>
      </c>
      <c r="D98" s="38">
        <v>1.75</v>
      </c>
      <c r="E98" s="38">
        <v>1.96</v>
      </c>
      <c r="F98" s="39">
        <f>Wages!C98*H98</f>
        <v>4</v>
      </c>
      <c r="G98" s="38">
        <f>Wages!D98*I98</f>
        <v>2.1875</v>
      </c>
      <c r="H98" s="39">
        <f t="shared" si="6"/>
        <v>1.3333333333333333</v>
      </c>
      <c r="I98" s="38">
        <f t="shared" si="7"/>
        <v>1.25</v>
      </c>
      <c r="J98" s="36"/>
      <c r="K98" s="36"/>
      <c r="L98" s="38"/>
      <c r="M98" s="39">
        <f>Prices!BP100*Wages!$C98</f>
        <v>3.5959375000000002</v>
      </c>
      <c r="N98" s="39">
        <f>Prices!BP100*Wages!D98</f>
        <v>2.0976302083333334</v>
      </c>
      <c r="O98" s="39">
        <f>Prices!$BP100*Wages!E98</f>
        <v>2.3493458333333335</v>
      </c>
      <c r="P98" s="39">
        <f>Prices!$BP100*F98</f>
        <v>4.7945833333333336</v>
      </c>
      <c r="Q98" s="39">
        <f>(31.1*0.925/Prices!$BN100)*G98</f>
        <v>2.6220377604166667</v>
      </c>
    </row>
    <row r="99" spans="1:17">
      <c r="A99" s="54">
        <f t="shared" si="5"/>
        <v>1349</v>
      </c>
      <c r="B99" s="36"/>
      <c r="C99" s="38">
        <v>3</v>
      </c>
      <c r="D99" s="38">
        <v>1.75</v>
      </c>
      <c r="E99" s="38">
        <v>1.96</v>
      </c>
      <c r="F99" s="39">
        <f>Wages!C99*H99</f>
        <v>4</v>
      </c>
      <c r="G99" s="38">
        <f>Wages!D99*I99</f>
        <v>2.1875</v>
      </c>
      <c r="H99" s="39">
        <f t="shared" si="6"/>
        <v>1.3333333333333333</v>
      </c>
      <c r="I99" s="38">
        <f t="shared" si="7"/>
        <v>1.25</v>
      </c>
      <c r="J99" s="36"/>
      <c r="K99" s="36"/>
      <c r="L99" s="38"/>
      <c r="M99" s="39">
        <f>Prices!BP101*Wages!$C99</f>
        <v>3.5959375000000002</v>
      </c>
      <c r="N99" s="39">
        <f>Prices!BP101*Wages!D99</f>
        <v>2.0976302083333334</v>
      </c>
      <c r="O99" s="39">
        <f>Prices!$BP101*Wages!E99</f>
        <v>2.3493458333333335</v>
      </c>
      <c r="P99" s="39">
        <f>Prices!$BP101*F99</f>
        <v>4.7945833333333336</v>
      </c>
      <c r="Q99" s="39">
        <f>(31.1*0.925/Prices!$BN101)*G99</f>
        <v>2.6220377604166667</v>
      </c>
    </row>
    <row r="100" spans="1:17">
      <c r="A100" s="54">
        <f t="shared" si="5"/>
        <v>1350</v>
      </c>
      <c r="B100" s="36"/>
      <c r="C100" s="38">
        <v>3</v>
      </c>
      <c r="D100" s="38">
        <v>1.75</v>
      </c>
      <c r="E100" s="38">
        <v>2.85</v>
      </c>
      <c r="F100" s="39">
        <f>Wages!C100*H100</f>
        <v>4</v>
      </c>
      <c r="G100" s="38">
        <f>Wages!D100*I100</f>
        <v>2.1875</v>
      </c>
      <c r="H100" s="39">
        <f t="shared" si="6"/>
        <v>1.3333333333333333</v>
      </c>
      <c r="I100" s="38">
        <f t="shared" si="7"/>
        <v>1.25</v>
      </c>
      <c r="J100" s="36"/>
      <c r="K100" s="36"/>
      <c r="L100" s="38"/>
      <c r="M100" s="39">
        <f>Prices!BP102*Wages!$C100</f>
        <v>3.5959375000000002</v>
      </c>
      <c r="N100" s="39">
        <f>Prices!BP102*Wages!D100</f>
        <v>2.0976302083333334</v>
      </c>
      <c r="O100" s="39">
        <f>Prices!$BP102*Wages!E100</f>
        <v>3.4161406250000002</v>
      </c>
      <c r="P100" s="39">
        <f>Prices!$BP102*F100</f>
        <v>4.7945833333333336</v>
      </c>
      <c r="Q100" s="39">
        <f>(31.1*0.925/Prices!$BN102)*G100</f>
        <v>2.6220377604166667</v>
      </c>
    </row>
    <row r="101" spans="1:17">
      <c r="A101" s="54">
        <f t="shared" si="5"/>
        <v>1351</v>
      </c>
      <c r="B101" s="36"/>
      <c r="C101" s="38">
        <v>4</v>
      </c>
      <c r="D101" s="38">
        <v>2</v>
      </c>
      <c r="E101" s="38">
        <v>2.85</v>
      </c>
      <c r="F101" s="39">
        <f>Wages!C101*H101</f>
        <v>5.333333333333333</v>
      </c>
      <c r="G101" s="38">
        <f>Wages!D101*I101</f>
        <v>2.5</v>
      </c>
      <c r="H101" s="39">
        <f t="shared" si="6"/>
        <v>1.3333333333333333</v>
      </c>
      <c r="I101" s="38">
        <f t="shared" si="7"/>
        <v>1.25</v>
      </c>
      <c r="J101" s="36"/>
      <c r="K101" s="36"/>
      <c r="L101" s="38"/>
      <c r="M101" s="39">
        <f>Prices!BP103*Wages!$C101</f>
        <v>4.309737827715356</v>
      </c>
      <c r="N101" s="39">
        <f>Prices!BP103*Wages!D101</f>
        <v>2.154868913857678</v>
      </c>
      <c r="O101" s="39">
        <f>Prices!$BP103*Wages!E101</f>
        <v>3.0706882022471911</v>
      </c>
      <c r="P101" s="39">
        <f>Prices!$BP103*F101</f>
        <v>5.7463171036204743</v>
      </c>
      <c r="Q101" s="39">
        <f>(31.1*0.925/Prices!$BN103)*G101</f>
        <v>2.6935861423220975</v>
      </c>
    </row>
    <row r="102" spans="1:17">
      <c r="A102" s="54">
        <f t="shared" si="5"/>
        <v>1352</v>
      </c>
      <c r="B102" s="36"/>
      <c r="C102" s="38">
        <v>4</v>
      </c>
      <c r="D102" s="38">
        <v>2</v>
      </c>
      <c r="E102" s="38">
        <v>2.85</v>
      </c>
      <c r="F102" s="39">
        <f>Wages!C102*H102</f>
        <v>5.333333333333333</v>
      </c>
      <c r="G102" s="38">
        <f>Wages!D102*I102</f>
        <v>2.5</v>
      </c>
      <c r="H102" s="39">
        <f t="shared" si="6"/>
        <v>1.3333333333333333</v>
      </c>
      <c r="I102" s="38">
        <f t="shared" si="7"/>
        <v>1.25</v>
      </c>
      <c r="J102" s="36"/>
      <c r="K102" s="36"/>
      <c r="L102" s="38"/>
      <c r="M102" s="39">
        <f>Prices!BP104*Wages!$C102</f>
        <v>4.309737827715356</v>
      </c>
      <c r="N102" s="39">
        <f>Prices!BP104*Wages!D102</f>
        <v>2.154868913857678</v>
      </c>
      <c r="O102" s="39">
        <f>Prices!$BP104*Wages!E102</f>
        <v>3.0706882022471911</v>
      </c>
      <c r="P102" s="39">
        <f>Prices!$BP104*F102</f>
        <v>5.7463171036204743</v>
      </c>
      <c r="Q102" s="39">
        <f>(31.1*0.925/Prices!$BN104)*G102</f>
        <v>2.6935861423220975</v>
      </c>
    </row>
    <row r="103" spans="1:17">
      <c r="A103" s="54">
        <f t="shared" si="5"/>
        <v>1353</v>
      </c>
      <c r="B103" s="36"/>
      <c r="C103" s="38">
        <v>4</v>
      </c>
      <c r="D103" s="38">
        <v>2</v>
      </c>
      <c r="E103" s="38">
        <v>2.85</v>
      </c>
      <c r="F103" s="39">
        <f>Wages!C103*H103</f>
        <v>5.333333333333333</v>
      </c>
      <c r="G103" s="38">
        <f>Wages!D103*I103</f>
        <v>2.5</v>
      </c>
      <c r="H103" s="39">
        <f t="shared" si="6"/>
        <v>1.3333333333333333</v>
      </c>
      <c r="I103" s="38">
        <f t="shared" si="7"/>
        <v>1.25</v>
      </c>
      <c r="J103" s="36"/>
      <c r="K103" s="36"/>
      <c r="L103" s="38"/>
      <c r="M103" s="39">
        <f>Prices!BP105*Wages!$C103</f>
        <v>4.309737827715356</v>
      </c>
      <c r="N103" s="39">
        <f>Prices!BP105*Wages!D103</f>
        <v>2.154868913857678</v>
      </c>
      <c r="O103" s="39">
        <f>Prices!$BP105*Wages!E103</f>
        <v>3.0706882022471911</v>
      </c>
      <c r="P103" s="39">
        <f>Prices!$BP105*F103</f>
        <v>5.7463171036204743</v>
      </c>
      <c r="Q103" s="39">
        <f>(31.1*0.925/Prices!$BN105)*G103</f>
        <v>2.6935861423220975</v>
      </c>
    </row>
    <row r="104" spans="1:17">
      <c r="A104" s="54">
        <f t="shared" si="5"/>
        <v>1354</v>
      </c>
      <c r="B104" s="36"/>
      <c r="C104" s="38">
        <v>4</v>
      </c>
      <c r="D104" s="38">
        <v>2</v>
      </c>
      <c r="E104" s="38">
        <v>2.85</v>
      </c>
      <c r="F104" s="39">
        <f>Wages!C104*H104</f>
        <v>5.333333333333333</v>
      </c>
      <c r="G104" s="38">
        <f>Wages!D104*I104</f>
        <v>2.5</v>
      </c>
      <c r="H104" s="39">
        <f t="shared" si="6"/>
        <v>1.3333333333333333</v>
      </c>
      <c r="I104" s="38">
        <f t="shared" si="7"/>
        <v>1.25</v>
      </c>
      <c r="J104" s="36"/>
      <c r="K104" s="36"/>
      <c r="L104" s="38"/>
      <c r="M104" s="39">
        <f>Prices!BP106*Wages!$C104</f>
        <v>4.309737827715356</v>
      </c>
      <c r="N104" s="39">
        <f>Prices!BP106*Wages!D104</f>
        <v>2.154868913857678</v>
      </c>
      <c r="O104" s="39">
        <f>Prices!$BP106*Wages!E104</f>
        <v>3.0706882022471911</v>
      </c>
      <c r="P104" s="39">
        <f>Prices!$BP106*F104</f>
        <v>5.7463171036204743</v>
      </c>
      <c r="Q104" s="39">
        <f>(31.1*0.925/Prices!$BN106)*G104</f>
        <v>2.6935861423220975</v>
      </c>
    </row>
    <row r="105" spans="1:17">
      <c r="A105" s="54">
        <f t="shared" si="5"/>
        <v>1355</v>
      </c>
      <c r="B105" s="36"/>
      <c r="C105" s="38">
        <v>4</v>
      </c>
      <c r="D105" s="38">
        <v>2</v>
      </c>
      <c r="E105" s="38">
        <v>2.85</v>
      </c>
      <c r="F105" s="39">
        <f>Wages!C105*H105</f>
        <v>5.333333333333333</v>
      </c>
      <c r="G105" s="38">
        <f>Wages!D105*I105</f>
        <v>2.5</v>
      </c>
      <c r="H105" s="39">
        <f t="shared" si="6"/>
        <v>1.3333333333333333</v>
      </c>
      <c r="I105" s="38">
        <f t="shared" si="7"/>
        <v>1.25</v>
      </c>
      <c r="J105" s="36"/>
      <c r="K105" s="36"/>
      <c r="L105" s="38"/>
      <c r="M105" s="39">
        <f>Prices!BP107*Wages!$C105</f>
        <v>4.309737827715356</v>
      </c>
      <c r="N105" s="39">
        <f>Prices!BP107*Wages!D105</f>
        <v>2.154868913857678</v>
      </c>
      <c r="O105" s="39">
        <f>Prices!$BP107*Wages!E105</f>
        <v>3.0706882022471911</v>
      </c>
      <c r="P105" s="39">
        <f>Prices!$BP107*F105</f>
        <v>5.7463171036204743</v>
      </c>
      <c r="Q105" s="39">
        <f>(31.1*0.925/Prices!$BN107)*G105</f>
        <v>2.6935861423220975</v>
      </c>
    </row>
    <row r="106" spans="1:17">
      <c r="A106" s="54">
        <f t="shared" si="5"/>
        <v>1356</v>
      </c>
      <c r="B106" s="36"/>
      <c r="C106" s="38">
        <v>4</v>
      </c>
      <c r="D106" s="38">
        <v>2</v>
      </c>
      <c r="E106" s="38">
        <v>2.85</v>
      </c>
      <c r="F106" s="39">
        <f>Wages!C106*H106</f>
        <v>5.333333333333333</v>
      </c>
      <c r="G106" s="38">
        <f>Wages!D106*I106</f>
        <v>2.5</v>
      </c>
      <c r="H106" s="39">
        <f t="shared" ref="H106:H137" si="8">4/3</f>
        <v>1.3333333333333333</v>
      </c>
      <c r="I106" s="38">
        <f t="shared" ref="I106:I137" si="9">5/4</f>
        <v>1.25</v>
      </c>
      <c r="J106" s="36"/>
      <c r="K106" s="36"/>
      <c r="L106" s="38"/>
      <c r="M106" s="39">
        <f>Prices!BP108*Wages!$C106</f>
        <v>4.309737827715356</v>
      </c>
      <c r="N106" s="39">
        <f>Prices!BP108*Wages!D106</f>
        <v>2.154868913857678</v>
      </c>
      <c r="O106" s="39">
        <f>Prices!$BP108*Wages!E106</f>
        <v>3.0706882022471911</v>
      </c>
      <c r="P106" s="39">
        <f>Prices!$BP108*F106</f>
        <v>5.7463171036204743</v>
      </c>
      <c r="Q106" s="39">
        <f>(31.1*0.925/Prices!$BN108)*G106</f>
        <v>2.6935861423220975</v>
      </c>
    </row>
    <row r="107" spans="1:17">
      <c r="A107" s="54">
        <f t="shared" si="5"/>
        <v>1357</v>
      </c>
      <c r="B107" s="36"/>
      <c r="C107" s="38">
        <v>4</v>
      </c>
      <c r="D107" s="38">
        <v>2</v>
      </c>
      <c r="E107" s="38">
        <v>2.85</v>
      </c>
      <c r="F107" s="39">
        <f>Wages!C107*H107</f>
        <v>5.333333333333333</v>
      </c>
      <c r="G107" s="38">
        <f>Wages!D107*I107</f>
        <v>2.5</v>
      </c>
      <c r="H107" s="39">
        <f t="shared" si="8"/>
        <v>1.3333333333333333</v>
      </c>
      <c r="I107" s="38">
        <f t="shared" si="9"/>
        <v>1.25</v>
      </c>
      <c r="J107" s="36"/>
      <c r="K107" s="36"/>
      <c r="L107" s="38"/>
      <c r="M107" s="39">
        <f>Prices!BP109*Wages!$C107</f>
        <v>4.309737827715356</v>
      </c>
      <c r="N107" s="39">
        <f>Prices!BP109*Wages!D107</f>
        <v>2.154868913857678</v>
      </c>
      <c r="O107" s="39">
        <f>Prices!$BP109*Wages!E107</f>
        <v>3.0706882022471911</v>
      </c>
      <c r="P107" s="39">
        <f>Prices!$BP109*F107</f>
        <v>5.7463171036204743</v>
      </c>
      <c r="Q107" s="39">
        <f>(31.1*0.925/Prices!$BN109)*G107</f>
        <v>2.6935861423220975</v>
      </c>
    </row>
    <row r="108" spans="1:17">
      <c r="A108" s="54">
        <f t="shared" si="5"/>
        <v>1358</v>
      </c>
      <c r="B108" s="36"/>
      <c r="C108" s="38">
        <v>4</v>
      </c>
      <c r="D108" s="38">
        <v>2</v>
      </c>
      <c r="E108" s="38">
        <v>2.85</v>
      </c>
      <c r="F108" s="39">
        <f>Wages!C108*H108</f>
        <v>5.333333333333333</v>
      </c>
      <c r="G108" s="38">
        <f>Wages!D108*I108</f>
        <v>2.5</v>
      </c>
      <c r="H108" s="39">
        <f t="shared" si="8"/>
        <v>1.3333333333333333</v>
      </c>
      <c r="I108" s="38">
        <f t="shared" si="9"/>
        <v>1.25</v>
      </c>
      <c r="J108" s="36"/>
      <c r="K108" s="36"/>
      <c r="L108" s="38"/>
      <c r="M108" s="39">
        <f>Prices!BP110*Wages!$C108</f>
        <v>4.309737827715356</v>
      </c>
      <c r="N108" s="39">
        <f>Prices!BP110*Wages!D108</f>
        <v>2.154868913857678</v>
      </c>
      <c r="O108" s="39">
        <f>Prices!$BP110*Wages!E108</f>
        <v>3.0706882022471911</v>
      </c>
      <c r="P108" s="39">
        <f>Prices!$BP110*F108</f>
        <v>5.7463171036204743</v>
      </c>
      <c r="Q108" s="39">
        <f>(31.1*0.925/Prices!$BN110)*G108</f>
        <v>2.6935861423220975</v>
      </c>
    </row>
    <row r="109" spans="1:17">
      <c r="A109" s="54">
        <f t="shared" si="5"/>
        <v>1359</v>
      </c>
      <c r="B109" s="36"/>
      <c r="C109" s="38">
        <v>4</v>
      </c>
      <c r="D109" s="38">
        <v>2</v>
      </c>
      <c r="E109" s="38">
        <v>2.85</v>
      </c>
      <c r="F109" s="39">
        <f>Wages!C109*H109</f>
        <v>5.333333333333333</v>
      </c>
      <c r="G109" s="38">
        <f>Wages!D109*I109</f>
        <v>2.5</v>
      </c>
      <c r="H109" s="39">
        <f t="shared" si="8"/>
        <v>1.3333333333333333</v>
      </c>
      <c r="I109" s="38">
        <f t="shared" si="9"/>
        <v>1.25</v>
      </c>
      <c r="J109" s="36"/>
      <c r="K109" s="36"/>
      <c r="L109" s="38"/>
      <c r="M109" s="39">
        <f>Prices!BP111*Wages!$C109</f>
        <v>4.309737827715356</v>
      </c>
      <c r="N109" s="39">
        <f>Prices!BP111*Wages!D109</f>
        <v>2.154868913857678</v>
      </c>
      <c r="O109" s="39">
        <f>Prices!$BP111*Wages!E109</f>
        <v>3.0706882022471911</v>
      </c>
      <c r="P109" s="39">
        <f>Prices!$BP111*F109</f>
        <v>5.7463171036204743</v>
      </c>
      <c r="Q109" s="39">
        <f>(31.1*0.925/Prices!$BN111)*G109</f>
        <v>2.6935861423220975</v>
      </c>
    </row>
    <row r="110" spans="1:17">
      <c r="A110" s="54">
        <f t="shared" si="5"/>
        <v>1360</v>
      </c>
      <c r="B110" s="36"/>
      <c r="C110" s="38">
        <v>4</v>
      </c>
      <c r="D110" s="38">
        <v>2</v>
      </c>
      <c r="E110" s="38">
        <v>3.25</v>
      </c>
      <c r="F110" s="39">
        <f>Wages!C110*H110</f>
        <v>5.333333333333333</v>
      </c>
      <c r="G110" s="38">
        <f>Wages!D110*I110</f>
        <v>2.5</v>
      </c>
      <c r="H110" s="39">
        <f t="shared" si="8"/>
        <v>1.3333333333333333</v>
      </c>
      <c r="I110" s="38">
        <f t="shared" si="9"/>
        <v>1.25</v>
      </c>
      <c r="J110" s="36"/>
      <c r="K110" s="36"/>
      <c r="L110" s="38"/>
      <c r="M110" s="39">
        <f>Prices!BP112*Wages!$C110</f>
        <v>4.309737827715356</v>
      </c>
      <c r="N110" s="39">
        <f>Prices!BP112*Wages!D110</f>
        <v>2.154868913857678</v>
      </c>
      <c r="O110" s="39">
        <f>Prices!$BP112*Wages!E110</f>
        <v>3.5016619850187265</v>
      </c>
      <c r="P110" s="39">
        <f>Prices!$BP112*F110</f>
        <v>5.7463171036204743</v>
      </c>
      <c r="Q110" s="39">
        <f>(31.1*0.925/Prices!$BN112)*G110</f>
        <v>2.6935861423220975</v>
      </c>
    </row>
    <row r="111" spans="1:17">
      <c r="A111" s="54">
        <f t="shared" si="5"/>
        <v>1361</v>
      </c>
      <c r="B111" s="36"/>
      <c r="C111" s="38">
        <v>5</v>
      </c>
      <c r="D111" s="38">
        <v>2</v>
      </c>
      <c r="E111" s="38">
        <v>3.25</v>
      </c>
      <c r="F111" s="39">
        <f>Wages!C111*H111</f>
        <v>6.6666666666666661</v>
      </c>
      <c r="G111" s="38">
        <f>Wages!D111*I111</f>
        <v>2.5</v>
      </c>
      <c r="H111" s="39">
        <f t="shared" si="8"/>
        <v>1.3333333333333333</v>
      </c>
      <c r="I111" s="38">
        <f t="shared" si="9"/>
        <v>1.25</v>
      </c>
      <c r="J111" s="36"/>
      <c r="K111" s="36"/>
      <c r="L111" s="38"/>
      <c r="M111" s="39">
        <f>Prices!BP113*Wages!$C111</f>
        <v>5.387172284644195</v>
      </c>
      <c r="N111" s="39">
        <f>Prices!BP113*Wages!D111</f>
        <v>2.154868913857678</v>
      </c>
      <c r="O111" s="39">
        <f>Prices!$BP113*Wages!E111</f>
        <v>3.5016619850187265</v>
      </c>
      <c r="P111" s="39">
        <f>Prices!$BP113*F111</f>
        <v>7.1828963795255927</v>
      </c>
      <c r="Q111" s="39">
        <f>(31.1*0.925/Prices!$BN113)*G111</f>
        <v>2.6935861423220975</v>
      </c>
    </row>
    <row r="112" spans="1:17">
      <c r="A112" s="54">
        <f t="shared" si="5"/>
        <v>1362</v>
      </c>
      <c r="B112" s="36"/>
      <c r="C112" s="38">
        <v>5</v>
      </c>
      <c r="D112" s="38">
        <v>2</v>
      </c>
      <c r="E112" s="38">
        <v>3.25</v>
      </c>
      <c r="F112" s="39">
        <f>Wages!C112*H112</f>
        <v>6.6666666666666661</v>
      </c>
      <c r="G112" s="38">
        <f>Wages!D112*I112</f>
        <v>2.5</v>
      </c>
      <c r="H112" s="39">
        <f t="shared" si="8"/>
        <v>1.3333333333333333</v>
      </c>
      <c r="I112" s="38">
        <f t="shared" si="9"/>
        <v>1.25</v>
      </c>
      <c r="J112" s="36"/>
      <c r="K112" s="36"/>
      <c r="L112" s="38"/>
      <c r="M112" s="39">
        <f>Prices!BP114*Wages!$C112</f>
        <v>5.387172284644195</v>
      </c>
      <c r="N112" s="39">
        <f>Prices!BP114*Wages!D112</f>
        <v>2.154868913857678</v>
      </c>
      <c r="O112" s="39">
        <f>Prices!$BP114*Wages!E112</f>
        <v>3.5016619850187265</v>
      </c>
      <c r="P112" s="39">
        <f>Prices!$BP114*F112</f>
        <v>7.1828963795255927</v>
      </c>
      <c r="Q112" s="39">
        <f>(31.1*0.925/Prices!$BN114)*G112</f>
        <v>2.6935861423220975</v>
      </c>
    </row>
    <row r="113" spans="1:17">
      <c r="A113" s="54">
        <f t="shared" si="5"/>
        <v>1363</v>
      </c>
      <c r="B113" s="36"/>
      <c r="C113" s="38">
        <v>5</v>
      </c>
      <c r="D113" s="38">
        <v>2</v>
      </c>
      <c r="E113" s="38">
        <v>3.25</v>
      </c>
      <c r="F113" s="39">
        <f>Wages!C113*H113</f>
        <v>6.6666666666666661</v>
      </c>
      <c r="G113" s="38">
        <f>Wages!D113*I113</f>
        <v>2.5</v>
      </c>
      <c r="H113" s="39">
        <f t="shared" si="8"/>
        <v>1.3333333333333333</v>
      </c>
      <c r="I113" s="38">
        <f t="shared" si="9"/>
        <v>1.25</v>
      </c>
      <c r="J113" s="36"/>
      <c r="K113" s="36"/>
      <c r="L113" s="38"/>
      <c r="M113" s="39">
        <f>Prices!BP115*Wages!$C113</f>
        <v>5.387172284644195</v>
      </c>
      <c r="N113" s="39">
        <f>Prices!BP115*Wages!D113</f>
        <v>2.154868913857678</v>
      </c>
      <c r="O113" s="39">
        <f>Prices!$BP115*Wages!E113</f>
        <v>3.5016619850187265</v>
      </c>
      <c r="P113" s="39">
        <f>Prices!$BP115*F113</f>
        <v>7.1828963795255927</v>
      </c>
      <c r="Q113" s="39">
        <f>(31.1*0.925/Prices!$BN115)*G113</f>
        <v>2.6935861423220975</v>
      </c>
    </row>
    <row r="114" spans="1:17">
      <c r="A114" s="54">
        <f t="shared" si="5"/>
        <v>1364</v>
      </c>
      <c r="B114" s="36"/>
      <c r="C114" s="38">
        <v>5</v>
      </c>
      <c r="D114" s="38">
        <v>2</v>
      </c>
      <c r="E114" s="38">
        <v>3.25</v>
      </c>
      <c r="F114" s="39">
        <f>Wages!C114*H114</f>
        <v>6.6666666666666661</v>
      </c>
      <c r="G114" s="38">
        <f>Wages!D114*I114</f>
        <v>2.5</v>
      </c>
      <c r="H114" s="39">
        <f t="shared" si="8"/>
        <v>1.3333333333333333</v>
      </c>
      <c r="I114" s="38">
        <f t="shared" si="9"/>
        <v>1.25</v>
      </c>
      <c r="J114" s="36"/>
      <c r="K114" s="36"/>
      <c r="L114" s="38"/>
      <c r="M114" s="39">
        <f>Prices!BP116*Wages!$C114</f>
        <v>5.387172284644195</v>
      </c>
      <c r="N114" s="39">
        <f>Prices!BP116*Wages!D114</f>
        <v>2.154868913857678</v>
      </c>
      <c r="O114" s="39">
        <f>Prices!$BP116*Wages!E114</f>
        <v>3.5016619850187265</v>
      </c>
      <c r="P114" s="39">
        <f>Prices!$BP116*F114</f>
        <v>7.1828963795255927</v>
      </c>
      <c r="Q114" s="39">
        <f>(31.1*0.925/Prices!$BN116)*G114</f>
        <v>2.6935861423220975</v>
      </c>
    </row>
    <row r="115" spans="1:17">
      <c r="A115" s="54">
        <f t="shared" si="5"/>
        <v>1365</v>
      </c>
      <c r="B115" s="36"/>
      <c r="C115" s="38">
        <v>5</v>
      </c>
      <c r="D115" s="38">
        <v>2</v>
      </c>
      <c r="E115" s="38">
        <v>3.25</v>
      </c>
      <c r="F115" s="39">
        <f>Wages!C115*H115</f>
        <v>6.6666666666666661</v>
      </c>
      <c r="G115" s="38">
        <f>Wages!D115*I115</f>
        <v>2.5</v>
      </c>
      <c r="H115" s="39">
        <f t="shared" si="8"/>
        <v>1.3333333333333333</v>
      </c>
      <c r="I115" s="38">
        <f t="shared" si="9"/>
        <v>1.25</v>
      </c>
      <c r="J115" s="36"/>
      <c r="K115" s="36"/>
      <c r="L115" s="38"/>
      <c r="M115" s="39">
        <f>Prices!BP117*Wages!$C115</f>
        <v>5.387172284644195</v>
      </c>
      <c r="N115" s="39">
        <f>Prices!BP117*Wages!D115</f>
        <v>2.154868913857678</v>
      </c>
      <c r="O115" s="39">
        <f>Prices!$BP117*Wages!E115</f>
        <v>3.5016619850187265</v>
      </c>
      <c r="P115" s="39">
        <f>Prices!$BP117*F115</f>
        <v>7.1828963795255927</v>
      </c>
      <c r="Q115" s="39">
        <f>(31.1*0.925/Prices!$BN117)*G115</f>
        <v>2.6935861423220975</v>
      </c>
    </row>
    <row r="116" spans="1:17">
      <c r="A116" s="54">
        <f t="shared" si="5"/>
        <v>1366</v>
      </c>
      <c r="B116" s="36"/>
      <c r="C116" s="38">
        <v>5</v>
      </c>
      <c r="D116" s="38">
        <v>2</v>
      </c>
      <c r="E116" s="38">
        <v>3.25</v>
      </c>
      <c r="F116" s="39">
        <f>Wages!C116*H116</f>
        <v>6.6666666666666661</v>
      </c>
      <c r="G116" s="38">
        <f>Wages!D116*I116</f>
        <v>2.5</v>
      </c>
      <c r="H116" s="39">
        <f t="shared" si="8"/>
        <v>1.3333333333333333</v>
      </c>
      <c r="I116" s="38">
        <f t="shared" si="9"/>
        <v>1.25</v>
      </c>
      <c r="J116" s="36"/>
      <c r="K116" s="36"/>
      <c r="L116" s="38"/>
      <c r="M116" s="39">
        <f>Prices!BP118*Wages!$C116</f>
        <v>5.387172284644195</v>
      </c>
      <c r="N116" s="39">
        <f>Prices!BP118*Wages!D116</f>
        <v>2.154868913857678</v>
      </c>
      <c r="O116" s="39">
        <f>Prices!$BP118*Wages!E116</f>
        <v>3.5016619850187265</v>
      </c>
      <c r="P116" s="39">
        <f>Prices!$BP118*F116</f>
        <v>7.1828963795255927</v>
      </c>
      <c r="Q116" s="39">
        <f>(31.1*0.925/Prices!$BN118)*G116</f>
        <v>2.6935861423220975</v>
      </c>
    </row>
    <row r="117" spans="1:17">
      <c r="A117" s="54">
        <f t="shared" si="5"/>
        <v>1367</v>
      </c>
      <c r="B117" s="36"/>
      <c r="C117" s="38">
        <v>5</v>
      </c>
      <c r="D117" s="38">
        <v>2</v>
      </c>
      <c r="E117" s="38">
        <v>3.25</v>
      </c>
      <c r="F117" s="39">
        <f>Wages!C117*H117</f>
        <v>6.6666666666666661</v>
      </c>
      <c r="G117" s="38">
        <f>Wages!D117*I117</f>
        <v>2.5</v>
      </c>
      <c r="H117" s="39">
        <f t="shared" si="8"/>
        <v>1.3333333333333333</v>
      </c>
      <c r="I117" s="38">
        <f t="shared" si="9"/>
        <v>1.25</v>
      </c>
      <c r="J117" s="36"/>
      <c r="K117" s="36"/>
      <c r="L117" s="38"/>
      <c r="M117" s="39">
        <f>Prices!BP119*Wages!$C117</f>
        <v>5.387172284644195</v>
      </c>
      <c r="N117" s="39">
        <f>Prices!BP119*Wages!D117</f>
        <v>2.154868913857678</v>
      </c>
      <c r="O117" s="39">
        <f>Prices!$BP119*Wages!E117</f>
        <v>3.5016619850187265</v>
      </c>
      <c r="P117" s="39">
        <f>Prices!$BP119*F117</f>
        <v>7.1828963795255927</v>
      </c>
      <c r="Q117" s="39">
        <f>(31.1*0.925/Prices!$BN119)*G117</f>
        <v>2.6935861423220975</v>
      </c>
    </row>
    <row r="118" spans="1:17">
      <c r="A118" s="54">
        <f t="shared" si="5"/>
        <v>1368</v>
      </c>
      <c r="B118" s="36"/>
      <c r="C118" s="38">
        <v>5</v>
      </c>
      <c r="D118" s="38">
        <v>2</v>
      </c>
      <c r="E118" s="38">
        <v>3.25</v>
      </c>
      <c r="F118" s="39">
        <f>Wages!C118*H118</f>
        <v>6.6666666666666661</v>
      </c>
      <c r="G118" s="38">
        <f>Wages!D118*I118</f>
        <v>2.5</v>
      </c>
      <c r="H118" s="39">
        <f t="shared" si="8"/>
        <v>1.3333333333333333</v>
      </c>
      <c r="I118" s="38">
        <f t="shared" si="9"/>
        <v>1.25</v>
      </c>
      <c r="J118" s="36"/>
      <c r="K118" s="36"/>
      <c r="L118" s="38"/>
      <c r="M118" s="39">
        <f>Prices!BP120*Wages!$C118</f>
        <v>5.387172284644195</v>
      </c>
      <c r="N118" s="39">
        <f>Prices!BP120*Wages!D118</f>
        <v>2.154868913857678</v>
      </c>
      <c r="O118" s="39">
        <f>Prices!$BP120*Wages!E118</f>
        <v>3.5016619850187265</v>
      </c>
      <c r="P118" s="39">
        <f>Prices!$BP120*F118</f>
        <v>7.1828963795255927</v>
      </c>
      <c r="Q118" s="39">
        <f>(31.1*0.925/Prices!$BN120)*G118</f>
        <v>2.6935861423220975</v>
      </c>
    </row>
    <row r="119" spans="1:17">
      <c r="A119" s="54">
        <f t="shared" si="5"/>
        <v>1369</v>
      </c>
      <c r="B119" s="36"/>
      <c r="C119" s="38">
        <v>5</v>
      </c>
      <c r="D119" s="38">
        <v>2</v>
      </c>
      <c r="E119" s="38">
        <v>3.25</v>
      </c>
      <c r="F119" s="39">
        <f>Wages!C119*H119</f>
        <v>6.6666666666666661</v>
      </c>
      <c r="G119" s="38">
        <f>Wages!D119*I119</f>
        <v>2.5</v>
      </c>
      <c r="H119" s="39">
        <f t="shared" si="8"/>
        <v>1.3333333333333333</v>
      </c>
      <c r="I119" s="38">
        <f t="shared" si="9"/>
        <v>1.25</v>
      </c>
      <c r="J119" s="36"/>
      <c r="K119" s="36"/>
      <c r="L119" s="38"/>
      <c r="M119" s="39">
        <f>Prices!BP121*Wages!$C119</f>
        <v>5.387172284644195</v>
      </c>
      <c r="N119" s="39">
        <f>Prices!BP121*Wages!D119</f>
        <v>2.154868913857678</v>
      </c>
      <c r="O119" s="39">
        <f>Prices!$BP121*Wages!E119</f>
        <v>3.5016619850187265</v>
      </c>
      <c r="P119" s="39">
        <f>Prices!$BP121*F119</f>
        <v>7.1828963795255927</v>
      </c>
      <c r="Q119" s="39">
        <f>(31.1*0.925/Prices!$BN121)*G119</f>
        <v>2.6935861423220975</v>
      </c>
    </row>
    <row r="120" spans="1:17">
      <c r="A120" s="54">
        <f t="shared" si="5"/>
        <v>1370</v>
      </c>
      <c r="B120" s="36"/>
      <c r="C120" s="38">
        <v>5</v>
      </c>
      <c r="D120" s="38">
        <v>2</v>
      </c>
      <c r="E120" s="38">
        <v>3.19</v>
      </c>
      <c r="F120" s="39">
        <f>Wages!C120*H120</f>
        <v>6.6666666666666661</v>
      </c>
      <c r="G120" s="38">
        <f>Wages!D120*I120</f>
        <v>2.5</v>
      </c>
      <c r="H120" s="39">
        <f t="shared" si="8"/>
        <v>1.3333333333333333</v>
      </c>
      <c r="I120" s="38">
        <f t="shared" si="9"/>
        <v>1.25</v>
      </c>
      <c r="J120" s="36"/>
      <c r="K120" s="36"/>
      <c r="L120" s="38"/>
      <c r="M120" s="39">
        <f>Prices!BP122*Wages!$C120</f>
        <v>5.387172284644195</v>
      </c>
      <c r="N120" s="39">
        <f>Prices!BP122*Wages!D120</f>
        <v>2.154868913857678</v>
      </c>
      <c r="O120" s="39">
        <f>Prices!$BP122*Wages!E120</f>
        <v>3.4370159176029964</v>
      </c>
      <c r="P120" s="39">
        <f>Prices!$BP122*F120</f>
        <v>7.1828963795255927</v>
      </c>
      <c r="Q120" s="39">
        <f>(31.1*0.925/Prices!$BN122)*G120</f>
        <v>2.6935861423220975</v>
      </c>
    </row>
    <row r="121" spans="1:17">
      <c r="A121" s="54">
        <f t="shared" si="5"/>
        <v>1371</v>
      </c>
      <c r="B121" s="36"/>
      <c r="C121" s="38">
        <v>5</v>
      </c>
      <c r="D121" s="38">
        <v>2</v>
      </c>
      <c r="E121" s="38">
        <v>3.19</v>
      </c>
      <c r="F121" s="39">
        <f>Wages!C121*H121</f>
        <v>6.6666666666666661</v>
      </c>
      <c r="G121" s="38">
        <f>Wages!D121*I121</f>
        <v>2.5</v>
      </c>
      <c r="H121" s="39">
        <f t="shared" si="8"/>
        <v>1.3333333333333333</v>
      </c>
      <c r="I121" s="38">
        <f t="shared" si="9"/>
        <v>1.25</v>
      </c>
      <c r="J121" s="36"/>
      <c r="K121" s="36"/>
      <c r="L121" s="38"/>
      <c r="M121" s="39">
        <f>Prices!BP123*Wages!$C121</f>
        <v>5.387172284644195</v>
      </c>
      <c r="N121" s="39">
        <f>Prices!BP123*Wages!D121</f>
        <v>2.154868913857678</v>
      </c>
      <c r="O121" s="39">
        <f>Prices!$BP123*Wages!E121</f>
        <v>3.4370159176029964</v>
      </c>
      <c r="P121" s="39">
        <f>Prices!$BP123*F121</f>
        <v>7.1828963795255927</v>
      </c>
      <c r="Q121" s="39">
        <f>(31.1*0.925/Prices!$BN123)*G121</f>
        <v>2.6935861423220975</v>
      </c>
    </row>
    <row r="122" spans="1:17">
      <c r="A122" s="54">
        <f t="shared" si="5"/>
        <v>1372</v>
      </c>
      <c r="B122" s="36"/>
      <c r="C122" s="38">
        <v>5</v>
      </c>
      <c r="D122" s="38">
        <v>3</v>
      </c>
      <c r="E122" s="38">
        <v>3.19</v>
      </c>
      <c r="F122" s="39">
        <f>Wages!C122*H122</f>
        <v>6.6666666666666661</v>
      </c>
      <c r="G122" s="38">
        <f>Wages!D122*I122</f>
        <v>3.75</v>
      </c>
      <c r="H122" s="39">
        <f t="shared" si="8"/>
        <v>1.3333333333333333</v>
      </c>
      <c r="I122" s="38">
        <f t="shared" si="9"/>
        <v>1.25</v>
      </c>
      <c r="J122" s="36"/>
      <c r="K122" s="36"/>
      <c r="L122" s="38"/>
      <c r="M122" s="39">
        <f>Prices!BP124*Wages!$C122</f>
        <v>5.387172284644195</v>
      </c>
      <c r="N122" s="39">
        <f>Prices!BP124*Wages!D122</f>
        <v>3.232303370786517</v>
      </c>
      <c r="O122" s="39">
        <f>Prices!$BP124*Wages!E122</f>
        <v>3.4370159176029964</v>
      </c>
      <c r="P122" s="39">
        <f>Prices!$BP124*F122</f>
        <v>7.1828963795255927</v>
      </c>
      <c r="Q122" s="39">
        <f>(31.1*0.925/Prices!$BN124)*G122</f>
        <v>4.0403792134831464</v>
      </c>
    </row>
    <row r="123" spans="1:17">
      <c r="A123" s="54">
        <f t="shared" si="5"/>
        <v>1373</v>
      </c>
      <c r="B123" s="36"/>
      <c r="C123" s="38">
        <v>5</v>
      </c>
      <c r="D123" s="38">
        <v>3</v>
      </c>
      <c r="E123" s="38">
        <v>3.19</v>
      </c>
      <c r="F123" s="39">
        <f>Wages!C123*H123</f>
        <v>6.6666666666666661</v>
      </c>
      <c r="G123" s="38">
        <f>Wages!D123*I123</f>
        <v>3.75</v>
      </c>
      <c r="H123" s="39">
        <f t="shared" si="8"/>
        <v>1.3333333333333333</v>
      </c>
      <c r="I123" s="38">
        <f t="shared" si="9"/>
        <v>1.25</v>
      </c>
      <c r="J123" s="36"/>
      <c r="K123" s="36"/>
      <c r="L123" s="38"/>
      <c r="M123" s="39">
        <f>Prices!BP125*Wages!$C123</f>
        <v>5.387172284644195</v>
      </c>
      <c r="N123" s="39">
        <f>Prices!BP125*Wages!D123</f>
        <v>3.232303370786517</v>
      </c>
      <c r="O123" s="39">
        <f>Prices!$BP125*Wages!E123</f>
        <v>3.4370159176029964</v>
      </c>
      <c r="P123" s="39">
        <f>Prices!$BP125*F123</f>
        <v>7.1828963795255927</v>
      </c>
      <c r="Q123" s="39">
        <f>(31.1*0.925/Prices!$BN125)*G123</f>
        <v>4.0403792134831464</v>
      </c>
    </row>
    <row r="124" spans="1:17">
      <c r="A124" s="54">
        <f t="shared" si="5"/>
        <v>1374</v>
      </c>
      <c r="B124" s="36"/>
      <c r="C124" s="38">
        <v>5</v>
      </c>
      <c r="D124" s="38">
        <v>3</v>
      </c>
      <c r="E124" s="38">
        <v>3.19</v>
      </c>
      <c r="F124" s="39">
        <f>Wages!C124*H124</f>
        <v>6.6666666666666661</v>
      </c>
      <c r="G124" s="38">
        <f>Wages!D124*I124</f>
        <v>3.75</v>
      </c>
      <c r="H124" s="39">
        <f t="shared" si="8"/>
        <v>1.3333333333333333</v>
      </c>
      <c r="I124" s="38">
        <f t="shared" si="9"/>
        <v>1.25</v>
      </c>
      <c r="J124" s="36"/>
      <c r="K124" s="36"/>
      <c r="L124" s="38"/>
      <c r="M124" s="39">
        <f>Prices!BP126*Wages!$C124</f>
        <v>5.387172284644195</v>
      </c>
      <c r="N124" s="39">
        <f>Prices!BP126*Wages!D124</f>
        <v>3.232303370786517</v>
      </c>
      <c r="O124" s="39">
        <f>Prices!$BP126*Wages!E124</f>
        <v>3.4370159176029964</v>
      </c>
      <c r="P124" s="39">
        <f>Prices!$BP126*F124</f>
        <v>7.1828963795255927</v>
      </c>
      <c r="Q124" s="39">
        <f>(31.1*0.925/Prices!$BN126)*G124</f>
        <v>4.0403792134831464</v>
      </c>
    </row>
    <row r="125" spans="1:17">
      <c r="A125" s="54">
        <f t="shared" si="5"/>
        <v>1375</v>
      </c>
      <c r="B125" s="36"/>
      <c r="C125" s="38">
        <v>5</v>
      </c>
      <c r="D125" s="38">
        <v>3</v>
      </c>
      <c r="E125" s="38">
        <v>3.19</v>
      </c>
      <c r="F125" s="39">
        <f>Wages!C125*H125</f>
        <v>6.6666666666666661</v>
      </c>
      <c r="G125" s="38">
        <f>Wages!D125*I125</f>
        <v>3.75</v>
      </c>
      <c r="H125" s="39">
        <f t="shared" si="8"/>
        <v>1.3333333333333333</v>
      </c>
      <c r="I125" s="38">
        <f t="shared" si="9"/>
        <v>1.25</v>
      </c>
      <c r="J125" s="36"/>
      <c r="K125" s="36"/>
      <c r="L125" s="38"/>
      <c r="M125" s="39">
        <f>Prices!BP127*Wages!$C125</f>
        <v>5.387172284644195</v>
      </c>
      <c r="N125" s="39">
        <f>Prices!BP127*Wages!D125</f>
        <v>3.232303370786517</v>
      </c>
      <c r="O125" s="39">
        <f>Prices!$BP127*Wages!E125</f>
        <v>3.4370159176029964</v>
      </c>
      <c r="P125" s="39">
        <f>Prices!$BP127*F125</f>
        <v>7.1828963795255927</v>
      </c>
      <c r="Q125" s="39">
        <f>(31.1*0.925/Prices!$BN127)*G125</f>
        <v>4.0403792134831464</v>
      </c>
    </row>
    <row r="126" spans="1:17">
      <c r="A126" s="54">
        <f t="shared" si="5"/>
        <v>1376</v>
      </c>
      <c r="B126" s="36"/>
      <c r="C126" s="38">
        <v>5</v>
      </c>
      <c r="D126" s="38">
        <v>3</v>
      </c>
      <c r="E126" s="38">
        <v>3.19</v>
      </c>
      <c r="F126" s="39">
        <f>Wages!C126*H126</f>
        <v>6.6666666666666661</v>
      </c>
      <c r="G126" s="38">
        <f>Wages!D126*I126</f>
        <v>3.75</v>
      </c>
      <c r="H126" s="39">
        <f t="shared" si="8"/>
        <v>1.3333333333333333</v>
      </c>
      <c r="I126" s="38">
        <f t="shared" si="9"/>
        <v>1.25</v>
      </c>
      <c r="J126" s="36"/>
      <c r="K126" s="36"/>
      <c r="L126" s="38"/>
      <c r="M126" s="39">
        <f>Prices!BP128*Wages!$C126</f>
        <v>5.387172284644195</v>
      </c>
      <c r="N126" s="39">
        <f>Prices!BP128*Wages!D126</f>
        <v>3.232303370786517</v>
      </c>
      <c r="O126" s="39">
        <f>Prices!$BP128*Wages!E126</f>
        <v>3.4370159176029964</v>
      </c>
      <c r="P126" s="39">
        <f>Prices!$BP128*F126</f>
        <v>7.1828963795255927</v>
      </c>
      <c r="Q126" s="39">
        <f>(31.1*0.925/Prices!$BN128)*G126</f>
        <v>4.0403792134831464</v>
      </c>
    </row>
    <row r="127" spans="1:17">
      <c r="A127" s="54">
        <f t="shared" si="5"/>
        <v>1377</v>
      </c>
      <c r="B127" s="36"/>
      <c r="C127" s="38">
        <v>5</v>
      </c>
      <c r="D127" s="38">
        <v>3</v>
      </c>
      <c r="E127" s="38">
        <v>3.19</v>
      </c>
      <c r="F127" s="39">
        <f>Wages!C127*H127</f>
        <v>6.6666666666666661</v>
      </c>
      <c r="G127" s="38">
        <f>Wages!D127*I127</f>
        <v>3.75</v>
      </c>
      <c r="H127" s="39">
        <f t="shared" si="8"/>
        <v>1.3333333333333333</v>
      </c>
      <c r="I127" s="38">
        <f t="shared" si="9"/>
        <v>1.25</v>
      </c>
      <c r="J127" s="36"/>
      <c r="K127" s="36"/>
      <c r="L127" s="38"/>
      <c r="M127" s="39">
        <f>Prices!BP129*Wages!$C127</f>
        <v>5.387172284644195</v>
      </c>
      <c r="N127" s="39">
        <f>Prices!BP129*Wages!D127</f>
        <v>3.232303370786517</v>
      </c>
      <c r="O127" s="39">
        <f>Prices!$BP129*Wages!E127</f>
        <v>3.4370159176029964</v>
      </c>
      <c r="P127" s="39">
        <f>Prices!$BP129*F127</f>
        <v>7.1828963795255927</v>
      </c>
      <c r="Q127" s="39">
        <f>(31.1*0.925/Prices!$BN129)*G127</f>
        <v>4.0403792134831464</v>
      </c>
    </row>
    <row r="128" spans="1:17">
      <c r="A128" s="54">
        <f t="shared" si="5"/>
        <v>1378</v>
      </c>
      <c r="B128" s="36"/>
      <c r="C128" s="38">
        <v>5</v>
      </c>
      <c r="D128" s="38">
        <v>3</v>
      </c>
      <c r="E128" s="38">
        <v>3.19</v>
      </c>
      <c r="F128" s="39">
        <f>Wages!C128*H128</f>
        <v>6.6666666666666661</v>
      </c>
      <c r="G128" s="38">
        <f>Wages!D128*I128</f>
        <v>3.75</v>
      </c>
      <c r="H128" s="39">
        <f t="shared" si="8"/>
        <v>1.3333333333333333</v>
      </c>
      <c r="I128" s="38">
        <f t="shared" si="9"/>
        <v>1.25</v>
      </c>
      <c r="J128" s="36"/>
      <c r="K128" s="36"/>
      <c r="L128" s="38"/>
      <c r="M128" s="39">
        <f>Prices!BP130*Wages!$C128</f>
        <v>5.387172284644195</v>
      </c>
      <c r="N128" s="39">
        <f>Prices!BP130*Wages!D128</f>
        <v>3.232303370786517</v>
      </c>
      <c r="O128" s="39">
        <f>Prices!$BP130*Wages!E128</f>
        <v>3.4370159176029964</v>
      </c>
      <c r="P128" s="39">
        <f>Prices!$BP130*F128</f>
        <v>7.1828963795255927</v>
      </c>
      <c r="Q128" s="39">
        <f>(31.1*0.925/Prices!$BN130)*G128</f>
        <v>4.0403792134831464</v>
      </c>
    </row>
    <row r="129" spans="1:17">
      <c r="A129" s="54">
        <f t="shared" si="5"/>
        <v>1379</v>
      </c>
      <c r="B129" s="36"/>
      <c r="C129" s="38">
        <v>5</v>
      </c>
      <c r="D129" s="38">
        <v>3</v>
      </c>
      <c r="E129" s="38">
        <v>3.19</v>
      </c>
      <c r="F129" s="39">
        <f>Wages!C129*H129</f>
        <v>6.6666666666666661</v>
      </c>
      <c r="G129" s="38">
        <f>Wages!D129*I129</f>
        <v>3.75</v>
      </c>
      <c r="H129" s="39">
        <f t="shared" si="8"/>
        <v>1.3333333333333333</v>
      </c>
      <c r="I129" s="38">
        <f t="shared" si="9"/>
        <v>1.25</v>
      </c>
      <c r="J129" s="36"/>
      <c r="K129" s="36"/>
      <c r="L129" s="38"/>
      <c r="M129" s="39">
        <f>Prices!BP131*Wages!$C129</f>
        <v>5.387172284644195</v>
      </c>
      <c r="N129" s="39">
        <f>Prices!BP131*Wages!D129</f>
        <v>3.232303370786517</v>
      </c>
      <c r="O129" s="39">
        <f>Prices!$BP131*Wages!E129</f>
        <v>3.4370159176029964</v>
      </c>
      <c r="P129" s="39">
        <f>Prices!$BP131*F129</f>
        <v>7.1828963795255927</v>
      </c>
      <c r="Q129" s="39">
        <f>(31.1*0.925/Prices!$BN131)*G129</f>
        <v>4.0403792134831464</v>
      </c>
    </row>
    <row r="130" spans="1:17">
      <c r="A130" s="54">
        <f t="shared" si="5"/>
        <v>1380</v>
      </c>
      <c r="B130" s="36"/>
      <c r="C130" s="38">
        <v>5</v>
      </c>
      <c r="D130" s="38">
        <v>3</v>
      </c>
      <c r="E130" s="38">
        <v>3.35</v>
      </c>
      <c r="F130" s="39">
        <f>Wages!C130*H130</f>
        <v>6.6666666666666661</v>
      </c>
      <c r="G130" s="38">
        <f>Wages!D130*I130</f>
        <v>3.75</v>
      </c>
      <c r="H130" s="39">
        <f t="shared" si="8"/>
        <v>1.3333333333333333</v>
      </c>
      <c r="I130" s="38">
        <f t="shared" si="9"/>
        <v>1.25</v>
      </c>
      <c r="J130" s="36"/>
      <c r="K130" s="36"/>
      <c r="L130" s="38"/>
      <c r="M130" s="39">
        <f>Prices!BP132*Wages!$C130</f>
        <v>5.387172284644195</v>
      </c>
      <c r="N130" s="39">
        <f>Prices!BP132*Wages!D130</f>
        <v>3.232303370786517</v>
      </c>
      <c r="O130" s="39">
        <f>Prices!$BP132*Wages!E130</f>
        <v>3.6094054307116106</v>
      </c>
      <c r="P130" s="39">
        <f>Prices!$BP132*F130</f>
        <v>7.1828963795255927</v>
      </c>
      <c r="Q130" s="39">
        <f>(31.1*0.925/Prices!$BN132)*G130</f>
        <v>4.0403792134831464</v>
      </c>
    </row>
    <row r="131" spans="1:17">
      <c r="A131" s="54">
        <f t="shared" si="5"/>
        <v>1381</v>
      </c>
      <c r="B131" s="36"/>
      <c r="C131" s="38">
        <v>5</v>
      </c>
      <c r="D131" s="38">
        <v>3</v>
      </c>
      <c r="E131" s="38">
        <v>3.35</v>
      </c>
      <c r="F131" s="39">
        <f>Wages!C131*H131</f>
        <v>6.6666666666666661</v>
      </c>
      <c r="G131" s="38">
        <f>Wages!D131*I131</f>
        <v>3.75</v>
      </c>
      <c r="H131" s="39">
        <f t="shared" si="8"/>
        <v>1.3333333333333333</v>
      </c>
      <c r="I131" s="38">
        <f t="shared" si="9"/>
        <v>1.25</v>
      </c>
      <c r="J131" s="36"/>
      <c r="K131" s="36"/>
      <c r="L131" s="38"/>
      <c r="M131" s="39">
        <f>Prices!BP133*Wages!$C131</f>
        <v>5.387172284644195</v>
      </c>
      <c r="N131" s="39">
        <f>Prices!BP133*Wages!D131</f>
        <v>3.232303370786517</v>
      </c>
      <c r="O131" s="39">
        <f>Prices!$BP133*Wages!E131</f>
        <v>3.6094054307116106</v>
      </c>
      <c r="P131" s="39">
        <f>Prices!$BP133*F131</f>
        <v>7.1828963795255927</v>
      </c>
      <c r="Q131" s="39">
        <f>(31.1*0.925/Prices!$BN133)*G131</f>
        <v>4.0403792134831464</v>
      </c>
    </row>
    <row r="132" spans="1:17">
      <c r="A132" s="54">
        <f t="shared" si="5"/>
        <v>1382</v>
      </c>
      <c r="B132" s="36"/>
      <c r="C132" s="38">
        <v>5</v>
      </c>
      <c r="D132" s="38">
        <v>3</v>
      </c>
      <c r="E132" s="38">
        <v>3.35</v>
      </c>
      <c r="F132" s="39">
        <f>Wages!C132*H132</f>
        <v>6.6666666666666661</v>
      </c>
      <c r="G132" s="38">
        <f>Wages!D132*I132</f>
        <v>3.75</v>
      </c>
      <c r="H132" s="39">
        <f t="shared" si="8"/>
        <v>1.3333333333333333</v>
      </c>
      <c r="I132" s="38">
        <f t="shared" si="9"/>
        <v>1.25</v>
      </c>
      <c r="J132" s="36"/>
      <c r="K132" s="36"/>
      <c r="L132" s="38"/>
      <c r="M132" s="39">
        <f>Prices!BP134*Wages!$C132</f>
        <v>5.387172284644195</v>
      </c>
      <c r="N132" s="39">
        <f>Prices!BP134*Wages!D132</f>
        <v>3.232303370786517</v>
      </c>
      <c r="O132" s="39">
        <f>Prices!$BP134*Wages!E132</f>
        <v>3.6094054307116106</v>
      </c>
      <c r="P132" s="39">
        <f>Prices!$BP134*F132</f>
        <v>7.1828963795255927</v>
      </c>
      <c r="Q132" s="39">
        <f>(31.1*0.925/Prices!$BN134)*G132</f>
        <v>4.0403792134831464</v>
      </c>
    </row>
    <row r="133" spans="1:17">
      <c r="A133" s="54">
        <f t="shared" si="5"/>
        <v>1383</v>
      </c>
      <c r="B133" s="36"/>
      <c r="C133" s="38">
        <v>5</v>
      </c>
      <c r="D133" s="38">
        <v>3</v>
      </c>
      <c r="E133" s="38">
        <v>3.35</v>
      </c>
      <c r="F133" s="39">
        <f>Wages!C133*H133</f>
        <v>6.6666666666666661</v>
      </c>
      <c r="G133" s="38">
        <f>Wages!D133*I133</f>
        <v>3.75</v>
      </c>
      <c r="H133" s="39">
        <f t="shared" si="8"/>
        <v>1.3333333333333333</v>
      </c>
      <c r="I133" s="38">
        <f t="shared" si="9"/>
        <v>1.25</v>
      </c>
      <c r="J133" s="36"/>
      <c r="K133" s="36"/>
      <c r="L133" s="38"/>
      <c r="M133" s="39">
        <f>Prices!BP135*Wages!$C133</f>
        <v>5.387172284644195</v>
      </c>
      <c r="N133" s="39">
        <f>Prices!BP135*Wages!D133</f>
        <v>3.232303370786517</v>
      </c>
      <c r="O133" s="39">
        <f>Prices!$BP135*Wages!E133</f>
        <v>3.6094054307116106</v>
      </c>
      <c r="P133" s="39">
        <f>Prices!$BP135*F133</f>
        <v>7.1828963795255927</v>
      </c>
      <c r="Q133" s="39">
        <f>(31.1*0.925/Prices!$BN135)*G133</f>
        <v>4.0403792134831464</v>
      </c>
    </row>
    <row r="134" spans="1:17">
      <c r="A134" s="54">
        <f t="shared" si="5"/>
        <v>1384</v>
      </c>
      <c r="B134" s="36"/>
      <c r="C134" s="38">
        <v>5</v>
      </c>
      <c r="D134" s="38">
        <v>3</v>
      </c>
      <c r="E134" s="38">
        <v>3.35</v>
      </c>
      <c r="F134" s="39">
        <f>Wages!C134*H134</f>
        <v>6.6666666666666661</v>
      </c>
      <c r="G134" s="38">
        <f>Wages!D134*I134</f>
        <v>3.75</v>
      </c>
      <c r="H134" s="39">
        <f t="shared" si="8"/>
        <v>1.3333333333333333</v>
      </c>
      <c r="I134" s="38">
        <f t="shared" si="9"/>
        <v>1.25</v>
      </c>
      <c r="J134" s="36"/>
      <c r="K134" s="36"/>
      <c r="L134" s="38"/>
      <c r="M134" s="39">
        <f>Prices!BP136*Wages!$C134</f>
        <v>5.387172284644195</v>
      </c>
      <c r="N134" s="39">
        <f>Prices!BP136*Wages!D134</f>
        <v>3.232303370786517</v>
      </c>
      <c r="O134" s="39">
        <f>Prices!$BP136*Wages!E134</f>
        <v>3.6094054307116106</v>
      </c>
      <c r="P134" s="39">
        <f>Prices!$BP136*F134</f>
        <v>7.1828963795255927</v>
      </c>
      <c r="Q134" s="39">
        <f>(31.1*0.925/Prices!$BN136)*G134</f>
        <v>4.0403792134831464</v>
      </c>
    </row>
    <row r="135" spans="1:17">
      <c r="A135" s="54">
        <f t="shared" si="5"/>
        <v>1385</v>
      </c>
      <c r="B135" s="36"/>
      <c r="C135" s="38">
        <v>5</v>
      </c>
      <c r="D135" s="38">
        <v>3</v>
      </c>
      <c r="E135" s="38">
        <v>3.35</v>
      </c>
      <c r="F135" s="39">
        <f>Wages!C135*H135</f>
        <v>6.6666666666666661</v>
      </c>
      <c r="G135" s="38">
        <f>Wages!D135*I135</f>
        <v>3.75</v>
      </c>
      <c r="H135" s="39">
        <f t="shared" si="8"/>
        <v>1.3333333333333333</v>
      </c>
      <c r="I135" s="38">
        <f t="shared" si="9"/>
        <v>1.25</v>
      </c>
      <c r="J135" s="36"/>
      <c r="K135" s="36"/>
      <c r="L135" s="38"/>
      <c r="M135" s="39">
        <f>Prices!BP137*Wages!$C135</f>
        <v>5.387172284644195</v>
      </c>
      <c r="N135" s="39">
        <f>Prices!BP137*Wages!D135</f>
        <v>3.232303370786517</v>
      </c>
      <c r="O135" s="39">
        <f>Prices!$BP137*Wages!E135</f>
        <v>3.6094054307116106</v>
      </c>
      <c r="P135" s="39">
        <f>Prices!$BP137*F135</f>
        <v>7.1828963795255927</v>
      </c>
      <c r="Q135" s="39">
        <f>(31.1*0.925/Prices!$BN137)*G135</f>
        <v>4.0403792134831464</v>
      </c>
    </row>
    <row r="136" spans="1:17">
      <c r="A136" s="54">
        <f t="shared" si="5"/>
        <v>1386</v>
      </c>
      <c r="B136" s="36"/>
      <c r="C136" s="38">
        <v>5</v>
      </c>
      <c r="D136" s="38">
        <v>3</v>
      </c>
      <c r="E136" s="38">
        <v>3.35</v>
      </c>
      <c r="F136" s="39">
        <f>Wages!C136*H136</f>
        <v>6.6666666666666661</v>
      </c>
      <c r="G136" s="38">
        <f>Wages!D136*I136</f>
        <v>3.75</v>
      </c>
      <c r="H136" s="39">
        <f t="shared" si="8"/>
        <v>1.3333333333333333</v>
      </c>
      <c r="I136" s="38">
        <f t="shared" si="9"/>
        <v>1.25</v>
      </c>
      <c r="J136" s="36"/>
      <c r="K136" s="36"/>
      <c r="L136" s="38"/>
      <c r="M136" s="39">
        <f>Prices!BP138*Wages!$C136</f>
        <v>5.387172284644195</v>
      </c>
      <c r="N136" s="39">
        <f>Prices!BP138*Wages!D136</f>
        <v>3.232303370786517</v>
      </c>
      <c r="O136" s="39">
        <f>Prices!$BP138*Wages!E136</f>
        <v>3.6094054307116106</v>
      </c>
      <c r="P136" s="39">
        <f>Prices!$BP138*F136</f>
        <v>7.1828963795255927</v>
      </c>
      <c r="Q136" s="39">
        <f>(31.1*0.925/Prices!$BN138)*G136</f>
        <v>4.0403792134831464</v>
      </c>
    </row>
    <row r="137" spans="1:17">
      <c r="A137" s="54">
        <f t="shared" si="5"/>
        <v>1387</v>
      </c>
      <c r="B137" s="36"/>
      <c r="C137" s="38">
        <v>5</v>
      </c>
      <c r="D137" s="38">
        <v>3</v>
      </c>
      <c r="E137" s="38">
        <v>3.35</v>
      </c>
      <c r="F137" s="39">
        <f>Wages!C137*H137</f>
        <v>6.6666666666666661</v>
      </c>
      <c r="G137" s="38">
        <f>Wages!D137*I137</f>
        <v>3.75</v>
      </c>
      <c r="H137" s="39">
        <f t="shared" si="8"/>
        <v>1.3333333333333333</v>
      </c>
      <c r="I137" s="38">
        <f t="shared" si="9"/>
        <v>1.25</v>
      </c>
      <c r="J137" s="36"/>
      <c r="K137" s="36"/>
      <c r="L137" s="38"/>
      <c r="M137" s="39">
        <f>Prices!BP139*Wages!$C137</f>
        <v>5.387172284644195</v>
      </c>
      <c r="N137" s="39">
        <f>Prices!BP139*Wages!D137</f>
        <v>3.232303370786517</v>
      </c>
      <c r="O137" s="39">
        <f>Prices!$BP139*Wages!E137</f>
        <v>3.6094054307116106</v>
      </c>
      <c r="P137" s="39">
        <f>Prices!$BP139*F137</f>
        <v>7.1828963795255927</v>
      </c>
      <c r="Q137" s="39">
        <f>(31.1*0.925/Prices!$BN139)*G137</f>
        <v>4.0403792134831464</v>
      </c>
    </row>
    <row r="138" spans="1:17">
      <c r="A138" s="54">
        <f t="shared" ref="A138:A201" si="10">A137+1</f>
        <v>1388</v>
      </c>
      <c r="B138" s="36"/>
      <c r="C138" s="38">
        <v>5</v>
      </c>
      <c r="D138" s="38">
        <v>3</v>
      </c>
      <c r="E138" s="38">
        <v>3.35</v>
      </c>
      <c r="F138" s="39">
        <f>Wages!C138*H138</f>
        <v>6.6666666666666661</v>
      </c>
      <c r="G138" s="38">
        <f>Wages!D138*I138</f>
        <v>3.75</v>
      </c>
      <c r="H138" s="39">
        <f t="shared" ref="H138:H169" si="11">4/3</f>
        <v>1.3333333333333333</v>
      </c>
      <c r="I138" s="38">
        <f t="shared" ref="I138:I169" si="12">5/4</f>
        <v>1.25</v>
      </c>
      <c r="J138" s="36"/>
      <c r="K138" s="36"/>
      <c r="L138" s="38"/>
      <c r="M138" s="39">
        <f>Prices!BP140*Wages!$C138</f>
        <v>5.387172284644195</v>
      </c>
      <c r="N138" s="39">
        <f>Prices!BP140*Wages!D138</f>
        <v>3.232303370786517</v>
      </c>
      <c r="O138" s="39">
        <f>Prices!$BP140*Wages!E138</f>
        <v>3.6094054307116106</v>
      </c>
      <c r="P138" s="39">
        <f>Prices!$BP140*F138</f>
        <v>7.1828963795255927</v>
      </c>
      <c r="Q138" s="39">
        <f>(31.1*0.925/Prices!$BN140)*G138</f>
        <v>4.0403792134831464</v>
      </c>
    </row>
    <row r="139" spans="1:17">
      <c r="A139" s="54">
        <f t="shared" si="10"/>
        <v>1389</v>
      </c>
      <c r="B139" s="36"/>
      <c r="C139" s="38">
        <v>5</v>
      </c>
      <c r="D139" s="38">
        <v>3</v>
      </c>
      <c r="E139" s="38">
        <v>3.35</v>
      </c>
      <c r="F139" s="39">
        <f>Wages!C139*H139</f>
        <v>6.6666666666666661</v>
      </c>
      <c r="G139" s="38">
        <f>Wages!D139*I139</f>
        <v>3.75</v>
      </c>
      <c r="H139" s="39">
        <f t="shared" si="11"/>
        <v>1.3333333333333333</v>
      </c>
      <c r="I139" s="38">
        <f t="shared" si="12"/>
        <v>1.25</v>
      </c>
      <c r="J139" s="36"/>
      <c r="K139" s="36"/>
      <c r="L139" s="38"/>
      <c r="M139" s="39">
        <f>Prices!BP141*Wages!$C139</f>
        <v>5.387172284644195</v>
      </c>
      <c r="N139" s="39">
        <f>Prices!BP141*Wages!D139</f>
        <v>3.232303370786517</v>
      </c>
      <c r="O139" s="39">
        <f>Prices!$BP141*Wages!E139</f>
        <v>3.6094054307116106</v>
      </c>
      <c r="P139" s="39">
        <f>Prices!$BP141*F139</f>
        <v>7.1828963795255927</v>
      </c>
      <c r="Q139" s="39">
        <f>(31.1*0.925/Prices!$BN141)*G139</f>
        <v>4.0403792134831464</v>
      </c>
    </row>
    <row r="140" spans="1:17">
      <c r="A140" s="54">
        <f t="shared" si="10"/>
        <v>1390</v>
      </c>
      <c r="B140" s="36"/>
      <c r="C140" s="38">
        <v>5</v>
      </c>
      <c r="D140" s="38">
        <v>3</v>
      </c>
      <c r="E140" s="38">
        <v>3.3</v>
      </c>
      <c r="F140" s="39">
        <f>Wages!C140*H140</f>
        <v>6.6666666666666661</v>
      </c>
      <c r="G140" s="38">
        <f>Wages!D140*I140</f>
        <v>3.75</v>
      </c>
      <c r="H140" s="39">
        <f t="shared" si="11"/>
        <v>1.3333333333333333</v>
      </c>
      <c r="I140" s="38">
        <f t="shared" si="12"/>
        <v>1.25</v>
      </c>
      <c r="J140" s="36"/>
      <c r="K140" s="36"/>
      <c r="L140" s="38"/>
      <c r="M140" s="39">
        <f>Prices!BP142*Wages!$C140</f>
        <v>5.387172284644195</v>
      </c>
      <c r="N140" s="39">
        <f>Prices!BP142*Wages!D140</f>
        <v>3.232303370786517</v>
      </c>
      <c r="O140" s="39">
        <f>Prices!$BP142*Wages!E140</f>
        <v>3.5555337078651683</v>
      </c>
      <c r="P140" s="39">
        <f>Prices!$BP142*F140</f>
        <v>7.1828963795255927</v>
      </c>
      <c r="Q140" s="39">
        <f>(31.1*0.925/Prices!$BN142)*G140</f>
        <v>4.0403792134831464</v>
      </c>
    </row>
    <row r="141" spans="1:17">
      <c r="A141" s="54">
        <f t="shared" si="10"/>
        <v>1391</v>
      </c>
      <c r="B141" s="36"/>
      <c r="C141" s="38">
        <v>5</v>
      </c>
      <c r="D141" s="38">
        <v>3</v>
      </c>
      <c r="E141" s="38">
        <v>3.3</v>
      </c>
      <c r="F141" s="39">
        <f>Wages!C141*H141</f>
        <v>6.6666666666666661</v>
      </c>
      <c r="G141" s="38">
        <f>Wages!D141*I141</f>
        <v>3.75</v>
      </c>
      <c r="H141" s="39">
        <f t="shared" si="11"/>
        <v>1.3333333333333333</v>
      </c>
      <c r="I141" s="38">
        <f t="shared" si="12"/>
        <v>1.25</v>
      </c>
      <c r="J141" s="36"/>
      <c r="K141" s="36"/>
      <c r="L141" s="38"/>
      <c r="M141" s="39">
        <f>Prices!BP143*Wages!$C141</f>
        <v>5.387172284644195</v>
      </c>
      <c r="N141" s="39">
        <f>Prices!BP143*Wages!D141</f>
        <v>3.232303370786517</v>
      </c>
      <c r="O141" s="39">
        <f>Prices!$BP143*Wages!E141</f>
        <v>3.5555337078651683</v>
      </c>
      <c r="P141" s="39">
        <f>Prices!$BP143*F141</f>
        <v>7.1828963795255927</v>
      </c>
      <c r="Q141" s="39">
        <f>(31.1*0.925/Prices!$BN143)*G141</f>
        <v>4.0403792134831464</v>
      </c>
    </row>
    <row r="142" spans="1:17">
      <c r="A142" s="54">
        <f t="shared" si="10"/>
        <v>1392</v>
      </c>
      <c r="B142" s="36"/>
      <c r="C142" s="38">
        <v>5</v>
      </c>
      <c r="D142" s="38">
        <v>3</v>
      </c>
      <c r="E142" s="38">
        <v>3.3</v>
      </c>
      <c r="F142" s="39">
        <f>Wages!C142*H142</f>
        <v>6.6666666666666661</v>
      </c>
      <c r="G142" s="38">
        <f>Wages!D142*I142</f>
        <v>3.75</v>
      </c>
      <c r="H142" s="39">
        <f t="shared" si="11"/>
        <v>1.3333333333333333</v>
      </c>
      <c r="I142" s="38">
        <f t="shared" si="12"/>
        <v>1.25</v>
      </c>
      <c r="J142" s="36"/>
      <c r="K142" s="36"/>
      <c r="L142" s="38"/>
      <c r="M142" s="39">
        <f>Prices!BP144*Wages!$C142</f>
        <v>5.387172284644195</v>
      </c>
      <c r="N142" s="39">
        <f>Prices!BP144*Wages!D142</f>
        <v>3.232303370786517</v>
      </c>
      <c r="O142" s="39">
        <f>Prices!$BP144*Wages!E142</f>
        <v>3.5555337078651683</v>
      </c>
      <c r="P142" s="39">
        <f>Prices!$BP144*F142</f>
        <v>7.1828963795255927</v>
      </c>
      <c r="Q142" s="39">
        <f>(31.1*0.925/Prices!$BN144)*G142</f>
        <v>4.0403792134831464</v>
      </c>
    </row>
    <row r="143" spans="1:17">
      <c r="A143" s="54">
        <f t="shared" si="10"/>
        <v>1393</v>
      </c>
      <c r="B143" s="36"/>
      <c r="C143" s="38">
        <v>5</v>
      </c>
      <c r="D143" s="38">
        <v>3</v>
      </c>
      <c r="E143" s="38">
        <v>3.3</v>
      </c>
      <c r="F143" s="39">
        <f>Wages!C143*H143</f>
        <v>6.6666666666666661</v>
      </c>
      <c r="G143" s="38">
        <f>Wages!D143*I143</f>
        <v>3.75</v>
      </c>
      <c r="H143" s="39">
        <f t="shared" si="11"/>
        <v>1.3333333333333333</v>
      </c>
      <c r="I143" s="38">
        <f t="shared" si="12"/>
        <v>1.25</v>
      </c>
      <c r="J143" s="36"/>
      <c r="K143" s="36"/>
      <c r="L143" s="38"/>
      <c r="M143" s="39">
        <f>Prices!BP145*Wages!$C143</f>
        <v>5.387172284644195</v>
      </c>
      <c r="N143" s="39">
        <f>Prices!BP145*Wages!D143</f>
        <v>3.232303370786517</v>
      </c>
      <c r="O143" s="39">
        <f>Prices!$BP145*Wages!E143</f>
        <v>3.5555337078651683</v>
      </c>
      <c r="P143" s="39">
        <f>Prices!$BP145*F143</f>
        <v>7.1828963795255927</v>
      </c>
      <c r="Q143" s="39">
        <f>(31.1*0.925/Prices!$BN145)*G143</f>
        <v>4.0403792134831464</v>
      </c>
    </row>
    <row r="144" spans="1:17">
      <c r="A144" s="54">
        <f t="shared" si="10"/>
        <v>1394</v>
      </c>
      <c r="B144" s="36"/>
      <c r="C144" s="38">
        <v>5</v>
      </c>
      <c r="D144" s="38">
        <v>3</v>
      </c>
      <c r="E144" s="38">
        <v>3.3</v>
      </c>
      <c r="F144" s="39">
        <f>Wages!C144*H144</f>
        <v>6.6666666666666661</v>
      </c>
      <c r="G144" s="38">
        <f>Wages!D144*I144</f>
        <v>3.75</v>
      </c>
      <c r="H144" s="39">
        <f t="shared" si="11"/>
        <v>1.3333333333333333</v>
      </c>
      <c r="I144" s="38">
        <f t="shared" si="12"/>
        <v>1.25</v>
      </c>
      <c r="J144" s="36"/>
      <c r="K144" s="36"/>
      <c r="L144" s="38"/>
      <c r="M144" s="39">
        <f>Prices!BP146*Wages!$C144</f>
        <v>5.387172284644195</v>
      </c>
      <c r="N144" s="39">
        <f>Prices!BP146*Wages!D144</f>
        <v>3.232303370786517</v>
      </c>
      <c r="O144" s="39">
        <f>Prices!$BP146*Wages!E144</f>
        <v>3.5555337078651683</v>
      </c>
      <c r="P144" s="39">
        <f>Prices!$BP146*F144</f>
        <v>7.1828963795255927</v>
      </c>
      <c r="Q144" s="39">
        <f>(31.1*0.925/Prices!$BN146)*G144</f>
        <v>4.0403792134831464</v>
      </c>
    </row>
    <row r="145" spans="1:17">
      <c r="A145" s="54">
        <f t="shared" si="10"/>
        <v>1395</v>
      </c>
      <c r="B145" s="36"/>
      <c r="C145" s="38">
        <v>5</v>
      </c>
      <c r="D145" s="38">
        <v>3</v>
      </c>
      <c r="E145" s="38">
        <v>3.3</v>
      </c>
      <c r="F145" s="39">
        <f>Wages!C145*H145</f>
        <v>6.6666666666666661</v>
      </c>
      <c r="G145" s="38">
        <f>Wages!D145*I145</f>
        <v>3.75</v>
      </c>
      <c r="H145" s="39">
        <f t="shared" si="11"/>
        <v>1.3333333333333333</v>
      </c>
      <c r="I145" s="38">
        <f t="shared" si="12"/>
        <v>1.25</v>
      </c>
      <c r="J145" s="36"/>
      <c r="K145" s="36"/>
      <c r="L145" s="38"/>
      <c r="M145" s="39">
        <f>Prices!BP147*Wages!$C145</f>
        <v>5.387172284644195</v>
      </c>
      <c r="N145" s="39">
        <f>Prices!BP147*Wages!D145</f>
        <v>3.232303370786517</v>
      </c>
      <c r="O145" s="39">
        <f>Prices!$BP147*Wages!E145</f>
        <v>3.5555337078651683</v>
      </c>
      <c r="P145" s="39">
        <f>Prices!$BP147*F145</f>
        <v>7.1828963795255927</v>
      </c>
      <c r="Q145" s="39">
        <f>(31.1*0.925/Prices!$BN147)*G145</f>
        <v>4.0403792134831464</v>
      </c>
    </row>
    <row r="146" spans="1:17">
      <c r="A146" s="54">
        <f t="shared" si="10"/>
        <v>1396</v>
      </c>
      <c r="B146" s="36"/>
      <c r="C146" s="38">
        <v>5</v>
      </c>
      <c r="D146" s="38">
        <v>3</v>
      </c>
      <c r="E146" s="38">
        <v>3.3</v>
      </c>
      <c r="F146" s="39">
        <f>Wages!C146*H146</f>
        <v>6.6666666666666661</v>
      </c>
      <c r="G146" s="38">
        <f>Wages!D146*I146</f>
        <v>3.75</v>
      </c>
      <c r="H146" s="39">
        <f t="shared" si="11"/>
        <v>1.3333333333333333</v>
      </c>
      <c r="I146" s="38">
        <f t="shared" si="12"/>
        <v>1.25</v>
      </c>
      <c r="J146" s="36"/>
      <c r="K146" s="36"/>
      <c r="L146" s="38"/>
      <c r="M146" s="39">
        <f>Prices!BP148*Wages!$C146</f>
        <v>5.387172284644195</v>
      </c>
      <c r="N146" s="39">
        <f>Prices!BP148*Wages!D146</f>
        <v>3.232303370786517</v>
      </c>
      <c r="O146" s="39">
        <f>Prices!$BP148*Wages!E146</f>
        <v>3.5555337078651683</v>
      </c>
      <c r="P146" s="39">
        <f>Prices!$BP148*F146</f>
        <v>7.1828963795255927</v>
      </c>
      <c r="Q146" s="39">
        <f>(31.1*0.925/Prices!$BN148)*G146</f>
        <v>4.0403792134831464</v>
      </c>
    </row>
    <row r="147" spans="1:17">
      <c r="A147" s="54">
        <f t="shared" si="10"/>
        <v>1397</v>
      </c>
      <c r="B147" s="36"/>
      <c r="C147" s="38">
        <v>5</v>
      </c>
      <c r="D147" s="38">
        <v>3</v>
      </c>
      <c r="E147" s="38">
        <v>3.3</v>
      </c>
      <c r="F147" s="39">
        <f>Wages!C147*H147</f>
        <v>6.6666666666666661</v>
      </c>
      <c r="G147" s="38">
        <f>Wages!D147*I147</f>
        <v>3.75</v>
      </c>
      <c r="H147" s="39">
        <f t="shared" si="11"/>
        <v>1.3333333333333333</v>
      </c>
      <c r="I147" s="38">
        <f t="shared" si="12"/>
        <v>1.25</v>
      </c>
      <c r="J147" s="36"/>
      <c r="K147" s="36"/>
      <c r="L147" s="38"/>
      <c r="M147" s="39">
        <f>Prices!BP149*Wages!$C147</f>
        <v>5.387172284644195</v>
      </c>
      <c r="N147" s="39">
        <f>Prices!BP149*Wages!D147</f>
        <v>3.232303370786517</v>
      </c>
      <c r="O147" s="39">
        <f>Prices!$BP149*Wages!E147</f>
        <v>3.5555337078651683</v>
      </c>
      <c r="P147" s="39">
        <f>Prices!$BP149*F147</f>
        <v>7.1828963795255927</v>
      </c>
      <c r="Q147" s="39">
        <f>(31.1*0.925/Prices!$BN149)*G147</f>
        <v>4.0403792134831464</v>
      </c>
    </row>
    <row r="148" spans="1:17">
      <c r="A148" s="54">
        <f t="shared" si="10"/>
        <v>1398</v>
      </c>
      <c r="B148" s="36"/>
      <c r="C148" s="38">
        <v>5</v>
      </c>
      <c r="D148" s="38">
        <v>3</v>
      </c>
      <c r="E148" s="38">
        <v>3.3</v>
      </c>
      <c r="F148" s="39">
        <f>Wages!C148*H148</f>
        <v>6.6666666666666661</v>
      </c>
      <c r="G148" s="38">
        <f>Wages!D148*I148</f>
        <v>3.75</v>
      </c>
      <c r="H148" s="39">
        <f t="shared" si="11"/>
        <v>1.3333333333333333</v>
      </c>
      <c r="I148" s="38">
        <f t="shared" si="12"/>
        <v>1.25</v>
      </c>
      <c r="J148" s="36"/>
      <c r="K148" s="36"/>
      <c r="L148" s="38"/>
      <c r="M148" s="39">
        <f>Prices!BP150*Wages!$C148</f>
        <v>5.387172284644195</v>
      </c>
      <c r="N148" s="39">
        <f>Prices!BP150*Wages!D148</f>
        <v>3.232303370786517</v>
      </c>
      <c r="O148" s="39">
        <f>Prices!$BP150*Wages!E148</f>
        <v>3.5555337078651683</v>
      </c>
      <c r="P148" s="39">
        <f>Prices!$BP150*F148</f>
        <v>7.1828963795255927</v>
      </c>
      <c r="Q148" s="39">
        <f>(31.1*0.925/Prices!$BN150)*G148</f>
        <v>4.0403792134831464</v>
      </c>
    </row>
    <row r="149" spans="1:17">
      <c r="A149" s="54">
        <f t="shared" si="10"/>
        <v>1399</v>
      </c>
      <c r="B149" s="36"/>
      <c r="C149" s="38">
        <v>5</v>
      </c>
      <c r="D149" s="38">
        <v>3</v>
      </c>
      <c r="E149" s="38">
        <v>3.3</v>
      </c>
      <c r="F149" s="39">
        <f>Wages!C149*H149</f>
        <v>6.6666666666666661</v>
      </c>
      <c r="G149" s="38">
        <f>Wages!D149*I149</f>
        <v>3.75</v>
      </c>
      <c r="H149" s="39">
        <f t="shared" si="11"/>
        <v>1.3333333333333333</v>
      </c>
      <c r="I149" s="38">
        <f t="shared" si="12"/>
        <v>1.25</v>
      </c>
      <c r="J149" s="36"/>
      <c r="K149" s="36"/>
      <c r="L149" s="38"/>
      <c r="M149" s="39">
        <f>Prices!BP151*Wages!$C149</f>
        <v>5.387172284644195</v>
      </c>
      <c r="N149" s="39">
        <f>Prices!BP151*Wages!D149</f>
        <v>3.232303370786517</v>
      </c>
      <c r="O149" s="39">
        <f>Prices!$BP151*Wages!E149</f>
        <v>3.5555337078651683</v>
      </c>
      <c r="P149" s="39">
        <f>Prices!$BP151*F149</f>
        <v>7.1828963795255927</v>
      </c>
      <c r="Q149" s="39">
        <f>(31.1*0.925/Prices!$BN151)*G149</f>
        <v>4.0403792134831464</v>
      </c>
    </row>
    <row r="150" spans="1:17">
      <c r="A150" s="54">
        <f t="shared" si="10"/>
        <v>1400</v>
      </c>
      <c r="B150" s="36"/>
      <c r="C150" s="38">
        <v>5</v>
      </c>
      <c r="D150" s="38">
        <v>3</v>
      </c>
      <c r="E150" s="38">
        <v>3.53</v>
      </c>
      <c r="F150" s="39">
        <f>Wages!C150*H150</f>
        <v>6.6666666666666661</v>
      </c>
      <c r="G150" s="38">
        <f>Wages!D150*I150</f>
        <v>3.75</v>
      </c>
      <c r="H150" s="39">
        <f t="shared" si="11"/>
        <v>1.3333333333333333</v>
      </c>
      <c r="I150" s="38">
        <f t="shared" si="12"/>
        <v>1.25</v>
      </c>
      <c r="J150" s="36"/>
      <c r="K150" s="36"/>
      <c r="L150" s="38"/>
      <c r="M150" s="39">
        <f>Prices!BP152*Wages!$C150</f>
        <v>5.387172284644195</v>
      </c>
      <c r="N150" s="39">
        <f>Prices!BP152*Wages!D150</f>
        <v>3.232303370786517</v>
      </c>
      <c r="O150" s="39">
        <f>Prices!$BP152*Wages!E150</f>
        <v>3.8033436329588013</v>
      </c>
      <c r="P150" s="39">
        <f>Prices!$BP152*F150</f>
        <v>7.1828963795255927</v>
      </c>
      <c r="Q150" s="39">
        <f>(31.1*0.925/Prices!$BN152)*G150</f>
        <v>4.0403792134831464</v>
      </c>
    </row>
    <row r="151" spans="1:17">
      <c r="A151" s="54">
        <f t="shared" si="10"/>
        <v>1401</v>
      </c>
      <c r="B151" s="36"/>
      <c r="C151" s="38">
        <v>5</v>
      </c>
      <c r="D151" s="38">
        <v>3</v>
      </c>
      <c r="E151" s="38">
        <v>3.53</v>
      </c>
      <c r="F151" s="39">
        <f>Wages!C151*H151</f>
        <v>6.6666666666666661</v>
      </c>
      <c r="G151" s="38">
        <f>Wages!D151*I151</f>
        <v>3.75</v>
      </c>
      <c r="H151" s="39">
        <f t="shared" si="11"/>
        <v>1.3333333333333333</v>
      </c>
      <c r="I151" s="38">
        <f t="shared" si="12"/>
        <v>1.25</v>
      </c>
      <c r="J151" s="36"/>
      <c r="K151" s="36"/>
      <c r="L151" s="38"/>
      <c r="M151" s="39">
        <f>Prices!BP153*Wages!$C151</f>
        <v>5.387172284644195</v>
      </c>
      <c r="N151" s="39">
        <f>Prices!BP153*Wages!D151</f>
        <v>3.232303370786517</v>
      </c>
      <c r="O151" s="39">
        <f>Prices!$BP153*Wages!E151</f>
        <v>3.8033436329588013</v>
      </c>
      <c r="P151" s="39">
        <f>Prices!$BP153*F151</f>
        <v>7.1828963795255927</v>
      </c>
      <c r="Q151" s="39">
        <f>(31.1*0.925/Prices!$BN153)*G151</f>
        <v>4.0403792134831464</v>
      </c>
    </row>
    <row r="152" spans="1:17">
      <c r="A152" s="54">
        <f t="shared" si="10"/>
        <v>1402</v>
      </c>
      <c r="B152" s="36"/>
      <c r="C152" s="38">
        <v>5</v>
      </c>
      <c r="D152" s="38">
        <v>3</v>
      </c>
      <c r="E152" s="38">
        <v>3.53</v>
      </c>
      <c r="F152" s="39">
        <f>Wages!C152*H152</f>
        <v>6.6666666666666661</v>
      </c>
      <c r="G152" s="38">
        <f>Wages!D152*I152</f>
        <v>3.75</v>
      </c>
      <c r="H152" s="39">
        <f t="shared" si="11"/>
        <v>1.3333333333333333</v>
      </c>
      <c r="I152" s="38">
        <f t="shared" si="12"/>
        <v>1.25</v>
      </c>
      <c r="J152" s="36"/>
      <c r="K152" s="36"/>
      <c r="L152" s="38"/>
      <c r="M152" s="39">
        <f>Prices!BP154*Wages!$C152</f>
        <v>5.387172284644195</v>
      </c>
      <c r="N152" s="39">
        <f>Prices!BP154*Wages!D152</f>
        <v>3.232303370786517</v>
      </c>
      <c r="O152" s="39">
        <f>Prices!$BP154*Wages!E152</f>
        <v>3.8033436329588013</v>
      </c>
      <c r="P152" s="39">
        <f>Prices!$BP154*F152</f>
        <v>7.1828963795255927</v>
      </c>
      <c r="Q152" s="39">
        <f>(31.1*0.925/Prices!$BN154)*G152</f>
        <v>4.0403792134831464</v>
      </c>
    </row>
    <row r="153" spans="1:17">
      <c r="A153" s="54">
        <f t="shared" si="10"/>
        <v>1403</v>
      </c>
      <c r="B153" s="36"/>
      <c r="C153" s="38">
        <v>5.5</v>
      </c>
      <c r="D153" s="38">
        <v>3.5</v>
      </c>
      <c r="E153" s="38">
        <v>3.53</v>
      </c>
      <c r="F153" s="39">
        <f>Wages!C153*H153</f>
        <v>7.333333333333333</v>
      </c>
      <c r="G153" s="38">
        <f>Wages!D153*I153</f>
        <v>4.375</v>
      </c>
      <c r="H153" s="39">
        <f t="shared" si="11"/>
        <v>1.3333333333333333</v>
      </c>
      <c r="I153" s="38">
        <f t="shared" si="12"/>
        <v>1.25</v>
      </c>
      <c r="J153" s="36"/>
      <c r="K153" s="36"/>
      <c r="L153" s="38"/>
      <c r="M153" s="39">
        <f>Prices!BP155*Wages!$C153</f>
        <v>5.9258895131086149</v>
      </c>
      <c r="N153" s="39">
        <f>Prices!BP155*Wages!D153</f>
        <v>3.7710205992509365</v>
      </c>
      <c r="O153" s="39">
        <f>Prices!$BP155*Wages!E153</f>
        <v>3.8033436329588013</v>
      </c>
      <c r="P153" s="39">
        <f>Prices!$BP155*F153</f>
        <v>7.9011860174781523</v>
      </c>
      <c r="Q153" s="39">
        <f>(31.1*0.925/Prices!$BN155)*G153</f>
        <v>4.7137757490636707</v>
      </c>
    </row>
    <row r="154" spans="1:17">
      <c r="A154" s="54">
        <f t="shared" si="10"/>
        <v>1404</v>
      </c>
      <c r="B154" s="36"/>
      <c r="C154" s="38">
        <v>5.5</v>
      </c>
      <c r="D154" s="38">
        <v>3.5</v>
      </c>
      <c r="E154" s="38">
        <v>3.53</v>
      </c>
      <c r="F154" s="39">
        <f>Wages!C154*H154</f>
        <v>7.333333333333333</v>
      </c>
      <c r="G154" s="38">
        <f>Wages!D154*I154</f>
        <v>4.375</v>
      </c>
      <c r="H154" s="39">
        <f t="shared" si="11"/>
        <v>1.3333333333333333</v>
      </c>
      <c r="I154" s="38">
        <f t="shared" si="12"/>
        <v>1.25</v>
      </c>
      <c r="J154" s="36"/>
      <c r="K154" s="36"/>
      <c r="L154" s="38"/>
      <c r="M154" s="39">
        <f>Prices!BP156*Wages!$C154</f>
        <v>5.9258895131086149</v>
      </c>
      <c r="N154" s="39">
        <f>Prices!BP156*Wages!D154</f>
        <v>3.7710205992509365</v>
      </c>
      <c r="O154" s="39">
        <f>Prices!$BP156*Wages!E154</f>
        <v>3.8033436329588013</v>
      </c>
      <c r="P154" s="39">
        <f>Prices!$BP156*F154</f>
        <v>7.9011860174781523</v>
      </c>
      <c r="Q154" s="39">
        <f>(31.1*0.925/Prices!$BN156)*G154</f>
        <v>4.7137757490636707</v>
      </c>
    </row>
    <row r="155" spans="1:17">
      <c r="A155" s="54">
        <f t="shared" si="10"/>
        <v>1405</v>
      </c>
      <c r="B155" s="36"/>
      <c r="C155" s="38">
        <v>5.5</v>
      </c>
      <c r="D155" s="38">
        <v>3.5</v>
      </c>
      <c r="E155" s="38">
        <v>3.53</v>
      </c>
      <c r="F155" s="39">
        <f>Wages!C155*H155</f>
        <v>7.333333333333333</v>
      </c>
      <c r="G155" s="38">
        <f>Wages!D155*I155</f>
        <v>4.375</v>
      </c>
      <c r="H155" s="39">
        <f t="shared" si="11"/>
        <v>1.3333333333333333</v>
      </c>
      <c r="I155" s="38">
        <f t="shared" si="12"/>
        <v>1.25</v>
      </c>
      <c r="J155" s="36"/>
      <c r="K155" s="36"/>
      <c r="L155" s="38"/>
      <c r="M155" s="39">
        <f>Prices!BP157*Wages!$C155</f>
        <v>5.9258895131086149</v>
      </c>
      <c r="N155" s="39">
        <f>Prices!BP157*Wages!D155</f>
        <v>3.7710205992509365</v>
      </c>
      <c r="O155" s="39">
        <f>Prices!$BP157*Wages!E155</f>
        <v>3.8033436329588013</v>
      </c>
      <c r="P155" s="39">
        <f>Prices!$BP157*F155</f>
        <v>7.9011860174781523</v>
      </c>
      <c r="Q155" s="39">
        <f>(31.1*0.925/Prices!$BN157)*G155</f>
        <v>4.7137757490636707</v>
      </c>
    </row>
    <row r="156" spans="1:17">
      <c r="A156" s="54">
        <f t="shared" si="10"/>
        <v>1406</v>
      </c>
      <c r="B156" s="36"/>
      <c r="C156" s="38">
        <v>5.5</v>
      </c>
      <c r="D156" s="38">
        <v>3.5</v>
      </c>
      <c r="E156" s="38">
        <v>3.53</v>
      </c>
      <c r="F156" s="39">
        <f>Wages!C156*H156</f>
        <v>7.333333333333333</v>
      </c>
      <c r="G156" s="38">
        <f>Wages!D156*I156</f>
        <v>4.375</v>
      </c>
      <c r="H156" s="39">
        <f t="shared" si="11"/>
        <v>1.3333333333333333</v>
      </c>
      <c r="I156" s="38">
        <f t="shared" si="12"/>
        <v>1.25</v>
      </c>
      <c r="J156" s="36"/>
      <c r="K156" s="36"/>
      <c r="L156" s="38"/>
      <c r="M156" s="39">
        <f>Prices!BP158*Wages!$C156</f>
        <v>5.9258895131086149</v>
      </c>
      <c r="N156" s="39">
        <f>Prices!BP158*Wages!D156</f>
        <v>3.7710205992509365</v>
      </c>
      <c r="O156" s="39">
        <f>Prices!$BP158*Wages!E156</f>
        <v>3.8033436329588013</v>
      </c>
      <c r="P156" s="39">
        <f>Prices!$BP158*F156</f>
        <v>7.9011860174781523</v>
      </c>
      <c r="Q156" s="39">
        <f>(31.1*0.925/Prices!$BN158)*G156</f>
        <v>4.7137757490636707</v>
      </c>
    </row>
    <row r="157" spans="1:17">
      <c r="A157" s="54">
        <f t="shared" si="10"/>
        <v>1407</v>
      </c>
      <c r="B157" s="36"/>
      <c r="C157" s="38">
        <v>5.5</v>
      </c>
      <c r="D157" s="38">
        <v>3.5</v>
      </c>
      <c r="E157" s="38">
        <v>3.53</v>
      </c>
      <c r="F157" s="39">
        <f>Wages!C157*H157</f>
        <v>7.333333333333333</v>
      </c>
      <c r="G157" s="38">
        <f>Wages!D157*I157</f>
        <v>4.375</v>
      </c>
      <c r="H157" s="39">
        <f t="shared" si="11"/>
        <v>1.3333333333333333</v>
      </c>
      <c r="I157" s="38">
        <f t="shared" si="12"/>
        <v>1.25</v>
      </c>
      <c r="J157" s="36"/>
      <c r="K157" s="36"/>
      <c r="L157" s="38"/>
      <c r="M157" s="39">
        <f>Prices!BP159*Wages!$C157</f>
        <v>5.9258895131086149</v>
      </c>
      <c r="N157" s="39">
        <f>Prices!BP159*Wages!D157</f>
        <v>3.7710205992509365</v>
      </c>
      <c r="O157" s="39">
        <f>Prices!$BP159*Wages!E157</f>
        <v>3.8033436329588013</v>
      </c>
      <c r="P157" s="39">
        <f>Prices!$BP159*F157</f>
        <v>7.9011860174781523</v>
      </c>
      <c r="Q157" s="39">
        <f>(31.1*0.925/Prices!$BN159)*G157</f>
        <v>4.7137757490636707</v>
      </c>
    </row>
    <row r="158" spans="1:17">
      <c r="A158" s="54">
        <f t="shared" si="10"/>
        <v>1408</v>
      </c>
      <c r="B158" s="36"/>
      <c r="C158" s="38">
        <v>5.5</v>
      </c>
      <c r="D158" s="38">
        <v>3.5</v>
      </c>
      <c r="E158" s="38">
        <v>3.53</v>
      </c>
      <c r="F158" s="39">
        <f>Wages!C158*H158</f>
        <v>7.333333333333333</v>
      </c>
      <c r="G158" s="38">
        <f>Wages!D158*I158</f>
        <v>4.375</v>
      </c>
      <c r="H158" s="39">
        <f t="shared" si="11"/>
        <v>1.3333333333333333</v>
      </c>
      <c r="I158" s="38">
        <f t="shared" si="12"/>
        <v>1.25</v>
      </c>
      <c r="J158" s="36"/>
      <c r="K158" s="36"/>
      <c r="L158" s="38"/>
      <c r="M158" s="39">
        <f>Prices!BP160*Wages!$C158</f>
        <v>5.9258895131086149</v>
      </c>
      <c r="N158" s="39">
        <f>Prices!BP160*Wages!D158</f>
        <v>3.7710205992509365</v>
      </c>
      <c r="O158" s="39">
        <f>Prices!$BP160*Wages!E158</f>
        <v>3.8033436329588013</v>
      </c>
      <c r="P158" s="39">
        <f>Prices!$BP160*F158</f>
        <v>7.9011860174781523</v>
      </c>
      <c r="Q158" s="39">
        <f>(31.1*0.925/Prices!$BN160)*G158</f>
        <v>4.7137757490636707</v>
      </c>
    </row>
    <row r="159" spans="1:17">
      <c r="A159" s="54">
        <f t="shared" si="10"/>
        <v>1409</v>
      </c>
      <c r="B159" s="36"/>
      <c r="C159" s="38">
        <v>5.5</v>
      </c>
      <c r="D159" s="38">
        <v>3.5</v>
      </c>
      <c r="E159" s="38">
        <v>3.53</v>
      </c>
      <c r="F159" s="39">
        <f>Wages!C159*H159</f>
        <v>7.333333333333333</v>
      </c>
      <c r="G159" s="38">
        <f>Wages!D159*I159</f>
        <v>4.375</v>
      </c>
      <c r="H159" s="39">
        <f t="shared" si="11"/>
        <v>1.3333333333333333</v>
      </c>
      <c r="I159" s="38">
        <f t="shared" si="12"/>
        <v>1.25</v>
      </c>
      <c r="J159" s="36"/>
      <c r="K159" s="36"/>
      <c r="L159" s="38"/>
      <c r="M159" s="39">
        <f>Prices!BP161*Wages!$C159</f>
        <v>5.9258895131086149</v>
      </c>
      <c r="N159" s="39">
        <f>Prices!BP161*Wages!D159</f>
        <v>3.7710205992509365</v>
      </c>
      <c r="O159" s="39">
        <f>Prices!$BP161*Wages!E159</f>
        <v>3.8033436329588013</v>
      </c>
      <c r="P159" s="39">
        <f>Prices!$BP161*F159</f>
        <v>7.9011860174781523</v>
      </c>
      <c r="Q159" s="39">
        <f>(31.1*0.925/Prices!$BN161)*G159</f>
        <v>4.7137757490636707</v>
      </c>
    </row>
    <row r="160" spans="1:17">
      <c r="A160" s="54">
        <f t="shared" si="10"/>
        <v>1410</v>
      </c>
      <c r="B160" s="36"/>
      <c r="C160" s="38">
        <v>5.5</v>
      </c>
      <c r="D160" s="38">
        <v>3.5</v>
      </c>
      <c r="E160" s="38">
        <v>3.69</v>
      </c>
      <c r="F160" s="39">
        <f>Wages!C160*H160</f>
        <v>7.333333333333333</v>
      </c>
      <c r="G160" s="38">
        <f>Wages!D160*I160</f>
        <v>4.375</v>
      </c>
      <c r="H160" s="39">
        <f t="shared" si="11"/>
        <v>1.3333333333333333</v>
      </c>
      <c r="I160" s="38">
        <f t="shared" si="12"/>
        <v>1.25</v>
      </c>
      <c r="J160" s="36"/>
      <c r="K160" s="36"/>
      <c r="L160" s="38"/>
      <c r="M160" s="39">
        <f>Prices!BP162*Wages!$C160</f>
        <v>5.9258895131086149</v>
      </c>
      <c r="N160" s="39">
        <f>Prices!BP162*Wages!D160</f>
        <v>3.7710205992509365</v>
      </c>
      <c r="O160" s="39">
        <f>Prices!$BP162*Wages!E160</f>
        <v>3.9757331460674159</v>
      </c>
      <c r="P160" s="39">
        <f>Prices!$BP162*F160</f>
        <v>7.9011860174781523</v>
      </c>
      <c r="Q160" s="39">
        <f>(31.1*0.925/Prices!$BN162)*G160</f>
        <v>4.7137757490636707</v>
      </c>
    </row>
    <row r="161" spans="1:17">
      <c r="A161" s="54">
        <f t="shared" si="10"/>
        <v>1411</v>
      </c>
      <c r="B161" s="36"/>
      <c r="C161" s="38">
        <v>5.5</v>
      </c>
      <c r="D161" s="38">
        <v>3.5</v>
      </c>
      <c r="E161" s="38">
        <v>3.69</v>
      </c>
      <c r="F161" s="39">
        <f>Wages!C161*H161</f>
        <v>7.333333333333333</v>
      </c>
      <c r="G161" s="38">
        <f>Wages!D161*I161</f>
        <v>4.375</v>
      </c>
      <c r="H161" s="39">
        <f t="shared" si="11"/>
        <v>1.3333333333333333</v>
      </c>
      <c r="I161" s="38">
        <f t="shared" si="12"/>
        <v>1.25</v>
      </c>
      <c r="J161" s="36"/>
      <c r="K161" s="36"/>
      <c r="L161" s="38"/>
      <c r="M161" s="39">
        <f>Prices!BP163*Wages!$C161</f>
        <v>5.9258895131086149</v>
      </c>
      <c r="N161" s="39">
        <f>Prices!BP163*Wages!D161</f>
        <v>3.7710205992509365</v>
      </c>
      <c r="O161" s="39">
        <f>Prices!$BP163*Wages!E161</f>
        <v>3.9757331460674159</v>
      </c>
      <c r="P161" s="39">
        <f>Prices!$BP163*F161</f>
        <v>7.9011860174781523</v>
      </c>
      <c r="Q161" s="39">
        <f>(31.1*0.925/Prices!$BN163)*G161</f>
        <v>4.7137757490636707</v>
      </c>
    </row>
    <row r="162" spans="1:17">
      <c r="A162" s="54">
        <f t="shared" si="10"/>
        <v>1412</v>
      </c>
      <c r="B162" s="36"/>
      <c r="C162" s="38">
        <v>5.5</v>
      </c>
      <c r="D162" s="38">
        <v>3.5</v>
      </c>
      <c r="E162" s="38">
        <v>3.69</v>
      </c>
      <c r="F162" s="39">
        <f>Wages!C162*H162</f>
        <v>7.333333333333333</v>
      </c>
      <c r="G162" s="38">
        <f>Wages!D162*I162</f>
        <v>4.375</v>
      </c>
      <c r="H162" s="39">
        <f t="shared" si="11"/>
        <v>1.3333333333333333</v>
      </c>
      <c r="I162" s="38">
        <f t="shared" si="12"/>
        <v>1.25</v>
      </c>
      <c r="J162" s="36"/>
      <c r="K162" s="36"/>
      <c r="L162" s="38"/>
      <c r="M162" s="39">
        <f>Prices!BP164*Wages!$C162</f>
        <v>4.9444140624999999</v>
      </c>
      <c r="N162" s="39">
        <f>Prices!BP164*Wages!D162</f>
        <v>3.1464453125</v>
      </c>
      <c r="O162" s="39">
        <f>Prices!$BP164*Wages!E162</f>
        <v>3.3172523437500003</v>
      </c>
      <c r="P162" s="39">
        <f>Prices!$BP164*F162</f>
        <v>6.5925520833333335</v>
      </c>
      <c r="Q162" s="39">
        <f>(31.1*0.925/Prices!$BN164)*G162</f>
        <v>3.9330566406250003</v>
      </c>
    </row>
    <row r="163" spans="1:17">
      <c r="A163" s="54">
        <f t="shared" si="10"/>
        <v>1413</v>
      </c>
      <c r="B163" s="36"/>
      <c r="C163" s="38">
        <v>6</v>
      </c>
      <c r="D163" s="38">
        <v>4</v>
      </c>
      <c r="E163" s="38">
        <v>3.69</v>
      </c>
      <c r="F163" s="38">
        <f>Wages!C163*H163</f>
        <v>8</v>
      </c>
      <c r="G163" s="38">
        <f>Wages!D163*I163</f>
        <v>5</v>
      </c>
      <c r="H163" s="39">
        <f t="shared" si="11"/>
        <v>1.3333333333333333</v>
      </c>
      <c r="I163" s="38">
        <f t="shared" si="12"/>
        <v>1.25</v>
      </c>
      <c r="J163" s="36"/>
      <c r="K163" s="36"/>
      <c r="L163" s="38"/>
      <c r="M163" s="39">
        <f>Prices!BP165*Wages!$C163</f>
        <v>5.3939062500000006</v>
      </c>
      <c r="N163" s="39">
        <f>Prices!BP165*Wages!D163</f>
        <v>3.5959375000000002</v>
      </c>
      <c r="O163" s="39">
        <f>Prices!$BP165*Wages!E163</f>
        <v>3.3172523437500003</v>
      </c>
      <c r="P163" s="39">
        <f>Prices!$BP165*F163</f>
        <v>7.1918750000000005</v>
      </c>
      <c r="Q163" s="39">
        <f>(31.1*0.925/Prices!$BN165)*G163</f>
        <v>4.4949218750000002</v>
      </c>
    </row>
    <row r="164" spans="1:17">
      <c r="A164" s="54">
        <f t="shared" si="10"/>
        <v>1414</v>
      </c>
      <c r="B164" s="36"/>
      <c r="C164" s="38">
        <v>6</v>
      </c>
      <c r="D164" s="38">
        <v>4</v>
      </c>
      <c r="E164" s="38">
        <v>3.69</v>
      </c>
      <c r="F164" s="38">
        <f>Wages!C164*H164</f>
        <v>8</v>
      </c>
      <c r="G164" s="38">
        <f>Wages!D164*I164</f>
        <v>5</v>
      </c>
      <c r="H164" s="39">
        <f t="shared" si="11"/>
        <v>1.3333333333333333</v>
      </c>
      <c r="I164" s="38">
        <f t="shared" si="12"/>
        <v>1.25</v>
      </c>
      <c r="J164" s="36"/>
      <c r="K164" s="36"/>
      <c r="L164" s="38"/>
      <c r="M164" s="39">
        <f>Prices!BP166*Wages!$C164</f>
        <v>5.3939062500000006</v>
      </c>
      <c r="N164" s="39">
        <f>Prices!BP166*Wages!D164</f>
        <v>3.5959375000000002</v>
      </c>
      <c r="O164" s="39">
        <f>Prices!$BP166*Wages!E164</f>
        <v>3.3172523437500003</v>
      </c>
      <c r="P164" s="39">
        <f>Prices!$BP166*F164</f>
        <v>7.1918750000000005</v>
      </c>
      <c r="Q164" s="39">
        <f>(31.1*0.925/Prices!$BN166)*G164</f>
        <v>4.4949218750000002</v>
      </c>
    </row>
    <row r="165" spans="1:17">
      <c r="A165" s="54">
        <f t="shared" si="10"/>
        <v>1415</v>
      </c>
      <c r="B165" s="36"/>
      <c r="C165" s="38">
        <v>6</v>
      </c>
      <c r="D165" s="38">
        <v>4</v>
      </c>
      <c r="E165" s="38">
        <v>3.69</v>
      </c>
      <c r="F165" s="38">
        <f>Wages!C165*H165</f>
        <v>8</v>
      </c>
      <c r="G165" s="38">
        <f>Wages!D165*I165</f>
        <v>5</v>
      </c>
      <c r="H165" s="39">
        <f t="shared" si="11"/>
        <v>1.3333333333333333</v>
      </c>
      <c r="I165" s="38">
        <f t="shared" si="12"/>
        <v>1.25</v>
      </c>
      <c r="J165" s="36"/>
      <c r="K165" s="36"/>
      <c r="L165" s="38"/>
      <c r="M165" s="39">
        <f>Prices!BP167*Wages!$C165</f>
        <v>5.3939062500000006</v>
      </c>
      <c r="N165" s="39">
        <f>Prices!BP167*Wages!D165</f>
        <v>3.5959375000000002</v>
      </c>
      <c r="O165" s="39">
        <f>Prices!$BP167*Wages!E165</f>
        <v>3.3172523437500003</v>
      </c>
      <c r="P165" s="39">
        <f>Prices!$BP167*F165</f>
        <v>7.1918750000000005</v>
      </c>
      <c r="Q165" s="39">
        <f>(31.1*0.925/Prices!$BN167)*G165</f>
        <v>4.4949218750000002</v>
      </c>
    </row>
    <row r="166" spans="1:17">
      <c r="A166" s="54">
        <f t="shared" si="10"/>
        <v>1416</v>
      </c>
      <c r="B166" s="36"/>
      <c r="C166" s="38">
        <v>6</v>
      </c>
      <c r="D166" s="38">
        <v>4</v>
      </c>
      <c r="E166" s="38">
        <v>3.69</v>
      </c>
      <c r="F166" s="38">
        <f>Wages!C166*H166</f>
        <v>8</v>
      </c>
      <c r="G166" s="38">
        <f>Wages!D166*I166</f>
        <v>5</v>
      </c>
      <c r="H166" s="39">
        <f t="shared" si="11"/>
        <v>1.3333333333333333</v>
      </c>
      <c r="I166" s="38">
        <f t="shared" si="12"/>
        <v>1.25</v>
      </c>
      <c r="J166" s="36"/>
      <c r="K166" s="36"/>
      <c r="L166" s="38"/>
      <c r="M166" s="39">
        <f>Prices!BP168*Wages!$C166</f>
        <v>5.3939062500000006</v>
      </c>
      <c r="N166" s="39">
        <f>Prices!BP168*Wages!D166</f>
        <v>3.5959375000000002</v>
      </c>
      <c r="O166" s="39">
        <f>Prices!$BP168*Wages!E166</f>
        <v>3.3172523437500003</v>
      </c>
      <c r="P166" s="39">
        <f>Prices!$BP168*F166</f>
        <v>7.1918750000000005</v>
      </c>
      <c r="Q166" s="39">
        <f>(31.1*0.925/Prices!$BN168)*G166</f>
        <v>4.4949218750000002</v>
      </c>
    </row>
    <row r="167" spans="1:17">
      <c r="A167" s="54">
        <f t="shared" si="10"/>
        <v>1417</v>
      </c>
      <c r="B167" s="36"/>
      <c r="C167" s="38">
        <v>6</v>
      </c>
      <c r="D167" s="38">
        <v>4</v>
      </c>
      <c r="E167" s="38">
        <v>3.69</v>
      </c>
      <c r="F167" s="38">
        <f>Wages!C167*H167</f>
        <v>8</v>
      </c>
      <c r="G167" s="38">
        <f>Wages!D167*I167</f>
        <v>5</v>
      </c>
      <c r="H167" s="39">
        <f t="shared" si="11"/>
        <v>1.3333333333333333</v>
      </c>
      <c r="I167" s="38">
        <f t="shared" si="12"/>
        <v>1.25</v>
      </c>
      <c r="J167" s="36"/>
      <c r="K167" s="36"/>
      <c r="L167" s="38"/>
      <c r="M167" s="39">
        <f>Prices!BP169*Wages!$C167</f>
        <v>5.3939062500000006</v>
      </c>
      <c r="N167" s="39">
        <f>Prices!BP169*Wages!D167</f>
        <v>3.5959375000000002</v>
      </c>
      <c r="O167" s="39">
        <f>Prices!$BP169*Wages!E167</f>
        <v>3.3172523437500003</v>
      </c>
      <c r="P167" s="39">
        <f>Prices!$BP169*F167</f>
        <v>7.1918750000000005</v>
      </c>
      <c r="Q167" s="39">
        <f>(31.1*0.925/Prices!$BN169)*G167</f>
        <v>4.4949218750000002</v>
      </c>
    </row>
    <row r="168" spans="1:17">
      <c r="A168" s="54">
        <f t="shared" si="10"/>
        <v>1418</v>
      </c>
      <c r="B168" s="36"/>
      <c r="C168" s="38">
        <v>6</v>
      </c>
      <c r="D168" s="38">
        <v>4</v>
      </c>
      <c r="E168" s="38">
        <v>3.69</v>
      </c>
      <c r="F168" s="38">
        <f>Wages!C168*H168</f>
        <v>8</v>
      </c>
      <c r="G168" s="38">
        <f>Wages!D168*I168</f>
        <v>5</v>
      </c>
      <c r="H168" s="39">
        <f t="shared" si="11"/>
        <v>1.3333333333333333</v>
      </c>
      <c r="I168" s="38">
        <f t="shared" si="12"/>
        <v>1.25</v>
      </c>
      <c r="J168" s="36"/>
      <c r="K168" s="36"/>
      <c r="L168" s="38"/>
      <c r="M168" s="39">
        <f>Prices!BP170*Wages!$C168</f>
        <v>5.3939062500000006</v>
      </c>
      <c r="N168" s="39">
        <f>Prices!BP170*Wages!D168</f>
        <v>3.5959375000000002</v>
      </c>
      <c r="O168" s="39">
        <f>Prices!$BP170*Wages!E168</f>
        <v>3.3172523437500003</v>
      </c>
      <c r="P168" s="39">
        <f>Prices!$BP170*F168</f>
        <v>7.1918750000000005</v>
      </c>
      <c r="Q168" s="39">
        <f>(31.1*0.925/Prices!$BN170)*G168</f>
        <v>4.4949218750000002</v>
      </c>
    </row>
    <row r="169" spans="1:17">
      <c r="A169" s="54">
        <f t="shared" si="10"/>
        <v>1419</v>
      </c>
      <c r="B169" s="36"/>
      <c r="C169" s="38">
        <v>6</v>
      </c>
      <c r="D169" s="38">
        <v>4</v>
      </c>
      <c r="E169" s="38">
        <v>3.69</v>
      </c>
      <c r="F169" s="38">
        <f>Wages!C169*H169</f>
        <v>8</v>
      </c>
      <c r="G169" s="38">
        <f>Wages!D169*I169</f>
        <v>5</v>
      </c>
      <c r="H169" s="39">
        <f t="shared" si="11"/>
        <v>1.3333333333333333</v>
      </c>
      <c r="I169" s="38">
        <f t="shared" si="12"/>
        <v>1.25</v>
      </c>
      <c r="J169" s="36"/>
      <c r="K169" s="36"/>
      <c r="L169" s="38"/>
      <c r="M169" s="39">
        <f>Prices!BP171*Wages!$C169</f>
        <v>5.3939062500000006</v>
      </c>
      <c r="N169" s="39">
        <f>Prices!BP171*Wages!D169</f>
        <v>3.5959375000000002</v>
      </c>
      <c r="O169" s="39">
        <f>Prices!$BP171*Wages!E169</f>
        <v>3.3172523437500003</v>
      </c>
      <c r="P169" s="39">
        <f>Prices!$BP171*F169</f>
        <v>7.1918750000000005</v>
      </c>
      <c r="Q169" s="39">
        <f>(31.1*0.925/Prices!$BN171)*G169</f>
        <v>4.4949218750000002</v>
      </c>
    </row>
    <row r="170" spans="1:17">
      <c r="A170" s="54">
        <f t="shared" si="10"/>
        <v>1420</v>
      </c>
      <c r="B170" s="36"/>
      <c r="C170" s="38">
        <v>6</v>
      </c>
      <c r="D170" s="38">
        <v>4</v>
      </c>
      <c r="E170" s="38">
        <v>3.83</v>
      </c>
      <c r="F170" s="38">
        <f>Wages!C170*H170</f>
        <v>8</v>
      </c>
      <c r="G170" s="38">
        <f>Wages!D170*I170</f>
        <v>5</v>
      </c>
      <c r="H170" s="39">
        <f t="shared" ref="H170:H206" si="13">4/3</f>
        <v>1.3333333333333333</v>
      </c>
      <c r="I170" s="38">
        <f t="shared" ref="I170:I206" si="14">5/4</f>
        <v>1.25</v>
      </c>
      <c r="J170" s="36"/>
      <c r="K170" s="36"/>
      <c r="L170" s="38"/>
      <c r="M170" s="39">
        <f>Prices!BP172*Wages!$C170</f>
        <v>5.3939062500000006</v>
      </c>
      <c r="N170" s="39">
        <f>Prices!BP172*Wages!D170</f>
        <v>3.5959375000000002</v>
      </c>
      <c r="O170" s="39">
        <f>Prices!$BP172*Wages!E170</f>
        <v>3.4431101562500004</v>
      </c>
      <c r="P170" s="39">
        <f>Prices!$BP172*F170</f>
        <v>7.1918750000000005</v>
      </c>
      <c r="Q170" s="39">
        <f>(31.1*0.925/Prices!$BN172)*G170</f>
        <v>4.4949218750000002</v>
      </c>
    </row>
    <row r="171" spans="1:17">
      <c r="A171" s="54">
        <f t="shared" si="10"/>
        <v>1421</v>
      </c>
      <c r="B171" s="36"/>
      <c r="C171" s="38">
        <v>6</v>
      </c>
      <c r="D171" s="38">
        <v>4</v>
      </c>
      <c r="E171" s="38">
        <v>3.83</v>
      </c>
      <c r="F171" s="38">
        <f>Wages!C171*H171</f>
        <v>8</v>
      </c>
      <c r="G171" s="38">
        <f>Wages!D171*I171</f>
        <v>5</v>
      </c>
      <c r="H171" s="39">
        <f t="shared" si="13"/>
        <v>1.3333333333333333</v>
      </c>
      <c r="I171" s="38">
        <f t="shared" si="14"/>
        <v>1.25</v>
      </c>
      <c r="J171" s="36"/>
      <c r="K171" s="36"/>
      <c r="L171" s="38"/>
      <c r="M171" s="39">
        <f>Prices!BP173*Wages!$C171</f>
        <v>5.3939062500000006</v>
      </c>
      <c r="N171" s="39">
        <f>Prices!BP173*Wages!D171</f>
        <v>3.5959375000000002</v>
      </c>
      <c r="O171" s="39">
        <f>Prices!$BP173*Wages!E171</f>
        <v>3.4431101562500004</v>
      </c>
      <c r="P171" s="39">
        <f>Prices!$BP173*F171</f>
        <v>7.1918750000000005</v>
      </c>
      <c r="Q171" s="39">
        <f>(31.1*0.925/Prices!$BN173)*G171</f>
        <v>4.4949218750000002</v>
      </c>
    </row>
    <row r="172" spans="1:17">
      <c r="A172" s="54">
        <f t="shared" si="10"/>
        <v>1422</v>
      </c>
      <c r="B172" s="36"/>
      <c r="C172" s="38">
        <v>6</v>
      </c>
      <c r="D172" s="38">
        <v>4</v>
      </c>
      <c r="E172" s="38">
        <v>3.83</v>
      </c>
      <c r="F172" s="38">
        <f>Wages!C172*H172</f>
        <v>8</v>
      </c>
      <c r="G172" s="38">
        <f>Wages!D172*I172</f>
        <v>5</v>
      </c>
      <c r="H172" s="39">
        <f t="shared" si="13"/>
        <v>1.3333333333333333</v>
      </c>
      <c r="I172" s="38">
        <f t="shared" si="14"/>
        <v>1.25</v>
      </c>
      <c r="J172" s="36"/>
      <c r="K172" s="36"/>
      <c r="L172" s="38"/>
      <c r="M172" s="39">
        <f>Prices!BP174*Wages!$C172</f>
        <v>5.3939062500000006</v>
      </c>
      <c r="N172" s="39">
        <f>Prices!BP174*Wages!D172</f>
        <v>3.5959375000000002</v>
      </c>
      <c r="O172" s="39">
        <f>Prices!$BP174*Wages!E172</f>
        <v>3.4431101562500004</v>
      </c>
      <c r="P172" s="39">
        <f>Prices!$BP174*F172</f>
        <v>7.1918750000000005</v>
      </c>
      <c r="Q172" s="39">
        <f>(31.1*0.925/Prices!$BN174)*G172</f>
        <v>4.4949218750000002</v>
      </c>
    </row>
    <row r="173" spans="1:17">
      <c r="A173" s="54">
        <f t="shared" si="10"/>
        <v>1423</v>
      </c>
      <c r="B173" s="36"/>
      <c r="C173" s="38">
        <v>6</v>
      </c>
      <c r="D173" s="38">
        <v>4</v>
      </c>
      <c r="E173" s="38">
        <v>3.83</v>
      </c>
      <c r="F173" s="38">
        <f>Wages!C173*H173</f>
        <v>8</v>
      </c>
      <c r="G173" s="38">
        <f>Wages!D173*I173</f>
        <v>5</v>
      </c>
      <c r="H173" s="39">
        <f t="shared" si="13"/>
        <v>1.3333333333333333</v>
      </c>
      <c r="I173" s="38">
        <f t="shared" si="14"/>
        <v>1.25</v>
      </c>
      <c r="J173" s="36"/>
      <c r="K173" s="36"/>
      <c r="L173" s="38"/>
      <c r="M173" s="39">
        <f>Prices!BP175*Wages!$C173</f>
        <v>5.3939062500000006</v>
      </c>
      <c r="N173" s="39">
        <f>Prices!BP175*Wages!D173</f>
        <v>3.5959375000000002</v>
      </c>
      <c r="O173" s="39">
        <f>Prices!$BP175*Wages!E173</f>
        <v>3.4431101562500004</v>
      </c>
      <c r="P173" s="39">
        <f>Prices!$BP175*F173</f>
        <v>7.1918750000000005</v>
      </c>
      <c r="Q173" s="39">
        <f>(31.1*0.925/Prices!$BN175)*G173</f>
        <v>4.4949218750000002</v>
      </c>
    </row>
    <row r="174" spans="1:17">
      <c r="A174" s="54">
        <f t="shared" si="10"/>
        <v>1424</v>
      </c>
      <c r="B174" s="36"/>
      <c r="C174" s="38">
        <v>6</v>
      </c>
      <c r="D174" s="38">
        <v>4</v>
      </c>
      <c r="E174" s="38">
        <v>3.83</v>
      </c>
      <c r="F174" s="38">
        <f>Wages!C174*H174</f>
        <v>8</v>
      </c>
      <c r="G174" s="38">
        <f>Wages!D174*I174</f>
        <v>5</v>
      </c>
      <c r="H174" s="39">
        <f t="shared" si="13"/>
        <v>1.3333333333333333</v>
      </c>
      <c r="I174" s="38">
        <f t="shared" si="14"/>
        <v>1.25</v>
      </c>
      <c r="J174" s="36"/>
      <c r="K174" s="36"/>
      <c r="L174" s="38"/>
      <c r="M174" s="39">
        <f>Prices!BP176*Wages!$C174</f>
        <v>5.3939062500000006</v>
      </c>
      <c r="N174" s="39">
        <f>Prices!BP176*Wages!D174</f>
        <v>3.5959375000000002</v>
      </c>
      <c r="O174" s="39">
        <f>Prices!$BP176*Wages!E174</f>
        <v>3.4431101562500004</v>
      </c>
      <c r="P174" s="39">
        <f>Prices!$BP176*F174</f>
        <v>7.1918750000000005</v>
      </c>
      <c r="Q174" s="39">
        <f>(31.1*0.925/Prices!$BN176)*G174</f>
        <v>4.4949218750000002</v>
      </c>
    </row>
    <row r="175" spans="1:17">
      <c r="A175" s="54">
        <f t="shared" si="10"/>
        <v>1425</v>
      </c>
      <c r="B175" s="36"/>
      <c r="C175" s="38">
        <v>6</v>
      </c>
      <c r="D175" s="38">
        <v>4</v>
      </c>
      <c r="E175" s="38">
        <v>3.83</v>
      </c>
      <c r="F175" s="38">
        <f>Wages!C175*H175</f>
        <v>8</v>
      </c>
      <c r="G175" s="38">
        <f>Wages!D175*I175</f>
        <v>5</v>
      </c>
      <c r="H175" s="39">
        <f t="shared" si="13"/>
        <v>1.3333333333333333</v>
      </c>
      <c r="I175" s="38">
        <f t="shared" si="14"/>
        <v>1.25</v>
      </c>
      <c r="J175" s="36"/>
      <c r="K175" s="36"/>
      <c r="L175" s="38"/>
      <c r="M175" s="39">
        <f>Prices!BP177*Wages!$C175</f>
        <v>5.3939062500000006</v>
      </c>
      <c r="N175" s="39">
        <f>Prices!BP177*Wages!D175</f>
        <v>3.5959375000000002</v>
      </c>
      <c r="O175" s="39">
        <f>Prices!$BP177*Wages!E175</f>
        <v>3.4431101562500004</v>
      </c>
      <c r="P175" s="39">
        <f>Prices!$BP177*F175</f>
        <v>7.1918750000000005</v>
      </c>
      <c r="Q175" s="39">
        <f>(31.1*0.925/Prices!$BN177)*G175</f>
        <v>4.4949218750000002</v>
      </c>
    </row>
    <row r="176" spans="1:17">
      <c r="A176" s="54">
        <f t="shared" si="10"/>
        <v>1426</v>
      </c>
      <c r="B176" s="36"/>
      <c r="C176" s="38">
        <v>6</v>
      </c>
      <c r="D176" s="38">
        <v>4</v>
      </c>
      <c r="E176" s="38">
        <v>3.83</v>
      </c>
      <c r="F176" s="38">
        <f>Wages!C176*H176</f>
        <v>8</v>
      </c>
      <c r="G176" s="38">
        <f>Wages!D176*I176</f>
        <v>5</v>
      </c>
      <c r="H176" s="39">
        <f t="shared" si="13"/>
        <v>1.3333333333333333</v>
      </c>
      <c r="I176" s="38">
        <f t="shared" si="14"/>
        <v>1.25</v>
      </c>
      <c r="J176" s="36"/>
      <c r="K176" s="36"/>
      <c r="L176" s="38"/>
      <c r="M176" s="39">
        <f>Prices!BP178*Wages!$C176</f>
        <v>5.3939062500000006</v>
      </c>
      <c r="N176" s="39">
        <f>Prices!BP178*Wages!D176</f>
        <v>3.5959375000000002</v>
      </c>
      <c r="O176" s="39">
        <f>Prices!$BP178*Wages!E176</f>
        <v>3.4431101562500004</v>
      </c>
      <c r="P176" s="39">
        <f>Prices!$BP178*F176</f>
        <v>7.1918750000000005</v>
      </c>
      <c r="Q176" s="39">
        <f>(31.1*0.925/Prices!$BN178)*G176</f>
        <v>4.4949218750000002</v>
      </c>
    </row>
    <row r="177" spans="1:17">
      <c r="A177" s="54">
        <f t="shared" si="10"/>
        <v>1427</v>
      </c>
      <c r="B177" s="36"/>
      <c r="C177" s="38">
        <v>6</v>
      </c>
      <c r="D177" s="38">
        <v>4</v>
      </c>
      <c r="E177" s="38">
        <v>3.83</v>
      </c>
      <c r="F177" s="38">
        <f>Wages!C177*H177</f>
        <v>8</v>
      </c>
      <c r="G177" s="38">
        <f>Wages!D177*I177</f>
        <v>5</v>
      </c>
      <c r="H177" s="39">
        <f t="shared" si="13"/>
        <v>1.3333333333333333</v>
      </c>
      <c r="I177" s="38">
        <f t="shared" si="14"/>
        <v>1.25</v>
      </c>
      <c r="J177" s="36"/>
      <c r="K177" s="36"/>
      <c r="L177" s="38"/>
      <c r="M177" s="39">
        <f>Prices!BP179*Wages!$C177</f>
        <v>5.3939062500000006</v>
      </c>
      <c r="N177" s="39">
        <f>Prices!BP179*Wages!D177</f>
        <v>3.5959375000000002</v>
      </c>
      <c r="O177" s="39">
        <f>Prices!$BP179*Wages!E177</f>
        <v>3.4431101562500004</v>
      </c>
      <c r="P177" s="39">
        <f>Prices!$BP179*F177</f>
        <v>7.1918750000000005</v>
      </c>
      <c r="Q177" s="39">
        <f>(31.1*0.925/Prices!$BN179)*G177</f>
        <v>4.4949218750000002</v>
      </c>
    </row>
    <row r="178" spans="1:17">
      <c r="A178" s="54">
        <f t="shared" si="10"/>
        <v>1428</v>
      </c>
      <c r="B178" s="36"/>
      <c r="C178" s="38">
        <v>6</v>
      </c>
      <c r="D178" s="38">
        <v>4</v>
      </c>
      <c r="E178" s="38">
        <v>3.83</v>
      </c>
      <c r="F178" s="38">
        <f>Wages!C178*H178</f>
        <v>8</v>
      </c>
      <c r="G178" s="38">
        <f>Wages!D178*I178</f>
        <v>5</v>
      </c>
      <c r="H178" s="39">
        <f t="shared" si="13"/>
        <v>1.3333333333333333</v>
      </c>
      <c r="I178" s="38">
        <f t="shared" si="14"/>
        <v>1.25</v>
      </c>
      <c r="J178" s="36"/>
      <c r="K178" s="36"/>
      <c r="L178" s="38"/>
      <c r="M178" s="39">
        <f>Prices!BP180*Wages!$C178</f>
        <v>5.3939062500000006</v>
      </c>
      <c r="N178" s="39">
        <f>Prices!BP180*Wages!D178</f>
        <v>3.5959375000000002</v>
      </c>
      <c r="O178" s="39">
        <f>Prices!$BP180*Wages!E178</f>
        <v>3.4431101562500004</v>
      </c>
      <c r="P178" s="39">
        <f>Prices!$BP180*F178</f>
        <v>7.1918750000000005</v>
      </c>
      <c r="Q178" s="39">
        <f>(31.1*0.925/Prices!$BN180)*G178</f>
        <v>4.4949218750000002</v>
      </c>
    </row>
    <row r="179" spans="1:17">
      <c r="A179" s="54">
        <f t="shared" si="10"/>
        <v>1429</v>
      </c>
      <c r="B179" s="36"/>
      <c r="C179" s="38">
        <v>6</v>
      </c>
      <c r="D179" s="38">
        <v>4</v>
      </c>
      <c r="E179" s="38">
        <v>3.83</v>
      </c>
      <c r="F179" s="38">
        <f>Wages!C179*H179</f>
        <v>8</v>
      </c>
      <c r="G179" s="38">
        <f>Wages!D179*I179</f>
        <v>5</v>
      </c>
      <c r="H179" s="39">
        <f t="shared" si="13"/>
        <v>1.3333333333333333</v>
      </c>
      <c r="I179" s="38">
        <f t="shared" si="14"/>
        <v>1.25</v>
      </c>
      <c r="J179" s="36"/>
      <c r="K179" s="36"/>
      <c r="L179" s="38"/>
      <c r="M179" s="39">
        <f>Prices!BP181*Wages!$C179</f>
        <v>5.3939062500000006</v>
      </c>
      <c r="N179" s="39">
        <f>Prices!BP181*Wages!D179</f>
        <v>3.5959375000000002</v>
      </c>
      <c r="O179" s="39">
        <f>Prices!$BP181*Wages!E179</f>
        <v>3.4431101562500004</v>
      </c>
      <c r="P179" s="39">
        <f>Prices!$BP181*F179</f>
        <v>7.1918750000000005</v>
      </c>
      <c r="Q179" s="39">
        <f>(31.1*0.925/Prices!$BN181)*G179</f>
        <v>4.4949218750000002</v>
      </c>
    </row>
    <row r="180" spans="1:17">
      <c r="A180" s="54">
        <f t="shared" si="10"/>
        <v>1430</v>
      </c>
      <c r="B180" s="36"/>
      <c r="C180" s="38">
        <v>6</v>
      </c>
      <c r="D180" s="38">
        <v>4</v>
      </c>
      <c r="E180" s="38">
        <v>3.87</v>
      </c>
      <c r="F180" s="38">
        <f>Wages!C180*H180</f>
        <v>8</v>
      </c>
      <c r="G180" s="38">
        <f>Wages!D180*I180</f>
        <v>5</v>
      </c>
      <c r="H180" s="39">
        <f t="shared" si="13"/>
        <v>1.3333333333333333</v>
      </c>
      <c r="I180" s="38">
        <f t="shared" si="14"/>
        <v>1.25</v>
      </c>
      <c r="J180" s="36"/>
      <c r="K180" s="36"/>
      <c r="L180" s="38"/>
      <c r="M180" s="39">
        <f>Prices!BP182*Wages!$C180</f>
        <v>5.3939062500000006</v>
      </c>
      <c r="N180" s="39">
        <f>Prices!BP182*Wages!D180</f>
        <v>3.5959375000000002</v>
      </c>
      <c r="O180" s="39">
        <f>Prices!$BP182*Wages!E180</f>
        <v>3.4790695312500004</v>
      </c>
      <c r="P180" s="39">
        <f>Prices!$BP182*F180</f>
        <v>7.1918750000000005</v>
      </c>
      <c r="Q180" s="39">
        <f>(31.1*0.925/Prices!$BN182)*G180</f>
        <v>4.4949218750000002</v>
      </c>
    </row>
    <row r="181" spans="1:17">
      <c r="A181" s="54">
        <f t="shared" si="10"/>
        <v>1431</v>
      </c>
      <c r="B181" s="36"/>
      <c r="C181" s="38">
        <v>6</v>
      </c>
      <c r="D181" s="38">
        <v>4</v>
      </c>
      <c r="E181" s="38">
        <v>3.87</v>
      </c>
      <c r="F181" s="38">
        <f>Wages!C181*H181</f>
        <v>8</v>
      </c>
      <c r="G181" s="38">
        <f>Wages!D181*I181</f>
        <v>5</v>
      </c>
      <c r="H181" s="39">
        <f t="shared" si="13"/>
        <v>1.3333333333333333</v>
      </c>
      <c r="I181" s="38">
        <f t="shared" si="14"/>
        <v>1.25</v>
      </c>
      <c r="J181" s="36"/>
      <c r="K181" s="36"/>
      <c r="L181" s="38"/>
      <c r="M181" s="39">
        <f>Prices!BP183*Wages!$C181</f>
        <v>5.3939062500000006</v>
      </c>
      <c r="N181" s="39">
        <f>Prices!BP183*Wages!D181</f>
        <v>3.5959375000000002</v>
      </c>
      <c r="O181" s="39">
        <f>Prices!$BP183*Wages!E181</f>
        <v>3.4790695312500004</v>
      </c>
      <c r="P181" s="39">
        <f>Prices!$BP183*F181</f>
        <v>7.1918750000000005</v>
      </c>
      <c r="Q181" s="39">
        <f>(31.1*0.925/Prices!$BN183)*G181</f>
        <v>4.4949218750000002</v>
      </c>
    </row>
    <row r="182" spans="1:17">
      <c r="A182" s="54">
        <f t="shared" si="10"/>
        <v>1432</v>
      </c>
      <c r="B182" s="36"/>
      <c r="C182" s="38">
        <v>6</v>
      </c>
      <c r="D182" s="38">
        <v>4</v>
      </c>
      <c r="E182" s="38">
        <v>3.87</v>
      </c>
      <c r="F182" s="38">
        <f>Wages!C182*H182</f>
        <v>8</v>
      </c>
      <c r="G182" s="38">
        <f>Wages!D182*I182</f>
        <v>5</v>
      </c>
      <c r="H182" s="39">
        <f t="shared" si="13"/>
        <v>1.3333333333333333</v>
      </c>
      <c r="I182" s="38">
        <f t="shared" si="14"/>
        <v>1.25</v>
      </c>
      <c r="J182" s="36"/>
      <c r="K182" s="36"/>
      <c r="L182" s="38"/>
      <c r="M182" s="39">
        <f>Prices!BP184*Wages!$C182</f>
        <v>5.3939062500000006</v>
      </c>
      <c r="N182" s="39">
        <f>Prices!BP184*Wages!D182</f>
        <v>3.5959375000000002</v>
      </c>
      <c r="O182" s="39">
        <f>Prices!$BP184*Wages!E182</f>
        <v>3.4790695312500004</v>
      </c>
      <c r="P182" s="39">
        <f>Prices!$BP184*F182</f>
        <v>7.1918750000000005</v>
      </c>
      <c r="Q182" s="39">
        <f>(31.1*0.925/Prices!$BN184)*G182</f>
        <v>4.4949218750000002</v>
      </c>
    </row>
    <row r="183" spans="1:17">
      <c r="A183" s="54">
        <f t="shared" si="10"/>
        <v>1433</v>
      </c>
      <c r="B183" s="36"/>
      <c r="C183" s="38">
        <v>6</v>
      </c>
      <c r="D183" s="38">
        <v>4</v>
      </c>
      <c r="E183" s="38">
        <v>3.87</v>
      </c>
      <c r="F183" s="38">
        <f>Wages!C183*H183</f>
        <v>8</v>
      </c>
      <c r="G183" s="38">
        <f>Wages!D183*I183</f>
        <v>5</v>
      </c>
      <c r="H183" s="39">
        <f t="shared" si="13"/>
        <v>1.3333333333333333</v>
      </c>
      <c r="I183" s="38">
        <f t="shared" si="14"/>
        <v>1.25</v>
      </c>
      <c r="J183" s="36"/>
      <c r="K183" s="36"/>
      <c r="L183" s="38"/>
      <c r="M183" s="39">
        <f>Prices!BP185*Wages!$C183</f>
        <v>5.3939062500000006</v>
      </c>
      <c r="N183" s="39">
        <f>Prices!BP185*Wages!D183</f>
        <v>3.5959375000000002</v>
      </c>
      <c r="O183" s="39">
        <f>Prices!$BP185*Wages!E183</f>
        <v>3.4790695312500004</v>
      </c>
      <c r="P183" s="39">
        <f>Prices!$BP185*F183</f>
        <v>7.1918750000000005</v>
      </c>
      <c r="Q183" s="39">
        <f>(31.1*0.925/Prices!$BN185)*G183</f>
        <v>4.4949218750000002</v>
      </c>
    </row>
    <row r="184" spans="1:17">
      <c r="A184" s="54">
        <f t="shared" si="10"/>
        <v>1434</v>
      </c>
      <c r="B184" s="36"/>
      <c r="C184" s="38">
        <v>6</v>
      </c>
      <c r="D184" s="38">
        <v>4</v>
      </c>
      <c r="E184" s="38">
        <v>3.87</v>
      </c>
      <c r="F184" s="38">
        <f>Wages!C184*H184</f>
        <v>8</v>
      </c>
      <c r="G184" s="38">
        <f>Wages!D184*I184</f>
        <v>5</v>
      </c>
      <c r="H184" s="39">
        <f t="shared" si="13"/>
        <v>1.3333333333333333</v>
      </c>
      <c r="I184" s="38">
        <f t="shared" si="14"/>
        <v>1.25</v>
      </c>
      <c r="J184" s="36"/>
      <c r="K184" s="36"/>
      <c r="L184" s="38"/>
      <c r="M184" s="39">
        <f>Prices!BP186*Wages!$C184</f>
        <v>5.3939062500000006</v>
      </c>
      <c r="N184" s="39">
        <f>Prices!BP186*Wages!D184</f>
        <v>3.5959375000000002</v>
      </c>
      <c r="O184" s="39">
        <f>Prices!$BP186*Wages!E184</f>
        <v>3.4790695312500004</v>
      </c>
      <c r="P184" s="39">
        <f>Prices!$BP186*F184</f>
        <v>7.1918750000000005</v>
      </c>
      <c r="Q184" s="39">
        <f>(31.1*0.925/Prices!$BN186)*G184</f>
        <v>4.4949218750000002</v>
      </c>
    </row>
    <row r="185" spans="1:17">
      <c r="A185" s="54">
        <f t="shared" si="10"/>
        <v>1435</v>
      </c>
      <c r="B185" s="36"/>
      <c r="C185" s="38">
        <v>6</v>
      </c>
      <c r="D185" s="38">
        <v>4</v>
      </c>
      <c r="E185" s="38">
        <v>3.87</v>
      </c>
      <c r="F185" s="38">
        <f>Wages!C185*H185</f>
        <v>8</v>
      </c>
      <c r="G185" s="38">
        <f>Wages!D185*I185</f>
        <v>5</v>
      </c>
      <c r="H185" s="39">
        <f t="shared" si="13"/>
        <v>1.3333333333333333</v>
      </c>
      <c r="I185" s="38">
        <f t="shared" si="14"/>
        <v>1.25</v>
      </c>
      <c r="J185" s="36"/>
      <c r="K185" s="36"/>
      <c r="L185" s="38"/>
      <c r="M185" s="39">
        <f>Prices!BP187*Wages!$C185</f>
        <v>5.3939062500000006</v>
      </c>
      <c r="N185" s="39">
        <f>Prices!BP187*Wages!D185</f>
        <v>3.5959375000000002</v>
      </c>
      <c r="O185" s="39">
        <f>Prices!$BP187*Wages!E185</f>
        <v>3.4790695312500004</v>
      </c>
      <c r="P185" s="39">
        <f>Prices!$BP187*F185</f>
        <v>7.1918750000000005</v>
      </c>
      <c r="Q185" s="39">
        <f>(31.1*0.925/Prices!$BN187)*G185</f>
        <v>4.4949218750000002</v>
      </c>
    </row>
    <row r="186" spans="1:17">
      <c r="A186" s="54">
        <f t="shared" si="10"/>
        <v>1436</v>
      </c>
      <c r="B186" s="36"/>
      <c r="C186" s="38">
        <v>6</v>
      </c>
      <c r="D186" s="38">
        <v>4</v>
      </c>
      <c r="E186" s="38">
        <v>3.87</v>
      </c>
      <c r="F186" s="38">
        <f>Wages!C186*H186</f>
        <v>8</v>
      </c>
      <c r="G186" s="38">
        <f>Wages!D186*I186</f>
        <v>5</v>
      </c>
      <c r="H186" s="39">
        <f t="shared" si="13"/>
        <v>1.3333333333333333</v>
      </c>
      <c r="I186" s="38">
        <f t="shared" si="14"/>
        <v>1.25</v>
      </c>
      <c r="J186" s="36"/>
      <c r="K186" s="36"/>
      <c r="L186" s="38"/>
      <c r="M186" s="39">
        <f>Prices!BP188*Wages!$C186</f>
        <v>5.3939062500000006</v>
      </c>
      <c r="N186" s="39">
        <f>Prices!BP188*Wages!D186</f>
        <v>3.5959375000000002</v>
      </c>
      <c r="O186" s="39">
        <f>Prices!$BP188*Wages!E186</f>
        <v>3.4790695312500004</v>
      </c>
      <c r="P186" s="39">
        <f>Prices!$BP188*F186</f>
        <v>7.1918750000000005</v>
      </c>
      <c r="Q186" s="39">
        <f>(31.1*0.925/Prices!$BN188)*G186</f>
        <v>4.4949218750000002</v>
      </c>
    </row>
    <row r="187" spans="1:17">
      <c r="A187" s="54">
        <f t="shared" si="10"/>
        <v>1437</v>
      </c>
      <c r="B187" s="36"/>
      <c r="C187" s="38">
        <v>6</v>
      </c>
      <c r="D187" s="38">
        <v>4</v>
      </c>
      <c r="E187" s="38">
        <v>3.87</v>
      </c>
      <c r="F187" s="38">
        <f>Wages!C187*H187</f>
        <v>8</v>
      </c>
      <c r="G187" s="38">
        <f>Wages!D187*I187</f>
        <v>5</v>
      </c>
      <c r="H187" s="39">
        <f t="shared" si="13"/>
        <v>1.3333333333333333</v>
      </c>
      <c r="I187" s="38">
        <f t="shared" si="14"/>
        <v>1.25</v>
      </c>
      <c r="J187" s="36"/>
      <c r="K187" s="36"/>
      <c r="L187" s="38"/>
      <c r="M187" s="39">
        <f>Prices!BP189*Wages!$C187</f>
        <v>5.3939062500000006</v>
      </c>
      <c r="N187" s="39">
        <f>Prices!BP189*Wages!D187</f>
        <v>3.5959375000000002</v>
      </c>
      <c r="O187" s="39">
        <f>Prices!$BP189*Wages!E187</f>
        <v>3.4790695312500004</v>
      </c>
      <c r="P187" s="39">
        <f>Prices!$BP189*F187</f>
        <v>7.1918750000000005</v>
      </c>
      <c r="Q187" s="39">
        <f>(31.1*0.925/Prices!$BN189)*G187</f>
        <v>4.4949218750000002</v>
      </c>
    </row>
    <row r="188" spans="1:17">
      <c r="A188" s="54">
        <f t="shared" si="10"/>
        <v>1438</v>
      </c>
      <c r="B188" s="36"/>
      <c r="C188" s="38">
        <v>6</v>
      </c>
      <c r="D188" s="38">
        <v>4</v>
      </c>
      <c r="E188" s="38">
        <v>3.87</v>
      </c>
      <c r="F188" s="38">
        <f>Wages!C188*H188</f>
        <v>8</v>
      </c>
      <c r="G188" s="38">
        <f>Wages!D188*I188</f>
        <v>5</v>
      </c>
      <c r="H188" s="39">
        <f t="shared" si="13"/>
        <v>1.3333333333333333</v>
      </c>
      <c r="I188" s="38">
        <f t="shared" si="14"/>
        <v>1.25</v>
      </c>
      <c r="J188" s="36"/>
      <c r="K188" s="36"/>
      <c r="L188" s="38"/>
      <c r="M188" s="39">
        <f>Prices!BP190*Wages!$C188</f>
        <v>5.3939062500000006</v>
      </c>
      <c r="N188" s="39">
        <f>Prices!BP190*Wages!D188</f>
        <v>3.5959375000000002</v>
      </c>
      <c r="O188" s="39">
        <f>Prices!$BP190*Wages!E188</f>
        <v>3.4790695312500004</v>
      </c>
      <c r="P188" s="39">
        <f>Prices!$BP190*F188</f>
        <v>7.1918750000000005</v>
      </c>
      <c r="Q188" s="39">
        <f>(31.1*0.925/Prices!$BN190)*G188</f>
        <v>4.4949218750000002</v>
      </c>
    </row>
    <row r="189" spans="1:17">
      <c r="A189" s="54">
        <f t="shared" si="10"/>
        <v>1439</v>
      </c>
      <c r="B189" s="36"/>
      <c r="C189" s="38">
        <v>6</v>
      </c>
      <c r="D189" s="38">
        <v>4</v>
      </c>
      <c r="E189" s="38">
        <v>3.87</v>
      </c>
      <c r="F189" s="38">
        <f>Wages!C189*H189</f>
        <v>8</v>
      </c>
      <c r="G189" s="38">
        <f>Wages!D189*I189</f>
        <v>5</v>
      </c>
      <c r="H189" s="39">
        <f t="shared" si="13"/>
        <v>1.3333333333333333</v>
      </c>
      <c r="I189" s="38">
        <f t="shared" si="14"/>
        <v>1.25</v>
      </c>
      <c r="J189" s="36"/>
      <c r="K189" s="36"/>
      <c r="L189" s="38"/>
      <c r="M189" s="39">
        <f>Prices!BP191*Wages!$C189</f>
        <v>5.3939062500000006</v>
      </c>
      <c r="N189" s="39">
        <f>Prices!BP191*Wages!D189</f>
        <v>3.5959375000000002</v>
      </c>
      <c r="O189" s="39">
        <f>Prices!$BP191*Wages!E189</f>
        <v>3.4790695312500004</v>
      </c>
      <c r="P189" s="39">
        <f>Prices!$BP191*F189</f>
        <v>7.1918750000000005</v>
      </c>
      <c r="Q189" s="39">
        <f>(31.1*0.925/Prices!$BN191)*G189</f>
        <v>4.4949218750000002</v>
      </c>
    </row>
    <row r="190" spans="1:17">
      <c r="A190" s="54">
        <f t="shared" si="10"/>
        <v>1440</v>
      </c>
      <c r="B190" s="36"/>
      <c r="C190" s="38">
        <v>6</v>
      </c>
      <c r="D190" s="38">
        <v>4</v>
      </c>
      <c r="E190" s="38">
        <v>4.1100000000000003</v>
      </c>
      <c r="F190" s="38">
        <f>Wages!C190*H190</f>
        <v>8</v>
      </c>
      <c r="G190" s="38">
        <f>Wages!D190*I190</f>
        <v>5</v>
      </c>
      <c r="H190" s="39">
        <f t="shared" si="13"/>
        <v>1.3333333333333333</v>
      </c>
      <c r="I190" s="38">
        <f t="shared" si="14"/>
        <v>1.25</v>
      </c>
      <c r="J190" s="36"/>
      <c r="K190" s="36"/>
      <c r="L190" s="38"/>
      <c r="M190" s="39">
        <f>Prices!BP192*Wages!$C190</f>
        <v>5.3939062500000006</v>
      </c>
      <c r="N190" s="39">
        <f>Prices!BP192*Wages!D190</f>
        <v>3.5959375000000002</v>
      </c>
      <c r="O190" s="39">
        <f>Prices!$BP192*Wages!E190</f>
        <v>3.6948257812500005</v>
      </c>
      <c r="P190" s="39">
        <f>Prices!$BP192*F190</f>
        <v>7.1918750000000005</v>
      </c>
      <c r="Q190" s="39">
        <f>(31.1*0.925/Prices!$BN192)*G190</f>
        <v>4.4949218750000002</v>
      </c>
    </row>
    <row r="191" spans="1:17">
      <c r="A191" s="54">
        <f t="shared" si="10"/>
        <v>1441</v>
      </c>
      <c r="B191" s="36"/>
      <c r="C191" s="38">
        <v>6</v>
      </c>
      <c r="D191" s="38">
        <v>4</v>
      </c>
      <c r="E191" s="38">
        <v>4.1100000000000003</v>
      </c>
      <c r="F191" s="38">
        <f>Wages!C191*H191</f>
        <v>8</v>
      </c>
      <c r="G191" s="38">
        <f>Wages!D191*I191</f>
        <v>5</v>
      </c>
      <c r="H191" s="39">
        <f t="shared" si="13"/>
        <v>1.3333333333333333</v>
      </c>
      <c r="I191" s="38">
        <f t="shared" si="14"/>
        <v>1.25</v>
      </c>
      <c r="J191" s="36"/>
      <c r="K191" s="36"/>
      <c r="L191" s="38"/>
      <c r="M191" s="39">
        <f>Prices!BP193*Wages!$C191</f>
        <v>5.3939062500000006</v>
      </c>
      <c r="N191" s="39">
        <f>Prices!BP193*Wages!D191</f>
        <v>3.5959375000000002</v>
      </c>
      <c r="O191" s="39">
        <f>Prices!$BP193*Wages!E191</f>
        <v>3.6948257812500005</v>
      </c>
      <c r="P191" s="39">
        <f>Prices!$BP193*F191</f>
        <v>7.1918750000000005</v>
      </c>
      <c r="Q191" s="39">
        <f>(31.1*0.925/Prices!$BN193)*G191</f>
        <v>4.4949218750000002</v>
      </c>
    </row>
    <row r="192" spans="1:17">
      <c r="A192" s="54">
        <f t="shared" si="10"/>
        <v>1442</v>
      </c>
      <c r="B192" s="36"/>
      <c r="C192" s="38">
        <v>6</v>
      </c>
      <c r="D192" s="38">
        <v>4</v>
      </c>
      <c r="E192" s="38">
        <v>4.1100000000000003</v>
      </c>
      <c r="F192" s="38">
        <f>Wages!C192*H192</f>
        <v>8</v>
      </c>
      <c r="G192" s="38">
        <f>Wages!D192*I192</f>
        <v>5</v>
      </c>
      <c r="H192" s="39">
        <f t="shared" si="13"/>
        <v>1.3333333333333333</v>
      </c>
      <c r="I192" s="38">
        <f t="shared" si="14"/>
        <v>1.25</v>
      </c>
      <c r="J192" s="36"/>
      <c r="K192" s="36"/>
      <c r="L192" s="38"/>
      <c r="M192" s="39">
        <f>Prices!BP194*Wages!$C192</f>
        <v>5.3939062500000006</v>
      </c>
      <c r="N192" s="39">
        <f>Prices!BP194*Wages!D192</f>
        <v>3.5959375000000002</v>
      </c>
      <c r="O192" s="39">
        <f>Prices!$BP194*Wages!E192</f>
        <v>3.6948257812500005</v>
      </c>
      <c r="P192" s="39">
        <f>Prices!$BP194*F192</f>
        <v>7.1918750000000005</v>
      </c>
      <c r="Q192" s="39">
        <f>(31.1*0.925/Prices!$BN194)*G192</f>
        <v>4.4949218750000002</v>
      </c>
    </row>
    <row r="193" spans="1:17">
      <c r="A193" s="54">
        <f t="shared" si="10"/>
        <v>1443</v>
      </c>
      <c r="B193" s="36"/>
      <c r="C193" s="38">
        <v>6</v>
      </c>
      <c r="D193" s="38">
        <v>4</v>
      </c>
      <c r="E193" s="38">
        <v>4.1100000000000003</v>
      </c>
      <c r="F193" s="38">
        <f>Wages!C193*H193</f>
        <v>8</v>
      </c>
      <c r="G193" s="38">
        <f>Wages!D193*I193</f>
        <v>5</v>
      </c>
      <c r="H193" s="39">
        <f t="shared" si="13"/>
        <v>1.3333333333333333</v>
      </c>
      <c r="I193" s="38">
        <f t="shared" si="14"/>
        <v>1.25</v>
      </c>
      <c r="J193" s="36"/>
      <c r="K193" s="36"/>
      <c r="L193" s="38"/>
      <c r="M193" s="39">
        <f>Prices!BP195*Wages!$C193</f>
        <v>5.3939062500000006</v>
      </c>
      <c r="N193" s="39">
        <f>Prices!BP195*Wages!D193</f>
        <v>3.5959375000000002</v>
      </c>
      <c r="O193" s="39">
        <f>Prices!$BP195*Wages!E193</f>
        <v>3.6948257812500005</v>
      </c>
      <c r="P193" s="39">
        <f>Prices!$BP195*F193</f>
        <v>7.1918750000000005</v>
      </c>
      <c r="Q193" s="39">
        <f>(31.1*0.925/Prices!$BN195)*G193</f>
        <v>4.4949218750000002</v>
      </c>
    </row>
    <row r="194" spans="1:17">
      <c r="A194" s="54">
        <f t="shared" si="10"/>
        <v>1444</v>
      </c>
      <c r="B194" s="36"/>
      <c r="C194" s="38">
        <v>6</v>
      </c>
      <c r="D194" s="38">
        <v>4</v>
      </c>
      <c r="E194" s="38">
        <v>4.1100000000000003</v>
      </c>
      <c r="F194" s="38">
        <f>Wages!C194*H194</f>
        <v>8</v>
      </c>
      <c r="G194" s="38">
        <f>Wages!D194*I194</f>
        <v>5</v>
      </c>
      <c r="H194" s="39">
        <f t="shared" si="13"/>
        <v>1.3333333333333333</v>
      </c>
      <c r="I194" s="38">
        <f t="shared" si="14"/>
        <v>1.25</v>
      </c>
      <c r="J194" s="36"/>
      <c r="K194" s="36"/>
      <c r="L194" s="38"/>
      <c r="M194" s="39">
        <f>Prices!BP196*Wages!$C194</f>
        <v>5.3939062500000006</v>
      </c>
      <c r="N194" s="39">
        <f>Prices!BP196*Wages!D194</f>
        <v>3.5959375000000002</v>
      </c>
      <c r="O194" s="39">
        <f>Prices!$BP196*Wages!E194</f>
        <v>3.6948257812500005</v>
      </c>
      <c r="P194" s="39">
        <f>Prices!$BP196*F194</f>
        <v>7.1918750000000005</v>
      </c>
      <c r="Q194" s="39">
        <f>(31.1*0.925/Prices!$BN196)*G194</f>
        <v>4.4949218750000002</v>
      </c>
    </row>
    <row r="195" spans="1:17">
      <c r="A195" s="54">
        <f t="shared" si="10"/>
        <v>1445</v>
      </c>
      <c r="B195" s="36"/>
      <c r="C195" s="38">
        <v>6</v>
      </c>
      <c r="D195" s="38">
        <v>4</v>
      </c>
      <c r="E195" s="38">
        <v>4.1100000000000003</v>
      </c>
      <c r="F195" s="38">
        <f>Wages!C195*H195</f>
        <v>8</v>
      </c>
      <c r="G195" s="38">
        <f>Wages!D195*I195</f>
        <v>5</v>
      </c>
      <c r="H195" s="39">
        <f t="shared" si="13"/>
        <v>1.3333333333333333</v>
      </c>
      <c r="I195" s="38">
        <f t="shared" si="14"/>
        <v>1.25</v>
      </c>
      <c r="J195" s="36"/>
      <c r="K195" s="36"/>
      <c r="L195" s="38"/>
      <c r="M195" s="39">
        <f>Prices!BP197*Wages!$C195</f>
        <v>5.3939062500000006</v>
      </c>
      <c r="N195" s="39">
        <f>Prices!BP197*Wages!D195</f>
        <v>3.5959375000000002</v>
      </c>
      <c r="O195" s="39">
        <f>Prices!$BP197*Wages!E195</f>
        <v>3.6948257812500005</v>
      </c>
      <c r="P195" s="39">
        <f>Prices!$BP197*F195</f>
        <v>7.1918750000000005</v>
      </c>
      <c r="Q195" s="39">
        <f>(31.1*0.925/Prices!$BN197)*G195</f>
        <v>4.4949218750000002</v>
      </c>
    </row>
    <row r="196" spans="1:17">
      <c r="A196" s="54">
        <f t="shared" si="10"/>
        <v>1446</v>
      </c>
      <c r="B196" s="36"/>
      <c r="C196" s="38">
        <v>6</v>
      </c>
      <c r="D196" s="38">
        <v>4</v>
      </c>
      <c r="E196" s="38">
        <v>4.1100000000000003</v>
      </c>
      <c r="F196" s="38">
        <f>Wages!C196*H196</f>
        <v>8</v>
      </c>
      <c r="G196" s="38">
        <f>Wages!D196*I196</f>
        <v>5</v>
      </c>
      <c r="H196" s="39">
        <f t="shared" si="13"/>
        <v>1.3333333333333333</v>
      </c>
      <c r="I196" s="38">
        <f t="shared" si="14"/>
        <v>1.25</v>
      </c>
      <c r="J196" s="36"/>
      <c r="K196" s="36"/>
      <c r="L196" s="38"/>
      <c r="M196" s="39">
        <f>Prices!BP198*Wages!$C196</f>
        <v>5.3939062500000006</v>
      </c>
      <c r="N196" s="39">
        <f>Prices!BP198*Wages!D196</f>
        <v>3.5959375000000002</v>
      </c>
      <c r="O196" s="39">
        <f>Prices!$BP198*Wages!E196</f>
        <v>3.6948257812500005</v>
      </c>
      <c r="P196" s="39">
        <f>Prices!$BP198*F196</f>
        <v>7.1918750000000005</v>
      </c>
      <c r="Q196" s="39">
        <f>(31.1*0.925/Prices!$BN198)*G196</f>
        <v>4.4949218750000002</v>
      </c>
    </row>
    <row r="197" spans="1:17">
      <c r="A197" s="54">
        <f t="shared" si="10"/>
        <v>1447</v>
      </c>
      <c r="B197" s="36"/>
      <c r="C197" s="38">
        <v>6</v>
      </c>
      <c r="D197" s="38">
        <v>4</v>
      </c>
      <c r="E197" s="38">
        <v>4.1100000000000003</v>
      </c>
      <c r="F197" s="38">
        <f>Wages!C197*H197</f>
        <v>8</v>
      </c>
      <c r="G197" s="38">
        <f>Wages!D197*I197</f>
        <v>5</v>
      </c>
      <c r="H197" s="39">
        <f t="shared" si="13"/>
        <v>1.3333333333333333</v>
      </c>
      <c r="I197" s="38">
        <f t="shared" si="14"/>
        <v>1.25</v>
      </c>
      <c r="J197" s="36"/>
      <c r="K197" s="36"/>
      <c r="L197" s="38"/>
      <c r="M197" s="39">
        <f>Prices!BP199*Wages!$C197</f>
        <v>5.3939062500000006</v>
      </c>
      <c r="N197" s="39">
        <f>Prices!BP199*Wages!D197</f>
        <v>3.5959375000000002</v>
      </c>
      <c r="O197" s="39">
        <f>Prices!$BP199*Wages!E197</f>
        <v>3.6948257812500005</v>
      </c>
      <c r="P197" s="39">
        <f>Prices!$BP199*F197</f>
        <v>7.1918750000000005</v>
      </c>
      <c r="Q197" s="39">
        <f>(31.1*0.925/Prices!$BN199)*G197</f>
        <v>4.4949218750000002</v>
      </c>
    </row>
    <row r="198" spans="1:17">
      <c r="A198" s="54">
        <f t="shared" si="10"/>
        <v>1448</v>
      </c>
      <c r="B198" s="36"/>
      <c r="C198" s="38">
        <v>6</v>
      </c>
      <c r="D198" s="38">
        <v>4</v>
      </c>
      <c r="E198" s="38">
        <v>4.1100000000000003</v>
      </c>
      <c r="F198" s="38">
        <f>Wages!C198*H198</f>
        <v>8</v>
      </c>
      <c r="G198" s="38">
        <f>Wages!D198*I198</f>
        <v>5</v>
      </c>
      <c r="H198" s="39">
        <f t="shared" si="13"/>
        <v>1.3333333333333333</v>
      </c>
      <c r="I198" s="38">
        <f t="shared" si="14"/>
        <v>1.25</v>
      </c>
      <c r="J198" s="36"/>
      <c r="K198" s="36"/>
      <c r="L198" s="38"/>
      <c r="M198" s="39">
        <f>Prices!BP200*Wages!$C198</f>
        <v>5.3939062500000006</v>
      </c>
      <c r="N198" s="39">
        <f>Prices!BP200*Wages!D198</f>
        <v>3.5959375000000002</v>
      </c>
      <c r="O198" s="39">
        <f>Prices!$BP200*Wages!E198</f>
        <v>3.6948257812500005</v>
      </c>
      <c r="P198" s="39">
        <f>Prices!$BP200*F198</f>
        <v>7.1918750000000005</v>
      </c>
      <c r="Q198" s="39">
        <f>(31.1*0.925/Prices!$BN200)*G198</f>
        <v>4.4949218750000002</v>
      </c>
    </row>
    <row r="199" spans="1:17">
      <c r="A199" s="54">
        <f t="shared" si="10"/>
        <v>1449</v>
      </c>
      <c r="B199" s="36"/>
      <c r="C199" s="38">
        <v>6</v>
      </c>
      <c r="D199" s="38">
        <v>4</v>
      </c>
      <c r="E199" s="38">
        <v>4.1100000000000003</v>
      </c>
      <c r="F199" s="38">
        <f>Wages!C199*H199</f>
        <v>8</v>
      </c>
      <c r="G199" s="38">
        <f>Wages!D199*I199</f>
        <v>5</v>
      </c>
      <c r="H199" s="39">
        <f t="shared" si="13"/>
        <v>1.3333333333333333</v>
      </c>
      <c r="I199" s="38">
        <f t="shared" si="14"/>
        <v>1.25</v>
      </c>
      <c r="J199" s="36"/>
      <c r="K199" s="36"/>
      <c r="L199" s="38"/>
      <c r="M199" s="39">
        <f>Prices!BP201*Wages!$C199</f>
        <v>5.3939062500000006</v>
      </c>
      <c r="N199" s="39">
        <f>Prices!BP201*Wages!D199</f>
        <v>3.5959375000000002</v>
      </c>
      <c r="O199" s="39">
        <f>Prices!$BP201*Wages!E199</f>
        <v>3.6948257812500005</v>
      </c>
      <c r="P199" s="39">
        <f>Prices!$BP201*F199</f>
        <v>7.1918750000000005</v>
      </c>
      <c r="Q199" s="39">
        <f>(31.1*0.925/Prices!$BN201)*G199</f>
        <v>4.4949218750000002</v>
      </c>
    </row>
    <row r="200" spans="1:17">
      <c r="A200" s="54">
        <f t="shared" si="10"/>
        <v>1450</v>
      </c>
      <c r="B200" s="36"/>
      <c r="C200" s="38">
        <v>6</v>
      </c>
      <c r="D200" s="38">
        <v>4</v>
      </c>
      <c r="E200" s="38">
        <v>4</v>
      </c>
      <c r="F200" s="38">
        <f>Wages!C200*H200</f>
        <v>8</v>
      </c>
      <c r="G200" s="38">
        <f>Wages!D200*I200</f>
        <v>5</v>
      </c>
      <c r="H200" s="39">
        <f t="shared" si="13"/>
        <v>1.3333333333333333</v>
      </c>
      <c r="I200" s="38">
        <f t="shared" si="14"/>
        <v>1.25</v>
      </c>
      <c r="J200" s="36"/>
      <c r="K200" s="36"/>
      <c r="L200" s="38"/>
      <c r="M200" s="39">
        <f>Prices!BP202*Wages!$C200</f>
        <v>5.3939062500000006</v>
      </c>
      <c r="N200" s="39">
        <f>Prices!BP202*Wages!D200</f>
        <v>3.5959375000000002</v>
      </c>
      <c r="O200" s="39">
        <f>Prices!$BP202*Wages!E200</f>
        <v>3.5959375000000002</v>
      </c>
      <c r="P200" s="39">
        <f>Prices!$BP202*F200</f>
        <v>7.1918750000000005</v>
      </c>
      <c r="Q200" s="39">
        <f>(31.1*0.925/Prices!$BN202)*G200</f>
        <v>4.4949218750000002</v>
      </c>
    </row>
    <row r="201" spans="1:17">
      <c r="A201" s="54">
        <f t="shared" si="10"/>
        <v>1451</v>
      </c>
      <c r="B201" s="36"/>
      <c r="C201" s="38">
        <v>6</v>
      </c>
      <c r="D201" s="38">
        <v>4</v>
      </c>
      <c r="E201" s="38">
        <v>4</v>
      </c>
      <c r="F201" s="38">
        <f>Wages!C201*H201</f>
        <v>8</v>
      </c>
      <c r="G201" s="38">
        <f>Wages!D201*I201</f>
        <v>5</v>
      </c>
      <c r="H201" s="39">
        <f t="shared" si="13"/>
        <v>1.3333333333333333</v>
      </c>
      <c r="I201" s="38">
        <f t="shared" si="14"/>
        <v>1.25</v>
      </c>
      <c r="J201" s="36"/>
      <c r="K201" s="36"/>
      <c r="L201" s="38"/>
      <c r="M201" s="39">
        <f>Prices!BP203*Wages!$C201</f>
        <v>5.3939062500000006</v>
      </c>
      <c r="N201" s="39">
        <f>Prices!BP203*Wages!D201</f>
        <v>3.5959375000000002</v>
      </c>
      <c r="O201" s="39">
        <f>Prices!$BP203*Wages!E201</f>
        <v>3.5959375000000002</v>
      </c>
      <c r="P201" s="39">
        <f>Prices!$BP203*F201</f>
        <v>7.1918750000000005</v>
      </c>
      <c r="Q201" s="39">
        <f>(31.1*0.925/Prices!$BN203)*G201</f>
        <v>4.4949218750000002</v>
      </c>
    </row>
    <row r="202" spans="1:17">
      <c r="A202" s="54">
        <f t="shared" ref="A202:A265" si="15">A201+1</f>
        <v>1452</v>
      </c>
      <c r="B202" s="36"/>
      <c r="C202" s="38">
        <v>6</v>
      </c>
      <c r="D202" s="38">
        <v>4</v>
      </c>
      <c r="E202" s="38">
        <v>4</v>
      </c>
      <c r="F202" s="38">
        <f>Wages!C202*H202</f>
        <v>8</v>
      </c>
      <c r="G202" s="38">
        <f>Wages!D202*I202</f>
        <v>5</v>
      </c>
      <c r="H202" s="39">
        <f t="shared" si="13"/>
        <v>1.3333333333333333</v>
      </c>
      <c r="I202" s="38">
        <f t="shared" si="14"/>
        <v>1.25</v>
      </c>
      <c r="J202" s="36"/>
      <c r="K202" s="36"/>
      <c r="L202" s="38"/>
      <c r="M202" s="39">
        <f>Prices!BP204*Wages!$C202</f>
        <v>5.3939062500000006</v>
      </c>
      <c r="N202" s="39">
        <f>Prices!BP204*Wages!D202</f>
        <v>3.5959375000000002</v>
      </c>
      <c r="O202" s="39">
        <f>Prices!$BP204*Wages!E202</f>
        <v>3.5959375000000002</v>
      </c>
      <c r="P202" s="39">
        <f>Prices!$BP204*F202</f>
        <v>7.1918750000000005</v>
      </c>
      <c r="Q202" s="39">
        <f>(31.1*0.925/Prices!$BN204)*G202</f>
        <v>4.4949218750000002</v>
      </c>
    </row>
    <row r="203" spans="1:17">
      <c r="A203" s="54">
        <f t="shared" si="15"/>
        <v>1453</v>
      </c>
      <c r="B203" s="36"/>
      <c r="C203" s="38">
        <v>6</v>
      </c>
      <c r="D203" s="38">
        <v>4</v>
      </c>
      <c r="E203" s="38">
        <v>4</v>
      </c>
      <c r="F203" s="38">
        <f>Wages!C203*H203</f>
        <v>8</v>
      </c>
      <c r="G203" s="38">
        <f>Wages!D203*I203</f>
        <v>5</v>
      </c>
      <c r="H203" s="39">
        <f t="shared" si="13"/>
        <v>1.3333333333333333</v>
      </c>
      <c r="I203" s="38">
        <f t="shared" si="14"/>
        <v>1.25</v>
      </c>
      <c r="J203" s="36"/>
      <c r="K203" s="36"/>
      <c r="L203" s="38"/>
      <c r="M203" s="39">
        <f>Prices!BP205*Wages!$C203</f>
        <v>5.3939062500000006</v>
      </c>
      <c r="N203" s="39">
        <f>Prices!BP205*Wages!D203</f>
        <v>3.5959375000000002</v>
      </c>
      <c r="O203" s="39">
        <f>Prices!$BP205*Wages!E203</f>
        <v>3.5959375000000002</v>
      </c>
      <c r="P203" s="39">
        <f>Prices!$BP205*F203</f>
        <v>7.1918750000000005</v>
      </c>
      <c r="Q203" s="39">
        <f>(31.1*0.925/Prices!$BN205)*G203</f>
        <v>4.4949218750000002</v>
      </c>
    </row>
    <row r="204" spans="1:17">
      <c r="A204" s="54">
        <f t="shared" si="15"/>
        <v>1454</v>
      </c>
      <c r="B204" s="36"/>
      <c r="C204" s="38">
        <v>6</v>
      </c>
      <c r="D204" s="38">
        <v>4</v>
      </c>
      <c r="E204" s="38">
        <v>4</v>
      </c>
      <c r="F204" s="38">
        <f>Wages!C204*H204</f>
        <v>8</v>
      </c>
      <c r="G204" s="38">
        <f>Wages!D204*I204</f>
        <v>5</v>
      </c>
      <c r="H204" s="39">
        <f t="shared" si="13"/>
        <v>1.3333333333333333</v>
      </c>
      <c r="I204" s="38">
        <f t="shared" si="14"/>
        <v>1.25</v>
      </c>
      <c r="J204" s="36"/>
      <c r="K204" s="36"/>
      <c r="L204" s="38"/>
      <c r="M204" s="39">
        <f>Prices!BP206*Wages!$C204</f>
        <v>5.3939062500000006</v>
      </c>
      <c r="N204" s="39">
        <f>Prices!BP206*Wages!D204</f>
        <v>3.5959375000000002</v>
      </c>
      <c r="O204" s="39">
        <f>Prices!$BP206*Wages!E204</f>
        <v>3.5959375000000002</v>
      </c>
      <c r="P204" s="39">
        <f>Prices!$BP206*F204</f>
        <v>7.1918750000000005</v>
      </c>
      <c r="Q204" s="39">
        <f>(31.1*0.925/Prices!$BN206)*G204</f>
        <v>4.4949218750000002</v>
      </c>
    </row>
    <row r="205" spans="1:17">
      <c r="A205" s="54">
        <f t="shared" si="15"/>
        <v>1455</v>
      </c>
      <c r="B205" s="36"/>
      <c r="C205" s="38">
        <v>6</v>
      </c>
      <c r="D205" s="38">
        <v>4</v>
      </c>
      <c r="E205" s="38">
        <v>4</v>
      </c>
      <c r="F205" s="38">
        <f>Wages!C205*H205</f>
        <v>8</v>
      </c>
      <c r="G205" s="38">
        <f>Wages!D205*I205</f>
        <v>5</v>
      </c>
      <c r="H205" s="39">
        <f t="shared" si="13"/>
        <v>1.3333333333333333</v>
      </c>
      <c r="I205" s="38">
        <f t="shared" si="14"/>
        <v>1.25</v>
      </c>
      <c r="J205" s="36"/>
      <c r="K205" s="36"/>
      <c r="L205" s="38"/>
      <c r="M205" s="39">
        <f>Prices!BP207*Wages!$C205</f>
        <v>5.3939062500000006</v>
      </c>
      <c r="N205" s="39">
        <f>Prices!BP207*Wages!D205</f>
        <v>3.5959375000000002</v>
      </c>
      <c r="O205" s="39">
        <f>Prices!$BP207*Wages!E205</f>
        <v>3.5959375000000002</v>
      </c>
      <c r="P205" s="39">
        <f>Prices!$BP207*F205</f>
        <v>7.1918750000000005</v>
      </c>
      <c r="Q205" s="39">
        <f>(31.1*0.925/Prices!$BN207)*G205</f>
        <v>4.4949218750000002</v>
      </c>
    </row>
    <row r="206" spans="1:17">
      <c r="A206" s="54">
        <f t="shared" si="15"/>
        <v>1456</v>
      </c>
      <c r="B206" s="36"/>
      <c r="C206" s="38">
        <v>6</v>
      </c>
      <c r="D206" s="38">
        <v>4</v>
      </c>
      <c r="E206" s="38">
        <v>4</v>
      </c>
      <c r="F206" s="38">
        <f>Wages!C206*H206</f>
        <v>8</v>
      </c>
      <c r="G206" s="38">
        <f>Wages!D206*I206</f>
        <v>5</v>
      </c>
      <c r="H206" s="39">
        <f t="shared" si="13"/>
        <v>1.3333333333333333</v>
      </c>
      <c r="I206" s="38">
        <f t="shared" si="14"/>
        <v>1.25</v>
      </c>
      <c r="J206" s="36"/>
      <c r="K206" s="36"/>
      <c r="L206" s="38"/>
      <c r="M206" s="39">
        <f>Prices!BP208*Wages!$C206</f>
        <v>5.3939062500000006</v>
      </c>
      <c r="N206" s="39">
        <f>Prices!BP208*Wages!D206</f>
        <v>3.5959375000000002</v>
      </c>
      <c r="O206" s="39">
        <f>Prices!$BP208*Wages!E206</f>
        <v>3.5959375000000002</v>
      </c>
      <c r="P206" s="39">
        <f>Prices!$BP208*F206</f>
        <v>7.1918750000000005</v>
      </c>
      <c r="Q206" s="39">
        <f>(31.1*0.925/Prices!$BN208)*G206</f>
        <v>4.4949218750000002</v>
      </c>
    </row>
    <row r="207" spans="1:17">
      <c r="A207" s="54">
        <f t="shared" si="15"/>
        <v>1457</v>
      </c>
      <c r="B207" s="36"/>
      <c r="C207" s="38">
        <v>6</v>
      </c>
      <c r="D207" s="38">
        <v>4</v>
      </c>
      <c r="E207" s="38">
        <v>4</v>
      </c>
      <c r="F207" s="38">
        <v>8</v>
      </c>
      <c r="G207" s="38">
        <v>5</v>
      </c>
      <c r="H207" s="39">
        <f>F207/Wages!C207</f>
        <v>1.3333333333333333</v>
      </c>
      <c r="I207" s="38">
        <f>G207/Wages!D207</f>
        <v>1.25</v>
      </c>
      <c r="J207" s="36"/>
      <c r="K207" s="36"/>
      <c r="L207" s="38"/>
      <c r="M207" s="39">
        <f>Prices!BP209*Wages!$C207</f>
        <v>5.3939062500000006</v>
      </c>
      <c r="N207" s="39">
        <f>Prices!BP209*Wages!D207</f>
        <v>3.5959375000000002</v>
      </c>
      <c r="O207" s="39">
        <f>Prices!$BP209*Wages!E207</f>
        <v>3.5959375000000002</v>
      </c>
      <c r="P207" s="39">
        <f>Prices!$BP209*F207</f>
        <v>7.1918750000000005</v>
      </c>
      <c r="Q207" s="39">
        <f>(31.1*0.925/Prices!$BN209)*G207</f>
        <v>4.4949218750000002</v>
      </c>
    </row>
    <row r="208" spans="1:17">
      <c r="A208" s="54">
        <f t="shared" si="15"/>
        <v>1458</v>
      </c>
      <c r="B208" s="36"/>
      <c r="C208" s="38">
        <v>6</v>
      </c>
      <c r="D208" s="38">
        <v>4</v>
      </c>
      <c r="E208" s="38">
        <v>4</v>
      </c>
      <c r="F208" s="38">
        <v>8</v>
      </c>
      <c r="G208" s="38">
        <v>5</v>
      </c>
      <c r="H208" s="39">
        <f>F208/Wages!C208</f>
        <v>1.3333333333333333</v>
      </c>
      <c r="I208" s="38">
        <f>G208/Wages!D208</f>
        <v>1.25</v>
      </c>
      <c r="J208" s="36"/>
      <c r="K208" s="36"/>
      <c r="L208" s="38"/>
      <c r="M208" s="39">
        <f>Prices!BP210*Wages!$C208</f>
        <v>5.3939062500000006</v>
      </c>
      <c r="N208" s="39">
        <f>Prices!BP210*Wages!D208</f>
        <v>3.5959375000000002</v>
      </c>
      <c r="O208" s="39">
        <f>Prices!$BP210*Wages!E208</f>
        <v>3.5959375000000002</v>
      </c>
      <c r="P208" s="39">
        <f>Prices!$BP210*F208</f>
        <v>7.1918750000000005</v>
      </c>
      <c r="Q208" s="39">
        <f>(31.1*0.925/Prices!$BN210)*G208</f>
        <v>4.4949218750000002</v>
      </c>
    </row>
    <row r="209" spans="1:17">
      <c r="A209" s="54">
        <f t="shared" si="15"/>
        <v>1459</v>
      </c>
      <c r="B209" s="36"/>
      <c r="C209" s="38">
        <v>6</v>
      </c>
      <c r="D209" s="38">
        <v>4</v>
      </c>
      <c r="E209" s="38">
        <v>4</v>
      </c>
      <c r="F209" s="38">
        <v>8</v>
      </c>
      <c r="G209" s="38">
        <v>5</v>
      </c>
      <c r="H209" s="39">
        <f>F209/Wages!C209</f>
        <v>1.3333333333333333</v>
      </c>
      <c r="I209" s="38">
        <f>G209/Wages!D209</f>
        <v>1.25</v>
      </c>
      <c r="J209" s="36"/>
      <c r="K209" s="36"/>
      <c r="L209" s="38"/>
      <c r="M209" s="39">
        <f>Prices!BP211*Wages!$C209</f>
        <v>5.3939062500000006</v>
      </c>
      <c r="N209" s="39">
        <f>Prices!BP211*Wages!D209</f>
        <v>3.5959375000000002</v>
      </c>
      <c r="O209" s="39">
        <f>Prices!$BP211*Wages!E209</f>
        <v>3.5959375000000002</v>
      </c>
      <c r="P209" s="39">
        <f>Prices!$BP211*F209</f>
        <v>7.1918750000000005</v>
      </c>
      <c r="Q209" s="39">
        <f>(31.1*0.925/Prices!$BN211)*G209</f>
        <v>4.4949218750000002</v>
      </c>
    </row>
    <row r="210" spans="1:17">
      <c r="A210" s="54">
        <f t="shared" si="15"/>
        <v>1460</v>
      </c>
      <c r="B210" s="36"/>
      <c r="C210" s="38">
        <v>6</v>
      </c>
      <c r="D210" s="38">
        <v>4</v>
      </c>
      <c r="E210" s="38">
        <v>4</v>
      </c>
      <c r="F210" s="38">
        <v>8</v>
      </c>
      <c r="G210" s="38">
        <v>5</v>
      </c>
      <c r="H210" s="39">
        <f>F210/Wages!C210</f>
        <v>1.3333333333333333</v>
      </c>
      <c r="I210" s="38">
        <f>G210/Wages!D210</f>
        <v>1.25</v>
      </c>
      <c r="J210" s="36"/>
      <c r="K210" s="36"/>
      <c r="L210" s="38"/>
      <c r="M210" s="39">
        <f>Prices!BP212*Wages!$C210</f>
        <v>5.3939062500000006</v>
      </c>
      <c r="N210" s="39">
        <f>Prices!BP212*Wages!D210</f>
        <v>3.5959375000000002</v>
      </c>
      <c r="O210" s="39">
        <f>Prices!$BP212*Wages!E210</f>
        <v>3.5959375000000002</v>
      </c>
      <c r="P210" s="39">
        <f>Prices!$BP212*F210</f>
        <v>7.1918750000000005</v>
      </c>
      <c r="Q210" s="39">
        <f>(31.1*0.925/Prices!$BN212)*G210</f>
        <v>4.4949218750000002</v>
      </c>
    </row>
    <row r="211" spans="1:17">
      <c r="A211" s="54">
        <f t="shared" si="15"/>
        <v>1461</v>
      </c>
      <c r="B211" s="36"/>
      <c r="C211" s="38">
        <v>6</v>
      </c>
      <c r="D211" s="38">
        <v>4</v>
      </c>
      <c r="E211" s="38">
        <v>4</v>
      </c>
      <c r="F211" s="38">
        <v>8</v>
      </c>
      <c r="G211" s="38">
        <v>5</v>
      </c>
      <c r="H211" s="39">
        <f>F211/Wages!C211</f>
        <v>1.3333333333333333</v>
      </c>
      <c r="I211" s="38">
        <f>G211/Wages!D211</f>
        <v>1.25</v>
      </c>
      <c r="J211" s="36"/>
      <c r="K211" s="36"/>
      <c r="L211" s="38"/>
      <c r="M211" s="39">
        <f>Prices!BP213*Wages!$C211</f>
        <v>5.3939062500000006</v>
      </c>
      <c r="N211" s="39">
        <f>Prices!BP213*Wages!D211</f>
        <v>3.5959375000000002</v>
      </c>
      <c r="O211" s="39">
        <f>Prices!$BP213*Wages!E211</f>
        <v>3.5959375000000002</v>
      </c>
      <c r="P211" s="39">
        <f>Prices!$BP213*F211</f>
        <v>7.1918750000000005</v>
      </c>
      <c r="Q211" s="39">
        <f>(31.1*0.925/Prices!$BN213)*G211</f>
        <v>4.4949218750000002</v>
      </c>
    </row>
    <row r="212" spans="1:17">
      <c r="A212" s="54">
        <f t="shared" si="15"/>
        <v>1462</v>
      </c>
      <c r="B212" s="36"/>
      <c r="C212" s="38">
        <v>6</v>
      </c>
      <c r="D212" s="38">
        <v>4</v>
      </c>
      <c r="E212" s="38">
        <v>4</v>
      </c>
      <c r="F212" s="38">
        <v>8</v>
      </c>
      <c r="G212" s="38">
        <v>5</v>
      </c>
      <c r="H212" s="39">
        <f>F212/Wages!C212</f>
        <v>1.3333333333333333</v>
      </c>
      <c r="I212" s="38">
        <f>G212/Wages!D212</f>
        <v>1.25</v>
      </c>
      <c r="J212" s="36"/>
      <c r="K212" s="36"/>
      <c r="L212" s="38"/>
      <c r="M212" s="39">
        <f>Prices!BP214*Wages!$C212</f>
        <v>5.3939062500000006</v>
      </c>
      <c r="N212" s="39">
        <f>Prices!BP214*Wages!D212</f>
        <v>3.5959375000000002</v>
      </c>
      <c r="O212" s="39">
        <f>Prices!$BP214*Wages!E212</f>
        <v>3.5959375000000002</v>
      </c>
      <c r="P212" s="39">
        <f>Prices!$BP214*F212</f>
        <v>7.1918750000000005</v>
      </c>
      <c r="Q212" s="39">
        <f>(31.1*0.925/Prices!$BN214)*G212</f>
        <v>4.4949218750000002</v>
      </c>
    </row>
    <row r="213" spans="1:17">
      <c r="A213" s="54">
        <f t="shared" si="15"/>
        <v>1463</v>
      </c>
      <c r="B213" s="36"/>
      <c r="C213" s="38">
        <v>6</v>
      </c>
      <c r="D213" s="38">
        <v>4</v>
      </c>
      <c r="E213" s="38">
        <v>4</v>
      </c>
      <c r="F213" s="38">
        <v>8</v>
      </c>
      <c r="G213" s="38">
        <v>5</v>
      </c>
      <c r="H213" s="39">
        <f>F213/Wages!C213</f>
        <v>1.3333333333333333</v>
      </c>
      <c r="I213" s="38">
        <f>G213/Wages!D213</f>
        <v>1.25</v>
      </c>
      <c r="J213" s="36"/>
      <c r="K213" s="36"/>
      <c r="L213" s="38"/>
      <c r="M213" s="39">
        <f>Prices!BP215*Wages!$C213</f>
        <v>5.3939062500000006</v>
      </c>
      <c r="N213" s="39">
        <f>Prices!BP215*Wages!D213</f>
        <v>3.5959375000000002</v>
      </c>
      <c r="O213" s="39">
        <f>Prices!$BP215*Wages!E213</f>
        <v>3.5959375000000002</v>
      </c>
      <c r="P213" s="39">
        <f>Prices!$BP215*F213</f>
        <v>7.1918750000000005</v>
      </c>
      <c r="Q213" s="39">
        <f>(31.1*0.925/Prices!$BN215)*G213</f>
        <v>4.4949218750000002</v>
      </c>
    </row>
    <row r="214" spans="1:17">
      <c r="A214" s="54">
        <f t="shared" si="15"/>
        <v>1464</v>
      </c>
      <c r="B214" s="36"/>
      <c r="C214" s="38">
        <v>6</v>
      </c>
      <c r="D214" s="38">
        <v>4</v>
      </c>
      <c r="E214" s="38">
        <v>4</v>
      </c>
      <c r="F214" s="38">
        <v>8</v>
      </c>
      <c r="G214" s="38">
        <v>5</v>
      </c>
      <c r="H214" s="39">
        <f>F214/Wages!C214</f>
        <v>1.3333333333333333</v>
      </c>
      <c r="I214" s="38">
        <f>G214/Wages!D214</f>
        <v>1.25</v>
      </c>
      <c r="J214" s="36"/>
      <c r="K214" s="36"/>
      <c r="L214" s="38"/>
      <c r="M214" s="39">
        <f>Prices!BP216*Wages!$C214</f>
        <v>4.3151250000000001</v>
      </c>
      <c r="N214" s="39">
        <f>Prices!BP216*Wages!D214</f>
        <v>2.8767500000000004</v>
      </c>
      <c r="O214" s="39">
        <f>Prices!$BP216*Wages!E214</f>
        <v>2.8767500000000004</v>
      </c>
      <c r="P214" s="39">
        <f>Prices!$BP216*F214</f>
        <v>5.7535000000000007</v>
      </c>
      <c r="Q214" s="39">
        <f>(31.1*0.925/Prices!$BN216)*G214</f>
        <v>3.5959375000000007</v>
      </c>
    </row>
    <row r="215" spans="1:17">
      <c r="A215" s="54">
        <f t="shared" si="15"/>
        <v>1465</v>
      </c>
      <c r="B215" s="36"/>
      <c r="C215" s="38">
        <v>6</v>
      </c>
      <c r="D215" s="38">
        <v>4</v>
      </c>
      <c r="E215" s="38">
        <v>4</v>
      </c>
      <c r="F215" s="38">
        <v>8</v>
      </c>
      <c r="G215" s="38">
        <v>5</v>
      </c>
      <c r="H215" s="39">
        <f>F215/Wages!C215</f>
        <v>1.3333333333333333</v>
      </c>
      <c r="I215" s="38">
        <f>G215/Wages!D215</f>
        <v>1.25</v>
      </c>
      <c r="J215" s="36"/>
      <c r="K215" s="36"/>
      <c r="L215" s="38"/>
      <c r="M215" s="39">
        <f>Prices!BP217*Wages!$C215</f>
        <v>4.3151250000000001</v>
      </c>
      <c r="N215" s="39">
        <f>Prices!BP217*Wages!D215</f>
        <v>2.8767500000000004</v>
      </c>
      <c r="O215" s="39">
        <f>Prices!$BP217*Wages!E215</f>
        <v>2.8767500000000004</v>
      </c>
      <c r="P215" s="39">
        <f>Prices!$BP217*F215</f>
        <v>5.7535000000000007</v>
      </c>
      <c r="Q215" s="39">
        <f>(31.1*0.925/Prices!$BN217)*G215</f>
        <v>3.5959375000000007</v>
      </c>
    </row>
    <row r="216" spans="1:17">
      <c r="A216" s="54">
        <f t="shared" si="15"/>
        <v>1466</v>
      </c>
      <c r="B216" s="36"/>
      <c r="C216" s="38">
        <v>6</v>
      </c>
      <c r="D216" s="38">
        <v>4</v>
      </c>
      <c r="E216" s="38">
        <v>4</v>
      </c>
      <c r="F216" s="38">
        <v>8</v>
      </c>
      <c r="G216" s="38">
        <v>5</v>
      </c>
      <c r="H216" s="39">
        <f>F216/Wages!C216</f>
        <v>1.3333333333333333</v>
      </c>
      <c r="I216" s="38">
        <f>G216/Wages!D216</f>
        <v>1.25</v>
      </c>
      <c r="J216" s="36"/>
      <c r="K216" s="36"/>
      <c r="L216" s="38"/>
      <c r="M216" s="39">
        <f>Prices!BP218*Wages!$C216</f>
        <v>4.3151250000000001</v>
      </c>
      <c r="N216" s="39">
        <f>Prices!BP218*Wages!D216</f>
        <v>2.8767500000000004</v>
      </c>
      <c r="O216" s="39">
        <f>Prices!$BP218*Wages!E216</f>
        <v>2.8767500000000004</v>
      </c>
      <c r="P216" s="39">
        <f>Prices!$BP218*F216</f>
        <v>5.7535000000000007</v>
      </c>
      <c r="Q216" s="39">
        <f>(31.1*0.925/Prices!$BN218)*G216</f>
        <v>3.5959375000000007</v>
      </c>
    </row>
    <row r="217" spans="1:17">
      <c r="A217" s="54">
        <f t="shared" si="15"/>
        <v>1467</v>
      </c>
      <c r="B217" s="36"/>
      <c r="C217" s="38">
        <v>6</v>
      </c>
      <c r="D217" s="38">
        <v>4</v>
      </c>
      <c r="E217" s="38">
        <v>4</v>
      </c>
      <c r="F217" s="38">
        <v>8</v>
      </c>
      <c r="G217" s="38">
        <v>5</v>
      </c>
      <c r="H217" s="39">
        <f>F217/Wages!C217</f>
        <v>1.3333333333333333</v>
      </c>
      <c r="I217" s="38">
        <f>G217/Wages!D217</f>
        <v>1.25</v>
      </c>
      <c r="J217" s="36"/>
      <c r="K217" s="36"/>
      <c r="L217" s="38"/>
      <c r="M217" s="39">
        <f>Prices!BP219*Wages!$C217</f>
        <v>4.3151250000000001</v>
      </c>
      <c r="N217" s="39">
        <f>Prices!BP219*Wages!D217</f>
        <v>2.8767500000000004</v>
      </c>
      <c r="O217" s="39">
        <f>Prices!$BP219*Wages!E217</f>
        <v>2.8767500000000004</v>
      </c>
      <c r="P217" s="39">
        <f>Prices!$BP219*F217</f>
        <v>5.7535000000000007</v>
      </c>
      <c r="Q217" s="39">
        <f>(31.1*0.925/Prices!$BN219)*G217</f>
        <v>3.5959375000000007</v>
      </c>
    </row>
    <row r="218" spans="1:17">
      <c r="A218" s="54">
        <f t="shared" si="15"/>
        <v>1468</v>
      </c>
      <c r="B218" s="36"/>
      <c r="C218" s="38">
        <v>6</v>
      </c>
      <c r="D218" s="38">
        <v>4</v>
      </c>
      <c r="E218" s="38">
        <v>4</v>
      </c>
      <c r="F218" s="38">
        <v>8</v>
      </c>
      <c r="G218" s="38">
        <v>5</v>
      </c>
      <c r="H218" s="39">
        <f>F218/Wages!C218</f>
        <v>1.3333333333333333</v>
      </c>
      <c r="I218" s="38">
        <f>G218/Wages!D218</f>
        <v>1.25</v>
      </c>
      <c r="J218" s="36"/>
      <c r="K218" s="36"/>
      <c r="L218" s="38"/>
      <c r="M218" s="39">
        <f>Prices!BP220*Wages!$C218</f>
        <v>4.3151250000000001</v>
      </c>
      <c r="N218" s="39">
        <f>Prices!BP220*Wages!D218</f>
        <v>2.8767500000000004</v>
      </c>
      <c r="O218" s="39">
        <f>Prices!$BP220*Wages!E218</f>
        <v>2.8767500000000004</v>
      </c>
      <c r="P218" s="39">
        <f>Prices!$BP220*F218</f>
        <v>5.7535000000000007</v>
      </c>
      <c r="Q218" s="39">
        <f>(31.1*0.925/Prices!$BN220)*G218</f>
        <v>3.5959375000000007</v>
      </c>
    </row>
    <row r="219" spans="1:17">
      <c r="A219" s="54">
        <f t="shared" si="15"/>
        <v>1469</v>
      </c>
      <c r="B219" s="36"/>
      <c r="C219" s="38">
        <v>6</v>
      </c>
      <c r="D219" s="38">
        <v>4</v>
      </c>
      <c r="E219" s="38">
        <v>4</v>
      </c>
      <c r="F219" s="38">
        <v>8</v>
      </c>
      <c r="G219" s="38">
        <v>5</v>
      </c>
      <c r="H219" s="39">
        <f>F219/Wages!C219</f>
        <v>1.3333333333333333</v>
      </c>
      <c r="I219" s="38">
        <f>G219/Wages!D219</f>
        <v>1.25</v>
      </c>
      <c r="J219" s="36"/>
      <c r="K219" s="36"/>
      <c r="L219" s="38"/>
      <c r="M219" s="39">
        <f>Prices!BP221*Wages!$C219</f>
        <v>4.3151250000000001</v>
      </c>
      <c r="N219" s="39">
        <f>Prices!BP221*Wages!D219</f>
        <v>2.8767500000000004</v>
      </c>
      <c r="O219" s="39">
        <f>Prices!$BP221*Wages!E219</f>
        <v>2.8767500000000004</v>
      </c>
      <c r="P219" s="39">
        <f>Prices!$BP221*F219</f>
        <v>5.7535000000000007</v>
      </c>
      <c r="Q219" s="39">
        <f>(31.1*0.925/Prices!$BN221)*G219</f>
        <v>3.5959375000000007</v>
      </c>
    </row>
    <row r="220" spans="1:17">
      <c r="A220" s="54">
        <f t="shared" si="15"/>
        <v>1470</v>
      </c>
      <c r="B220" s="36"/>
      <c r="C220" s="38">
        <v>6</v>
      </c>
      <c r="D220" s="38">
        <v>4</v>
      </c>
      <c r="E220" s="38">
        <v>4</v>
      </c>
      <c r="F220" s="38">
        <v>8</v>
      </c>
      <c r="G220" s="38">
        <v>5</v>
      </c>
      <c r="H220" s="39">
        <f>F220/Wages!C220</f>
        <v>1.3333333333333333</v>
      </c>
      <c r="I220" s="38">
        <f>G220/Wages!D220</f>
        <v>1.25</v>
      </c>
      <c r="J220" s="38">
        <v>6</v>
      </c>
      <c r="K220" s="38">
        <v>4</v>
      </c>
      <c r="L220" s="38"/>
      <c r="M220" s="39">
        <f>Prices!BP222*Wages!$C220</f>
        <v>4.3151250000000001</v>
      </c>
      <c r="N220" s="39">
        <f>Prices!BP222*Wages!D220</f>
        <v>2.8767500000000004</v>
      </c>
      <c r="O220" s="39">
        <f>Prices!$BP222*Wages!E220</f>
        <v>2.8767500000000004</v>
      </c>
      <c r="P220" s="39">
        <f>Prices!$BP222*F220</f>
        <v>5.7535000000000007</v>
      </c>
      <c r="Q220" s="39">
        <f>(31.1*0.925/Prices!$BN222)*G220</f>
        <v>3.5959375000000007</v>
      </c>
    </row>
    <row r="221" spans="1:17">
      <c r="A221" s="54">
        <f t="shared" si="15"/>
        <v>1471</v>
      </c>
      <c r="B221" s="36"/>
      <c r="C221" s="38">
        <v>6</v>
      </c>
      <c r="D221" s="38">
        <v>4</v>
      </c>
      <c r="E221" s="38">
        <v>4</v>
      </c>
      <c r="F221" s="38">
        <v>8</v>
      </c>
      <c r="G221" s="38">
        <v>5</v>
      </c>
      <c r="H221" s="39">
        <f>F221/Wages!C221</f>
        <v>1.3333333333333333</v>
      </c>
      <c r="I221" s="38">
        <f>G221/Wages!D221</f>
        <v>1.25</v>
      </c>
      <c r="J221" s="38">
        <v>6</v>
      </c>
      <c r="K221" s="38">
        <v>4</v>
      </c>
      <c r="L221" s="38"/>
      <c r="M221" s="39">
        <f>Prices!BP223*Wages!$C221</f>
        <v>4.3151250000000001</v>
      </c>
      <c r="N221" s="39">
        <f>Prices!BP223*Wages!D221</f>
        <v>2.8767500000000004</v>
      </c>
      <c r="O221" s="39">
        <f>Prices!$BP223*Wages!E221</f>
        <v>2.8767500000000004</v>
      </c>
      <c r="P221" s="39">
        <f>Prices!$BP223*F221</f>
        <v>5.7535000000000007</v>
      </c>
      <c r="Q221" s="39">
        <f>(31.1*0.925/Prices!$BN223)*G221</f>
        <v>3.5959375000000007</v>
      </c>
    </row>
    <row r="222" spans="1:17">
      <c r="A222" s="54">
        <f t="shared" si="15"/>
        <v>1472</v>
      </c>
      <c r="B222" s="36"/>
      <c r="C222" s="38">
        <v>6</v>
      </c>
      <c r="D222" s="38">
        <v>4</v>
      </c>
      <c r="E222" s="38">
        <v>4</v>
      </c>
      <c r="F222" s="38">
        <v>8</v>
      </c>
      <c r="G222" s="38">
        <v>5</v>
      </c>
      <c r="H222" s="39">
        <f>F222/Wages!C222</f>
        <v>1.3333333333333333</v>
      </c>
      <c r="I222" s="38">
        <f>G222/Wages!D222</f>
        <v>1.25</v>
      </c>
      <c r="J222" s="38">
        <v>6</v>
      </c>
      <c r="K222" s="38">
        <v>4</v>
      </c>
      <c r="L222" s="38"/>
      <c r="M222" s="39">
        <f>Prices!BP224*Wages!$C222</f>
        <v>4.3151250000000001</v>
      </c>
      <c r="N222" s="39">
        <f>Prices!BP224*Wages!D222</f>
        <v>2.8767500000000004</v>
      </c>
      <c r="O222" s="39">
        <f>Prices!$BP224*Wages!E222</f>
        <v>2.8767500000000004</v>
      </c>
      <c r="P222" s="39">
        <f>Prices!$BP224*F222</f>
        <v>5.7535000000000007</v>
      </c>
      <c r="Q222" s="39">
        <f>(31.1*0.925/Prices!$BN224)*G222</f>
        <v>3.5959375000000007</v>
      </c>
    </row>
    <row r="223" spans="1:17">
      <c r="A223" s="54">
        <f t="shared" si="15"/>
        <v>1473</v>
      </c>
      <c r="B223" s="36"/>
      <c r="C223" s="38">
        <v>6</v>
      </c>
      <c r="D223" s="38">
        <v>4</v>
      </c>
      <c r="E223" s="38">
        <v>4</v>
      </c>
      <c r="F223" s="38">
        <v>8</v>
      </c>
      <c r="G223" s="38">
        <v>5</v>
      </c>
      <c r="H223" s="39">
        <f>F223/Wages!C223</f>
        <v>1.3333333333333333</v>
      </c>
      <c r="I223" s="38">
        <f>G223/Wages!D223</f>
        <v>1.25</v>
      </c>
      <c r="J223" s="38">
        <v>6</v>
      </c>
      <c r="K223" s="38">
        <v>4</v>
      </c>
      <c r="L223" s="38"/>
      <c r="M223" s="39">
        <f>Prices!BP225*Wages!$C223</f>
        <v>4.3151250000000001</v>
      </c>
      <c r="N223" s="39">
        <f>Prices!BP225*Wages!D223</f>
        <v>2.8767500000000004</v>
      </c>
      <c r="O223" s="39">
        <f>Prices!$BP225*Wages!E223</f>
        <v>2.8767500000000004</v>
      </c>
      <c r="P223" s="39">
        <f>Prices!$BP225*F223</f>
        <v>5.7535000000000007</v>
      </c>
      <c r="Q223" s="39">
        <f>(31.1*0.925/Prices!$BN225)*G223</f>
        <v>3.5959375000000007</v>
      </c>
    </row>
    <row r="224" spans="1:17">
      <c r="A224" s="54">
        <f t="shared" si="15"/>
        <v>1474</v>
      </c>
      <c r="B224" s="36"/>
      <c r="C224" s="38">
        <v>6</v>
      </c>
      <c r="D224" s="38">
        <v>4</v>
      </c>
      <c r="E224" s="38">
        <v>4</v>
      </c>
      <c r="F224" s="38">
        <v>8</v>
      </c>
      <c r="G224" s="38">
        <v>5</v>
      </c>
      <c r="H224" s="39">
        <f>F224/Wages!C224</f>
        <v>1.3333333333333333</v>
      </c>
      <c r="I224" s="38">
        <f>G224/Wages!D224</f>
        <v>1.25</v>
      </c>
      <c r="J224" s="38">
        <v>6</v>
      </c>
      <c r="K224" s="38">
        <v>4</v>
      </c>
      <c r="L224" s="38"/>
      <c r="M224" s="39">
        <f>Prices!BP226*Wages!$C224</f>
        <v>4.3151250000000001</v>
      </c>
      <c r="N224" s="39">
        <f>Prices!BP226*Wages!D224</f>
        <v>2.8767500000000004</v>
      </c>
      <c r="O224" s="39">
        <f>Prices!$BP226*Wages!E224</f>
        <v>2.8767500000000004</v>
      </c>
      <c r="P224" s="39">
        <f>Prices!$BP226*F224</f>
        <v>5.7535000000000007</v>
      </c>
      <c r="Q224" s="39">
        <f>(31.1*0.925/Prices!$BN226)*G224</f>
        <v>3.5959375000000007</v>
      </c>
    </row>
    <row r="225" spans="1:17">
      <c r="A225" s="54">
        <f t="shared" si="15"/>
        <v>1475</v>
      </c>
      <c r="B225" s="36"/>
      <c r="C225" s="38">
        <v>6</v>
      </c>
      <c r="D225" s="38">
        <v>4</v>
      </c>
      <c r="E225" s="38">
        <v>4</v>
      </c>
      <c r="F225" s="38">
        <v>8</v>
      </c>
      <c r="G225" s="38">
        <v>5</v>
      </c>
      <c r="H225" s="39">
        <f>F225/Wages!C225</f>
        <v>1.3333333333333333</v>
      </c>
      <c r="I225" s="38">
        <f>G225/Wages!D225</f>
        <v>1.25</v>
      </c>
      <c r="J225" s="38">
        <v>6</v>
      </c>
      <c r="K225" s="38">
        <v>4</v>
      </c>
      <c r="L225" s="38"/>
      <c r="M225" s="39">
        <f>Prices!BP227*Wages!$C225</f>
        <v>4.3151250000000001</v>
      </c>
      <c r="N225" s="39">
        <f>Prices!BP227*Wages!D225</f>
        <v>2.8767500000000004</v>
      </c>
      <c r="O225" s="39">
        <f>Prices!$BP227*Wages!E225</f>
        <v>2.8767500000000004</v>
      </c>
      <c r="P225" s="39">
        <f>Prices!$BP227*F225</f>
        <v>5.7535000000000007</v>
      </c>
      <c r="Q225" s="39">
        <f>(31.1*0.925/Prices!$BN227)*G225</f>
        <v>3.5959375000000007</v>
      </c>
    </row>
    <row r="226" spans="1:17">
      <c r="A226" s="54">
        <f t="shared" si="15"/>
        <v>1476</v>
      </c>
      <c r="B226" s="36"/>
      <c r="C226" s="38">
        <v>6</v>
      </c>
      <c r="D226" s="38">
        <v>4</v>
      </c>
      <c r="E226" s="38">
        <v>4</v>
      </c>
      <c r="F226" s="38">
        <v>8</v>
      </c>
      <c r="G226" s="38">
        <v>5</v>
      </c>
      <c r="H226" s="39">
        <f>F226/Wages!C226</f>
        <v>1.3333333333333333</v>
      </c>
      <c r="I226" s="38">
        <f>G226/Wages!D226</f>
        <v>1.25</v>
      </c>
      <c r="J226" s="38">
        <v>6</v>
      </c>
      <c r="K226" s="38">
        <v>4</v>
      </c>
      <c r="L226" s="38"/>
      <c r="M226" s="39">
        <f>Prices!BP228*Wages!$C226</f>
        <v>4.3151250000000001</v>
      </c>
      <c r="N226" s="39">
        <f>Prices!BP228*Wages!D226</f>
        <v>2.8767500000000004</v>
      </c>
      <c r="O226" s="39">
        <f>Prices!$BP228*Wages!E226</f>
        <v>2.8767500000000004</v>
      </c>
      <c r="P226" s="39">
        <f>Prices!$BP228*F226</f>
        <v>5.7535000000000007</v>
      </c>
      <c r="Q226" s="39">
        <f>(31.1*0.925/Prices!$BN228)*G226</f>
        <v>3.5959375000000007</v>
      </c>
    </row>
    <row r="227" spans="1:17">
      <c r="A227" s="54">
        <f t="shared" si="15"/>
        <v>1477</v>
      </c>
      <c r="B227" s="36"/>
      <c r="C227" s="38">
        <v>6</v>
      </c>
      <c r="D227" s="38">
        <v>4</v>
      </c>
      <c r="E227" s="38">
        <v>4</v>
      </c>
      <c r="F227" s="38">
        <v>8</v>
      </c>
      <c r="G227" s="38">
        <v>5</v>
      </c>
      <c r="H227" s="39">
        <f>F227/Wages!C227</f>
        <v>1.3333333333333333</v>
      </c>
      <c r="I227" s="38">
        <f>G227/Wages!D227</f>
        <v>1.25</v>
      </c>
      <c r="J227" s="38">
        <v>6</v>
      </c>
      <c r="K227" s="38">
        <v>4</v>
      </c>
      <c r="L227" s="38"/>
      <c r="M227" s="39">
        <f>Prices!BP229*Wages!$C227</f>
        <v>4.3151250000000001</v>
      </c>
      <c r="N227" s="39">
        <f>Prices!BP229*Wages!D227</f>
        <v>2.8767500000000004</v>
      </c>
      <c r="O227" s="39">
        <f>Prices!$BP229*Wages!E227</f>
        <v>2.8767500000000004</v>
      </c>
      <c r="P227" s="39">
        <f>Prices!$BP229*F227</f>
        <v>5.7535000000000007</v>
      </c>
      <c r="Q227" s="39">
        <f>(31.1*0.925/Prices!$BN229)*G227</f>
        <v>3.5959375000000007</v>
      </c>
    </row>
    <row r="228" spans="1:17">
      <c r="A228" s="54">
        <f t="shared" si="15"/>
        <v>1478</v>
      </c>
      <c r="B228" s="36"/>
      <c r="C228" s="38">
        <v>6</v>
      </c>
      <c r="D228" s="38">
        <v>4</v>
      </c>
      <c r="E228" s="38">
        <v>4</v>
      </c>
      <c r="F228" s="38">
        <v>8</v>
      </c>
      <c r="G228" s="38">
        <v>5</v>
      </c>
      <c r="H228" s="39">
        <f>F228/Wages!C228</f>
        <v>1.3333333333333333</v>
      </c>
      <c r="I228" s="38">
        <f>G228/Wages!D228</f>
        <v>1.25</v>
      </c>
      <c r="J228" s="38">
        <v>6</v>
      </c>
      <c r="K228" s="38">
        <v>4</v>
      </c>
      <c r="L228" s="38"/>
      <c r="M228" s="39">
        <f>Prices!BP230*Wages!$C228</f>
        <v>4.3151250000000001</v>
      </c>
      <c r="N228" s="39">
        <f>Prices!BP230*Wages!D228</f>
        <v>2.8767500000000004</v>
      </c>
      <c r="O228" s="39">
        <f>Prices!$BP230*Wages!E228</f>
        <v>2.8767500000000004</v>
      </c>
      <c r="P228" s="39">
        <f>Prices!$BP230*F228</f>
        <v>5.7535000000000007</v>
      </c>
      <c r="Q228" s="39">
        <f>(31.1*0.925/Prices!$BN230)*G228</f>
        <v>3.5959375000000007</v>
      </c>
    </row>
    <row r="229" spans="1:17">
      <c r="A229" s="54">
        <f t="shared" si="15"/>
        <v>1479</v>
      </c>
      <c r="B229" s="36"/>
      <c r="C229" s="38">
        <v>6</v>
      </c>
      <c r="D229" s="38">
        <v>4</v>
      </c>
      <c r="E229" s="38">
        <v>4</v>
      </c>
      <c r="F229" s="38">
        <v>8</v>
      </c>
      <c r="G229" s="38">
        <v>5</v>
      </c>
      <c r="H229" s="39">
        <f>F229/Wages!C229</f>
        <v>1.3333333333333333</v>
      </c>
      <c r="I229" s="38">
        <f>G229/Wages!D229</f>
        <v>1.25</v>
      </c>
      <c r="J229" s="38">
        <v>6</v>
      </c>
      <c r="K229" s="38">
        <v>4</v>
      </c>
      <c r="L229" s="38"/>
      <c r="M229" s="39">
        <f>Prices!BP231*Wages!$C229</f>
        <v>4.3151250000000001</v>
      </c>
      <c r="N229" s="39">
        <f>Prices!BP231*Wages!D229</f>
        <v>2.8767500000000004</v>
      </c>
      <c r="O229" s="39">
        <f>Prices!$BP231*Wages!E229</f>
        <v>2.8767500000000004</v>
      </c>
      <c r="P229" s="39">
        <f>Prices!$BP231*F229</f>
        <v>5.7535000000000007</v>
      </c>
      <c r="Q229" s="39">
        <f>(31.1*0.925/Prices!$BN231)*G229</f>
        <v>3.5959375000000007</v>
      </c>
    </row>
    <row r="230" spans="1:17">
      <c r="A230" s="54">
        <f t="shared" si="15"/>
        <v>1480</v>
      </c>
      <c r="B230" s="36"/>
      <c r="C230" s="38">
        <v>6</v>
      </c>
      <c r="D230" s="38">
        <v>4</v>
      </c>
      <c r="E230" s="38">
        <v>4</v>
      </c>
      <c r="F230" s="38">
        <v>8</v>
      </c>
      <c r="G230" s="38">
        <v>5</v>
      </c>
      <c r="H230" s="39">
        <f>F230/Wages!C230</f>
        <v>1.3333333333333333</v>
      </c>
      <c r="I230" s="38">
        <f>G230/Wages!D230</f>
        <v>1.25</v>
      </c>
      <c r="J230" s="38">
        <v>6</v>
      </c>
      <c r="K230" s="38">
        <v>4</v>
      </c>
      <c r="L230" s="38"/>
      <c r="M230" s="39">
        <f>Prices!BP232*Wages!$C230</f>
        <v>4.3151250000000001</v>
      </c>
      <c r="N230" s="39">
        <f>Prices!BP232*Wages!D230</f>
        <v>2.8767500000000004</v>
      </c>
      <c r="O230" s="39">
        <f>Prices!$BP232*Wages!E230</f>
        <v>2.8767500000000004</v>
      </c>
      <c r="P230" s="39">
        <f>Prices!$BP232*F230</f>
        <v>5.7535000000000007</v>
      </c>
      <c r="Q230" s="39">
        <f>(31.1*0.925/Prices!$BN232)*G230</f>
        <v>3.5959375000000007</v>
      </c>
    </row>
    <row r="231" spans="1:17">
      <c r="A231" s="54">
        <f t="shared" si="15"/>
        <v>1481</v>
      </c>
      <c r="B231" s="36"/>
      <c r="C231" s="38">
        <v>6</v>
      </c>
      <c r="D231" s="38">
        <v>4</v>
      </c>
      <c r="E231" s="38">
        <v>4</v>
      </c>
      <c r="F231" s="38">
        <v>8</v>
      </c>
      <c r="G231" s="38">
        <v>5</v>
      </c>
      <c r="H231" s="39">
        <f>F231/Wages!C231</f>
        <v>1.3333333333333333</v>
      </c>
      <c r="I231" s="38">
        <f>G231/Wages!D231</f>
        <v>1.25</v>
      </c>
      <c r="J231" s="38">
        <v>6</v>
      </c>
      <c r="K231" s="38">
        <v>4</v>
      </c>
      <c r="L231" s="38"/>
      <c r="M231" s="39">
        <f>Prices!BP233*Wages!$C231</f>
        <v>4.3151250000000001</v>
      </c>
      <c r="N231" s="39">
        <f>Prices!BP233*Wages!D231</f>
        <v>2.8767500000000004</v>
      </c>
      <c r="O231" s="39">
        <f>Prices!$BP233*Wages!E231</f>
        <v>2.8767500000000004</v>
      </c>
      <c r="P231" s="39">
        <f>Prices!$BP233*F231</f>
        <v>5.7535000000000007</v>
      </c>
      <c r="Q231" s="39">
        <f>(31.1*0.925/Prices!$BN233)*G231</f>
        <v>3.5959375000000007</v>
      </c>
    </row>
    <row r="232" spans="1:17">
      <c r="A232" s="54">
        <f t="shared" si="15"/>
        <v>1482</v>
      </c>
      <c r="B232" s="36"/>
      <c r="C232" s="38">
        <v>6</v>
      </c>
      <c r="D232" s="38">
        <v>4</v>
      </c>
      <c r="E232" s="38">
        <v>4</v>
      </c>
      <c r="F232" s="38">
        <v>8</v>
      </c>
      <c r="G232" s="38">
        <v>5</v>
      </c>
      <c r="H232" s="39">
        <f>F232/Wages!C232</f>
        <v>1.3333333333333333</v>
      </c>
      <c r="I232" s="38">
        <f>G232/Wages!D232</f>
        <v>1.25</v>
      </c>
      <c r="J232" s="38">
        <v>6</v>
      </c>
      <c r="K232" s="38">
        <v>4</v>
      </c>
      <c r="L232" s="38"/>
      <c r="M232" s="39">
        <f>Prices!BP234*Wages!$C232</f>
        <v>4.3151250000000001</v>
      </c>
      <c r="N232" s="39">
        <f>Prices!BP234*Wages!D232</f>
        <v>2.8767500000000004</v>
      </c>
      <c r="O232" s="39">
        <f>Prices!$BP234*Wages!E232</f>
        <v>2.8767500000000004</v>
      </c>
      <c r="P232" s="39">
        <f>Prices!$BP234*F232</f>
        <v>5.7535000000000007</v>
      </c>
      <c r="Q232" s="39">
        <f>(31.1*0.925/Prices!$BN234)*G232</f>
        <v>3.5959375000000007</v>
      </c>
    </row>
    <row r="233" spans="1:17">
      <c r="A233" s="54">
        <f t="shared" si="15"/>
        <v>1483</v>
      </c>
      <c r="B233" s="36"/>
      <c r="C233" s="38">
        <v>6</v>
      </c>
      <c r="D233" s="38">
        <v>4</v>
      </c>
      <c r="E233" s="38">
        <v>4</v>
      </c>
      <c r="F233" s="38">
        <v>8</v>
      </c>
      <c r="G233" s="38">
        <v>5</v>
      </c>
      <c r="H233" s="39">
        <f>F233/Wages!C233</f>
        <v>1.3333333333333333</v>
      </c>
      <c r="I233" s="38">
        <f>G233/Wages!D233</f>
        <v>1.25</v>
      </c>
      <c r="J233" s="38">
        <v>6</v>
      </c>
      <c r="K233" s="38">
        <v>4</v>
      </c>
      <c r="L233" s="38"/>
      <c r="M233" s="39">
        <f>Prices!BP235*Wages!$C233</f>
        <v>4.3151250000000001</v>
      </c>
      <c r="N233" s="39">
        <f>Prices!BP235*Wages!D233</f>
        <v>2.8767500000000004</v>
      </c>
      <c r="O233" s="39">
        <f>Prices!$BP235*Wages!E233</f>
        <v>2.8767500000000004</v>
      </c>
      <c r="P233" s="39">
        <f>Prices!$BP235*F233</f>
        <v>5.7535000000000007</v>
      </c>
      <c r="Q233" s="39">
        <f>(31.1*0.925/Prices!$BN235)*G233</f>
        <v>3.5959375000000007</v>
      </c>
    </row>
    <row r="234" spans="1:17">
      <c r="A234" s="54">
        <f t="shared" si="15"/>
        <v>1484</v>
      </c>
      <c r="B234" s="36"/>
      <c r="C234" s="38">
        <v>6</v>
      </c>
      <c r="D234" s="38">
        <v>4</v>
      </c>
      <c r="E234" s="38">
        <v>4</v>
      </c>
      <c r="F234" s="38">
        <v>8</v>
      </c>
      <c r="G234" s="38">
        <v>5</v>
      </c>
      <c r="H234" s="39">
        <f>F234/Wages!C234</f>
        <v>1.3333333333333333</v>
      </c>
      <c r="I234" s="38">
        <f>G234/Wages!D234</f>
        <v>1.25</v>
      </c>
      <c r="J234" s="38">
        <v>6</v>
      </c>
      <c r="K234" s="38">
        <v>4</v>
      </c>
      <c r="L234" s="38"/>
      <c r="M234" s="39">
        <f>Prices!BP236*Wages!$C234</f>
        <v>4.3151250000000001</v>
      </c>
      <c r="N234" s="39">
        <f>Prices!BP236*Wages!D234</f>
        <v>2.8767500000000004</v>
      </c>
      <c r="O234" s="39">
        <f>Prices!$BP236*Wages!E234</f>
        <v>2.8767500000000004</v>
      </c>
      <c r="P234" s="39">
        <f>Prices!$BP236*F234</f>
        <v>5.7535000000000007</v>
      </c>
      <c r="Q234" s="39">
        <f>(31.1*0.925/Prices!$BN236)*G234</f>
        <v>3.5959375000000007</v>
      </c>
    </row>
    <row r="235" spans="1:17">
      <c r="A235" s="54">
        <f t="shared" si="15"/>
        <v>1485</v>
      </c>
      <c r="B235" s="36"/>
      <c r="C235" s="38">
        <v>6</v>
      </c>
      <c r="D235" s="38">
        <v>4</v>
      </c>
      <c r="E235" s="38">
        <v>4</v>
      </c>
      <c r="F235" s="38">
        <v>8</v>
      </c>
      <c r="G235" s="38">
        <v>5</v>
      </c>
      <c r="H235" s="39">
        <f>F235/Wages!C235</f>
        <v>1.3333333333333333</v>
      </c>
      <c r="I235" s="38">
        <f>G235/Wages!D235</f>
        <v>1.25</v>
      </c>
      <c r="J235" s="38">
        <v>6</v>
      </c>
      <c r="K235" s="38">
        <v>4</v>
      </c>
      <c r="L235" s="38"/>
      <c r="M235" s="39">
        <f>Prices!BP237*Wages!$C235</f>
        <v>4.3151250000000001</v>
      </c>
      <c r="N235" s="39">
        <f>Prices!BP237*Wages!D235</f>
        <v>2.8767500000000004</v>
      </c>
      <c r="O235" s="39">
        <f>Prices!$BP237*Wages!E235</f>
        <v>2.8767500000000004</v>
      </c>
      <c r="P235" s="39">
        <f>Prices!$BP237*F235</f>
        <v>5.7535000000000007</v>
      </c>
      <c r="Q235" s="39">
        <f>(31.1*0.925/Prices!$BN237)*G235</f>
        <v>3.5959375000000007</v>
      </c>
    </row>
    <row r="236" spans="1:17">
      <c r="A236" s="54">
        <f t="shared" si="15"/>
        <v>1486</v>
      </c>
      <c r="B236" s="36"/>
      <c r="C236" s="38">
        <v>6</v>
      </c>
      <c r="D236" s="38">
        <v>4</v>
      </c>
      <c r="E236" s="38">
        <v>4</v>
      </c>
      <c r="F236" s="38">
        <v>8</v>
      </c>
      <c r="G236" s="38">
        <v>5</v>
      </c>
      <c r="H236" s="39">
        <f>F236/Wages!C236</f>
        <v>1.3333333333333333</v>
      </c>
      <c r="I236" s="38">
        <f>G236/Wages!D236</f>
        <v>1.25</v>
      </c>
      <c r="J236" s="38">
        <v>6</v>
      </c>
      <c r="K236" s="38">
        <v>4</v>
      </c>
      <c r="L236" s="38"/>
      <c r="M236" s="39">
        <f>Prices!BP238*Wages!$C236</f>
        <v>4.3151250000000001</v>
      </c>
      <c r="N236" s="39">
        <f>Prices!BP238*Wages!D236</f>
        <v>2.8767500000000004</v>
      </c>
      <c r="O236" s="39">
        <f>Prices!$BP238*Wages!E236</f>
        <v>2.8767500000000004</v>
      </c>
      <c r="P236" s="39">
        <f>Prices!$BP238*F236</f>
        <v>5.7535000000000007</v>
      </c>
      <c r="Q236" s="39">
        <f>(31.1*0.925/Prices!$BN238)*G236</f>
        <v>3.5959375000000007</v>
      </c>
    </row>
    <row r="237" spans="1:17">
      <c r="A237" s="54">
        <f t="shared" si="15"/>
        <v>1487</v>
      </c>
      <c r="B237" s="36"/>
      <c r="C237" s="38">
        <v>6</v>
      </c>
      <c r="D237" s="38">
        <v>4</v>
      </c>
      <c r="E237" s="38">
        <v>4</v>
      </c>
      <c r="F237" s="38">
        <v>8</v>
      </c>
      <c r="G237" s="38">
        <v>5</v>
      </c>
      <c r="H237" s="39">
        <f>F237/Wages!C237</f>
        <v>1.3333333333333333</v>
      </c>
      <c r="I237" s="38">
        <f>G237/Wages!D237</f>
        <v>1.25</v>
      </c>
      <c r="J237" s="38">
        <v>6</v>
      </c>
      <c r="K237" s="38">
        <v>4</v>
      </c>
      <c r="L237" s="38"/>
      <c r="M237" s="39">
        <f>Prices!BP239*Wages!$C237</f>
        <v>4.3151250000000001</v>
      </c>
      <c r="N237" s="39">
        <f>Prices!BP239*Wages!D237</f>
        <v>2.8767500000000004</v>
      </c>
      <c r="O237" s="39">
        <f>Prices!$BP239*Wages!E237</f>
        <v>2.8767500000000004</v>
      </c>
      <c r="P237" s="39">
        <f>Prices!$BP239*F237</f>
        <v>5.7535000000000007</v>
      </c>
      <c r="Q237" s="39">
        <f>(31.1*0.925/Prices!$BN239)*G237</f>
        <v>3.5959375000000007</v>
      </c>
    </row>
    <row r="238" spans="1:17">
      <c r="A238" s="54">
        <f t="shared" si="15"/>
        <v>1488</v>
      </c>
      <c r="B238" s="36"/>
      <c r="C238" s="38">
        <v>6</v>
      </c>
      <c r="D238" s="38">
        <v>4</v>
      </c>
      <c r="E238" s="38">
        <v>4</v>
      </c>
      <c r="F238" s="38">
        <v>8</v>
      </c>
      <c r="G238" s="38">
        <v>5</v>
      </c>
      <c r="H238" s="39">
        <f>F238/Wages!C238</f>
        <v>1.3333333333333333</v>
      </c>
      <c r="I238" s="38">
        <f>G238/Wages!D238</f>
        <v>1.25</v>
      </c>
      <c r="J238" s="38">
        <v>6</v>
      </c>
      <c r="K238" s="38">
        <v>4</v>
      </c>
      <c r="L238" s="38"/>
      <c r="M238" s="39">
        <f>Prices!BP240*Wages!$C238</f>
        <v>4.3151250000000001</v>
      </c>
      <c r="N238" s="39">
        <f>Prices!BP240*Wages!D238</f>
        <v>2.8767500000000004</v>
      </c>
      <c r="O238" s="39">
        <f>Prices!$BP240*Wages!E238</f>
        <v>2.8767500000000004</v>
      </c>
      <c r="P238" s="39">
        <f>Prices!$BP240*F238</f>
        <v>5.7535000000000007</v>
      </c>
      <c r="Q238" s="39">
        <f>(31.1*0.925/Prices!$BN240)*G238</f>
        <v>3.5959375000000007</v>
      </c>
    </row>
    <row r="239" spans="1:17">
      <c r="A239" s="54">
        <f t="shared" si="15"/>
        <v>1489</v>
      </c>
      <c r="B239" s="36"/>
      <c r="C239" s="38">
        <v>6</v>
      </c>
      <c r="D239" s="38">
        <v>4</v>
      </c>
      <c r="E239" s="38">
        <v>4</v>
      </c>
      <c r="F239" s="38">
        <v>8</v>
      </c>
      <c r="G239" s="38">
        <v>5</v>
      </c>
      <c r="H239" s="39">
        <f>F239/Wages!C239</f>
        <v>1.3333333333333333</v>
      </c>
      <c r="I239" s="38">
        <f>G239/Wages!D239</f>
        <v>1.25</v>
      </c>
      <c r="J239" s="38">
        <v>6</v>
      </c>
      <c r="K239" s="38">
        <v>4</v>
      </c>
      <c r="L239" s="38"/>
      <c r="M239" s="39">
        <f>Prices!BP241*Wages!$C239</f>
        <v>4.3151250000000001</v>
      </c>
      <c r="N239" s="39">
        <f>Prices!BP241*Wages!D239</f>
        <v>2.8767500000000004</v>
      </c>
      <c r="O239" s="39">
        <f>Prices!$BP241*Wages!E239</f>
        <v>2.8767500000000004</v>
      </c>
      <c r="P239" s="39">
        <f>Prices!$BP241*F239</f>
        <v>5.7535000000000007</v>
      </c>
      <c r="Q239" s="39">
        <f>(31.1*0.925/Prices!$BN241)*G239</f>
        <v>3.5959375000000007</v>
      </c>
    </row>
    <row r="240" spans="1:17">
      <c r="A240" s="54">
        <f t="shared" si="15"/>
        <v>1490</v>
      </c>
      <c r="B240" s="36"/>
      <c r="C240" s="38">
        <v>6</v>
      </c>
      <c r="D240" s="38">
        <v>4</v>
      </c>
      <c r="E240" s="38">
        <v>4</v>
      </c>
      <c r="F240" s="38">
        <v>8</v>
      </c>
      <c r="G240" s="38">
        <v>5</v>
      </c>
      <c r="H240" s="39">
        <f>F240/Wages!C240</f>
        <v>1.3333333333333333</v>
      </c>
      <c r="I240" s="38">
        <f>G240/Wages!D240</f>
        <v>1.25</v>
      </c>
      <c r="J240" s="38">
        <v>6</v>
      </c>
      <c r="K240" s="38">
        <v>4</v>
      </c>
      <c r="L240" s="38"/>
      <c r="M240" s="39">
        <f>Prices!BP242*Wages!$C240</f>
        <v>4.3151250000000001</v>
      </c>
      <c r="N240" s="39">
        <f>Prices!BP242*Wages!D240</f>
        <v>2.8767500000000004</v>
      </c>
      <c r="O240" s="39">
        <f>Prices!$BP242*Wages!E240</f>
        <v>2.8767500000000004</v>
      </c>
      <c r="P240" s="39">
        <f>Prices!$BP242*F240</f>
        <v>5.7535000000000007</v>
      </c>
      <c r="Q240" s="39">
        <f>(31.1*0.925/Prices!$BN242)*G240</f>
        <v>3.5959375000000007</v>
      </c>
    </row>
    <row r="241" spans="1:17">
      <c r="A241" s="54">
        <f t="shared" si="15"/>
        <v>1491</v>
      </c>
      <c r="B241" s="36"/>
      <c r="C241" s="38">
        <v>6</v>
      </c>
      <c r="D241" s="38">
        <v>4</v>
      </c>
      <c r="E241" s="38">
        <v>4</v>
      </c>
      <c r="F241" s="38">
        <v>8</v>
      </c>
      <c r="G241" s="38">
        <v>5</v>
      </c>
      <c r="H241" s="39">
        <f>F241/Wages!C241</f>
        <v>1.3333333333333333</v>
      </c>
      <c r="I241" s="38">
        <f>G241/Wages!D241</f>
        <v>1.25</v>
      </c>
      <c r="J241" s="38">
        <v>6</v>
      </c>
      <c r="K241" s="38">
        <v>4</v>
      </c>
      <c r="L241" s="38"/>
      <c r="M241" s="39">
        <f>Prices!BP243*Wages!$C241</f>
        <v>4.3151250000000001</v>
      </c>
      <c r="N241" s="39">
        <f>Prices!BP243*Wages!D241</f>
        <v>2.8767500000000004</v>
      </c>
      <c r="O241" s="39">
        <f>Prices!$BP243*Wages!E241</f>
        <v>2.8767500000000004</v>
      </c>
      <c r="P241" s="39">
        <f>Prices!$BP243*F241</f>
        <v>5.7535000000000007</v>
      </c>
      <c r="Q241" s="39">
        <f>(31.1*0.925/Prices!$BN243)*G241</f>
        <v>3.5959375000000007</v>
      </c>
    </row>
    <row r="242" spans="1:17">
      <c r="A242" s="54">
        <f t="shared" si="15"/>
        <v>1492</v>
      </c>
      <c r="B242" s="36"/>
      <c r="C242" s="38">
        <v>6</v>
      </c>
      <c r="D242" s="38">
        <v>4</v>
      </c>
      <c r="E242" s="38">
        <v>4</v>
      </c>
      <c r="F242" s="38">
        <v>8</v>
      </c>
      <c r="G242" s="38">
        <v>5</v>
      </c>
      <c r="H242" s="39">
        <f>F242/Wages!C242</f>
        <v>1.3333333333333333</v>
      </c>
      <c r="I242" s="38">
        <f>G242/Wages!D242</f>
        <v>1.25</v>
      </c>
      <c r="J242" s="38">
        <v>6</v>
      </c>
      <c r="K242" s="38">
        <v>4</v>
      </c>
      <c r="L242" s="38"/>
      <c r="M242" s="39">
        <f>Prices!BP244*Wages!$C242</f>
        <v>4.3151250000000001</v>
      </c>
      <c r="N242" s="39">
        <f>Prices!BP244*Wages!D242</f>
        <v>2.8767500000000004</v>
      </c>
      <c r="O242" s="39">
        <f>Prices!$BP244*Wages!E242</f>
        <v>2.8767500000000004</v>
      </c>
      <c r="P242" s="39">
        <f>Prices!$BP244*F242</f>
        <v>5.7535000000000007</v>
      </c>
      <c r="Q242" s="39">
        <f>(31.1*0.925/Prices!$BN244)*G242</f>
        <v>3.5959375000000007</v>
      </c>
    </row>
    <row r="243" spans="1:17">
      <c r="A243" s="54">
        <f t="shared" si="15"/>
        <v>1493</v>
      </c>
      <c r="B243" s="36"/>
      <c r="C243" s="38">
        <v>6</v>
      </c>
      <c r="D243" s="38">
        <v>4</v>
      </c>
      <c r="E243" s="38">
        <v>4</v>
      </c>
      <c r="F243" s="38">
        <v>8</v>
      </c>
      <c r="G243" s="38">
        <v>5</v>
      </c>
      <c r="H243" s="39">
        <f>F243/Wages!C243</f>
        <v>1.3333333333333333</v>
      </c>
      <c r="I243" s="38">
        <f>G243/Wages!D243</f>
        <v>1.25</v>
      </c>
      <c r="J243" s="38">
        <v>6</v>
      </c>
      <c r="K243" s="38">
        <v>4</v>
      </c>
      <c r="L243" s="38"/>
      <c r="M243" s="39">
        <f>Prices!BP245*Wages!$C243</f>
        <v>4.3151250000000001</v>
      </c>
      <c r="N243" s="39">
        <f>Prices!BP245*Wages!D243</f>
        <v>2.8767500000000004</v>
      </c>
      <c r="O243" s="39">
        <f>Prices!$BP245*Wages!E243</f>
        <v>2.8767500000000004</v>
      </c>
      <c r="P243" s="39">
        <f>Prices!$BP245*F243</f>
        <v>5.7535000000000007</v>
      </c>
      <c r="Q243" s="39">
        <f>(31.1*0.925/Prices!$BN245)*G243</f>
        <v>3.5959375000000007</v>
      </c>
    </row>
    <row r="244" spans="1:17">
      <c r="A244" s="54">
        <f t="shared" si="15"/>
        <v>1494</v>
      </c>
      <c r="B244" s="36"/>
      <c r="C244" s="38">
        <v>6</v>
      </c>
      <c r="D244" s="38">
        <v>4</v>
      </c>
      <c r="E244" s="38">
        <v>4</v>
      </c>
      <c r="F244" s="38">
        <v>8</v>
      </c>
      <c r="G244" s="38">
        <v>5</v>
      </c>
      <c r="H244" s="39">
        <f>F244/Wages!C244</f>
        <v>1.3333333333333333</v>
      </c>
      <c r="I244" s="38">
        <f>G244/Wages!D244</f>
        <v>1.25</v>
      </c>
      <c r="J244" s="38">
        <v>6</v>
      </c>
      <c r="K244" s="38">
        <v>4</v>
      </c>
      <c r="L244" s="38"/>
      <c r="M244" s="39">
        <f>Prices!BP246*Wages!$C244</f>
        <v>4.3151250000000001</v>
      </c>
      <c r="N244" s="39">
        <f>Prices!BP246*Wages!D244</f>
        <v>2.8767500000000004</v>
      </c>
      <c r="O244" s="39">
        <f>Prices!$BP246*Wages!E244</f>
        <v>2.8767500000000004</v>
      </c>
      <c r="P244" s="39">
        <f>Prices!$BP246*F244</f>
        <v>5.7535000000000007</v>
      </c>
      <c r="Q244" s="39">
        <f>(31.1*0.925/Prices!$BN246)*G244</f>
        <v>3.5959375000000007</v>
      </c>
    </row>
    <row r="245" spans="1:17">
      <c r="A245" s="54">
        <f t="shared" si="15"/>
        <v>1495</v>
      </c>
      <c r="B245" s="36"/>
      <c r="C245" s="38">
        <v>6</v>
      </c>
      <c r="D245" s="38">
        <v>4</v>
      </c>
      <c r="E245" s="38">
        <v>4</v>
      </c>
      <c r="F245" s="38">
        <v>8</v>
      </c>
      <c r="G245" s="38">
        <v>5</v>
      </c>
      <c r="H245" s="39">
        <f>F245/Wages!C245</f>
        <v>1.3333333333333333</v>
      </c>
      <c r="I245" s="38">
        <f>G245/Wages!D245</f>
        <v>1.25</v>
      </c>
      <c r="J245" s="38">
        <v>6</v>
      </c>
      <c r="K245" s="38">
        <v>4</v>
      </c>
      <c r="L245" s="38"/>
      <c r="M245" s="39">
        <f>Prices!BP247*Wages!$C245</f>
        <v>4.3151250000000001</v>
      </c>
      <c r="N245" s="39">
        <f>Prices!BP247*Wages!D245</f>
        <v>2.8767500000000004</v>
      </c>
      <c r="O245" s="39">
        <f>Prices!$BP247*Wages!E245</f>
        <v>2.8767500000000004</v>
      </c>
      <c r="P245" s="39">
        <f>Prices!$BP247*F245</f>
        <v>5.7535000000000007</v>
      </c>
      <c r="Q245" s="39">
        <f>(31.1*0.925/Prices!$BN247)*G245</f>
        <v>3.5959375000000007</v>
      </c>
    </row>
    <row r="246" spans="1:17">
      <c r="A246" s="54">
        <f t="shared" si="15"/>
        <v>1496</v>
      </c>
      <c r="B246" s="36"/>
      <c r="C246" s="38">
        <v>6</v>
      </c>
      <c r="D246" s="38">
        <v>4</v>
      </c>
      <c r="E246" s="38">
        <v>4</v>
      </c>
      <c r="F246" s="38">
        <v>8</v>
      </c>
      <c r="G246" s="38">
        <v>5</v>
      </c>
      <c r="H246" s="39">
        <f>F246/Wages!C246</f>
        <v>1.3333333333333333</v>
      </c>
      <c r="I246" s="38">
        <f>G246/Wages!D246</f>
        <v>1.25</v>
      </c>
      <c r="J246" s="38">
        <v>6</v>
      </c>
      <c r="K246" s="38">
        <v>4</v>
      </c>
      <c r="L246" s="38"/>
      <c r="M246" s="39">
        <f>Prices!BP248*Wages!$C246</f>
        <v>4.3151250000000001</v>
      </c>
      <c r="N246" s="39">
        <f>Prices!BP248*Wages!D246</f>
        <v>2.8767500000000004</v>
      </c>
      <c r="O246" s="39">
        <f>Prices!$BP248*Wages!E246</f>
        <v>2.8767500000000004</v>
      </c>
      <c r="P246" s="39">
        <f>Prices!$BP248*F246</f>
        <v>5.7535000000000007</v>
      </c>
      <c r="Q246" s="39">
        <f>(31.1*0.925/Prices!$BN248)*G246</f>
        <v>3.5959375000000007</v>
      </c>
    </row>
    <row r="247" spans="1:17">
      <c r="A247" s="54">
        <f t="shared" si="15"/>
        <v>1497</v>
      </c>
      <c r="B247" s="36"/>
      <c r="C247" s="38">
        <v>6</v>
      </c>
      <c r="D247" s="38">
        <v>4</v>
      </c>
      <c r="E247" s="38">
        <v>4</v>
      </c>
      <c r="F247" s="38">
        <v>8</v>
      </c>
      <c r="G247" s="38">
        <v>5</v>
      </c>
      <c r="H247" s="39">
        <f>F247/Wages!C247</f>
        <v>1.3333333333333333</v>
      </c>
      <c r="I247" s="38">
        <f>G247/Wages!D247</f>
        <v>1.25</v>
      </c>
      <c r="J247" s="38">
        <v>6</v>
      </c>
      <c r="K247" s="38">
        <v>4</v>
      </c>
      <c r="L247" s="38"/>
      <c r="M247" s="39">
        <f>Prices!BP249*Wages!$C247</f>
        <v>4.3151250000000001</v>
      </c>
      <c r="N247" s="39">
        <f>Prices!BP249*Wages!D247</f>
        <v>2.8767500000000004</v>
      </c>
      <c r="O247" s="39">
        <f>Prices!$BP249*Wages!E247</f>
        <v>2.8767500000000004</v>
      </c>
      <c r="P247" s="39">
        <f>Prices!$BP249*F247</f>
        <v>5.7535000000000007</v>
      </c>
      <c r="Q247" s="39">
        <f>(31.1*0.925/Prices!$BN249)*G247</f>
        <v>3.5959375000000007</v>
      </c>
    </row>
    <row r="248" spans="1:17">
      <c r="A248" s="54">
        <f t="shared" si="15"/>
        <v>1498</v>
      </c>
      <c r="B248" s="36"/>
      <c r="C248" s="38">
        <v>6</v>
      </c>
      <c r="D248" s="38">
        <v>4</v>
      </c>
      <c r="E248" s="38">
        <v>4</v>
      </c>
      <c r="F248" s="38">
        <v>8</v>
      </c>
      <c r="G248" s="38">
        <v>5</v>
      </c>
      <c r="H248" s="39">
        <f>F248/Wages!C248</f>
        <v>1.3333333333333333</v>
      </c>
      <c r="I248" s="38">
        <f>G248/Wages!D248</f>
        <v>1.25</v>
      </c>
      <c r="J248" s="38">
        <v>6</v>
      </c>
      <c r="K248" s="38">
        <v>4</v>
      </c>
      <c r="L248" s="38"/>
      <c r="M248" s="39">
        <f>Prices!BP250*Wages!$C248</f>
        <v>4.3151250000000001</v>
      </c>
      <c r="N248" s="39">
        <f>Prices!BP250*Wages!D248</f>
        <v>2.8767500000000004</v>
      </c>
      <c r="O248" s="39">
        <f>Prices!$BP250*Wages!E248</f>
        <v>2.8767500000000004</v>
      </c>
      <c r="P248" s="39">
        <f>Prices!$BP250*F248</f>
        <v>5.7535000000000007</v>
      </c>
      <c r="Q248" s="39">
        <f>(31.1*0.925/Prices!$BN250)*G248</f>
        <v>3.5959375000000007</v>
      </c>
    </row>
    <row r="249" spans="1:17">
      <c r="A249" s="54">
        <f t="shared" si="15"/>
        <v>1499</v>
      </c>
      <c r="B249" s="36"/>
      <c r="C249" s="38">
        <v>6</v>
      </c>
      <c r="D249" s="38">
        <v>4</v>
      </c>
      <c r="E249" s="38">
        <v>4</v>
      </c>
      <c r="F249" s="38">
        <v>8</v>
      </c>
      <c r="G249" s="38">
        <v>5</v>
      </c>
      <c r="H249" s="39">
        <f>F249/Wages!C249</f>
        <v>1.3333333333333333</v>
      </c>
      <c r="I249" s="38">
        <f>G249/Wages!D249</f>
        <v>1.25</v>
      </c>
      <c r="J249" s="38">
        <v>6</v>
      </c>
      <c r="K249" s="38">
        <v>4</v>
      </c>
      <c r="L249" s="38"/>
      <c r="M249" s="39">
        <f>Prices!BP251*Wages!$C249</f>
        <v>4.3151250000000001</v>
      </c>
      <c r="N249" s="39">
        <f>Prices!BP251*Wages!D249</f>
        <v>2.8767500000000004</v>
      </c>
      <c r="O249" s="39">
        <f>Prices!$BP251*Wages!E249</f>
        <v>2.8767500000000004</v>
      </c>
      <c r="P249" s="39">
        <f>Prices!$BP251*F249</f>
        <v>5.7535000000000007</v>
      </c>
      <c r="Q249" s="39">
        <f>(31.1*0.925/Prices!$BN251)*G249</f>
        <v>3.5959375000000007</v>
      </c>
    </row>
    <row r="250" spans="1:17">
      <c r="A250" s="54">
        <f t="shared" si="15"/>
        <v>1500</v>
      </c>
      <c r="B250" s="36"/>
      <c r="C250" s="38">
        <v>6</v>
      </c>
      <c r="D250" s="38">
        <v>4</v>
      </c>
      <c r="E250" s="38">
        <v>4</v>
      </c>
      <c r="F250" s="38">
        <v>8</v>
      </c>
      <c r="G250" s="38">
        <v>5</v>
      </c>
      <c r="H250" s="39">
        <f>F250/Wages!C250</f>
        <v>1.3333333333333333</v>
      </c>
      <c r="I250" s="38">
        <f>G250/Wages!D250</f>
        <v>1.25</v>
      </c>
      <c r="J250" s="38">
        <v>6</v>
      </c>
      <c r="K250" s="38">
        <v>4</v>
      </c>
      <c r="L250" s="38"/>
      <c r="M250" s="39">
        <f>Prices!BP252*Wages!$C250</f>
        <v>4.3151250000000001</v>
      </c>
      <c r="N250" s="39">
        <f>Prices!BP252*Wages!D250</f>
        <v>2.8767500000000004</v>
      </c>
      <c r="O250" s="39">
        <f>Prices!$BP252*Wages!E250</f>
        <v>2.8767500000000004</v>
      </c>
      <c r="P250" s="39">
        <f>Prices!$BP252*F250</f>
        <v>5.7535000000000007</v>
      </c>
      <c r="Q250" s="39">
        <f>(31.1*0.925/Prices!$BN252)*G250</f>
        <v>3.5959375000000007</v>
      </c>
    </row>
    <row r="251" spans="1:17">
      <c r="A251" s="54">
        <f t="shared" si="15"/>
        <v>1501</v>
      </c>
      <c r="B251" s="36"/>
      <c r="C251" s="38">
        <v>6</v>
      </c>
      <c r="D251" s="38">
        <v>4</v>
      </c>
      <c r="E251" s="38">
        <v>4</v>
      </c>
      <c r="F251" s="38">
        <v>8</v>
      </c>
      <c r="G251" s="38">
        <v>5</v>
      </c>
      <c r="H251" s="39">
        <f>F251/Wages!C251</f>
        <v>1.3333333333333333</v>
      </c>
      <c r="I251" s="38">
        <f>G251/Wages!D251</f>
        <v>1.25</v>
      </c>
      <c r="J251" s="38">
        <v>6</v>
      </c>
      <c r="K251" s="38">
        <v>4</v>
      </c>
      <c r="L251" s="38"/>
      <c r="M251" s="39">
        <f>Prices!BP253*Wages!$C251</f>
        <v>4.3151250000000001</v>
      </c>
      <c r="N251" s="39">
        <f>Prices!BP253*Wages!D251</f>
        <v>2.8767500000000004</v>
      </c>
      <c r="O251" s="39">
        <f>Prices!$BP253*Wages!E251</f>
        <v>2.8767500000000004</v>
      </c>
      <c r="P251" s="39">
        <f>Prices!$BP253*F251</f>
        <v>5.7535000000000007</v>
      </c>
      <c r="Q251" s="39">
        <f>(31.1*0.925/Prices!$BN253)*G251</f>
        <v>3.5959375000000007</v>
      </c>
    </row>
    <row r="252" spans="1:17">
      <c r="A252" s="54">
        <f t="shared" si="15"/>
        <v>1502</v>
      </c>
      <c r="B252" s="36"/>
      <c r="C252" s="38">
        <v>6</v>
      </c>
      <c r="D252" s="38">
        <v>4</v>
      </c>
      <c r="E252" s="38">
        <v>4</v>
      </c>
      <c r="F252" s="38">
        <v>8</v>
      </c>
      <c r="G252" s="38">
        <v>5</v>
      </c>
      <c r="H252" s="39">
        <f>F252/Wages!C252</f>
        <v>1.3333333333333333</v>
      </c>
      <c r="I252" s="38">
        <f>G252/Wages!D252</f>
        <v>1.25</v>
      </c>
      <c r="J252" s="38">
        <v>6</v>
      </c>
      <c r="K252" s="38">
        <v>4</v>
      </c>
      <c r="L252" s="38"/>
      <c r="M252" s="39">
        <f>Prices!BP254*Wages!$C252</f>
        <v>4.3151250000000001</v>
      </c>
      <c r="N252" s="39">
        <f>Prices!BP254*Wages!D252</f>
        <v>2.8767500000000004</v>
      </c>
      <c r="O252" s="39">
        <f>Prices!$BP254*Wages!E252</f>
        <v>2.8767500000000004</v>
      </c>
      <c r="P252" s="39">
        <f>Prices!$BP254*F252</f>
        <v>5.7535000000000007</v>
      </c>
      <c r="Q252" s="39">
        <f>(31.1*0.925/Prices!$BN254)*G252</f>
        <v>3.5959375000000007</v>
      </c>
    </row>
    <row r="253" spans="1:17">
      <c r="A253" s="54">
        <f t="shared" si="15"/>
        <v>1503</v>
      </c>
      <c r="B253" s="36"/>
      <c r="C253" s="38">
        <v>6</v>
      </c>
      <c r="D253" s="38">
        <v>4</v>
      </c>
      <c r="E253" s="38">
        <v>4</v>
      </c>
      <c r="F253" s="38">
        <v>8</v>
      </c>
      <c r="G253" s="38">
        <v>5</v>
      </c>
      <c r="H253" s="39">
        <f>F253/Wages!C253</f>
        <v>1.3333333333333333</v>
      </c>
      <c r="I253" s="38">
        <f>G253/Wages!D253</f>
        <v>1.25</v>
      </c>
      <c r="J253" s="38">
        <v>6</v>
      </c>
      <c r="K253" s="38">
        <v>4</v>
      </c>
      <c r="L253" s="38"/>
      <c r="M253" s="39">
        <f>Prices!BP255*Wages!$C253</f>
        <v>4.3151250000000001</v>
      </c>
      <c r="N253" s="39">
        <f>Prices!BP255*Wages!D253</f>
        <v>2.8767500000000004</v>
      </c>
      <c r="O253" s="39">
        <f>Prices!$BP255*Wages!E253</f>
        <v>2.8767500000000004</v>
      </c>
      <c r="P253" s="39">
        <f>Prices!$BP255*F253</f>
        <v>5.7535000000000007</v>
      </c>
      <c r="Q253" s="39">
        <f>(31.1*0.925/Prices!$BN255)*G253</f>
        <v>3.5959375000000007</v>
      </c>
    </row>
    <row r="254" spans="1:17">
      <c r="A254" s="54">
        <f t="shared" si="15"/>
        <v>1504</v>
      </c>
      <c r="B254" s="36"/>
      <c r="C254" s="38">
        <v>6</v>
      </c>
      <c r="D254" s="38">
        <v>4</v>
      </c>
      <c r="E254" s="38">
        <v>4</v>
      </c>
      <c r="F254" s="38">
        <v>8</v>
      </c>
      <c r="G254" s="38">
        <v>5</v>
      </c>
      <c r="H254" s="39">
        <f>F254/Wages!C254</f>
        <v>1.3333333333333333</v>
      </c>
      <c r="I254" s="38">
        <f>G254/Wages!D254</f>
        <v>1.25</v>
      </c>
      <c r="J254" s="38">
        <v>6</v>
      </c>
      <c r="K254" s="38">
        <v>4</v>
      </c>
      <c r="L254" s="38"/>
      <c r="M254" s="39">
        <f>Prices!BP256*Wages!$C254</f>
        <v>4.3151250000000001</v>
      </c>
      <c r="N254" s="39">
        <f>Prices!BP256*Wages!D254</f>
        <v>2.8767500000000004</v>
      </c>
      <c r="O254" s="39">
        <f>Prices!$BP256*Wages!E254</f>
        <v>2.8767500000000004</v>
      </c>
      <c r="P254" s="39">
        <f>Prices!$BP256*F254</f>
        <v>5.7535000000000007</v>
      </c>
      <c r="Q254" s="39">
        <f>(31.1*0.925/Prices!$BN256)*G254</f>
        <v>3.5959375000000007</v>
      </c>
    </row>
    <row r="255" spans="1:17">
      <c r="A255" s="54">
        <f t="shared" si="15"/>
        <v>1505</v>
      </c>
      <c r="B255" s="36"/>
      <c r="C255" s="38">
        <v>6</v>
      </c>
      <c r="D255" s="38">
        <v>4</v>
      </c>
      <c r="E255" s="38">
        <v>4</v>
      </c>
      <c r="F255" s="38">
        <v>8</v>
      </c>
      <c r="G255" s="38">
        <v>5</v>
      </c>
      <c r="H255" s="39">
        <f>F255/Wages!C255</f>
        <v>1.3333333333333333</v>
      </c>
      <c r="I255" s="38">
        <f>G255/Wages!D255</f>
        <v>1.25</v>
      </c>
      <c r="J255" s="38">
        <v>6</v>
      </c>
      <c r="K255" s="38">
        <v>4</v>
      </c>
      <c r="L255" s="38"/>
      <c r="M255" s="39">
        <f>Prices!BP257*Wages!$C255</f>
        <v>4.3151250000000001</v>
      </c>
      <c r="N255" s="39">
        <f>Prices!BP257*Wages!D255</f>
        <v>2.8767500000000004</v>
      </c>
      <c r="O255" s="39">
        <f>Prices!$BP257*Wages!E255</f>
        <v>2.8767500000000004</v>
      </c>
      <c r="P255" s="39">
        <f>Prices!$BP257*F255</f>
        <v>5.7535000000000007</v>
      </c>
      <c r="Q255" s="39">
        <f>(31.1*0.925/Prices!$BN257)*G255</f>
        <v>3.5959375000000007</v>
      </c>
    </row>
    <row r="256" spans="1:17">
      <c r="A256" s="54">
        <f t="shared" si="15"/>
        <v>1506</v>
      </c>
      <c r="B256" s="36"/>
      <c r="C256" s="38">
        <v>6</v>
      </c>
      <c r="D256" s="38">
        <v>4</v>
      </c>
      <c r="E256" s="38">
        <v>4</v>
      </c>
      <c r="F256" s="38">
        <v>8</v>
      </c>
      <c r="G256" s="38">
        <v>5</v>
      </c>
      <c r="H256" s="39">
        <f>F256/Wages!C256</f>
        <v>1.3333333333333333</v>
      </c>
      <c r="I256" s="38">
        <f>G256/Wages!D256</f>
        <v>1.25</v>
      </c>
      <c r="J256" s="38">
        <v>6</v>
      </c>
      <c r="K256" s="38">
        <v>4</v>
      </c>
      <c r="L256" s="38"/>
      <c r="M256" s="39">
        <f>Prices!BP258*Wages!$C256</f>
        <v>4.3151250000000001</v>
      </c>
      <c r="N256" s="39">
        <f>Prices!BP258*Wages!D256</f>
        <v>2.8767500000000004</v>
      </c>
      <c r="O256" s="39">
        <f>Prices!$BP258*Wages!E256</f>
        <v>2.8767500000000004</v>
      </c>
      <c r="P256" s="39">
        <f>Prices!$BP258*F256</f>
        <v>5.7535000000000007</v>
      </c>
      <c r="Q256" s="39">
        <f>(31.1*0.925/Prices!$BN258)*G256</f>
        <v>3.5959375000000007</v>
      </c>
    </row>
    <row r="257" spans="1:17">
      <c r="A257" s="54">
        <f t="shared" si="15"/>
        <v>1507</v>
      </c>
      <c r="B257" s="36"/>
      <c r="C257" s="38">
        <v>6</v>
      </c>
      <c r="D257" s="38">
        <v>4</v>
      </c>
      <c r="E257" s="38">
        <v>4</v>
      </c>
      <c r="F257" s="38">
        <v>8</v>
      </c>
      <c r="G257" s="38">
        <v>5</v>
      </c>
      <c r="H257" s="39">
        <f>F257/Wages!C257</f>
        <v>1.3333333333333333</v>
      </c>
      <c r="I257" s="38">
        <f>G257/Wages!D257</f>
        <v>1.25</v>
      </c>
      <c r="J257" s="38">
        <v>6</v>
      </c>
      <c r="K257" s="38">
        <v>4</v>
      </c>
      <c r="L257" s="38"/>
      <c r="M257" s="39">
        <f>Prices!BP259*Wages!$C257</f>
        <v>4.3151250000000001</v>
      </c>
      <c r="N257" s="39">
        <f>Prices!BP259*Wages!D257</f>
        <v>2.8767500000000004</v>
      </c>
      <c r="O257" s="39">
        <f>Prices!$BP259*Wages!E257</f>
        <v>2.8767500000000004</v>
      </c>
      <c r="P257" s="39">
        <f>Prices!$BP259*F257</f>
        <v>5.7535000000000007</v>
      </c>
      <c r="Q257" s="39">
        <f>(31.1*0.925/Prices!$BN259)*G257</f>
        <v>3.5959375000000007</v>
      </c>
    </row>
    <row r="258" spans="1:17">
      <c r="A258" s="54">
        <f t="shared" si="15"/>
        <v>1508</v>
      </c>
      <c r="B258" s="36"/>
      <c r="C258" s="38">
        <v>6</v>
      </c>
      <c r="D258" s="38">
        <v>4</v>
      </c>
      <c r="E258" s="38">
        <v>4</v>
      </c>
      <c r="F258" s="38">
        <v>8</v>
      </c>
      <c r="G258" s="38">
        <v>5</v>
      </c>
      <c r="H258" s="39">
        <f>F258/Wages!C258</f>
        <v>1.3333333333333333</v>
      </c>
      <c r="I258" s="38">
        <f>G258/Wages!D258</f>
        <v>1.25</v>
      </c>
      <c r="J258" s="38">
        <v>6</v>
      </c>
      <c r="K258" s="38">
        <v>4</v>
      </c>
      <c r="L258" s="38"/>
      <c r="M258" s="39">
        <f>Prices!BP260*Wages!$C258</f>
        <v>4.3151250000000001</v>
      </c>
      <c r="N258" s="39">
        <f>Prices!BP260*Wages!D258</f>
        <v>2.8767500000000004</v>
      </c>
      <c r="O258" s="39">
        <f>Prices!$BP260*Wages!E258</f>
        <v>2.8767500000000004</v>
      </c>
      <c r="P258" s="39">
        <f>Prices!$BP260*F258</f>
        <v>5.7535000000000007</v>
      </c>
      <c r="Q258" s="39">
        <f>(31.1*0.925/Prices!$BN260)*G258</f>
        <v>3.5959375000000007</v>
      </c>
    </row>
    <row r="259" spans="1:17">
      <c r="A259" s="54">
        <f t="shared" si="15"/>
        <v>1509</v>
      </c>
      <c r="B259" s="36"/>
      <c r="C259" s="38">
        <v>6</v>
      </c>
      <c r="D259" s="38">
        <v>4</v>
      </c>
      <c r="E259" s="38">
        <v>4</v>
      </c>
      <c r="F259" s="38">
        <v>8</v>
      </c>
      <c r="G259" s="38">
        <v>5</v>
      </c>
      <c r="H259" s="39">
        <f>F259/Wages!C259</f>
        <v>1.3333333333333333</v>
      </c>
      <c r="I259" s="38">
        <f>G259/Wages!D259</f>
        <v>1.25</v>
      </c>
      <c r="J259" s="38">
        <v>6</v>
      </c>
      <c r="K259" s="38">
        <v>4</v>
      </c>
      <c r="L259" s="38"/>
      <c r="M259" s="39">
        <f>Prices!BP261*Wages!$C259</f>
        <v>4.3151250000000001</v>
      </c>
      <c r="N259" s="39">
        <f>Prices!BP261*Wages!D259</f>
        <v>2.8767500000000004</v>
      </c>
      <c r="O259" s="39">
        <f>Prices!$BP261*Wages!E259</f>
        <v>2.8767500000000004</v>
      </c>
      <c r="P259" s="39">
        <f>Prices!$BP261*F259</f>
        <v>5.7535000000000007</v>
      </c>
      <c r="Q259" s="39">
        <f>(31.1*0.925/Prices!$BN261)*G259</f>
        <v>3.5959375000000007</v>
      </c>
    </row>
    <row r="260" spans="1:17">
      <c r="A260" s="54">
        <f t="shared" si="15"/>
        <v>1510</v>
      </c>
      <c r="B260" s="36"/>
      <c r="C260" s="38">
        <v>6</v>
      </c>
      <c r="D260" s="38">
        <v>4</v>
      </c>
      <c r="E260" s="38">
        <v>4</v>
      </c>
      <c r="F260" s="38">
        <v>8</v>
      </c>
      <c r="G260" s="38">
        <v>5</v>
      </c>
      <c r="H260" s="39">
        <f>F260/Wages!C260</f>
        <v>1.3333333333333333</v>
      </c>
      <c r="I260" s="38">
        <f>G260/Wages!D260</f>
        <v>1.25</v>
      </c>
      <c r="J260" s="38">
        <v>6</v>
      </c>
      <c r="K260" s="38">
        <v>4</v>
      </c>
      <c r="L260" s="38"/>
      <c r="M260" s="39">
        <f>Prices!BP262*Wages!$C260</f>
        <v>4.3151250000000001</v>
      </c>
      <c r="N260" s="39">
        <f>Prices!BP262*Wages!D260</f>
        <v>2.8767500000000004</v>
      </c>
      <c r="O260" s="39">
        <f>Prices!$BP262*Wages!E260</f>
        <v>2.8767500000000004</v>
      </c>
      <c r="P260" s="39">
        <f>Prices!$BP262*F260</f>
        <v>5.7535000000000007</v>
      </c>
      <c r="Q260" s="39">
        <f>(31.1*0.925/Prices!$BN262)*G260</f>
        <v>3.5959375000000007</v>
      </c>
    </row>
    <row r="261" spans="1:17">
      <c r="A261" s="54">
        <f t="shared" si="15"/>
        <v>1511</v>
      </c>
      <c r="B261" s="36"/>
      <c r="C261" s="38">
        <v>6</v>
      </c>
      <c r="D261" s="38">
        <v>4</v>
      </c>
      <c r="E261" s="38">
        <v>4</v>
      </c>
      <c r="F261" s="38">
        <v>8</v>
      </c>
      <c r="G261" s="38">
        <v>5</v>
      </c>
      <c r="H261" s="39">
        <f>F261/Wages!C261</f>
        <v>1.3333333333333333</v>
      </c>
      <c r="I261" s="38">
        <f>G261/Wages!D261</f>
        <v>1.25</v>
      </c>
      <c r="J261" s="38">
        <v>6</v>
      </c>
      <c r="K261" s="38">
        <v>4</v>
      </c>
      <c r="L261" s="38"/>
      <c r="M261" s="39">
        <f>Prices!BP263*Wages!$C261</f>
        <v>4.3151250000000001</v>
      </c>
      <c r="N261" s="39">
        <f>Prices!BP263*Wages!D261</f>
        <v>2.8767500000000004</v>
      </c>
      <c r="O261" s="39">
        <f>Prices!$BP263*Wages!E261</f>
        <v>2.8767500000000004</v>
      </c>
      <c r="P261" s="39">
        <f>Prices!$BP263*F261</f>
        <v>5.7535000000000007</v>
      </c>
      <c r="Q261" s="39">
        <f>(31.1*0.925/Prices!$BN263)*G261</f>
        <v>3.5959375000000007</v>
      </c>
    </row>
    <row r="262" spans="1:17">
      <c r="A262" s="54">
        <f t="shared" si="15"/>
        <v>1512</v>
      </c>
      <c r="B262" s="36"/>
      <c r="C262" s="38">
        <v>6</v>
      </c>
      <c r="D262" s="38">
        <v>4</v>
      </c>
      <c r="E262" s="38">
        <v>4</v>
      </c>
      <c r="F262" s="38">
        <v>8</v>
      </c>
      <c r="G262" s="38">
        <v>5</v>
      </c>
      <c r="H262" s="39">
        <f>F262/Wages!C262</f>
        <v>1.3333333333333333</v>
      </c>
      <c r="I262" s="38">
        <f>G262/Wages!D262</f>
        <v>1.25</v>
      </c>
      <c r="J262" s="38">
        <v>6</v>
      </c>
      <c r="K262" s="38">
        <v>4</v>
      </c>
      <c r="L262" s="38"/>
      <c r="M262" s="39">
        <f>Prices!BP264*Wages!$C262</f>
        <v>4.3151250000000001</v>
      </c>
      <c r="N262" s="39">
        <f>Prices!BP264*Wages!D262</f>
        <v>2.8767500000000004</v>
      </c>
      <c r="O262" s="39">
        <f>Prices!$BP264*Wages!E262</f>
        <v>2.8767500000000004</v>
      </c>
      <c r="P262" s="39">
        <f>Prices!$BP264*F262</f>
        <v>5.7535000000000007</v>
      </c>
      <c r="Q262" s="39">
        <f>(31.1*0.925/Prices!$BN264)*G262</f>
        <v>3.5959375000000007</v>
      </c>
    </row>
    <row r="263" spans="1:17">
      <c r="A263" s="54">
        <f t="shared" si="15"/>
        <v>1513</v>
      </c>
      <c r="B263" s="36"/>
      <c r="C263" s="38">
        <v>6</v>
      </c>
      <c r="D263" s="38">
        <v>4</v>
      </c>
      <c r="E263" s="38">
        <v>4</v>
      </c>
      <c r="F263" s="38">
        <v>8</v>
      </c>
      <c r="G263" s="38">
        <v>5</v>
      </c>
      <c r="H263" s="39">
        <f>F263/Wages!C263</f>
        <v>1.3333333333333333</v>
      </c>
      <c r="I263" s="38">
        <f>G263/Wages!D263</f>
        <v>1.25</v>
      </c>
      <c r="J263" s="38">
        <v>6</v>
      </c>
      <c r="K263" s="38">
        <v>4</v>
      </c>
      <c r="L263" s="38"/>
      <c r="M263" s="39">
        <f>Prices!BP265*Wages!$C263</f>
        <v>4.3151250000000001</v>
      </c>
      <c r="N263" s="39">
        <f>Prices!BP265*Wages!D263</f>
        <v>2.8767500000000004</v>
      </c>
      <c r="O263" s="39">
        <f>Prices!$BP265*Wages!E263</f>
        <v>2.8767500000000004</v>
      </c>
      <c r="P263" s="39">
        <f>Prices!$BP265*F263</f>
        <v>5.7535000000000007</v>
      </c>
      <c r="Q263" s="39">
        <f>(31.1*0.925/Prices!$BN265)*G263</f>
        <v>3.5959375000000007</v>
      </c>
    </row>
    <row r="264" spans="1:17">
      <c r="A264" s="54">
        <f t="shared" si="15"/>
        <v>1514</v>
      </c>
      <c r="B264" s="36"/>
      <c r="C264" s="38">
        <v>6</v>
      </c>
      <c r="D264" s="38">
        <v>4</v>
      </c>
      <c r="E264" s="38">
        <v>4</v>
      </c>
      <c r="F264" s="38">
        <v>8</v>
      </c>
      <c r="G264" s="38">
        <v>5</v>
      </c>
      <c r="H264" s="39">
        <f>F264/Wages!C264</f>
        <v>1.3333333333333333</v>
      </c>
      <c r="I264" s="38">
        <f>G264/Wages!D264</f>
        <v>1.25</v>
      </c>
      <c r="J264" s="38">
        <v>6</v>
      </c>
      <c r="K264" s="38">
        <v>4</v>
      </c>
      <c r="L264" s="38"/>
      <c r="M264" s="39">
        <f>Prices!BP266*Wages!$C264</f>
        <v>4.3151250000000001</v>
      </c>
      <c r="N264" s="39">
        <f>Prices!BP266*Wages!D264</f>
        <v>2.8767500000000004</v>
      </c>
      <c r="O264" s="39">
        <f>Prices!$BP266*Wages!E264</f>
        <v>2.8767500000000004</v>
      </c>
      <c r="P264" s="39">
        <f>Prices!$BP266*F264</f>
        <v>5.7535000000000007</v>
      </c>
      <c r="Q264" s="39">
        <f>(31.1*0.925/Prices!$BN266)*G264</f>
        <v>3.5959375000000007</v>
      </c>
    </row>
    <row r="265" spans="1:17">
      <c r="A265" s="54">
        <f t="shared" si="15"/>
        <v>1515</v>
      </c>
      <c r="B265" s="36"/>
      <c r="C265" s="38">
        <v>6</v>
      </c>
      <c r="D265" s="38">
        <v>4</v>
      </c>
      <c r="E265" s="38">
        <v>4</v>
      </c>
      <c r="F265" s="38">
        <v>8</v>
      </c>
      <c r="G265" s="38">
        <v>5</v>
      </c>
      <c r="H265" s="39">
        <f>F265/Wages!C265</f>
        <v>1.3333333333333333</v>
      </c>
      <c r="I265" s="38">
        <f>G265/Wages!D265</f>
        <v>1.25</v>
      </c>
      <c r="J265" s="38">
        <v>6</v>
      </c>
      <c r="K265" s="38">
        <v>4</v>
      </c>
      <c r="L265" s="38"/>
      <c r="M265" s="39">
        <f>Prices!BP267*Wages!$C265</f>
        <v>4.3151250000000001</v>
      </c>
      <c r="N265" s="39">
        <f>Prices!BP267*Wages!D265</f>
        <v>2.8767500000000004</v>
      </c>
      <c r="O265" s="39">
        <f>Prices!$BP267*Wages!E265</f>
        <v>2.8767500000000004</v>
      </c>
      <c r="P265" s="39">
        <f>Prices!$BP267*F265</f>
        <v>5.7535000000000007</v>
      </c>
      <c r="Q265" s="39">
        <f>(31.1*0.925/Prices!$BN267)*G265</f>
        <v>3.5959375000000007</v>
      </c>
    </row>
    <row r="266" spans="1:17">
      <c r="A266" s="54">
        <f t="shared" ref="A266:A329" si="16">A265+1</f>
        <v>1516</v>
      </c>
      <c r="B266" s="36"/>
      <c r="C266" s="38">
        <v>6</v>
      </c>
      <c r="D266" s="38">
        <v>4</v>
      </c>
      <c r="E266" s="38">
        <v>4</v>
      </c>
      <c r="F266" s="38">
        <v>8</v>
      </c>
      <c r="G266" s="38">
        <v>5</v>
      </c>
      <c r="H266" s="39">
        <f>F266/Wages!C266</f>
        <v>1.3333333333333333</v>
      </c>
      <c r="I266" s="38">
        <f>G266/Wages!D266</f>
        <v>1.25</v>
      </c>
      <c r="J266" s="38">
        <v>6</v>
      </c>
      <c r="K266" s="38">
        <v>4</v>
      </c>
      <c r="L266" s="38"/>
      <c r="M266" s="39">
        <f>Prices!BP268*Wages!$C266</f>
        <v>4.3151250000000001</v>
      </c>
      <c r="N266" s="39">
        <f>Prices!BP268*Wages!D266</f>
        <v>2.8767500000000004</v>
      </c>
      <c r="O266" s="39">
        <f>Prices!$BP268*Wages!E266</f>
        <v>2.8767500000000004</v>
      </c>
      <c r="P266" s="39">
        <f>Prices!$BP268*F266</f>
        <v>5.7535000000000007</v>
      </c>
      <c r="Q266" s="39">
        <f>(31.1*0.925/Prices!$BN268)*G266</f>
        <v>3.5959375000000007</v>
      </c>
    </row>
    <row r="267" spans="1:17">
      <c r="A267" s="54">
        <f t="shared" si="16"/>
        <v>1517</v>
      </c>
      <c r="B267" s="36"/>
      <c r="C267" s="38">
        <v>6</v>
      </c>
      <c r="D267" s="38">
        <v>4</v>
      </c>
      <c r="E267" s="38">
        <v>4</v>
      </c>
      <c r="F267" s="38">
        <v>8</v>
      </c>
      <c r="G267" s="38">
        <v>5</v>
      </c>
      <c r="H267" s="39">
        <f>F267/Wages!C267</f>
        <v>1.3333333333333333</v>
      </c>
      <c r="I267" s="38">
        <f>G267/Wages!D267</f>
        <v>1.25</v>
      </c>
      <c r="J267" s="38">
        <v>6</v>
      </c>
      <c r="K267" s="38">
        <v>4</v>
      </c>
      <c r="L267" s="38"/>
      <c r="M267" s="39">
        <f>Prices!BP269*Wages!$C267</f>
        <v>4.3151250000000001</v>
      </c>
      <c r="N267" s="39">
        <f>Prices!BP269*Wages!D267</f>
        <v>2.8767500000000004</v>
      </c>
      <c r="O267" s="39">
        <f>Prices!$BP269*Wages!E267</f>
        <v>2.8767500000000004</v>
      </c>
      <c r="P267" s="39">
        <f>Prices!$BP269*F267</f>
        <v>5.7535000000000007</v>
      </c>
      <c r="Q267" s="39">
        <f>(31.1*0.925/Prices!$BN269)*G267</f>
        <v>3.5959375000000007</v>
      </c>
    </row>
    <row r="268" spans="1:17">
      <c r="A268" s="54">
        <f t="shared" si="16"/>
        <v>1518</v>
      </c>
      <c r="B268" s="36"/>
      <c r="C268" s="38">
        <v>6</v>
      </c>
      <c r="D268" s="38">
        <v>4</v>
      </c>
      <c r="E268" s="38">
        <v>4</v>
      </c>
      <c r="F268" s="38">
        <v>8</v>
      </c>
      <c r="G268" s="38">
        <v>5</v>
      </c>
      <c r="H268" s="39">
        <f>F268/Wages!C268</f>
        <v>1.3333333333333333</v>
      </c>
      <c r="I268" s="38">
        <f>G268/Wages!D268</f>
        <v>1.25</v>
      </c>
      <c r="J268" s="38">
        <v>6</v>
      </c>
      <c r="K268" s="38">
        <v>4</v>
      </c>
      <c r="L268" s="38"/>
      <c r="M268" s="39">
        <f>Prices!BP270*Wages!$C268</f>
        <v>4.3151250000000001</v>
      </c>
      <c r="N268" s="39">
        <f>Prices!BP270*Wages!D268</f>
        <v>2.8767500000000004</v>
      </c>
      <c r="O268" s="39">
        <f>Prices!$BP270*Wages!E268</f>
        <v>2.8767500000000004</v>
      </c>
      <c r="P268" s="39">
        <f>Prices!$BP270*F268</f>
        <v>5.7535000000000007</v>
      </c>
      <c r="Q268" s="39">
        <f>(31.1*0.925/Prices!$BN270)*G268</f>
        <v>3.5959375000000007</v>
      </c>
    </row>
    <row r="269" spans="1:17">
      <c r="A269" s="54">
        <f t="shared" si="16"/>
        <v>1519</v>
      </c>
      <c r="B269" s="36"/>
      <c r="C269" s="38">
        <v>6</v>
      </c>
      <c r="D269" s="38">
        <v>4</v>
      </c>
      <c r="E269" s="38">
        <v>4</v>
      </c>
      <c r="F269" s="38">
        <v>8</v>
      </c>
      <c r="G269" s="38">
        <v>5</v>
      </c>
      <c r="H269" s="39">
        <f>F269/Wages!C269</f>
        <v>1.3333333333333333</v>
      </c>
      <c r="I269" s="38">
        <f>G269/Wages!D269</f>
        <v>1.25</v>
      </c>
      <c r="J269" s="38">
        <v>6</v>
      </c>
      <c r="K269" s="38">
        <v>4</v>
      </c>
      <c r="L269" s="38"/>
      <c r="M269" s="39">
        <f>Prices!BP271*Wages!$C269</f>
        <v>4.3151250000000001</v>
      </c>
      <c r="N269" s="39">
        <f>Prices!BP271*Wages!D269</f>
        <v>2.8767500000000004</v>
      </c>
      <c r="O269" s="39">
        <f>Prices!$BP271*Wages!E269</f>
        <v>2.8767500000000004</v>
      </c>
      <c r="P269" s="39">
        <f>Prices!$BP271*F269</f>
        <v>5.7535000000000007</v>
      </c>
      <c r="Q269" s="39">
        <f>(31.1*0.925/Prices!$BN271)*G269</f>
        <v>3.5959375000000007</v>
      </c>
    </row>
    <row r="270" spans="1:17">
      <c r="A270" s="54">
        <f t="shared" si="16"/>
        <v>1520</v>
      </c>
      <c r="B270" s="36"/>
      <c r="C270" s="38">
        <v>6</v>
      </c>
      <c r="D270" s="38">
        <v>4</v>
      </c>
      <c r="E270" s="38">
        <v>4.17</v>
      </c>
      <c r="F270" s="38">
        <v>8</v>
      </c>
      <c r="G270" s="38">
        <v>5</v>
      </c>
      <c r="H270" s="39">
        <f>F270/Wages!C270</f>
        <v>1.3333333333333333</v>
      </c>
      <c r="I270" s="38">
        <f>G270/Wages!D270</f>
        <v>1.25</v>
      </c>
      <c r="J270" s="38">
        <v>6</v>
      </c>
      <c r="K270" s="38">
        <v>4</v>
      </c>
      <c r="L270" s="38"/>
      <c r="M270" s="39">
        <f>Prices!BP272*Wages!$C270</f>
        <v>4.3151250000000001</v>
      </c>
      <c r="N270" s="39">
        <f>Prices!BP272*Wages!D270</f>
        <v>2.8767500000000004</v>
      </c>
      <c r="O270" s="39">
        <f>Prices!$BP272*Wages!E270</f>
        <v>2.9990118750000003</v>
      </c>
      <c r="P270" s="39">
        <f>Prices!$BP272*F270</f>
        <v>5.7535000000000007</v>
      </c>
      <c r="Q270" s="39">
        <f>(31.1*0.925/Prices!$BN272)*G270</f>
        <v>3.5959375000000007</v>
      </c>
    </row>
    <row r="271" spans="1:17">
      <c r="A271" s="54">
        <f t="shared" si="16"/>
        <v>1521</v>
      </c>
      <c r="B271" s="36"/>
      <c r="C271" s="38">
        <v>6</v>
      </c>
      <c r="D271" s="38">
        <v>4</v>
      </c>
      <c r="E271" s="38">
        <v>4.17</v>
      </c>
      <c r="F271" s="38">
        <v>8</v>
      </c>
      <c r="G271" s="38">
        <v>5</v>
      </c>
      <c r="H271" s="39">
        <f>F271/Wages!C271</f>
        <v>1.3333333333333333</v>
      </c>
      <c r="I271" s="38">
        <f>G271/Wages!D271</f>
        <v>1.25</v>
      </c>
      <c r="J271" s="38">
        <v>6</v>
      </c>
      <c r="K271" s="38">
        <v>4</v>
      </c>
      <c r="L271" s="38"/>
      <c r="M271" s="39">
        <f>Prices!BP273*Wages!$C271</f>
        <v>4.3151250000000001</v>
      </c>
      <c r="N271" s="39">
        <f>Prices!BP273*Wages!D271</f>
        <v>2.8767500000000004</v>
      </c>
      <c r="O271" s="39">
        <f>Prices!$BP273*Wages!E271</f>
        <v>2.9990118750000003</v>
      </c>
      <c r="P271" s="39">
        <f>Prices!$BP273*F271</f>
        <v>5.7535000000000007</v>
      </c>
      <c r="Q271" s="39">
        <f>(31.1*0.925/Prices!$BN273)*G271</f>
        <v>3.5959375000000007</v>
      </c>
    </row>
    <row r="272" spans="1:17">
      <c r="A272" s="54">
        <f t="shared" si="16"/>
        <v>1522</v>
      </c>
      <c r="B272" s="36"/>
      <c r="C272" s="38">
        <v>6</v>
      </c>
      <c r="D272" s="38">
        <v>4</v>
      </c>
      <c r="E272" s="38">
        <v>4.17</v>
      </c>
      <c r="F272" s="38">
        <v>8</v>
      </c>
      <c r="G272" s="38">
        <v>5</v>
      </c>
      <c r="H272" s="39">
        <f>F272/Wages!C272</f>
        <v>1.3333333333333333</v>
      </c>
      <c r="I272" s="38">
        <f>G272/Wages!D272</f>
        <v>1.25</v>
      </c>
      <c r="J272" s="38">
        <v>6</v>
      </c>
      <c r="K272" s="38">
        <v>4</v>
      </c>
      <c r="L272" s="38"/>
      <c r="M272" s="39">
        <f>Prices!BP274*Wages!$C272</f>
        <v>4.3151250000000001</v>
      </c>
      <c r="N272" s="39">
        <f>Prices!BP274*Wages!D272</f>
        <v>2.8767500000000004</v>
      </c>
      <c r="O272" s="39">
        <f>Prices!$BP274*Wages!E272</f>
        <v>2.9990118750000003</v>
      </c>
      <c r="P272" s="39">
        <f>Prices!$BP274*F272</f>
        <v>5.7535000000000007</v>
      </c>
      <c r="Q272" s="39">
        <f>(31.1*0.925/Prices!$BN274)*G272</f>
        <v>3.5959375000000007</v>
      </c>
    </row>
    <row r="273" spans="1:17">
      <c r="A273" s="54">
        <f t="shared" si="16"/>
        <v>1523</v>
      </c>
      <c r="B273" s="36"/>
      <c r="C273" s="38">
        <v>6</v>
      </c>
      <c r="D273" s="38">
        <v>4</v>
      </c>
      <c r="E273" s="38">
        <v>4.17</v>
      </c>
      <c r="F273" s="38">
        <v>8</v>
      </c>
      <c r="G273" s="38">
        <v>5</v>
      </c>
      <c r="H273" s="39">
        <f>F273/Wages!C273</f>
        <v>1.3333333333333333</v>
      </c>
      <c r="I273" s="38">
        <f>G273/Wages!D273</f>
        <v>1.25</v>
      </c>
      <c r="J273" s="38">
        <v>6</v>
      </c>
      <c r="K273" s="38">
        <v>4</v>
      </c>
      <c r="L273" s="38"/>
      <c r="M273" s="39">
        <f>Prices!BP275*Wages!$C273</f>
        <v>4.3151250000000001</v>
      </c>
      <c r="N273" s="39">
        <f>Prices!BP275*Wages!D273</f>
        <v>2.8767500000000004</v>
      </c>
      <c r="O273" s="39">
        <f>Prices!$BP275*Wages!E273</f>
        <v>2.9990118750000003</v>
      </c>
      <c r="P273" s="39">
        <f>Prices!$BP275*F273</f>
        <v>5.7535000000000007</v>
      </c>
      <c r="Q273" s="39">
        <f>(31.1*0.925/Prices!$BN275)*G273</f>
        <v>3.5959375000000007</v>
      </c>
    </row>
    <row r="274" spans="1:17">
      <c r="A274" s="54">
        <f t="shared" si="16"/>
        <v>1524</v>
      </c>
      <c r="B274" s="36"/>
      <c r="C274" s="38">
        <v>6</v>
      </c>
      <c r="D274" s="38">
        <v>4</v>
      </c>
      <c r="E274" s="38">
        <v>4.17</v>
      </c>
      <c r="F274" s="38">
        <v>8</v>
      </c>
      <c r="G274" s="38">
        <v>5</v>
      </c>
      <c r="H274" s="39">
        <f>F274/Wages!C274</f>
        <v>1.3333333333333333</v>
      </c>
      <c r="I274" s="38">
        <f>G274/Wages!D274</f>
        <v>1.25</v>
      </c>
      <c r="J274" s="38">
        <v>6</v>
      </c>
      <c r="K274" s="38">
        <v>4</v>
      </c>
      <c r="L274" s="38"/>
      <c r="M274" s="39">
        <f>Prices!BP276*Wages!$C274</f>
        <v>4.3151250000000001</v>
      </c>
      <c r="N274" s="39">
        <f>Prices!BP276*Wages!D274</f>
        <v>2.8767500000000004</v>
      </c>
      <c r="O274" s="39">
        <f>Prices!$BP276*Wages!E274</f>
        <v>2.9990118750000003</v>
      </c>
      <c r="P274" s="39">
        <f>Prices!$BP276*F274</f>
        <v>5.7535000000000007</v>
      </c>
      <c r="Q274" s="39">
        <f>(31.1*0.925/Prices!$BN276)*G274</f>
        <v>3.5959375000000007</v>
      </c>
    </row>
    <row r="275" spans="1:17">
      <c r="A275" s="54">
        <f t="shared" si="16"/>
        <v>1525</v>
      </c>
      <c r="B275" s="36"/>
      <c r="C275" s="38">
        <v>6</v>
      </c>
      <c r="D275" s="38">
        <v>4</v>
      </c>
      <c r="E275" s="38">
        <v>4.17</v>
      </c>
      <c r="F275" s="38">
        <v>8</v>
      </c>
      <c r="G275" s="38">
        <v>5</v>
      </c>
      <c r="H275" s="39">
        <f>F275/Wages!C275</f>
        <v>1.3333333333333333</v>
      </c>
      <c r="I275" s="38">
        <f>G275/Wages!D275</f>
        <v>1.25</v>
      </c>
      <c r="J275" s="38">
        <v>6</v>
      </c>
      <c r="K275" s="38">
        <v>4</v>
      </c>
      <c r="L275" s="38"/>
      <c r="M275" s="39">
        <f>Prices!BP277*Wages!$C275</f>
        <v>4.3151250000000001</v>
      </c>
      <c r="N275" s="39">
        <f>Prices!BP277*Wages!D275</f>
        <v>2.8767500000000004</v>
      </c>
      <c r="O275" s="39">
        <f>Prices!$BP277*Wages!E275</f>
        <v>2.9990118750000003</v>
      </c>
      <c r="P275" s="39">
        <f>Prices!$BP277*F275</f>
        <v>5.7535000000000007</v>
      </c>
      <c r="Q275" s="39">
        <f>(31.1*0.925/Prices!$BN277)*G275</f>
        <v>3.5959375000000007</v>
      </c>
    </row>
    <row r="276" spans="1:17">
      <c r="A276" s="54">
        <f t="shared" si="16"/>
        <v>1526</v>
      </c>
      <c r="B276" s="36"/>
      <c r="C276" s="38">
        <v>6</v>
      </c>
      <c r="D276" s="38">
        <v>4</v>
      </c>
      <c r="E276" s="38">
        <v>4.17</v>
      </c>
      <c r="F276" s="38">
        <v>8</v>
      </c>
      <c r="G276" s="38">
        <v>5</v>
      </c>
      <c r="H276" s="39">
        <f>F276/Wages!C276</f>
        <v>1.3333333333333333</v>
      </c>
      <c r="I276" s="38">
        <f>G276/Wages!D276</f>
        <v>1.25</v>
      </c>
      <c r="J276" s="38">
        <v>6</v>
      </c>
      <c r="K276" s="38">
        <v>4</v>
      </c>
      <c r="L276" s="38"/>
      <c r="M276" s="39">
        <f>Prices!BP278*Wages!$C276</f>
        <v>3.835666666666667</v>
      </c>
      <c r="N276" s="39">
        <f>Prices!BP278*Wages!D276</f>
        <v>2.5571111111111113</v>
      </c>
      <c r="O276" s="39">
        <f>Prices!$BP278*Wages!E276</f>
        <v>2.6657883333333334</v>
      </c>
      <c r="P276" s="39">
        <f>Prices!$BP278*F276</f>
        <v>5.1142222222222227</v>
      </c>
      <c r="Q276" s="39">
        <f>(31.1*0.925/Prices!$BN278)*G276</f>
        <v>3.1963888888888894</v>
      </c>
    </row>
    <row r="277" spans="1:17">
      <c r="A277" s="54">
        <f t="shared" si="16"/>
        <v>1527</v>
      </c>
      <c r="B277" s="36"/>
      <c r="C277" s="38">
        <v>6</v>
      </c>
      <c r="D277" s="38">
        <v>4</v>
      </c>
      <c r="E277" s="38">
        <v>4.17</v>
      </c>
      <c r="F277" s="38">
        <v>8</v>
      </c>
      <c r="G277" s="38">
        <v>5</v>
      </c>
      <c r="H277" s="39">
        <f>F277/Wages!C277</f>
        <v>1.3333333333333333</v>
      </c>
      <c r="I277" s="38">
        <f>G277/Wages!D277</f>
        <v>1.25</v>
      </c>
      <c r="J277" s="38">
        <v>6</v>
      </c>
      <c r="K277" s="38">
        <v>4</v>
      </c>
      <c r="L277" s="38"/>
      <c r="M277" s="39">
        <f>Prices!BP279*Wages!$C277</f>
        <v>3.835666666666667</v>
      </c>
      <c r="N277" s="39">
        <f>Prices!BP279*Wages!D277</f>
        <v>2.5571111111111113</v>
      </c>
      <c r="O277" s="39">
        <f>Prices!$BP279*Wages!E277</f>
        <v>2.6657883333333334</v>
      </c>
      <c r="P277" s="39">
        <f>Prices!$BP279*F277</f>
        <v>5.1142222222222227</v>
      </c>
      <c r="Q277" s="39">
        <f>(31.1*0.925/Prices!$BN279)*G277</f>
        <v>3.1963888888888894</v>
      </c>
    </row>
    <row r="278" spans="1:17">
      <c r="A278" s="54">
        <f t="shared" si="16"/>
        <v>1528</v>
      </c>
      <c r="B278" s="36"/>
      <c r="C278" s="38">
        <v>6</v>
      </c>
      <c r="D278" s="38">
        <v>4</v>
      </c>
      <c r="E278" s="38">
        <v>4.17</v>
      </c>
      <c r="F278" s="38">
        <v>8</v>
      </c>
      <c r="G278" s="38">
        <v>5</v>
      </c>
      <c r="H278" s="39">
        <f>F278/Wages!C278</f>
        <v>1.3333333333333333</v>
      </c>
      <c r="I278" s="38">
        <f>G278/Wages!D278</f>
        <v>1.25</v>
      </c>
      <c r="J278" s="38">
        <v>6</v>
      </c>
      <c r="K278" s="38">
        <v>4</v>
      </c>
      <c r="L278" s="38"/>
      <c r="M278" s="39">
        <f>Prices!BP280*Wages!$C278</f>
        <v>3.835666666666667</v>
      </c>
      <c r="N278" s="39">
        <f>Prices!BP280*Wages!D278</f>
        <v>2.5571111111111113</v>
      </c>
      <c r="O278" s="39">
        <f>Prices!$BP280*Wages!E278</f>
        <v>2.6657883333333334</v>
      </c>
      <c r="P278" s="39">
        <f>Prices!$BP280*F278</f>
        <v>5.1142222222222227</v>
      </c>
      <c r="Q278" s="39">
        <f>(31.1*0.925/Prices!$BN280)*G278</f>
        <v>3.1963888888888894</v>
      </c>
    </row>
    <row r="279" spans="1:17">
      <c r="A279" s="54">
        <f t="shared" si="16"/>
        <v>1529</v>
      </c>
      <c r="B279" s="36"/>
      <c r="C279" s="38">
        <v>6</v>
      </c>
      <c r="D279" s="38">
        <v>4</v>
      </c>
      <c r="E279" s="38">
        <v>4.17</v>
      </c>
      <c r="F279" s="38">
        <v>8</v>
      </c>
      <c r="G279" s="38">
        <v>5</v>
      </c>
      <c r="H279" s="39">
        <f>F279/Wages!C279</f>
        <v>1.3333333333333333</v>
      </c>
      <c r="I279" s="38">
        <f>G279/Wages!D279</f>
        <v>1.25</v>
      </c>
      <c r="J279" s="38">
        <v>6</v>
      </c>
      <c r="K279" s="38">
        <v>4</v>
      </c>
      <c r="L279" s="38"/>
      <c r="M279" s="39">
        <f>Prices!BP281*Wages!$C279</f>
        <v>3.835666666666667</v>
      </c>
      <c r="N279" s="39">
        <f>Prices!BP281*Wages!D279</f>
        <v>2.5571111111111113</v>
      </c>
      <c r="O279" s="39">
        <f>Prices!$BP281*Wages!E279</f>
        <v>2.6657883333333334</v>
      </c>
      <c r="P279" s="39">
        <f>Prices!$BP281*F279</f>
        <v>5.1142222222222227</v>
      </c>
      <c r="Q279" s="39">
        <f>(31.1*0.925/Prices!$BN281)*G279</f>
        <v>3.1963888888888894</v>
      </c>
    </row>
    <row r="280" spans="1:17">
      <c r="A280" s="54">
        <f t="shared" si="16"/>
        <v>1530</v>
      </c>
      <c r="B280" s="36"/>
      <c r="C280" s="38">
        <v>6</v>
      </c>
      <c r="D280" s="38">
        <v>4</v>
      </c>
      <c r="E280" s="38">
        <v>4.33</v>
      </c>
      <c r="F280" s="38">
        <v>8</v>
      </c>
      <c r="G280" s="38">
        <v>5</v>
      </c>
      <c r="H280" s="39">
        <f>F280/Wages!C280</f>
        <v>1.3333333333333333</v>
      </c>
      <c r="I280" s="38">
        <f>G280/Wages!D280</f>
        <v>1.25</v>
      </c>
      <c r="J280" s="38">
        <v>6</v>
      </c>
      <c r="K280" s="38">
        <v>4</v>
      </c>
      <c r="L280" s="38"/>
      <c r="M280" s="39">
        <f>Prices!BP282*Wages!$C280</f>
        <v>3.835666666666667</v>
      </c>
      <c r="N280" s="39">
        <f>Prices!BP282*Wages!D280</f>
        <v>2.5571111111111113</v>
      </c>
      <c r="O280" s="39">
        <f>Prices!$BP282*Wages!E280</f>
        <v>2.7680727777777783</v>
      </c>
      <c r="P280" s="39">
        <f>Prices!$BP282*F280</f>
        <v>5.1142222222222227</v>
      </c>
      <c r="Q280" s="39">
        <f>(31.1*0.925/Prices!$BN282)*G280</f>
        <v>3.1963888888888894</v>
      </c>
    </row>
    <row r="281" spans="1:17">
      <c r="A281" s="54">
        <f t="shared" si="16"/>
        <v>1531</v>
      </c>
      <c r="B281" s="36"/>
      <c r="C281" s="38">
        <v>6</v>
      </c>
      <c r="D281" s="38">
        <v>4</v>
      </c>
      <c r="E281" s="38">
        <v>4.33</v>
      </c>
      <c r="F281" s="38">
        <v>8</v>
      </c>
      <c r="G281" s="38">
        <v>5</v>
      </c>
      <c r="H281" s="39">
        <f>F281/Wages!C281</f>
        <v>1.3333333333333333</v>
      </c>
      <c r="I281" s="38">
        <f>G281/Wages!D281</f>
        <v>1.25</v>
      </c>
      <c r="J281" s="38">
        <v>6</v>
      </c>
      <c r="K281" s="38">
        <v>4</v>
      </c>
      <c r="L281" s="38"/>
      <c r="M281" s="39">
        <f>Prices!BP283*Wages!$C281</f>
        <v>3.835666666666667</v>
      </c>
      <c r="N281" s="39">
        <f>Prices!BP283*Wages!D281</f>
        <v>2.5571111111111113</v>
      </c>
      <c r="O281" s="39">
        <f>Prices!$BP283*Wages!E281</f>
        <v>2.7680727777777783</v>
      </c>
      <c r="P281" s="39">
        <f>Prices!$BP283*F281</f>
        <v>5.1142222222222227</v>
      </c>
      <c r="Q281" s="39">
        <f>(31.1*0.925/Prices!$BN283)*G281</f>
        <v>3.1963888888888894</v>
      </c>
    </row>
    <row r="282" spans="1:17">
      <c r="A282" s="54">
        <f t="shared" si="16"/>
        <v>1532</v>
      </c>
      <c r="B282" s="36"/>
      <c r="C282" s="38">
        <v>6</v>
      </c>
      <c r="D282" s="38">
        <v>4</v>
      </c>
      <c r="E282" s="38">
        <v>4.33</v>
      </c>
      <c r="F282" s="38">
        <v>8</v>
      </c>
      <c r="G282" s="38">
        <v>5</v>
      </c>
      <c r="H282" s="39">
        <f>F282/Wages!C282</f>
        <v>1.3333333333333333</v>
      </c>
      <c r="I282" s="38">
        <f>G282/Wages!D282</f>
        <v>1.25</v>
      </c>
      <c r="J282" s="38">
        <v>6</v>
      </c>
      <c r="K282" s="38">
        <v>4</v>
      </c>
      <c r="L282" s="38"/>
      <c r="M282" s="39">
        <f>Prices!BP284*Wages!$C282</f>
        <v>3.835666666666667</v>
      </c>
      <c r="N282" s="39">
        <f>Prices!BP284*Wages!D282</f>
        <v>2.5571111111111113</v>
      </c>
      <c r="O282" s="39">
        <f>Prices!$BP284*Wages!E282</f>
        <v>2.7680727777777783</v>
      </c>
      <c r="P282" s="39">
        <f>Prices!$BP284*F282</f>
        <v>5.1142222222222227</v>
      </c>
      <c r="Q282" s="39">
        <f>(31.1*0.925/Prices!$BN284)*G282</f>
        <v>3.1963888888888894</v>
      </c>
    </row>
    <row r="283" spans="1:17">
      <c r="A283" s="54">
        <f t="shared" si="16"/>
        <v>1533</v>
      </c>
      <c r="B283" s="36"/>
      <c r="C283" s="38">
        <v>6.5</v>
      </c>
      <c r="D283" s="38">
        <v>4</v>
      </c>
      <c r="E283" s="38">
        <v>4.33</v>
      </c>
      <c r="F283" s="38">
        <v>8</v>
      </c>
      <c r="G283" s="38">
        <v>5</v>
      </c>
      <c r="H283" s="39">
        <f>F283/Wages!C283</f>
        <v>1.2307692307692308</v>
      </c>
      <c r="I283" s="38">
        <f>G283/Wages!D283</f>
        <v>1.25</v>
      </c>
      <c r="J283" s="38">
        <v>6</v>
      </c>
      <c r="K283" s="38">
        <v>4</v>
      </c>
      <c r="L283" s="38"/>
      <c r="M283" s="39">
        <f>Prices!BP285*Wages!$C283</f>
        <v>4.1553055555555556</v>
      </c>
      <c r="N283" s="39">
        <f>Prices!BP285*Wages!D283</f>
        <v>2.5571111111111113</v>
      </c>
      <c r="O283" s="39">
        <f>Prices!$BP285*Wages!E283</f>
        <v>2.7680727777777783</v>
      </c>
      <c r="P283" s="39">
        <f>Prices!$BP285*F283</f>
        <v>5.1142222222222227</v>
      </c>
      <c r="Q283" s="39">
        <f>(31.1*0.925/Prices!$BN285)*G283</f>
        <v>3.1963888888888894</v>
      </c>
    </row>
    <row r="284" spans="1:17">
      <c r="A284" s="54">
        <f t="shared" si="16"/>
        <v>1534</v>
      </c>
      <c r="B284" s="36"/>
      <c r="C284" s="38">
        <v>6.5</v>
      </c>
      <c r="D284" s="38">
        <v>4</v>
      </c>
      <c r="E284" s="38">
        <v>4.33</v>
      </c>
      <c r="F284" s="38">
        <v>8</v>
      </c>
      <c r="G284" s="38">
        <v>5</v>
      </c>
      <c r="H284" s="39">
        <f>F284/Wages!C284</f>
        <v>1.2307692307692308</v>
      </c>
      <c r="I284" s="38">
        <f>G284/Wages!D284</f>
        <v>1.25</v>
      </c>
      <c r="J284" s="38">
        <v>6</v>
      </c>
      <c r="K284" s="38">
        <v>4</v>
      </c>
      <c r="L284" s="38"/>
      <c r="M284" s="39">
        <f>Prices!BP286*Wages!$C284</f>
        <v>4.1553055555555556</v>
      </c>
      <c r="N284" s="39">
        <f>Prices!BP286*Wages!D284</f>
        <v>2.5571111111111113</v>
      </c>
      <c r="O284" s="39">
        <f>Prices!$BP286*Wages!E284</f>
        <v>2.7680727777777783</v>
      </c>
      <c r="P284" s="39">
        <f>Prices!$BP286*F284</f>
        <v>5.1142222222222227</v>
      </c>
      <c r="Q284" s="39">
        <f>(31.1*0.925/Prices!$BN286)*G284</f>
        <v>3.1963888888888894</v>
      </c>
    </row>
    <row r="285" spans="1:17">
      <c r="A285" s="54">
        <f t="shared" si="16"/>
        <v>1535</v>
      </c>
      <c r="B285" s="36"/>
      <c r="C285" s="38">
        <v>6.5</v>
      </c>
      <c r="D285" s="38">
        <v>4</v>
      </c>
      <c r="E285" s="38">
        <v>4.33</v>
      </c>
      <c r="F285" s="38">
        <v>8</v>
      </c>
      <c r="G285" s="38">
        <v>5</v>
      </c>
      <c r="H285" s="39">
        <f>F285/Wages!C285</f>
        <v>1.2307692307692308</v>
      </c>
      <c r="I285" s="38">
        <f>G285/Wages!D285</f>
        <v>1.25</v>
      </c>
      <c r="J285" s="38">
        <v>6</v>
      </c>
      <c r="K285" s="38">
        <v>4</v>
      </c>
      <c r="L285" s="38"/>
      <c r="M285" s="39">
        <f>Prices!BP287*Wages!$C285</f>
        <v>4.1553055555555556</v>
      </c>
      <c r="N285" s="39">
        <f>Prices!BP287*Wages!D285</f>
        <v>2.5571111111111113</v>
      </c>
      <c r="O285" s="39">
        <f>Prices!$BP287*Wages!E285</f>
        <v>2.7680727777777783</v>
      </c>
      <c r="P285" s="39">
        <f>Prices!$BP287*F285</f>
        <v>5.1142222222222227</v>
      </c>
      <c r="Q285" s="39">
        <f>(31.1*0.925/Prices!$BN287)*G285</f>
        <v>3.1963888888888894</v>
      </c>
    </row>
    <row r="286" spans="1:17">
      <c r="A286" s="54">
        <f t="shared" si="16"/>
        <v>1536</v>
      </c>
      <c r="B286" s="36"/>
      <c r="C286" s="38">
        <v>6.5</v>
      </c>
      <c r="D286" s="38">
        <v>4</v>
      </c>
      <c r="E286" s="38">
        <v>4.33</v>
      </c>
      <c r="F286" s="38">
        <v>8</v>
      </c>
      <c r="G286" s="38">
        <v>5</v>
      </c>
      <c r="H286" s="39">
        <f>F286/Wages!C286</f>
        <v>1.2307692307692308</v>
      </c>
      <c r="I286" s="38">
        <f>G286/Wages!D286</f>
        <v>1.25</v>
      </c>
      <c r="J286" s="38">
        <v>6</v>
      </c>
      <c r="K286" s="38">
        <v>4</v>
      </c>
      <c r="L286" s="38"/>
      <c r="M286" s="39">
        <f>Prices!BP288*Wages!$C286</f>
        <v>4.1553055555555556</v>
      </c>
      <c r="N286" s="39">
        <f>Prices!BP288*Wages!D286</f>
        <v>2.5571111111111113</v>
      </c>
      <c r="O286" s="39">
        <f>Prices!$BP288*Wages!E286</f>
        <v>2.7680727777777783</v>
      </c>
      <c r="P286" s="39">
        <f>Prices!$BP288*F286</f>
        <v>5.1142222222222227</v>
      </c>
      <c r="Q286" s="39">
        <f>(31.1*0.925/Prices!$BN288)*G286</f>
        <v>3.1963888888888894</v>
      </c>
    </row>
    <row r="287" spans="1:17">
      <c r="A287" s="54">
        <f t="shared" si="16"/>
        <v>1537</v>
      </c>
      <c r="B287" s="36"/>
      <c r="C287" s="38">
        <v>6.5</v>
      </c>
      <c r="D287" s="38">
        <v>4</v>
      </c>
      <c r="E287" s="38">
        <v>4.33</v>
      </c>
      <c r="F287" s="38">
        <v>8</v>
      </c>
      <c r="G287" s="38">
        <v>5</v>
      </c>
      <c r="H287" s="39">
        <f>F287/Wages!C287</f>
        <v>1.2307692307692308</v>
      </c>
      <c r="I287" s="38">
        <f>G287/Wages!D287</f>
        <v>1.25</v>
      </c>
      <c r="J287" s="38">
        <v>6</v>
      </c>
      <c r="K287" s="38">
        <v>4</v>
      </c>
      <c r="L287" s="38"/>
      <c r="M287" s="39">
        <f>Prices!BP289*Wages!$C287</f>
        <v>4.1553055555555556</v>
      </c>
      <c r="N287" s="39">
        <f>Prices!BP289*Wages!D287</f>
        <v>2.5571111111111113</v>
      </c>
      <c r="O287" s="39">
        <f>Prices!$BP289*Wages!E287</f>
        <v>2.7680727777777783</v>
      </c>
      <c r="P287" s="39">
        <f>Prices!$BP289*F287</f>
        <v>5.1142222222222227</v>
      </c>
      <c r="Q287" s="39">
        <f>(31.1*0.925/Prices!$BN289)*G287</f>
        <v>3.1963888888888894</v>
      </c>
    </row>
    <row r="288" spans="1:17">
      <c r="A288" s="54">
        <f t="shared" si="16"/>
        <v>1538</v>
      </c>
      <c r="B288" s="36"/>
      <c r="C288" s="38">
        <v>6.5</v>
      </c>
      <c r="D288" s="38">
        <v>4</v>
      </c>
      <c r="E288" s="38">
        <v>4.33</v>
      </c>
      <c r="F288" s="38">
        <v>8</v>
      </c>
      <c r="G288" s="38">
        <v>5</v>
      </c>
      <c r="H288" s="39">
        <f>F288/Wages!C288</f>
        <v>1.2307692307692308</v>
      </c>
      <c r="I288" s="38">
        <f>G288/Wages!D288</f>
        <v>1.25</v>
      </c>
      <c r="J288" s="38">
        <v>6</v>
      </c>
      <c r="K288" s="38">
        <v>4</v>
      </c>
      <c r="L288" s="38"/>
      <c r="M288" s="39">
        <f>Prices!BP290*Wages!$C288</f>
        <v>4.1553055555555556</v>
      </c>
      <c r="N288" s="39">
        <f>Prices!BP290*Wages!D288</f>
        <v>2.5571111111111113</v>
      </c>
      <c r="O288" s="39">
        <f>Prices!$BP290*Wages!E288</f>
        <v>2.7680727777777783</v>
      </c>
      <c r="P288" s="39">
        <f>Prices!$BP290*F288</f>
        <v>5.1142222222222227</v>
      </c>
      <c r="Q288" s="39">
        <f>(31.1*0.925/Prices!$BN290)*G288</f>
        <v>3.1963888888888894</v>
      </c>
    </row>
    <row r="289" spans="1:17">
      <c r="A289" s="54">
        <f t="shared" si="16"/>
        <v>1539</v>
      </c>
      <c r="B289" s="36"/>
      <c r="C289" s="38">
        <v>6.5</v>
      </c>
      <c r="D289" s="38">
        <v>4</v>
      </c>
      <c r="E289" s="38">
        <v>4.33</v>
      </c>
      <c r="F289" s="38">
        <v>8</v>
      </c>
      <c r="G289" s="38">
        <v>5</v>
      </c>
      <c r="H289" s="39">
        <f>F289/Wages!C289</f>
        <v>1.2307692307692308</v>
      </c>
      <c r="I289" s="38">
        <f>G289/Wages!D289</f>
        <v>1.25</v>
      </c>
      <c r="J289" s="38">
        <v>6</v>
      </c>
      <c r="K289" s="38">
        <v>4</v>
      </c>
      <c r="L289" s="38"/>
      <c r="M289" s="39">
        <f>Prices!BP291*Wages!$C289</f>
        <v>4.1553055555555556</v>
      </c>
      <c r="N289" s="39">
        <f>Prices!BP291*Wages!D289</f>
        <v>2.5571111111111113</v>
      </c>
      <c r="O289" s="39">
        <f>Prices!$BP291*Wages!E289</f>
        <v>2.7680727777777783</v>
      </c>
      <c r="P289" s="39">
        <f>Prices!$BP291*F289</f>
        <v>5.1142222222222227</v>
      </c>
      <c r="Q289" s="39">
        <f>(31.1*0.925/Prices!$BN291)*G289</f>
        <v>3.1963888888888894</v>
      </c>
    </row>
    <row r="290" spans="1:17">
      <c r="A290" s="54">
        <f t="shared" si="16"/>
        <v>1540</v>
      </c>
      <c r="B290" s="36"/>
      <c r="C290" s="38">
        <v>6.5</v>
      </c>
      <c r="D290" s="38">
        <v>4</v>
      </c>
      <c r="E290" s="38">
        <v>4.66</v>
      </c>
      <c r="F290" s="38">
        <v>8</v>
      </c>
      <c r="G290" s="38">
        <v>5</v>
      </c>
      <c r="H290" s="39">
        <f>F290/Wages!C290</f>
        <v>1.2307692307692308</v>
      </c>
      <c r="I290" s="38">
        <f>G290/Wages!D290</f>
        <v>1.25</v>
      </c>
      <c r="J290" s="38">
        <v>6</v>
      </c>
      <c r="K290" s="38">
        <v>4</v>
      </c>
      <c r="L290" s="38"/>
      <c r="M290" s="39">
        <f>Prices!BP292*Wages!$C290</f>
        <v>4.1553055555555556</v>
      </c>
      <c r="N290" s="39">
        <f>Prices!BP292*Wages!D290</f>
        <v>2.5571111111111113</v>
      </c>
      <c r="O290" s="39">
        <f>Prices!$BP292*Wages!E290</f>
        <v>2.9790344444444448</v>
      </c>
      <c r="P290" s="39">
        <f>Prices!$BP292*F290</f>
        <v>5.1142222222222227</v>
      </c>
      <c r="Q290" s="39">
        <f>(31.1*0.925/Prices!$BN292)*G290</f>
        <v>3.1963888888888894</v>
      </c>
    </row>
    <row r="291" spans="1:17">
      <c r="A291" s="54">
        <f t="shared" si="16"/>
        <v>1541</v>
      </c>
      <c r="B291" s="36"/>
      <c r="C291" s="38">
        <v>6.5</v>
      </c>
      <c r="D291" s="38">
        <v>4</v>
      </c>
      <c r="E291" s="38">
        <v>4.66</v>
      </c>
      <c r="F291" s="38">
        <v>8</v>
      </c>
      <c r="G291" s="38">
        <v>5</v>
      </c>
      <c r="H291" s="39">
        <f>F291/Wages!C291</f>
        <v>1.2307692307692308</v>
      </c>
      <c r="I291" s="38">
        <f>G291/Wages!D291</f>
        <v>1.25</v>
      </c>
      <c r="J291" s="38">
        <v>6</v>
      </c>
      <c r="K291" s="38">
        <v>4</v>
      </c>
      <c r="L291" s="38"/>
      <c r="M291" s="39">
        <f>Prices!BP293*Wages!$C291</f>
        <v>4.1553055555555556</v>
      </c>
      <c r="N291" s="39">
        <f>Prices!BP293*Wages!D291</f>
        <v>2.5571111111111113</v>
      </c>
      <c r="O291" s="39">
        <f>Prices!$BP293*Wages!E291</f>
        <v>2.9790344444444448</v>
      </c>
      <c r="P291" s="39">
        <f>Prices!$BP293*F291</f>
        <v>5.1142222222222227</v>
      </c>
      <c r="Q291" s="39">
        <f>(31.1*0.925/Prices!$BN293)*G291</f>
        <v>3.1963888888888894</v>
      </c>
    </row>
    <row r="292" spans="1:17">
      <c r="A292" s="54">
        <f t="shared" si="16"/>
        <v>1542</v>
      </c>
      <c r="B292" s="36"/>
      <c r="C292" s="38">
        <v>6.5</v>
      </c>
      <c r="D292" s="38">
        <v>4</v>
      </c>
      <c r="E292" s="38">
        <v>4.66</v>
      </c>
      <c r="F292" s="38">
        <v>8</v>
      </c>
      <c r="G292" s="38">
        <v>5</v>
      </c>
      <c r="H292" s="39">
        <f>F292/Wages!C292</f>
        <v>1.2307692307692308</v>
      </c>
      <c r="I292" s="38">
        <f>G292/Wages!D292</f>
        <v>1.25</v>
      </c>
      <c r="J292" s="38">
        <v>6</v>
      </c>
      <c r="K292" s="38">
        <v>4</v>
      </c>
      <c r="L292" s="38"/>
      <c r="M292" s="39">
        <f>Prices!BP294*Wages!$C292</f>
        <v>2.9125973520249224</v>
      </c>
      <c r="N292" s="39">
        <f>Prices!BP294*Wages!D292</f>
        <v>1.7923676012461061</v>
      </c>
      <c r="O292" s="39">
        <f>Prices!$BP294*Wages!E292</f>
        <v>2.0881082554517136</v>
      </c>
      <c r="P292" s="39">
        <f>Prices!$BP294*F292</f>
        <v>3.5847352024922121</v>
      </c>
      <c r="Q292" s="39">
        <f>(31.1*0.925/Prices!$BN294)*G292</f>
        <v>2.2404595015576327</v>
      </c>
    </row>
    <row r="293" spans="1:17">
      <c r="A293" s="54">
        <f t="shared" si="16"/>
        <v>1543</v>
      </c>
      <c r="B293" s="36"/>
      <c r="C293" s="38">
        <v>6.5</v>
      </c>
      <c r="D293" s="38">
        <v>4</v>
      </c>
      <c r="E293" s="38">
        <v>4.66</v>
      </c>
      <c r="F293" s="38">
        <v>8</v>
      </c>
      <c r="G293" s="38">
        <v>5</v>
      </c>
      <c r="H293" s="39">
        <f>F293/Wages!C293</f>
        <v>1.2307692307692308</v>
      </c>
      <c r="I293" s="38">
        <f>G293/Wages!D293</f>
        <v>1.25</v>
      </c>
      <c r="J293" s="38">
        <v>6</v>
      </c>
      <c r="K293" s="38">
        <v>4</v>
      </c>
      <c r="L293" s="38"/>
      <c r="M293" s="39">
        <f>Prices!BP295*Wages!$C293</f>
        <v>2.9125973520249224</v>
      </c>
      <c r="N293" s="39">
        <f>Prices!BP295*Wages!D293</f>
        <v>1.7923676012461061</v>
      </c>
      <c r="O293" s="39">
        <f>Prices!$BP295*Wages!E293</f>
        <v>2.0881082554517136</v>
      </c>
      <c r="P293" s="39">
        <f>Prices!$BP295*F293</f>
        <v>3.5847352024922121</v>
      </c>
      <c r="Q293" s="39">
        <f>(31.1*0.925/Prices!$BN295)*G293</f>
        <v>2.2404595015576327</v>
      </c>
    </row>
    <row r="294" spans="1:17">
      <c r="A294" s="54">
        <f t="shared" si="16"/>
        <v>1544</v>
      </c>
      <c r="B294" s="36"/>
      <c r="C294" s="38">
        <v>6.5</v>
      </c>
      <c r="D294" s="38">
        <v>4</v>
      </c>
      <c r="E294" s="38">
        <v>4.66</v>
      </c>
      <c r="F294" s="38">
        <f>8*1.06</f>
        <v>8.48</v>
      </c>
      <c r="G294" s="38">
        <v>5</v>
      </c>
      <c r="H294" s="39">
        <f>F294/Wages!C294</f>
        <v>1.3046153846153847</v>
      </c>
      <c r="I294" s="38">
        <f>G294/Wages!D294</f>
        <v>1.25</v>
      </c>
      <c r="J294" s="38">
        <v>6</v>
      </c>
      <c r="K294" s="38">
        <v>4</v>
      </c>
      <c r="L294" s="38"/>
      <c r="M294" s="39">
        <f>Prices!BP296*Wages!$C294</f>
        <v>3.1585937500000001</v>
      </c>
      <c r="N294" s="39">
        <f>Prices!BP296*Wages!D294</f>
        <v>1.9437500000000001</v>
      </c>
      <c r="O294" s="39">
        <f>Prices!$BP296*Wages!E294</f>
        <v>2.2644687500000003</v>
      </c>
      <c r="P294" s="39">
        <f>Prices!$BP296*F294</f>
        <v>4.1207500000000001</v>
      </c>
      <c r="Q294" s="39">
        <f>(31.1*0.925/Prices!$BN296)*G294</f>
        <v>2.4296875</v>
      </c>
    </row>
    <row r="295" spans="1:17">
      <c r="A295" s="54">
        <f t="shared" si="16"/>
        <v>1545</v>
      </c>
      <c r="B295" s="36"/>
      <c r="C295" s="38">
        <v>6.5</v>
      </c>
      <c r="D295" s="38">
        <v>4</v>
      </c>
      <c r="E295" s="38">
        <v>4.66</v>
      </c>
      <c r="F295" s="38">
        <f>8*1.13</f>
        <v>9.0399999999999991</v>
      </c>
      <c r="G295" s="38">
        <f>5*1.1</f>
        <v>5.5</v>
      </c>
      <c r="H295" s="39">
        <f>F295/Wages!C295</f>
        <v>1.3907692307692305</v>
      </c>
      <c r="I295" s="38">
        <f>G295/Wages!D295</f>
        <v>1.375</v>
      </c>
      <c r="J295" s="38">
        <v>6</v>
      </c>
      <c r="K295" s="38">
        <v>4</v>
      </c>
      <c r="L295" s="38"/>
      <c r="M295" s="39">
        <f>Prices!BP297*Wages!$C295</f>
        <v>2.1057291666666669</v>
      </c>
      <c r="N295" s="39">
        <f>Prices!BP297*Wages!D295</f>
        <v>1.2958333333333334</v>
      </c>
      <c r="O295" s="39">
        <f>Prices!$BP297*Wages!E295</f>
        <v>1.5096458333333334</v>
      </c>
      <c r="P295" s="39">
        <f>Prices!$BP297*F295</f>
        <v>2.9285833333333331</v>
      </c>
      <c r="Q295" s="39">
        <f>(31.1*0.925/Prices!$BN297)*G295</f>
        <v>1.7817708333333333</v>
      </c>
    </row>
    <row r="296" spans="1:17">
      <c r="A296" s="54">
        <f t="shared" si="16"/>
        <v>1546</v>
      </c>
      <c r="B296" s="36"/>
      <c r="C296" s="38">
        <v>6.5</v>
      </c>
      <c r="D296" s="38">
        <v>5</v>
      </c>
      <c r="E296" s="38">
        <v>4.66</v>
      </c>
      <c r="F296" s="38">
        <f>8*1.13</f>
        <v>9.0399999999999991</v>
      </c>
      <c r="G296" s="38">
        <f>5*1.2</f>
        <v>6</v>
      </c>
      <c r="H296" s="39">
        <f>F296/Wages!C296</f>
        <v>1.3907692307692305</v>
      </c>
      <c r="I296" s="38">
        <f>G296/Wages!D296</f>
        <v>1.2</v>
      </c>
      <c r="J296" s="38">
        <v>6</v>
      </c>
      <c r="K296" s="38">
        <v>4</v>
      </c>
      <c r="L296" s="38"/>
      <c r="M296" s="39">
        <f>Prices!BP298*Wages!$C296</f>
        <v>1.4038194444444447</v>
      </c>
      <c r="N296" s="39">
        <f>Prices!BP298*Wages!D296</f>
        <v>1.0798611111111114</v>
      </c>
      <c r="O296" s="39">
        <f>Prices!$BP298*Wages!E296</f>
        <v>1.0064305555555557</v>
      </c>
      <c r="P296" s="39">
        <f>Prices!$BP298*F296</f>
        <v>1.952388888888889</v>
      </c>
      <c r="Q296" s="39">
        <f>(31.1*0.925/Prices!$BN298)*G296</f>
        <v>1.2958333333333336</v>
      </c>
    </row>
    <row r="297" spans="1:17">
      <c r="A297" s="54">
        <f t="shared" si="16"/>
        <v>1547</v>
      </c>
      <c r="B297" s="36"/>
      <c r="C297" s="38">
        <v>6.5</v>
      </c>
      <c r="D297" s="38">
        <v>5</v>
      </c>
      <c r="E297" s="38">
        <v>4.66</v>
      </c>
      <c r="F297" s="38">
        <f>8*1.13</f>
        <v>9.0399999999999991</v>
      </c>
      <c r="G297" s="38">
        <f>5*1.2</f>
        <v>6</v>
      </c>
      <c r="H297" s="39">
        <f>F297/Wages!C297</f>
        <v>1.3907692307692305</v>
      </c>
      <c r="I297" s="38">
        <f>G297/Wages!D297</f>
        <v>1.2</v>
      </c>
      <c r="J297" s="38">
        <v>6</v>
      </c>
      <c r="K297" s="38">
        <v>4</v>
      </c>
      <c r="L297" s="38"/>
      <c r="M297" s="39">
        <f>Prices!BP299*Wages!$C297</f>
        <v>1.4038194444444447</v>
      </c>
      <c r="N297" s="39">
        <f>Prices!BP299*Wages!D297</f>
        <v>1.0798611111111114</v>
      </c>
      <c r="O297" s="39">
        <f>Prices!$BP299*Wages!E297</f>
        <v>1.0064305555555557</v>
      </c>
      <c r="P297" s="39">
        <f>Prices!$BP299*F297</f>
        <v>1.952388888888889</v>
      </c>
      <c r="Q297" s="39">
        <f>(31.1*0.925/Prices!$BN299)*G297</f>
        <v>1.2958333333333336</v>
      </c>
    </row>
    <row r="298" spans="1:17">
      <c r="A298" s="54">
        <f t="shared" si="16"/>
        <v>1548</v>
      </c>
      <c r="B298" s="36"/>
      <c r="C298" s="38">
        <v>6.5</v>
      </c>
      <c r="D298" s="38">
        <v>5</v>
      </c>
      <c r="E298" s="38">
        <v>4.66</v>
      </c>
      <c r="F298" s="38">
        <f>8*1.13</f>
        <v>9.0399999999999991</v>
      </c>
      <c r="G298" s="38">
        <f>5*1.2</f>
        <v>6</v>
      </c>
      <c r="H298" s="39">
        <f>F298/Wages!C298</f>
        <v>1.3907692307692305</v>
      </c>
      <c r="I298" s="38">
        <f>G298/Wages!D298</f>
        <v>1.2</v>
      </c>
      <c r="J298" s="38">
        <v>6</v>
      </c>
      <c r="K298" s="38">
        <v>4</v>
      </c>
      <c r="L298" s="38"/>
      <c r="M298" s="39">
        <f>Prices!BP300*Wages!$C298</f>
        <v>1.4038194444444447</v>
      </c>
      <c r="N298" s="39">
        <f>Prices!BP300*Wages!D298</f>
        <v>1.0798611111111114</v>
      </c>
      <c r="O298" s="39">
        <f>Prices!$BP300*Wages!E298</f>
        <v>1.0064305555555557</v>
      </c>
      <c r="P298" s="39">
        <f>Prices!$BP300*F298</f>
        <v>1.952388888888889</v>
      </c>
      <c r="Q298" s="39">
        <f>(31.1*0.925/Prices!$BN300)*G298</f>
        <v>1.2958333333333336</v>
      </c>
    </row>
    <row r="299" spans="1:17">
      <c r="A299" s="54">
        <f t="shared" si="16"/>
        <v>1549</v>
      </c>
      <c r="B299" s="36"/>
      <c r="C299" s="38">
        <v>7.5</v>
      </c>
      <c r="D299" s="38">
        <v>5</v>
      </c>
      <c r="E299" s="38">
        <v>4.66</v>
      </c>
      <c r="F299" s="38">
        <f>8*1.19</f>
        <v>9.52</v>
      </c>
      <c r="G299" s="38">
        <f>5*1.3</f>
        <v>6.5</v>
      </c>
      <c r="H299" s="39">
        <f>F299/Wages!C299</f>
        <v>1.2693333333333332</v>
      </c>
      <c r="I299" s="38">
        <f>G299/Wages!D299</f>
        <v>1.3</v>
      </c>
      <c r="J299" s="38">
        <v>6</v>
      </c>
      <c r="K299" s="38">
        <v>4</v>
      </c>
      <c r="L299" s="38"/>
      <c r="M299" s="39">
        <f>Prices!BP301*Wages!$C299</f>
        <v>1.619791666666667</v>
      </c>
      <c r="N299" s="39">
        <f>Prices!BP301*Wages!D299</f>
        <v>1.0798611111111114</v>
      </c>
      <c r="O299" s="39">
        <f>Prices!$BP301*Wages!E299</f>
        <v>1.0064305555555557</v>
      </c>
      <c r="P299" s="39">
        <f>Prices!$BP301*F299</f>
        <v>2.056055555555556</v>
      </c>
      <c r="Q299" s="39">
        <f>(31.1*0.925/Prices!$BN301)*G299</f>
        <v>1.4038194444444447</v>
      </c>
    </row>
    <row r="300" spans="1:17">
      <c r="A300" s="54">
        <f t="shared" si="16"/>
        <v>1550</v>
      </c>
      <c r="B300" s="36"/>
      <c r="C300" s="38">
        <v>7.5</v>
      </c>
      <c r="D300" s="38">
        <v>5</v>
      </c>
      <c r="E300" s="38">
        <v>6.33</v>
      </c>
      <c r="F300" s="38">
        <f>8*1.25</f>
        <v>10</v>
      </c>
      <c r="G300" s="38">
        <f>5*1.4</f>
        <v>7</v>
      </c>
      <c r="H300" s="39">
        <f>F300/Wages!C300</f>
        <v>1.3333333333333333</v>
      </c>
      <c r="I300" s="38">
        <f>G300/Wages!D300</f>
        <v>1.4</v>
      </c>
      <c r="J300" s="38">
        <v>6</v>
      </c>
      <c r="K300" s="38">
        <v>4</v>
      </c>
      <c r="L300" s="38"/>
      <c r="M300" s="39">
        <f>Prices!BP302*Wages!$C300</f>
        <v>1.619791666666667</v>
      </c>
      <c r="N300" s="39">
        <f>Prices!BP302*Wages!D300</f>
        <v>1.0798611111111114</v>
      </c>
      <c r="O300" s="39">
        <f>Prices!$BP302*Wages!E300</f>
        <v>1.367104166666667</v>
      </c>
      <c r="P300" s="39">
        <f>Prices!$BP302*F300</f>
        <v>2.1597222222222228</v>
      </c>
      <c r="Q300" s="39">
        <f>(31.1*0.925/Prices!$BN302)*G300</f>
        <v>1.5118055555555558</v>
      </c>
    </row>
    <row r="301" spans="1:17">
      <c r="A301" s="54">
        <f t="shared" si="16"/>
        <v>1551</v>
      </c>
      <c r="B301" s="36"/>
      <c r="C301" s="38">
        <v>7.5</v>
      </c>
      <c r="D301" s="38">
        <v>5</v>
      </c>
      <c r="E301" s="38">
        <v>6.33</v>
      </c>
      <c r="F301" s="38">
        <f t="shared" ref="F301:F308" si="17">8*1.5</f>
        <v>12</v>
      </c>
      <c r="G301" s="38">
        <f>5*1.5</f>
        <v>7.5</v>
      </c>
      <c r="H301" s="39">
        <f>F301/Wages!C301</f>
        <v>1.6</v>
      </c>
      <c r="I301" s="38">
        <f>G301/Wages!D301</f>
        <v>1.5</v>
      </c>
      <c r="J301" s="36"/>
      <c r="K301" s="36"/>
      <c r="L301" s="38"/>
      <c r="M301" s="39">
        <f>Prices!BP303*Wages!$C301</f>
        <v>0.80989583333333348</v>
      </c>
      <c r="N301" s="39">
        <f>Prices!BP303*Wages!D301</f>
        <v>0.53993055555555569</v>
      </c>
      <c r="O301" s="39">
        <f>Prices!$BP303*Wages!E301</f>
        <v>0.6835520833333335</v>
      </c>
      <c r="P301" s="39">
        <f>Prices!$BP303*F301</f>
        <v>1.2958333333333336</v>
      </c>
      <c r="Q301" s="39">
        <f>(31.1*0.925/Prices!$BN303)*G301</f>
        <v>0.80989583333333348</v>
      </c>
    </row>
    <row r="302" spans="1:17">
      <c r="A302" s="54">
        <f t="shared" si="16"/>
        <v>1552</v>
      </c>
      <c r="B302" s="36"/>
      <c r="C302" s="38">
        <v>7.5</v>
      </c>
      <c r="D302" s="38">
        <v>7</v>
      </c>
      <c r="E302" s="38">
        <v>6.33</v>
      </c>
      <c r="F302" s="38">
        <f t="shared" si="17"/>
        <v>12</v>
      </c>
      <c r="G302" s="38">
        <f t="shared" ref="G302:G308" si="18">5*1.6</f>
        <v>8</v>
      </c>
      <c r="H302" s="39">
        <f>F302/Wages!C302</f>
        <v>1.6</v>
      </c>
      <c r="I302" s="39">
        <f>G302/Wages!D302</f>
        <v>1.1428571428571428</v>
      </c>
      <c r="J302" s="36"/>
      <c r="K302" s="36"/>
      <c r="L302" s="38"/>
      <c r="M302" s="39">
        <f>Prices!BP304*Wages!$C302</f>
        <v>3.5899542429284526</v>
      </c>
      <c r="N302" s="39">
        <f>Prices!BP304*Wages!D302</f>
        <v>3.3506239600665557</v>
      </c>
      <c r="O302" s="39">
        <f>Prices!$BP304*Wages!E302</f>
        <v>3.0299213810316141</v>
      </c>
      <c r="P302" s="39">
        <f>Prices!$BP304*F302</f>
        <v>5.7439267886855241</v>
      </c>
      <c r="Q302" s="39">
        <f>(31.1*0.925/Prices!$BN304)*G302</f>
        <v>3.8292845257903494</v>
      </c>
    </row>
    <row r="303" spans="1:17">
      <c r="A303" s="54">
        <f t="shared" si="16"/>
        <v>1553</v>
      </c>
      <c r="B303" s="36"/>
      <c r="C303" s="38">
        <v>9</v>
      </c>
      <c r="D303" s="38">
        <v>7</v>
      </c>
      <c r="E303" s="38">
        <v>6.33</v>
      </c>
      <c r="F303" s="38">
        <f t="shared" si="17"/>
        <v>12</v>
      </c>
      <c r="G303" s="38">
        <f t="shared" si="18"/>
        <v>8</v>
      </c>
      <c r="H303" s="39">
        <f>F303/Wages!C303</f>
        <v>1.3333333333333333</v>
      </c>
      <c r="I303" s="39">
        <f>G303/Wages!D303</f>
        <v>1.1428571428571428</v>
      </c>
      <c r="J303" s="36"/>
      <c r="K303" s="36"/>
      <c r="L303" s="38"/>
      <c r="M303" s="39">
        <f>Prices!BP305*Wages!$C303</f>
        <v>4.2794628099173559</v>
      </c>
      <c r="N303" s="39">
        <f>Prices!BP305*Wages!D303</f>
        <v>3.3284710743801655</v>
      </c>
      <c r="O303" s="39">
        <f>Prices!$BP305*Wages!E303</f>
        <v>3.0098888429752071</v>
      </c>
      <c r="P303" s="39">
        <f>Prices!$BP305*F303</f>
        <v>5.7059504132231407</v>
      </c>
      <c r="Q303" s="39">
        <f>(31.1*0.925/Prices!$BN305)*G303</f>
        <v>3.8039669421487607</v>
      </c>
    </row>
    <row r="304" spans="1:17">
      <c r="A304" s="54">
        <f t="shared" si="16"/>
        <v>1554</v>
      </c>
      <c r="B304" s="36"/>
      <c r="C304" s="38">
        <v>9</v>
      </c>
      <c r="D304" s="38">
        <v>7</v>
      </c>
      <c r="E304" s="38">
        <v>6.33</v>
      </c>
      <c r="F304" s="38">
        <f t="shared" si="17"/>
        <v>12</v>
      </c>
      <c r="G304" s="38">
        <f t="shared" si="18"/>
        <v>8</v>
      </c>
      <c r="H304" s="39">
        <f>F304/Wages!C304</f>
        <v>1.3333333333333333</v>
      </c>
      <c r="I304" s="39">
        <f>G304/Wages!D304</f>
        <v>1.1428571428571428</v>
      </c>
      <c r="J304" s="38">
        <v>7</v>
      </c>
      <c r="K304" s="38">
        <v>4</v>
      </c>
      <c r="L304" s="38"/>
      <c r="M304" s="39">
        <f>Prices!BP306*Wages!$C304</f>
        <v>4.2794628099173559</v>
      </c>
      <c r="N304" s="39">
        <f>Prices!BP306*Wages!D304</f>
        <v>3.3284710743801655</v>
      </c>
      <c r="O304" s="39">
        <f>Prices!$BP306*Wages!E304</f>
        <v>3.0098888429752071</v>
      </c>
      <c r="P304" s="39">
        <f>Prices!$BP306*F304</f>
        <v>5.7059504132231407</v>
      </c>
      <c r="Q304" s="39">
        <f>(31.1*0.925/Prices!$BN306)*G304</f>
        <v>3.8039669421487607</v>
      </c>
    </row>
    <row r="305" spans="1:17">
      <c r="A305" s="54">
        <f t="shared" si="16"/>
        <v>1555</v>
      </c>
      <c r="B305" s="36"/>
      <c r="C305" s="38">
        <v>9</v>
      </c>
      <c r="D305" s="38">
        <v>7</v>
      </c>
      <c r="E305" s="38">
        <v>6.33</v>
      </c>
      <c r="F305" s="38">
        <f t="shared" si="17"/>
        <v>12</v>
      </c>
      <c r="G305" s="38">
        <f t="shared" si="18"/>
        <v>8</v>
      </c>
      <c r="H305" s="39">
        <f>F305/Wages!C305</f>
        <v>1.3333333333333333</v>
      </c>
      <c r="I305" s="39">
        <f>G305/Wages!D305</f>
        <v>1.1428571428571428</v>
      </c>
      <c r="J305" s="36"/>
      <c r="K305" s="36"/>
      <c r="L305" s="38"/>
      <c r="M305" s="39">
        <f>Prices!BP307*Wages!$C305</f>
        <v>4.2794628099173559</v>
      </c>
      <c r="N305" s="39">
        <f>Prices!BP307*Wages!D305</f>
        <v>3.3284710743801655</v>
      </c>
      <c r="O305" s="39">
        <f>Prices!$BP307*Wages!E305</f>
        <v>3.0098888429752071</v>
      </c>
      <c r="P305" s="39">
        <f>Prices!$BP307*F305</f>
        <v>5.7059504132231407</v>
      </c>
      <c r="Q305" s="39">
        <f>(31.1*0.925/Prices!$BN307)*G305</f>
        <v>3.8039669421487607</v>
      </c>
    </row>
    <row r="306" spans="1:17">
      <c r="A306" s="54">
        <f t="shared" si="16"/>
        <v>1556</v>
      </c>
      <c r="B306" s="36"/>
      <c r="C306" s="38">
        <v>9</v>
      </c>
      <c r="D306" s="38">
        <v>7</v>
      </c>
      <c r="E306" s="38">
        <v>6.33</v>
      </c>
      <c r="F306" s="38">
        <f t="shared" si="17"/>
        <v>12</v>
      </c>
      <c r="G306" s="38">
        <f t="shared" si="18"/>
        <v>8</v>
      </c>
      <c r="H306" s="39">
        <f>F306/Wages!C306</f>
        <v>1.3333333333333333</v>
      </c>
      <c r="I306" s="39">
        <f>G306/Wages!D306</f>
        <v>1.1428571428571428</v>
      </c>
      <c r="J306" s="38">
        <v>8</v>
      </c>
      <c r="K306" s="36"/>
      <c r="L306" s="38"/>
      <c r="M306" s="39">
        <f>Prices!BP308*Wages!$C306</f>
        <v>4.2794628099173559</v>
      </c>
      <c r="N306" s="39">
        <f>Prices!BP308*Wages!D306</f>
        <v>3.3284710743801655</v>
      </c>
      <c r="O306" s="39">
        <f>Prices!$BP308*Wages!E306</f>
        <v>3.0098888429752071</v>
      </c>
      <c r="P306" s="39">
        <f>Prices!$BP308*F306</f>
        <v>5.7059504132231407</v>
      </c>
      <c r="Q306" s="39">
        <f>(31.1*0.925/Prices!$BN308)*G306</f>
        <v>3.8039669421487607</v>
      </c>
    </row>
    <row r="307" spans="1:17">
      <c r="A307" s="54">
        <f t="shared" si="16"/>
        <v>1557</v>
      </c>
      <c r="B307" s="36"/>
      <c r="C307" s="38">
        <v>9</v>
      </c>
      <c r="D307" s="38">
        <v>7</v>
      </c>
      <c r="E307" s="38">
        <v>6.33</v>
      </c>
      <c r="F307" s="38">
        <f t="shared" si="17"/>
        <v>12</v>
      </c>
      <c r="G307" s="38">
        <f t="shared" si="18"/>
        <v>8</v>
      </c>
      <c r="H307" s="39">
        <f>F307/Wages!C307</f>
        <v>1.3333333333333333</v>
      </c>
      <c r="I307" s="39">
        <f>G307/Wages!D307</f>
        <v>1.1428571428571428</v>
      </c>
      <c r="J307" s="38">
        <v>8</v>
      </c>
      <c r="K307" s="36"/>
      <c r="L307" s="38"/>
      <c r="M307" s="39">
        <f>Prices!BP309*Wages!$C307</f>
        <v>4.2794628099173559</v>
      </c>
      <c r="N307" s="39">
        <f>Prices!BP309*Wages!D307</f>
        <v>3.3284710743801655</v>
      </c>
      <c r="O307" s="39">
        <f>Prices!$BP309*Wages!E307</f>
        <v>3.0098888429752071</v>
      </c>
      <c r="P307" s="39">
        <f>Prices!$BP309*F307</f>
        <v>5.7059504132231407</v>
      </c>
      <c r="Q307" s="39">
        <f>(31.1*0.925/Prices!$BN309)*G307</f>
        <v>3.8039669421487607</v>
      </c>
    </row>
    <row r="308" spans="1:17">
      <c r="A308" s="54">
        <f t="shared" si="16"/>
        <v>1558</v>
      </c>
      <c r="B308" s="36"/>
      <c r="C308" s="38">
        <v>9</v>
      </c>
      <c r="D308" s="38">
        <v>7</v>
      </c>
      <c r="E308" s="38">
        <v>6.33</v>
      </c>
      <c r="F308" s="38">
        <f t="shared" si="17"/>
        <v>12</v>
      </c>
      <c r="G308" s="38">
        <f t="shared" si="18"/>
        <v>8</v>
      </c>
      <c r="H308" s="39">
        <f>F308/Wages!C308</f>
        <v>1.3333333333333333</v>
      </c>
      <c r="I308" s="39">
        <f>G308/Wages!D308</f>
        <v>1.1428571428571428</v>
      </c>
      <c r="J308" s="36"/>
      <c r="K308" s="36"/>
      <c r="L308" s="38"/>
      <c r="M308" s="39">
        <f>Prices!BP310*Wages!$C308</f>
        <v>4.2794628099173559</v>
      </c>
      <c r="N308" s="39">
        <f>Prices!BP310*Wages!D308</f>
        <v>3.3284710743801655</v>
      </c>
      <c r="O308" s="39">
        <f>Prices!$BP310*Wages!E308</f>
        <v>3.0098888429752071</v>
      </c>
      <c r="P308" s="39">
        <f>Prices!$BP310*F308</f>
        <v>5.7059504132231407</v>
      </c>
      <c r="Q308" s="39">
        <f>(31.1*0.925/Prices!$BN310)*G308</f>
        <v>3.8039669421487607</v>
      </c>
    </row>
    <row r="309" spans="1:17">
      <c r="A309" s="54">
        <f t="shared" si="16"/>
        <v>1559</v>
      </c>
      <c r="B309" s="36"/>
      <c r="C309" s="38">
        <v>9</v>
      </c>
      <c r="D309" s="38">
        <v>7</v>
      </c>
      <c r="E309" s="38">
        <v>6.33</v>
      </c>
      <c r="F309" s="38">
        <f>8*1.56</f>
        <v>12.48</v>
      </c>
      <c r="G309" s="38">
        <f>5*1.8</f>
        <v>9</v>
      </c>
      <c r="H309" s="39">
        <f>F309/Wages!C309</f>
        <v>1.3866666666666667</v>
      </c>
      <c r="I309" s="39">
        <f>G309/Wages!D309</f>
        <v>1.2857142857142858</v>
      </c>
      <c r="J309" s="38">
        <v>7.5</v>
      </c>
      <c r="K309" s="38">
        <v>6</v>
      </c>
      <c r="L309" s="38"/>
      <c r="M309" s="39">
        <f>Prices!BP311*Wages!$C309</f>
        <v>4.2794628099173559</v>
      </c>
      <c r="N309" s="39">
        <f>Prices!BP311*Wages!D309</f>
        <v>3.3284710743801655</v>
      </c>
      <c r="O309" s="39">
        <f>Prices!$BP311*Wages!E309</f>
        <v>3.0098888429752071</v>
      </c>
      <c r="P309" s="39">
        <f>Prices!$BP311*F309</f>
        <v>5.9341884297520666</v>
      </c>
      <c r="Q309" s="39">
        <f>(31.1*0.925/Prices!$BN311)*G309</f>
        <v>4.2794628099173559</v>
      </c>
    </row>
    <row r="310" spans="1:17">
      <c r="A310" s="54">
        <f t="shared" si="16"/>
        <v>1560</v>
      </c>
      <c r="B310" s="36"/>
      <c r="C310" s="38">
        <v>9</v>
      </c>
      <c r="D310" s="38">
        <v>7</v>
      </c>
      <c r="E310" s="38">
        <v>7</v>
      </c>
      <c r="F310" s="38">
        <f>8*1.63</f>
        <v>13.04</v>
      </c>
      <c r="G310" s="38">
        <f t="shared" ref="G310:G342" si="19">5*2</f>
        <v>10</v>
      </c>
      <c r="H310" s="39">
        <f>F310/Wages!C310</f>
        <v>1.4488888888888889</v>
      </c>
      <c r="I310" s="39">
        <f>G310/Wages!D310</f>
        <v>1.4285714285714286</v>
      </c>
      <c r="J310" s="38">
        <v>8</v>
      </c>
      <c r="K310" s="36"/>
      <c r="L310" s="38"/>
      <c r="M310" s="39">
        <f>Prices!BP312*Wages!$C310</f>
        <v>4.3151250000000001</v>
      </c>
      <c r="N310" s="39">
        <f>Prices!BP312*Wages!D310</f>
        <v>3.3562083333333335</v>
      </c>
      <c r="O310" s="39">
        <f>Prices!$BP312*Wages!E310</f>
        <v>3.3562083333333335</v>
      </c>
      <c r="P310" s="39">
        <f>Prices!$BP312*F310</f>
        <v>6.2521366666666669</v>
      </c>
      <c r="Q310" s="39">
        <f>(31.1*0.925/Prices!$BN312)*G310</f>
        <v>4.7945833333333336</v>
      </c>
    </row>
    <row r="311" spans="1:17">
      <c r="A311" s="54">
        <f t="shared" si="16"/>
        <v>1561</v>
      </c>
      <c r="B311" s="36"/>
      <c r="C311" s="38">
        <v>9</v>
      </c>
      <c r="D311" s="38">
        <v>7</v>
      </c>
      <c r="E311" s="38">
        <v>7</v>
      </c>
      <c r="F311" s="38">
        <f>8*1.69</f>
        <v>13.52</v>
      </c>
      <c r="G311" s="38">
        <f t="shared" si="19"/>
        <v>10</v>
      </c>
      <c r="H311" s="39">
        <f>F311/Wages!C311</f>
        <v>1.5022222222222221</v>
      </c>
      <c r="I311" s="39">
        <f>G311/Wages!D311</f>
        <v>1.4285714285714286</v>
      </c>
      <c r="J311" s="36"/>
      <c r="K311" s="36"/>
      <c r="L311" s="38"/>
      <c r="M311" s="39">
        <f>Prices!BP313*Wages!$C311</f>
        <v>4.3151250000000001</v>
      </c>
      <c r="N311" s="39">
        <f>Prices!BP313*Wages!D311</f>
        <v>3.3562083333333335</v>
      </c>
      <c r="O311" s="39">
        <f>Prices!$BP313*Wages!E311</f>
        <v>3.3562083333333335</v>
      </c>
      <c r="P311" s="39">
        <f>Prices!$BP313*F311</f>
        <v>6.4822766666666674</v>
      </c>
      <c r="Q311" s="39">
        <f>(31.1*0.925/Prices!$BN313)*G311</f>
        <v>4.7945833333333336</v>
      </c>
    </row>
    <row r="312" spans="1:17">
      <c r="A312" s="54">
        <f t="shared" si="16"/>
        <v>1562</v>
      </c>
      <c r="B312" s="36"/>
      <c r="C312" s="38">
        <v>10</v>
      </c>
      <c r="D312" s="38">
        <v>7</v>
      </c>
      <c r="E312" s="38">
        <v>7</v>
      </c>
      <c r="F312" s="38">
        <f t="shared" ref="F312:F322" si="20">8*1.75</f>
        <v>14</v>
      </c>
      <c r="G312" s="38">
        <f t="shared" si="19"/>
        <v>10</v>
      </c>
      <c r="H312" s="39">
        <f>F312/Wages!C312</f>
        <v>1.4</v>
      </c>
      <c r="I312" s="39">
        <f>G312/Wages!D312</f>
        <v>1.4285714285714286</v>
      </c>
      <c r="J312" s="36"/>
      <c r="K312" s="36"/>
      <c r="L312" s="38"/>
      <c r="M312" s="39">
        <f>Prices!BP314*Wages!$C312</f>
        <v>4.7945833333333336</v>
      </c>
      <c r="N312" s="39">
        <f>Prices!BP314*Wages!D312</f>
        <v>3.3562083333333335</v>
      </c>
      <c r="O312" s="39">
        <f>Prices!$BP314*Wages!E312</f>
        <v>3.3562083333333335</v>
      </c>
      <c r="P312" s="39">
        <f>Prices!$BP314*F312</f>
        <v>6.7124166666666669</v>
      </c>
      <c r="Q312" s="39">
        <f>(31.1*0.925/Prices!$BN314)*G312</f>
        <v>4.7945833333333336</v>
      </c>
    </row>
    <row r="313" spans="1:17">
      <c r="A313" s="54">
        <f t="shared" si="16"/>
        <v>1563</v>
      </c>
      <c r="B313" s="36"/>
      <c r="C313" s="38">
        <v>10</v>
      </c>
      <c r="D313" s="38">
        <v>7</v>
      </c>
      <c r="E313" s="38">
        <v>7</v>
      </c>
      <c r="F313" s="38">
        <f t="shared" si="20"/>
        <v>14</v>
      </c>
      <c r="G313" s="38">
        <f t="shared" si="19"/>
        <v>10</v>
      </c>
      <c r="H313" s="39">
        <f>F313/Wages!C313</f>
        <v>1.4</v>
      </c>
      <c r="I313" s="39">
        <f>G313/Wages!D313</f>
        <v>1.4285714285714286</v>
      </c>
      <c r="J313" s="36"/>
      <c r="K313" s="36"/>
      <c r="L313" s="38"/>
      <c r="M313" s="39">
        <f>Prices!BP315*Wages!$C313</f>
        <v>4.7945833333333336</v>
      </c>
      <c r="N313" s="39">
        <f>Prices!BP315*Wages!D313</f>
        <v>3.3562083333333335</v>
      </c>
      <c r="O313" s="39">
        <f>Prices!$BP315*Wages!E313</f>
        <v>3.3562083333333335</v>
      </c>
      <c r="P313" s="39">
        <f>Prices!$BP315*F313</f>
        <v>6.7124166666666669</v>
      </c>
      <c r="Q313" s="39">
        <f>(31.1*0.925/Prices!$BN315)*G313</f>
        <v>4.7945833333333336</v>
      </c>
    </row>
    <row r="314" spans="1:17">
      <c r="A314" s="54">
        <f t="shared" si="16"/>
        <v>1564</v>
      </c>
      <c r="B314" s="36"/>
      <c r="C314" s="38">
        <v>10</v>
      </c>
      <c r="D314" s="38">
        <v>7</v>
      </c>
      <c r="E314" s="38">
        <v>7</v>
      </c>
      <c r="F314" s="38">
        <f t="shared" si="20"/>
        <v>14</v>
      </c>
      <c r="G314" s="38">
        <f t="shared" si="19"/>
        <v>10</v>
      </c>
      <c r="H314" s="39">
        <f>F314/Wages!C314</f>
        <v>1.4</v>
      </c>
      <c r="I314" s="39">
        <f>G314/Wages!D314</f>
        <v>1.4285714285714286</v>
      </c>
      <c r="J314" s="36"/>
      <c r="K314" s="36"/>
      <c r="L314" s="38"/>
      <c r="M314" s="39">
        <f>Prices!BP316*Wages!$C314</f>
        <v>4.7945833333333336</v>
      </c>
      <c r="N314" s="39">
        <f>Prices!BP316*Wages!D314</f>
        <v>3.3562083333333335</v>
      </c>
      <c r="O314" s="39">
        <f>Prices!$BP316*Wages!E314</f>
        <v>3.3562083333333335</v>
      </c>
      <c r="P314" s="39">
        <f>Prices!$BP316*F314</f>
        <v>6.7124166666666669</v>
      </c>
      <c r="Q314" s="39">
        <f>(31.1*0.925/Prices!$BN316)*G314</f>
        <v>4.7945833333333336</v>
      </c>
    </row>
    <row r="315" spans="1:17">
      <c r="A315" s="54">
        <f t="shared" si="16"/>
        <v>1565</v>
      </c>
      <c r="B315" s="36"/>
      <c r="C315" s="38">
        <v>10</v>
      </c>
      <c r="D315" s="38">
        <v>7</v>
      </c>
      <c r="E315" s="38">
        <v>7</v>
      </c>
      <c r="F315" s="38">
        <f t="shared" si="20"/>
        <v>14</v>
      </c>
      <c r="G315" s="38">
        <f t="shared" si="19"/>
        <v>10</v>
      </c>
      <c r="H315" s="39">
        <f>F315/Wages!C315</f>
        <v>1.4</v>
      </c>
      <c r="I315" s="39">
        <f>G315/Wages!D315</f>
        <v>1.4285714285714286</v>
      </c>
      <c r="J315" s="38">
        <v>8</v>
      </c>
      <c r="K315" s="38">
        <v>6</v>
      </c>
      <c r="L315" s="38"/>
      <c r="M315" s="39">
        <f>Prices!BP317*Wages!$C315</f>
        <v>4.7945833333333336</v>
      </c>
      <c r="N315" s="39">
        <f>Prices!BP317*Wages!D315</f>
        <v>3.3562083333333335</v>
      </c>
      <c r="O315" s="39">
        <f>Prices!$BP317*Wages!E315</f>
        <v>3.3562083333333335</v>
      </c>
      <c r="P315" s="39">
        <f>Prices!$BP317*F315</f>
        <v>6.7124166666666669</v>
      </c>
      <c r="Q315" s="39">
        <f>(31.1*0.925/Prices!$BN317)*G315</f>
        <v>4.7945833333333336</v>
      </c>
    </row>
    <row r="316" spans="1:17">
      <c r="A316" s="54">
        <f t="shared" si="16"/>
        <v>1566</v>
      </c>
      <c r="B316" s="36"/>
      <c r="C316" s="38">
        <v>10</v>
      </c>
      <c r="D316" s="38">
        <v>7</v>
      </c>
      <c r="E316" s="38">
        <v>7</v>
      </c>
      <c r="F316" s="38">
        <f t="shared" si="20"/>
        <v>14</v>
      </c>
      <c r="G316" s="38">
        <f t="shared" si="19"/>
        <v>10</v>
      </c>
      <c r="H316" s="39">
        <f>F316/Wages!C316</f>
        <v>1.4</v>
      </c>
      <c r="I316" s="39">
        <f>G316/Wages!D316</f>
        <v>1.4285714285714286</v>
      </c>
      <c r="J316" s="38">
        <v>8</v>
      </c>
      <c r="K316" s="38">
        <v>6</v>
      </c>
      <c r="L316" s="38"/>
      <c r="M316" s="39">
        <f>Prices!BP318*Wages!$C316</f>
        <v>4.7945833333333336</v>
      </c>
      <c r="N316" s="39">
        <f>Prices!BP318*Wages!D316</f>
        <v>3.3562083333333335</v>
      </c>
      <c r="O316" s="39">
        <f>Prices!$BP318*Wages!E316</f>
        <v>3.3562083333333335</v>
      </c>
      <c r="P316" s="39">
        <f>Prices!$BP318*F316</f>
        <v>6.7124166666666669</v>
      </c>
      <c r="Q316" s="39">
        <f>(31.1*0.925/Prices!$BN318)*G316</f>
        <v>4.7945833333333336</v>
      </c>
    </row>
    <row r="317" spans="1:17">
      <c r="A317" s="54">
        <f t="shared" si="16"/>
        <v>1567</v>
      </c>
      <c r="B317" s="36"/>
      <c r="C317" s="38">
        <v>10</v>
      </c>
      <c r="D317" s="38">
        <v>7</v>
      </c>
      <c r="E317" s="38">
        <v>7</v>
      </c>
      <c r="F317" s="38">
        <f t="shared" si="20"/>
        <v>14</v>
      </c>
      <c r="G317" s="38">
        <f t="shared" si="19"/>
        <v>10</v>
      </c>
      <c r="H317" s="39">
        <f>F317/Wages!C317</f>
        <v>1.4</v>
      </c>
      <c r="I317" s="39">
        <f>G317/Wages!D317</f>
        <v>1.4285714285714286</v>
      </c>
      <c r="J317" s="38">
        <v>8</v>
      </c>
      <c r="K317" s="38">
        <v>6</v>
      </c>
      <c r="L317" s="38"/>
      <c r="M317" s="39">
        <f>Prices!BP319*Wages!$C317</f>
        <v>4.7945833333333336</v>
      </c>
      <c r="N317" s="39">
        <f>Prices!BP319*Wages!D317</f>
        <v>3.3562083333333335</v>
      </c>
      <c r="O317" s="39">
        <f>Prices!$BP319*Wages!E317</f>
        <v>3.3562083333333335</v>
      </c>
      <c r="P317" s="39">
        <f>Prices!$BP319*F317</f>
        <v>6.7124166666666669</v>
      </c>
      <c r="Q317" s="39">
        <f>(31.1*0.925/Prices!$BN319)*G317</f>
        <v>4.7945833333333336</v>
      </c>
    </row>
    <row r="318" spans="1:17">
      <c r="A318" s="54">
        <f t="shared" si="16"/>
        <v>1568</v>
      </c>
      <c r="B318" s="36"/>
      <c r="C318" s="38">
        <v>10</v>
      </c>
      <c r="D318" s="38">
        <v>7</v>
      </c>
      <c r="E318" s="38">
        <v>7</v>
      </c>
      <c r="F318" s="38">
        <f t="shared" si="20"/>
        <v>14</v>
      </c>
      <c r="G318" s="38">
        <f t="shared" si="19"/>
        <v>10</v>
      </c>
      <c r="H318" s="39">
        <f>F318/Wages!C318</f>
        <v>1.4</v>
      </c>
      <c r="I318" s="39">
        <f>G318/Wages!D318</f>
        <v>1.4285714285714286</v>
      </c>
      <c r="J318" s="38">
        <v>8</v>
      </c>
      <c r="K318" s="38">
        <v>6</v>
      </c>
      <c r="L318" s="38"/>
      <c r="M318" s="39">
        <f>Prices!BP320*Wages!$C318</f>
        <v>4.7945833333333336</v>
      </c>
      <c r="N318" s="39">
        <f>Prices!BP320*Wages!D318</f>
        <v>3.3562083333333335</v>
      </c>
      <c r="O318" s="39">
        <f>Prices!$BP320*Wages!E318</f>
        <v>3.3562083333333335</v>
      </c>
      <c r="P318" s="39">
        <f>Prices!$BP320*F318</f>
        <v>6.7124166666666669</v>
      </c>
      <c r="Q318" s="39">
        <f>(31.1*0.925/Prices!$BN320)*G318</f>
        <v>4.7945833333333336</v>
      </c>
    </row>
    <row r="319" spans="1:17">
      <c r="A319" s="54">
        <f t="shared" si="16"/>
        <v>1569</v>
      </c>
      <c r="B319" s="36"/>
      <c r="C319" s="38">
        <v>10</v>
      </c>
      <c r="D319" s="38">
        <v>7</v>
      </c>
      <c r="E319" s="38">
        <v>7</v>
      </c>
      <c r="F319" s="38">
        <f t="shared" si="20"/>
        <v>14</v>
      </c>
      <c r="G319" s="38">
        <f t="shared" si="19"/>
        <v>10</v>
      </c>
      <c r="H319" s="39">
        <f>F319/Wages!C319</f>
        <v>1.4</v>
      </c>
      <c r="I319" s="39">
        <f>G319/Wages!D319</f>
        <v>1.4285714285714286</v>
      </c>
      <c r="J319" s="38">
        <v>8</v>
      </c>
      <c r="K319" s="38">
        <v>6</v>
      </c>
      <c r="L319" s="38"/>
      <c r="M319" s="39">
        <f>Prices!BP321*Wages!$C319</f>
        <v>4.7945833333333336</v>
      </c>
      <c r="N319" s="39">
        <f>Prices!BP321*Wages!D319</f>
        <v>3.3562083333333335</v>
      </c>
      <c r="O319" s="39">
        <f>Prices!$BP321*Wages!E319</f>
        <v>3.3562083333333335</v>
      </c>
      <c r="P319" s="39">
        <f>Prices!$BP321*F319</f>
        <v>6.7124166666666669</v>
      </c>
      <c r="Q319" s="39">
        <f>(31.1*0.925/Prices!$BN321)*G319</f>
        <v>4.7945833333333336</v>
      </c>
    </row>
    <row r="320" spans="1:17">
      <c r="A320" s="54">
        <f t="shared" si="16"/>
        <v>1570</v>
      </c>
      <c r="B320" s="36"/>
      <c r="C320" s="38">
        <v>10</v>
      </c>
      <c r="D320" s="38">
        <v>7</v>
      </c>
      <c r="E320" s="38">
        <v>8.17</v>
      </c>
      <c r="F320" s="38">
        <f t="shared" si="20"/>
        <v>14</v>
      </c>
      <c r="G320" s="38">
        <f t="shared" si="19"/>
        <v>10</v>
      </c>
      <c r="H320" s="39">
        <f>F320/Wages!C320</f>
        <v>1.4</v>
      </c>
      <c r="I320" s="39">
        <f>G320/Wages!D320</f>
        <v>1.4285714285714286</v>
      </c>
      <c r="J320" s="36"/>
      <c r="K320" s="38">
        <v>6</v>
      </c>
      <c r="L320" s="38"/>
      <c r="M320" s="39">
        <f>Prices!BP322*Wages!$C320</f>
        <v>4.7945833333333336</v>
      </c>
      <c r="N320" s="39">
        <f>Prices!BP322*Wages!D320</f>
        <v>3.3562083333333335</v>
      </c>
      <c r="O320" s="39">
        <f>Prices!$BP322*Wages!E320</f>
        <v>3.9171745833333338</v>
      </c>
      <c r="P320" s="39">
        <f>Prices!$BP322*F320</f>
        <v>6.7124166666666669</v>
      </c>
      <c r="Q320" s="39">
        <f>(31.1*0.925/Prices!$BN322)*G320</f>
        <v>4.7945833333333336</v>
      </c>
    </row>
    <row r="321" spans="1:17">
      <c r="A321" s="54">
        <f t="shared" si="16"/>
        <v>1571</v>
      </c>
      <c r="B321" s="36"/>
      <c r="C321" s="38">
        <v>10</v>
      </c>
      <c r="D321" s="38">
        <v>7</v>
      </c>
      <c r="E321" s="38">
        <v>8.17</v>
      </c>
      <c r="F321" s="38">
        <f t="shared" si="20"/>
        <v>14</v>
      </c>
      <c r="G321" s="38">
        <f t="shared" si="19"/>
        <v>10</v>
      </c>
      <c r="H321" s="39">
        <f>F321/Wages!C321</f>
        <v>1.4</v>
      </c>
      <c r="I321" s="39">
        <f>G321/Wages!D321</f>
        <v>1.4285714285714286</v>
      </c>
      <c r="J321" s="38">
        <v>8.5</v>
      </c>
      <c r="K321" s="38">
        <v>6</v>
      </c>
      <c r="L321" s="38"/>
      <c r="M321" s="39">
        <f>Prices!BP323*Wages!$C321</f>
        <v>4.7945833333333336</v>
      </c>
      <c r="N321" s="39">
        <f>Prices!BP323*Wages!D321</f>
        <v>3.3562083333333335</v>
      </c>
      <c r="O321" s="39">
        <f>Prices!$BP323*Wages!E321</f>
        <v>3.9171745833333338</v>
      </c>
      <c r="P321" s="39">
        <f>Prices!$BP323*F321</f>
        <v>6.7124166666666669</v>
      </c>
      <c r="Q321" s="39">
        <f>(31.1*0.925/Prices!$BN323)*G321</f>
        <v>4.7945833333333336</v>
      </c>
    </row>
    <row r="322" spans="1:17">
      <c r="A322" s="54">
        <f t="shared" si="16"/>
        <v>1572</v>
      </c>
      <c r="B322" s="36"/>
      <c r="C322" s="38">
        <v>10</v>
      </c>
      <c r="D322" s="38">
        <v>7</v>
      </c>
      <c r="E322" s="38">
        <v>8.17</v>
      </c>
      <c r="F322" s="38">
        <f t="shared" si="20"/>
        <v>14</v>
      </c>
      <c r="G322" s="38">
        <f t="shared" si="19"/>
        <v>10</v>
      </c>
      <c r="H322" s="39">
        <f>F322/Wages!C322</f>
        <v>1.4</v>
      </c>
      <c r="I322" s="39">
        <f>G322/Wages!D322</f>
        <v>1.4285714285714286</v>
      </c>
      <c r="J322" s="36"/>
      <c r="K322" s="38">
        <v>6</v>
      </c>
      <c r="L322" s="38"/>
      <c r="M322" s="39">
        <f>Prices!BP324*Wages!$C322</f>
        <v>4.7945833333333336</v>
      </c>
      <c r="N322" s="39">
        <f>Prices!BP324*Wages!D322</f>
        <v>3.3562083333333335</v>
      </c>
      <c r="O322" s="39">
        <f>Prices!$BP324*Wages!E322</f>
        <v>3.9171745833333338</v>
      </c>
      <c r="P322" s="39">
        <f>Prices!$BP324*F322</f>
        <v>6.7124166666666669</v>
      </c>
      <c r="Q322" s="39">
        <f>(31.1*0.925/Prices!$BN324)*G322</f>
        <v>4.7945833333333336</v>
      </c>
    </row>
    <row r="323" spans="1:17">
      <c r="A323" s="54">
        <f t="shared" si="16"/>
        <v>1573</v>
      </c>
      <c r="B323" s="36"/>
      <c r="C323" s="38">
        <v>10</v>
      </c>
      <c r="D323" s="38">
        <v>7</v>
      </c>
      <c r="E323" s="38">
        <v>8.17</v>
      </c>
      <c r="F323" s="38">
        <f>8*1.81</f>
        <v>14.48</v>
      </c>
      <c r="G323" s="38">
        <f t="shared" si="19"/>
        <v>10</v>
      </c>
      <c r="H323" s="39">
        <f>F323/Wages!C323</f>
        <v>1.448</v>
      </c>
      <c r="I323" s="39">
        <f>G323/Wages!D323</f>
        <v>1.4285714285714286</v>
      </c>
      <c r="J323" s="38">
        <v>8</v>
      </c>
      <c r="K323" s="38">
        <v>6</v>
      </c>
      <c r="L323" s="38"/>
      <c r="M323" s="39">
        <f>Prices!BP325*Wages!$C323</f>
        <v>4.7945833333333336</v>
      </c>
      <c r="N323" s="39">
        <f>Prices!BP325*Wages!D323</f>
        <v>3.3562083333333335</v>
      </c>
      <c r="O323" s="39">
        <f>Prices!$BP325*Wages!E323</f>
        <v>3.9171745833333338</v>
      </c>
      <c r="P323" s="39">
        <f>Prices!$BP325*F323</f>
        <v>6.9425566666666674</v>
      </c>
      <c r="Q323" s="39">
        <f>(31.1*0.925/Prices!$BN325)*G323</f>
        <v>4.7945833333333336</v>
      </c>
    </row>
    <row r="324" spans="1:17">
      <c r="A324" s="54">
        <f t="shared" si="16"/>
        <v>1574</v>
      </c>
      <c r="B324" s="36"/>
      <c r="C324" s="38">
        <v>10.5</v>
      </c>
      <c r="D324" s="38">
        <v>7</v>
      </c>
      <c r="E324" s="38">
        <v>8.17</v>
      </c>
      <c r="F324" s="38">
        <f>8*1.88</f>
        <v>15.04</v>
      </c>
      <c r="G324" s="38">
        <f t="shared" si="19"/>
        <v>10</v>
      </c>
      <c r="H324" s="39">
        <f>F324/Wages!C324</f>
        <v>1.4323809523809523</v>
      </c>
      <c r="I324" s="39">
        <f>G324/Wages!D324</f>
        <v>1.4285714285714286</v>
      </c>
      <c r="J324" s="38">
        <v>8</v>
      </c>
      <c r="K324" s="38">
        <v>6</v>
      </c>
      <c r="L324" s="38"/>
      <c r="M324" s="39">
        <f>Prices!BP326*Wages!$C324</f>
        <v>5.0343125000000004</v>
      </c>
      <c r="N324" s="39">
        <f>Prices!BP326*Wages!D324</f>
        <v>3.3562083333333335</v>
      </c>
      <c r="O324" s="39">
        <f>Prices!$BP326*Wages!E324</f>
        <v>3.9171745833333338</v>
      </c>
      <c r="P324" s="39">
        <f>Prices!$BP326*F324</f>
        <v>7.211053333333334</v>
      </c>
      <c r="Q324" s="39">
        <f>(31.1*0.925/Prices!$BN326)*G324</f>
        <v>4.7945833333333336</v>
      </c>
    </row>
    <row r="325" spans="1:17">
      <c r="A325" s="54">
        <f t="shared" si="16"/>
        <v>1575</v>
      </c>
      <c r="B325" s="36"/>
      <c r="C325" s="38">
        <v>10.5</v>
      </c>
      <c r="D325" s="38">
        <v>7</v>
      </c>
      <c r="E325" s="38">
        <v>8.17</v>
      </c>
      <c r="F325" s="38">
        <f>8*1.94</f>
        <v>15.52</v>
      </c>
      <c r="G325" s="38">
        <f t="shared" si="19"/>
        <v>10</v>
      </c>
      <c r="H325" s="39">
        <f>F325/Wages!C325</f>
        <v>1.4780952380952381</v>
      </c>
      <c r="I325" s="39">
        <f>G325/Wages!D325</f>
        <v>1.4285714285714286</v>
      </c>
      <c r="J325" s="36"/>
      <c r="K325" s="38">
        <v>6</v>
      </c>
      <c r="L325" s="38"/>
      <c r="M325" s="39">
        <f>Prices!BP327*Wages!$C325</f>
        <v>5.0343125000000004</v>
      </c>
      <c r="N325" s="39">
        <f>Prices!BP327*Wages!D325</f>
        <v>3.3562083333333335</v>
      </c>
      <c r="O325" s="39">
        <f>Prices!$BP327*Wages!E325</f>
        <v>3.9171745833333338</v>
      </c>
      <c r="P325" s="39">
        <f>Prices!$BP327*F325</f>
        <v>7.4411933333333335</v>
      </c>
      <c r="Q325" s="39">
        <f>(31.1*0.925/Prices!$BN327)*G325</f>
        <v>4.7945833333333336</v>
      </c>
    </row>
    <row r="326" spans="1:17">
      <c r="A326" s="54">
        <f t="shared" si="16"/>
        <v>1576</v>
      </c>
      <c r="B326" s="36"/>
      <c r="C326" s="38">
        <v>10.5</v>
      </c>
      <c r="D326" s="38">
        <v>7</v>
      </c>
      <c r="E326" s="38">
        <v>8.17</v>
      </c>
      <c r="F326" s="38">
        <f t="shared" ref="F326:F344" si="21">8*2</f>
        <v>16</v>
      </c>
      <c r="G326" s="38">
        <f t="shared" si="19"/>
        <v>10</v>
      </c>
      <c r="H326" s="39">
        <f>F326/Wages!C326</f>
        <v>1.5238095238095237</v>
      </c>
      <c r="I326" s="39">
        <f>G326/Wages!D326</f>
        <v>1.4285714285714286</v>
      </c>
      <c r="J326" s="38">
        <v>8</v>
      </c>
      <c r="K326" s="38">
        <v>6</v>
      </c>
      <c r="L326" s="38"/>
      <c r="M326" s="39">
        <f>Prices!BP328*Wages!$C326</f>
        <v>5.0343125000000004</v>
      </c>
      <c r="N326" s="39">
        <f>Prices!BP328*Wages!D326</f>
        <v>3.3562083333333335</v>
      </c>
      <c r="O326" s="39">
        <f>Prices!$BP328*Wages!E326</f>
        <v>3.9171745833333338</v>
      </c>
      <c r="P326" s="39">
        <f>Prices!$BP328*F326</f>
        <v>7.671333333333334</v>
      </c>
      <c r="Q326" s="39">
        <f>(31.1*0.925/Prices!$BN328)*G326</f>
        <v>4.7945833333333336</v>
      </c>
    </row>
    <row r="327" spans="1:17">
      <c r="A327" s="54">
        <f t="shared" si="16"/>
        <v>1577</v>
      </c>
      <c r="B327" s="36"/>
      <c r="C327" s="38">
        <v>10.5</v>
      </c>
      <c r="D327" s="38">
        <v>7</v>
      </c>
      <c r="E327" s="38">
        <v>8.17</v>
      </c>
      <c r="F327" s="38">
        <f t="shared" si="21"/>
        <v>16</v>
      </c>
      <c r="G327" s="38">
        <f t="shared" si="19"/>
        <v>10</v>
      </c>
      <c r="H327" s="39">
        <f>F327/Wages!C327</f>
        <v>1.5238095238095237</v>
      </c>
      <c r="I327" s="39">
        <f>G327/Wages!D327</f>
        <v>1.4285714285714286</v>
      </c>
      <c r="J327" s="36"/>
      <c r="K327" s="38">
        <v>6</v>
      </c>
      <c r="L327" s="38"/>
      <c r="M327" s="39">
        <f>Prices!BP329*Wages!$C327</f>
        <v>5.0343125000000004</v>
      </c>
      <c r="N327" s="39">
        <f>Prices!BP329*Wages!D327</f>
        <v>3.3562083333333335</v>
      </c>
      <c r="O327" s="39">
        <f>Prices!$BP329*Wages!E327</f>
        <v>3.9171745833333338</v>
      </c>
      <c r="P327" s="39">
        <f>Prices!$BP329*F327</f>
        <v>7.671333333333334</v>
      </c>
      <c r="Q327" s="39">
        <f>(31.1*0.925/Prices!$BN329)*G327</f>
        <v>4.7945833333333336</v>
      </c>
    </row>
    <row r="328" spans="1:17">
      <c r="A328" s="54">
        <f t="shared" si="16"/>
        <v>1578</v>
      </c>
      <c r="B328" s="36"/>
      <c r="C328" s="38">
        <v>10.5</v>
      </c>
      <c r="D328" s="38">
        <v>7</v>
      </c>
      <c r="E328" s="38">
        <v>8.17</v>
      </c>
      <c r="F328" s="38">
        <f t="shared" si="21"/>
        <v>16</v>
      </c>
      <c r="G328" s="38">
        <f t="shared" si="19"/>
        <v>10</v>
      </c>
      <c r="H328" s="39">
        <f>F328/Wages!C328</f>
        <v>1.5238095238095237</v>
      </c>
      <c r="I328" s="39">
        <f>G328/Wages!D328</f>
        <v>1.4285714285714286</v>
      </c>
      <c r="J328" s="38">
        <v>9</v>
      </c>
      <c r="K328" s="38">
        <v>6</v>
      </c>
      <c r="L328" s="38"/>
      <c r="M328" s="39">
        <f>Prices!BP330*Wages!$C328</f>
        <v>5.0343125000000004</v>
      </c>
      <c r="N328" s="39">
        <f>Prices!BP330*Wages!D328</f>
        <v>3.3562083333333335</v>
      </c>
      <c r="O328" s="39">
        <f>Prices!$BP330*Wages!E328</f>
        <v>3.9171745833333338</v>
      </c>
      <c r="P328" s="39">
        <f>Prices!$BP330*F328</f>
        <v>7.671333333333334</v>
      </c>
      <c r="Q328" s="39">
        <f>(31.1*0.925/Prices!$BN330)*G328</f>
        <v>4.7945833333333336</v>
      </c>
    </row>
    <row r="329" spans="1:17">
      <c r="A329" s="54">
        <f t="shared" si="16"/>
        <v>1579</v>
      </c>
      <c r="B329" s="36"/>
      <c r="C329" s="38">
        <v>10.5</v>
      </c>
      <c r="D329" s="38">
        <v>7</v>
      </c>
      <c r="E329" s="38">
        <v>8.17</v>
      </c>
      <c r="F329" s="38">
        <f t="shared" si="21"/>
        <v>16</v>
      </c>
      <c r="G329" s="38">
        <f t="shared" si="19"/>
        <v>10</v>
      </c>
      <c r="H329" s="39">
        <f>F329/Wages!C329</f>
        <v>1.5238095238095237</v>
      </c>
      <c r="I329" s="39">
        <f>G329/Wages!D329</f>
        <v>1.4285714285714286</v>
      </c>
      <c r="J329" s="38">
        <v>9</v>
      </c>
      <c r="K329" s="38">
        <v>6</v>
      </c>
      <c r="L329" s="38"/>
      <c r="M329" s="39">
        <f>Prices!BP331*Wages!$C329</f>
        <v>5.0343125000000004</v>
      </c>
      <c r="N329" s="39">
        <f>Prices!BP331*Wages!D329</f>
        <v>3.3562083333333335</v>
      </c>
      <c r="O329" s="39">
        <f>Prices!$BP331*Wages!E329</f>
        <v>3.9171745833333338</v>
      </c>
      <c r="P329" s="39">
        <f>Prices!$BP331*F329</f>
        <v>7.671333333333334</v>
      </c>
      <c r="Q329" s="39">
        <f>(31.1*0.925/Prices!$BN331)*G329</f>
        <v>4.7945833333333336</v>
      </c>
    </row>
    <row r="330" spans="1:17">
      <c r="A330" s="54">
        <f t="shared" ref="A330:A393" si="22">A329+1</f>
        <v>1580</v>
      </c>
      <c r="B330" s="36"/>
      <c r="C330" s="38">
        <v>10.5</v>
      </c>
      <c r="D330" s="38">
        <v>7</v>
      </c>
      <c r="E330" s="38">
        <v>8</v>
      </c>
      <c r="F330" s="38">
        <f t="shared" si="21"/>
        <v>16</v>
      </c>
      <c r="G330" s="38">
        <f t="shared" si="19"/>
        <v>10</v>
      </c>
      <c r="H330" s="39">
        <f>F330/Wages!C330</f>
        <v>1.5238095238095237</v>
      </c>
      <c r="I330" s="39">
        <f>G330/Wages!D330</f>
        <v>1.4285714285714286</v>
      </c>
      <c r="J330" s="38">
        <v>9</v>
      </c>
      <c r="K330" s="38">
        <v>6</v>
      </c>
      <c r="L330" s="38"/>
      <c r="M330" s="39">
        <f>Prices!BP332*Wages!$C330</f>
        <v>5.0343125000000004</v>
      </c>
      <c r="N330" s="39">
        <f>Prices!BP332*Wages!D330</f>
        <v>3.3562083333333335</v>
      </c>
      <c r="O330" s="39">
        <f>Prices!$BP332*Wages!E330</f>
        <v>3.835666666666667</v>
      </c>
      <c r="P330" s="39">
        <f>Prices!$BP332*F330</f>
        <v>7.671333333333334</v>
      </c>
      <c r="Q330" s="39">
        <f>(31.1*0.925/Prices!$BN332)*G330</f>
        <v>4.7945833333333336</v>
      </c>
    </row>
    <row r="331" spans="1:17">
      <c r="A331" s="54">
        <f t="shared" si="22"/>
        <v>1581</v>
      </c>
      <c r="B331" s="36"/>
      <c r="C331" s="38">
        <v>12</v>
      </c>
      <c r="D331" s="38">
        <v>8</v>
      </c>
      <c r="E331" s="38">
        <v>8</v>
      </c>
      <c r="F331" s="38">
        <f t="shared" si="21"/>
        <v>16</v>
      </c>
      <c r="G331" s="38">
        <f t="shared" si="19"/>
        <v>10</v>
      </c>
      <c r="H331" s="39">
        <f>F331/Wages!C331</f>
        <v>1.3333333333333333</v>
      </c>
      <c r="I331" s="38">
        <f>G331/Wages!D331</f>
        <v>1.25</v>
      </c>
      <c r="J331" s="38">
        <v>9</v>
      </c>
      <c r="K331" s="38">
        <v>6</v>
      </c>
      <c r="L331" s="38"/>
      <c r="M331" s="39">
        <f>Prices!BP333*Wages!$C331</f>
        <v>5.7535000000000007</v>
      </c>
      <c r="N331" s="39">
        <f>Prices!BP333*Wages!D331</f>
        <v>3.835666666666667</v>
      </c>
      <c r="O331" s="39">
        <f>Prices!$BP333*Wages!E331</f>
        <v>3.835666666666667</v>
      </c>
      <c r="P331" s="39">
        <f>Prices!$BP333*F331</f>
        <v>7.671333333333334</v>
      </c>
      <c r="Q331" s="39">
        <f>(31.1*0.925/Prices!$BN333)*G331</f>
        <v>4.7945833333333336</v>
      </c>
    </row>
    <row r="332" spans="1:17">
      <c r="A332" s="54">
        <f t="shared" si="22"/>
        <v>1582</v>
      </c>
      <c r="B332" s="36"/>
      <c r="C332" s="38">
        <v>12</v>
      </c>
      <c r="D332" s="38">
        <v>8</v>
      </c>
      <c r="E332" s="38">
        <v>8</v>
      </c>
      <c r="F332" s="38">
        <f t="shared" si="21"/>
        <v>16</v>
      </c>
      <c r="G332" s="38">
        <f t="shared" si="19"/>
        <v>10</v>
      </c>
      <c r="H332" s="39">
        <f>F332/Wages!C332</f>
        <v>1.3333333333333333</v>
      </c>
      <c r="I332" s="38">
        <f>G332/Wages!D332</f>
        <v>1.25</v>
      </c>
      <c r="J332" s="38">
        <v>9</v>
      </c>
      <c r="K332" s="38">
        <v>6</v>
      </c>
      <c r="L332" s="38"/>
      <c r="M332" s="39">
        <f>Prices!BP334*Wages!$C332</f>
        <v>5.7535000000000007</v>
      </c>
      <c r="N332" s="39">
        <f>Prices!BP334*Wages!D332</f>
        <v>3.835666666666667</v>
      </c>
      <c r="O332" s="39">
        <f>Prices!$BP334*Wages!E332</f>
        <v>3.835666666666667</v>
      </c>
      <c r="P332" s="39">
        <f>Prices!$BP334*F332</f>
        <v>7.671333333333334</v>
      </c>
      <c r="Q332" s="39">
        <f>(31.1*0.925/Prices!$BN334)*G332</f>
        <v>4.7945833333333336</v>
      </c>
    </row>
    <row r="333" spans="1:17">
      <c r="A333" s="54">
        <f t="shared" si="22"/>
        <v>1583</v>
      </c>
      <c r="B333" s="36"/>
      <c r="C333" s="38">
        <v>12</v>
      </c>
      <c r="D333" s="38">
        <v>8</v>
      </c>
      <c r="E333" s="38">
        <v>8</v>
      </c>
      <c r="F333" s="38">
        <f t="shared" si="21"/>
        <v>16</v>
      </c>
      <c r="G333" s="38">
        <f t="shared" si="19"/>
        <v>10</v>
      </c>
      <c r="H333" s="39">
        <f>F333/Wages!C333</f>
        <v>1.3333333333333333</v>
      </c>
      <c r="I333" s="38">
        <f>G333/Wages!D333</f>
        <v>1.25</v>
      </c>
      <c r="J333" s="38">
        <v>8</v>
      </c>
      <c r="K333" s="38">
        <v>6</v>
      </c>
      <c r="L333" s="38"/>
      <c r="M333" s="39">
        <f>Prices!BP335*Wages!$C333</f>
        <v>5.7535000000000007</v>
      </c>
      <c r="N333" s="39">
        <f>Prices!BP335*Wages!D333</f>
        <v>3.835666666666667</v>
      </c>
      <c r="O333" s="39">
        <f>Prices!$BP335*Wages!E333</f>
        <v>3.835666666666667</v>
      </c>
      <c r="P333" s="39">
        <f>Prices!$BP335*F333</f>
        <v>7.671333333333334</v>
      </c>
      <c r="Q333" s="39">
        <f>(31.1*0.925/Prices!$BN335)*G333</f>
        <v>4.7945833333333336</v>
      </c>
    </row>
    <row r="334" spans="1:17">
      <c r="A334" s="54">
        <f t="shared" si="22"/>
        <v>1584</v>
      </c>
      <c r="B334" s="36"/>
      <c r="C334" s="38">
        <v>12</v>
      </c>
      <c r="D334" s="38">
        <v>8</v>
      </c>
      <c r="E334" s="38">
        <v>8</v>
      </c>
      <c r="F334" s="38">
        <f t="shared" si="21"/>
        <v>16</v>
      </c>
      <c r="G334" s="38">
        <f t="shared" si="19"/>
        <v>10</v>
      </c>
      <c r="H334" s="39">
        <f>F334/Wages!C334</f>
        <v>1.3333333333333333</v>
      </c>
      <c r="I334" s="38">
        <f>G334/Wages!D334</f>
        <v>1.25</v>
      </c>
      <c r="J334" s="38">
        <v>9</v>
      </c>
      <c r="K334" s="38">
        <v>6</v>
      </c>
      <c r="L334" s="38"/>
      <c r="M334" s="39">
        <f>Prices!BP336*Wages!$C334</f>
        <v>5.7535000000000007</v>
      </c>
      <c r="N334" s="39">
        <f>Prices!BP336*Wages!D334</f>
        <v>3.835666666666667</v>
      </c>
      <c r="O334" s="39">
        <f>Prices!$BP336*Wages!E334</f>
        <v>3.835666666666667</v>
      </c>
      <c r="P334" s="39">
        <f>Prices!$BP336*F334</f>
        <v>7.671333333333334</v>
      </c>
      <c r="Q334" s="39">
        <f>(31.1*0.925/Prices!$BN336)*G334</f>
        <v>4.7945833333333336</v>
      </c>
    </row>
    <row r="335" spans="1:17">
      <c r="A335" s="54">
        <f t="shared" si="22"/>
        <v>1585</v>
      </c>
      <c r="B335" s="36"/>
      <c r="C335" s="38">
        <v>12</v>
      </c>
      <c r="D335" s="38">
        <v>8</v>
      </c>
      <c r="E335" s="38">
        <v>8</v>
      </c>
      <c r="F335" s="38">
        <f t="shared" si="21"/>
        <v>16</v>
      </c>
      <c r="G335" s="38">
        <f t="shared" si="19"/>
        <v>10</v>
      </c>
      <c r="H335" s="39">
        <f>F335/Wages!C335</f>
        <v>1.3333333333333333</v>
      </c>
      <c r="I335" s="38">
        <f>G335/Wages!D335</f>
        <v>1.25</v>
      </c>
      <c r="J335" s="36"/>
      <c r="K335" s="38">
        <v>6</v>
      </c>
      <c r="L335" s="38"/>
      <c r="M335" s="39">
        <f>Prices!BP337*Wages!$C335</f>
        <v>5.7535000000000007</v>
      </c>
      <c r="N335" s="39">
        <f>Prices!BP337*Wages!D335</f>
        <v>3.835666666666667</v>
      </c>
      <c r="O335" s="39">
        <f>Prices!$BP337*Wages!E335</f>
        <v>3.835666666666667</v>
      </c>
      <c r="P335" s="39">
        <f>Prices!$BP337*F335</f>
        <v>7.671333333333334</v>
      </c>
      <c r="Q335" s="39">
        <f>(31.1*0.925/Prices!$BN337)*G335</f>
        <v>4.7945833333333336</v>
      </c>
    </row>
    <row r="336" spans="1:17">
      <c r="A336" s="54">
        <f t="shared" si="22"/>
        <v>1586</v>
      </c>
      <c r="B336" s="36"/>
      <c r="C336" s="38">
        <v>12</v>
      </c>
      <c r="D336" s="38">
        <v>8</v>
      </c>
      <c r="E336" s="38">
        <v>8</v>
      </c>
      <c r="F336" s="38">
        <f t="shared" si="21"/>
        <v>16</v>
      </c>
      <c r="G336" s="38">
        <f t="shared" si="19"/>
        <v>10</v>
      </c>
      <c r="H336" s="39">
        <f>F336/Wages!C336</f>
        <v>1.3333333333333333</v>
      </c>
      <c r="I336" s="38">
        <f>G336/Wages!D336</f>
        <v>1.25</v>
      </c>
      <c r="J336" s="38">
        <v>9</v>
      </c>
      <c r="K336" s="38">
        <v>6</v>
      </c>
      <c r="L336" s="38"/>
      <c r="M336" s="39">
        <f>Prices!BP338*Wages!$C336</f>
        <v>5.7535000000000007</v>
      </c>
      <c r="N336" s="39">
        <f>Prices!BP338*Wages!D336</f>
        <v>3.835666666666667</v>
      </c>
      <c r="O336" s="39">
        <f>Prices!$BP338*Wages!E336</f>
        <v>3.835666666666667</v>
      </c>
      <c r="P336" s="39">
        <f>Prices!$BP338*F336</f>
        <v>7.671333333333334</v>
      </c>
      <c r="Q336" s="39">
        <f>(31.1*0.925/Prices!$BN338)*G336</f>
        <v>4.7945833333333336</v>
      </c>
    </row>
    <row r="337" spans="1:17">
      <c r="A337" s="54">
        <f t="shared" si="22"/>
        <v>1587</v>
      </c>
      <c r="B337" s="36"/>
      <c r="C337" s="38">
        <v>12</v>
      </c>
      <c r="D337" s="38">
        <v>8</v>
      </c>
      <c r="E337" s="38">
        <v>8</v>
      </c>
      <c r="F337" s="38">
        <f t="shared" si="21"/>
        <v>16</v>
      </c>
      <c r="G337" s="38">
        <f t="shared" si="19"/>
        <v>10</v>
      </c>
      <c r="H337" s="39">
        <f>F337/Wages!C337</f>
        <v>1.3333333333333333</v>
      </c>
      <c r="I337" s="38">
        <f>G337/Wages!D337</f>
        <v>1.25</v>
      </c>
      <c r="J337" s="38">
        <v>10</v>
      </c>
      <c r="K337" s="38">
        <v>6</v>
      </c>
      <c r="L337" s="38"/>
      <c r="M337" s="39">
        <f>Prices!BP339*Wages!$C337</f>
        <v>5.7535000000000007</v>
      </c>
      <c r="N337" s="39">
        <f>Prices!BP339*Wages!D337</f>
        <v>3.835666666666667</v>
      </c>
      <c r="O337" s="39">
        <f>Prices!$BP339*Wages!E337</f>
        <v>3.835666666666667</v>
      </c>
      <c r="P337" s="39">
        <f>Prices!$BP339*F337</f>
        <v>7.671333333333334</v>
      </c>
      <c r="Q337" s="39">
        <f>(31.1*0.925/Prices!$BN339)*G337</f>
        <v>4.7945833333333336</v>
      </c>
    </row>
    <row r="338" spans="1:17">
      <c r="A338" s="54">
        <f t="shared" si="22"/>
        <v>1588</v>
      </c>
      <c r="B338" s="36"/>
      <c r="C338" s="38">
        <v>12</v>
      </c>
      <c r="D338" s="38">
        <v>8</v>
      </c>
      <c r="E338" s="38">
        <v>8</v>
      </c>
      <c r="F338" s="38">
        <f t="shared" si="21"/>
        <v>16</v>
      </c>
      <c r="G338" s="38">
        <f t="shared" si="19"/>
        <v>10</v>
      </c>
      <c r="H338" s="39">
        <f>F338/Wages!C338</f>
        <v>1.3333333333333333</v>
      </c>
      <c r="I338" s="38">
        <f>G338/Wages!D338</f>
        <v>1.25</v>
      </c>
      <c r="J338" s="38">
        <v>9.5</v>
      </c>
      <c r="K338" s="38">
        <v>6</v>
      </c>
      <c r="L338" s="38"/>
      <c r="M338" s="39">
        <f>Prices!BP340*Wages!$C338</f>
        <v>5.7535000000000007</v>
      </c>
      <c r="N338" s="39">
        <f>Prices!BP340*Wages!D338</f>
        <v>3.835666666666667</v>
      </c>
      <c r="O338" s="39">
        <f>Prices!$BP340*Wages!E338</f>
        <v>3.835666666666667</v>
      </c>
      <c r="P338" s="39">
        <f>Prices!$BP340*F338</f>
        <v>7.671333333333334</v>
      </c>
      <c r="Q338" s="39">
        <f>(31.1*0.925/Prices!$BN340)*G338</f>
        <v>4.7945833333333336</v>
      </c>
    </row>
    <row r="339" spans="1:17">
      <c r="A339" s="54">
        <f t="shared" si="22"/>
        <v>1589</v>
      </c>
      <c r="B339" s="36"/>
      <c r="C339" s="38">
        <v>12</v>
      </c>
      <c r="D339" s="38">
        <v>8</v>
      </c>
      <c r="E339" s="38">
        <v>8</v>
      </c>
      <c r="F339" s="38">
        <f t="shared" si="21"/>
        <v>16</v>
      </c>
      <c r="G339" s="38">
        <f t="shared" si="19"/>
        <v>10</v>
      </c>
      <c r="H339" s="39">
        <f>F339/Wages!C339</f>
        <v>1.3333333333333333</v>
      </c>
      <c r="I339" s="38">
        <f>G339/Wages!D339</f>
        <v>1.25</v>
      </c>
      <c r="J339" s="38">
        <v>11</v>
      </c>
      <c r="K339" s="36"/>
      <c r="L339" s="38"/>
      <c r="M339" s="39">
        <f>Prices!BP341*Wages!$C339</f>
        <v>5.7535000000000007</v>
      </c>
      <c r="N339" s="39">
        <f>Prices!BP341*Wages!D339</f>
        <v>3.835666666666667</v>
      </c>
      <c r="O339" s="39">
        <f>Prices!$BP341*Wages!E339</f>
        <v>3.835666666666667</v>
      </c>
      <c r="P339" s="39">
        <f>Prices!$BP341*F339</f>
        <v>7.671333333333334</v>
      </c>
      <c r="Q339" s="39">
        <f>(31.1*0.925/Prices!$BN341)*G339</f>
        <v>4.7945833333333336</v>
      </c>
    </row>
    <row r="340" spans="1:17">
      <c r="A340" s="54">
        <f t="shared" si="22"/>
        <v>1590</v>
      </c>
      <c r="B340" s="36"/>
      <c r="C340" s="38">
        <v>12</v>
      </c>
      <c r="D340" s="38">
        <v>8</v>
      </c>
      <c r="E340" s="38">
        <v>8.66</v>
      </c>
      <c r="F340" s="38">
        <f t="shared" si="21"/>
        <v>16</v>
      </c>
      <c r="G340" s="38">
        <f t="shared" si="19"/>
        <v>10</v>
      </c>
      <c r="H340" s="39">
        <f>F340/Wages!C340</f>
        <v>1.3333333333333333</v>
      </c>
      <c r="I340" s="38">
        <f>G340/Wages!D340</f>
        <v>1.25</v>
      </c>
      <c r="J340" s="38">
        <v>9.5</v>
      </c>
      <c r="K340" s="38">
        <v>7</v>
      </c>
      <c r="L340" s="38"/>
      <c r="M340" s="39">
        <f>Prices!BP342*Wages!$C340</f>
        <v>5.7535000000000007</v>
      </c>
      <c r="N340" s="39">
        <f>Prices!BP342*Wages!D340</f>
        <v>3.835666666666667</v>
      </c>
      <c r="O340" s="39">
        <f>Prices!$BP342*Wages!E340</f>
        <v>4.1521091666666674</v>
      </c>
      <c r="P340" s="39">
        <f>Prices!$BP342*F340</f>
        <v>7.671333333333334</v>
      </c>
      <c r="Q340" s="39">
        <f>(31.1*0.925/Prices!$BN342)*G340</f>
        <v>4.7945833333333336</v>
      </c>
    </row>
    <row r="341" spans="1:17">
      <c r="A341" s="54">
        <f t="shared" si="22"/>
        <v>1591</v>
      </c>
      <c r="B341" s="36"/>
      <c r="C341" s="38">
        <v>12</v>
      </c>
      <c r="D341" s="38">
        <v>8</v>
      </c>
      <c r="E341" s="38">
        <v>8.66</v>
      </c>
      <c r="F341" s="38">
        <f t="shared" si="21"/>
        <v>16</v>
      </c>
      <c r="G341" s="38">
        <f t="shared" si="19"/>
        <v>10</v>
      </c>
      <c r="H341" s="39">
        <f>F341/Wages!C341</f>
        <v>1.3333333333333333</v>
      </c>
      <c r="I341" s="38">
        <f>G341/Wages!D341</f>
        <v>1.25</v>
      </c>
      <c r="J341" s="36"/>
      <c r="K341" s="36"/>
      <c r="L341" s="38"/>
      <c r="M341" s="39">
        <f>Prices!BP343*Wages!$C341</f>
        <v>5.7535000000000007</v>
      </c>
      <c r="N341" s="39">
        <f>Prices!BP343*Wages!D341</f>
        <v>3.835666666666667</v>
      </c>
      <c r="O341" s="39">
        <f>Prices!$BP343*Wages!E341</f>
        <v>4.1521091666666674</v>
      </c>
      <c r="P341" s="39">
        <f>Prices!$BP343*F341</f>
        <v>7.671333333333334</v>
      </c>
      <c r="Q341" s="39">
        <f>(31.1*0.925/Prices!$BN343)*G341</f>
        <v>4.7945833333333336</v>
      </c>
    </row>
    <row r="342" spans="1:17">
      <c r="A342" s="54">
        <f t="shared" si="22"/>
        <v>1592</v>
      </c>
      <c r="B342" s="36"/>
      <c r="C342" s="38">
        <v>12</v>
      </c>
      <c r="D342" s="38">
        <v>8</v>
      </c>
      <c r="E342" s="38">
        <v>8.66</v>
      </c>
      <c r="F342" s="38">
        <f t="shared" si="21"/>
        <v>16</v>
      </c>
      <c r="G342" s="38">
        <f t="shared" si="19"/>
        <v>10</v>
      </c>
      <c r="H342" s="39">
        <f>F342/Wages!C342</f>
        <v>1.3333333333333333</v>
      </c>
      <c r="I342" s="38">
        <f>G342/Wages!D342</f>
        <v>1.25</v>
      </c>
      <c r="J342" s="38">
        <v>11</v>
      </c>
      <c r="K342" s="36"/>
      <c r="L342" s="38"/>
      <c r="M342" s="39">
        <f>Prices!BP344*Wages!$C342</f>
        <v>5.7535000000000007</v>
      </c>
      <c r="N342" s="39">
        <f>Prices!BP344*Wages!D342</f>
        <v>3.835666666666667</v>
      </c>
      <c r="O342" s="39">
        <f>Prices!$BP344*Wages!E342</f>
        <v>4.1521091666666674</v>
      </c>
      <c r="P342" s="39">
        <f>Prices!$BP344*F342</f>
        <v>7.671333333333334</v>
      </c>
      <c r="Q342" s="39">
        <f>(31.1*0.925/Prices!$BN344)*G342</f>
        <v>4.7945833333333336</v>
      </c>
    </row>
    <row r="343" spans="1:17">
      <c r="A343" s="54">
        <f t="shared" si="22"/>
        <v>1593</v>
      </c>
      <c r="B343" s="36"/>
      <c r="C343" s="38">
        <v>12</v>
      </c>
      <c r="D343" s="38">
        <v>8</v>
      </c>
      <c r="E343" s="38">
        <v>8.66</v>
      </c>
      <c r="F343" s="38">
        <f t="shared" si="21"/>
        <v>16</v>
      </c>
      <c r="G343" s="38">
        <f>5*2.1</f>
        <v>10.5</v>
      </c>
      <c r="H343" s="39">
        <f>F343/Wages!C343</f>
        <v>1.3333333333333333</v>
      </c>
      <c r="I343" s="38">
        <f>G343/Wages!D343</f>
        <v>1.3125</v>
      </c>
      <c r="J343" s="36"/>
      <c r="K343" s="38">
        <v>7</v>
      </c>
      <c r="L343" s="38"/>
      <c r="M343" s="39">
        <f>Prices!BP345*Wages!$C343</f>
        <v>5.7535000000000007</v>
      </c>
      <c r="N343" s="39">
        <f>Prices!BP345*Wages!D343</f>
        <v>3.835666666666667</v>
      </c>
      <c r="O343" s="39">
        <f>Prices!$BP345*Wages!E343</f>
        <v>4.1521091666666674</v>
      </c>
      <c r="P343" s="39">
        <f>Prices!$BP345*F343</f>
        <v>7.671333333333334</v>
      </c>
      <c r="Q343" s="39">
        <f>(31.1*0.925/Prices!$BN345)*G343</f>
        <v>5.0343125000000004</v>
      </c>
    </row>
    <row r="344" spans="1:17">
      <c r="A344" s="54">
        <f t="shared" si="22"/>
        <v>1594</v>
      </c>
      <c r="B344" s="36"/>
      <c r="C344" s="38">
        <v>12</v>
      </c>
      <c r="D344" s="38">
        <v>8</v>
      </c>
      <c r="E344" s="38">
        <v>8.66</v>
      </c>
      <c r="F344" s="38">
        <f t="shared" si="21"/>
        <v>16</v>
      </c>
      <c r="G344" s="38">
        <f>5*2.2</f>
        <v>11</v>
      </c>
      <c r="H344" s="39">
        <f>F344/Wages!C344</f>
        <v>1.3333333333333333</v>
      </c>
      <c r="I344" s="38">
        <f>G344/Wages!D344</f>
        <v>1.375</v>
      </c>
      <c r="J344" s="38">
        <v>10</v>
      </c>
      <c r="K344" s="38">
        <v>6.5</v>
      </c>
      <c r="L344" s="38"/>
      <c r="M344" s="39">
        <f>Prices!BP346*Wages!$C344</f>
        <v>5.7535000000000007</v>
      </c>
      <c r="N344" s="39">
        <f>Prices!BP346*Wages!D344</f>
        <v>3.835666666666667</v>
      </c>
      <c r="O344" s="39">
        <f>Prices!$BP346*Wages!E344</f>
        <v>4.1521091666666674</v>
      </c>
      <c r="P344" s="39">
        <f>Prices!$BP346*F344</f>
        <v>7.671333333333334</v>
      </c>
      <c r="Q344" s="39">
        <f>(31.1*0.925/Prices!$BN346)*G344</f>
        <v>5.2740416666666672</v>
      </c>
    </row>
    <row r="345" spans="1:17">
      <c r="A345" s="54">
        <f t="shared" si="22"/>
        <v>1595</v>
      </c>
      <c r="B345" s="36"/>
      <c r="C345" s="38">
        <v>12</v>
      </c>
      <c r="D345" s="38">
        <v>8</v>
      </c>
      <c r="E345" s="38">
        <v>8.66</v>
      </c>
      <c r="F345" s="38">
        <f>8*2.06</f>
        <v>16.48</v>
      </c>
      <c r="G345" s="38">
        <f>5*2.3</f>
        <v>11.5</v>
      </c>
      <c r="H345" s="39">
        <f>F345/Wages!C345</f>
        <v>1.3733333333333333</v>
      </c>
      <c r="I345" s="38">
        <f>G345/Wages!D345</f>
        <v>1.4375</v>
      </c>
      <c r="J345" s="38">
        <v>9.5</v>
      </c>
      <c r="K345" s="38">
        <v>6</v>
      </c>
      <c r="L345" s="38"/>
      <c r="M345" s="39">
        <f>Prices!BP347*Wages!$C345</f>
        <v>5.7535000000000007</v>
      </c>
      <c r="N345" s="39">
        <f>Prices!BP347*Wages!D345</f>
        <v>3.835666666666667</v>
      </c>
      <c r="O345" s="39">
        <f>Prices!$BP347*Wages!E345</f>
        <v>4.1521091666666674</v>
      </c>
      <c r="P345" s="39">
        <f>Prices!$BP347*F345</f>
        <v>7.9014733333333345</v>
      </c>
      <c r="Q345" s="39">
        <f>(31.1*0.925/Prices!$BN347)*G345</f>
        <v>5.513770833333334</v>
      </c>
    </row>
    <row r="346" spans="1:17">
      <c r="A346" s="54">
        <f t="shared" si="22"/>
        <v>1596</v>
      </c>
      <c r="B346" s="36"/>
      <c r="C346" s="38">
        <v>12</v>
      </c>
      <c r="D346" s="38">
        <v>8</v>
      </c>
      <c r="E346" s="38">
        <v>8.66</v>
      </c>
      <c r="F346" s="38">
        <f>8*2.13</f>
        <v>17.04</v>
      </c>
      <c r="G346" s="38">
        <f t="shared" ref="G346:G356" si="23">5*2.4</f>
        <v>12</v>
      </c>
      <c r="H346" s="39">
        <f>F346/Wages!C346</f>
        <v>1.42</v>
      </c>
      <c r="I346" s="38">
        <f>G346/Wages!D346</f>
        <v>1.5</v>
      </c>
      <c r="J346" s="38">
        <v>10</v>
      </c>
      <c r="K346" s="38">
        <v>6.5</v>
      </c>
      <c r="L346" s="38"/>
      <c r="M346" s="39">
        <f>Prices!BP348*Wages!$C346</f>
        <v>5.7535000000000007</v>
      </c>
      <c r="N346" s="39">
        <f>Prices!BP348*Wages!D346</f>
        <v>3.835666666666667</v>
      </c>
      <c r="O346" s="39">
        <f>Prices!$BP348*Wages!E346</f>
        <v>4.1521091666666674</v>
      </c>
      <c r="P346" s="39">
        <f>Prices!$BP348*F346</f>
        <v>8.1699700000000011</v>
      </c>
      <c r="Q346" s="39">
        <f>(31.1*0.925/Prices!$BN348)*G346</f>
        <v>5.7535000000000007</v>
      </c>
    </row>
    <row r="347" spans="1:17">
      <c r="A347" s="54">
        <f t="shared" si="22"/>
        <v>1597</v>
      </c>
      <c r="B347" s="36"/>
      <c r="C347" s="38">
        <v>12</v>
      </c>
      <c r="D347" s="38">
        <v>8</v>
      </c>
      <c r="E347" s="38">
        <v>8.66</v>
      </c>
      <c r="F347" s="38">
        <f>8*2.19</f>
        <v>17.52</v>
      </c>
      <c r="G347" s="38">
        <f t="shared" si="23"/>
        <v>12</v>
      </c>
      <c r="H347" s="39">
        <f>F347/Wages!C347</f>
        <v>1.46</v>
      </c>
      <c r="I347" s="38">
        <f>G347/Wages!D347</f>
        <v>1.5</v>
      </c>
      <c r="J347" s="38">
        <v>11</v>
      </c>
      <c r="K347" s="38">
        <v>6.5</v>
      </c>
      <c r="L347" s="38"/>
      <c r="M347" s="39">
        <f>Prices!BP349*Wages!$C347</f>
        <v>5.7535000000000007</v>
      </c>
      <c r="N347" s="39">
        <f>Prices!BP349*Wages!D347</f>
        <v>3.835666666666667</v>
      </c>
      <c r="O347" s="39">
        <f>Prices!$BP349*Wages!E347</f>
        <v>4.1521091666666674</v>
      </c>
      <c r="P347" s="39">
        <f>Prices!$BP349*F347</f>
        <v>8.4001099999999997</v>
      </c>
      <c r="Q347" s="39">
        <f>(31.1*0.925/Prices!$BN349)*G347</f>
        <v>5.7535000000000007</v>
      </c>
    </row>
    <row r="348" spans="1:17">
      <c r="A348" s="54">
        <f t="shared" si="22"/>
        <v>1598</v>
      </c>
      <c r="B348" s="36"/>
      <c r="C348" s="38">
        <v>12</v>
      </c>
      <c r="D348" s="38">
        <v>8</v>
      </c>
      <c r="E348" s="38">
        <v>8.66</v>
      </c>
      <c r="F348" s="38">
        <f t="shared" ref="F348:F356" si="24">8*2.25</f>
        <v>18</v>
      </c>
      <c r="G348" s="38">
        <f t="shared" si="23"/>
        <v>12</v>
      </c>
      <c r="H348" s="39">
        <f>F348/Wages!C348</f>
        <v>1.5</v>
      </c>
      <c r="I348" s="38">
        <f>G348/Wages!D348</f>
        <v>1.5</v>
      </c>
      <c r="J348" s="38">
        <v>11</v>
      </c>
      <c r="K348" s="38">
        <v>6.5</v>
      </c>
      <c r="L348" s="38"/>
      <c r="M348" s="39">
        <f>Prices!BP350*Wages!$C348</f>
        <v>5.7535000000000007</v>
      </c>
      <c r="N348" s="39">
        <f>Prices!BP350*Wages!D348</f>
        <v>3.835666666666667</v>
      </c>
      <c r="O348" s="39">
        <f>Prices!$BP350*Wages!E348</f>
        <v>4.1521091666666674</v>
      </c>
      <c r="P348" s="39">
        <f>Prices!$BP350*F348</f>
        <v>8.6302500000000002</v>
      </c>
      <c r="Q348" s="39">
        <f>(31.1*0.925/Prices!$BN350)*G348</f>
        <v>5.7535000000000007</v>
      </c>
    </row>
    <row r="349" spans="1:17">
      <c r="A349" s="54">
        <f t="shared" si="22"/>
        <v>1599</v>
      </c>
      <c r="B349" s="36"/>
      <c r="C349" s="38">
        <v>12</v>
      </c>
      <c r="D349" s="38">
        <v>8</v>
      </c>
      <c r="E349" s="38">
        <v>8.66</v>
      </c>
      <c r="F349" s="38">
        <f t="shared" si="24"/>
        <v>18</v>
      </c>
      <c r="G349" s="38">
        <f t="shared" si="23"/>
        <v>12</v>
      </c>
      <c r="H349" s="39">
        <f>F349/Wages!C349</f>
        <v>1.5</v>
      </c>
      <c r="I349" s="38">
        <f>G349/Wages!D349</f>
        <v>1.5</v>
      </c>
      <c r="J349" s="38">
        <v>12</v>
      </c>
      <c r="K349" s="38">
        <v>7</v>
      </c>
      <c r="L349" s="38"/>
      <c r="M349" s="39">
        <f>Prices!BP351*Wages!$C349</f>
        <v>5.7535000000000007</v>
      </c>
      <c r="N349" s="39">
        <f>Prices!BP351*Wages!D349</f>
        <v>3.835666666666667</v>
      </c>
      <c r="O349" s="39">
        <f>Prices!$BP351*Wages!E349</f>
        <v>4.1521091666666674</v>
      </c>
      <c r="P349" s="39">
        <f>Prices!$BP351*F349</f>
        <v>8.6302500000000002</v>
      </c>
      <c r="Q349" s="39">
        <f>(31.1*0.925/Prices!$BN351)*G349</f>
        <v>5.7535000000000007</v>
      </c>
    </row>
    <row r="350" spans="1:17">
      <c r="A350" s="54">
        <f t="shared" si="22"/>
        <v>1600</v>
      </c>
      <c r="B350" s="36"/>
      <c r="C350" s="38">
        <v>12</v>
      </c>
      <c r="D350" s="38">
        <v>8</v>
      </c>
      <c r="E350" s="38">
        <v>8.66</v>
      </c>
      <c r="F350" s="38">
        <f t="shared" si="24"/>
        <v>18</v>
      </c>
      <c r="G350" s="38">
        <f t="shared" si="23"/>
        <v>12</v>
      </c>
      <c r="H350" s="39">
        <f>F350/Wages!C350</f>
        <v>1.5</v>
      </c>
      <c r="I350" s="38">
        <f>G350/Wages!D350</f>
        <v>1.5</v>
      </c>
      <c r="J350" s="38">
        <v>12</v>
      </c>
      <c r="K350" s="38">
        <v>7</v>
      </c>
      <c r="L350" s="38"/>
      <c r="M350" s="39">
        <f>Prices!BP352*Wages!$C350</f>
        <v>5.7535000000000007</v>
      </c>
      <c r="N350" s="39">
        <f>Prices!BP352*Wages!D350</f>
        <v>3.835666666666667</v>
      </c>
      <c r="O350" s="39">
        <f>Prices!$BP352*Wages!E350</f>
        <v>4.1521091666666674</v>
      </c>
      <c r="P350" s="39">
        <f>Prices!$BP352*F350</f>
        <v>8.6302500000000002</v>
      </c>
      <c r="Q350" s="39">
        <f>(31.1*0.925/Prices!$BN352)*G350</f>
        <v>5.7535000000000007</v>
      </c>
    </row>
    <row r="351" spans="1:17">
      <c r="A351" s="54">
        <f t="shared" si="22"/>
        <v>1601</v>
      </c>
      <c r="B351" s="36"/>
      <c r="C351" s="38">
        <v>12</v>
      </c>
      <c r="D351" s="38">
        <v>8</v>
      </c>
      <c r="E351" s="38">
        <v>8.66</v>
      </c>
      <c r="F351" s="38">
        <f t="shared" si="24"/>
        <v>18</v>
      </c>
      <c r="G351" s="38">
        <f t="shared" si="23"/>
        <v>12</v>
      </c>
      <c r="H351" s="39">
        <f>F351/Wages!C351</f>
        <v>1.5</v>
      </c>
      <c r="I351" s="38">
        <f>G351/Wages!D351</f>
        <v>1.5</v>
      </c>
      <c r="J351" s="38">
        <v>12</v>
      </c>
      <c r="K351" s="38">
        <v>7</v>
      </c>
      <c r="L351" s="38"/>
      <c r="M351" s="39">
        <f>Prices!BP353*Wages!$C351</f>
        <v>5.567903225806452</v>
      </c>
      <c r="N351" s="39">
        <f>Prices!BP353*Wages!D351</f>
        <v>3.7119354838709682</v>
      </c>
      <c r="O351" s="39">
        <f>Prices!$BP353*Wages!E351</f>
        <v>4.0181701612903229</v>
      </c>
      <c r="P351" s="39">
        <f>Prices!$BP353*F351</f>
        <v>8.3518548387096789</v>
      </c>
      <c r="Q351" s="39">
        <f>(31.1*0.925/Prices!$BN353)*G351</f>
        <v>5.567903225806452</v>
      </c>
    </row>
    <row r="352" spans="1:17">
      <c r="A352" s="54">
        <f t="shared" si="22"/>
        <v>1602</v>
      </c>
      <c r="B352" s="36"/>
      <c r="C352" s="38">
        <v>12</v>
      </c>
      <c r="D352" s="38">
        <v>8</v>
      </c>
      <c r="E352" s="38">
        <v>8.66</v>
      </c>
      <c r="F352" s="38">
        <f t="shared" si="24"/>
        <v>18</v>
      </c>
      <c r="G352" s="38">
        <f t="shared" si="23"/>
        <v>12</v>
      </c>
      <c r="H352" s="39">
        <f>F352/Wages!C352</f>
        <v>1.5</v>
      </c>
      <c r="I352" s="38">
        <f>G352/Wages!D352</f>
        <v>1.5</v>
      </c>
      <c r="J352" s="38">
        <v>13</v>
      </c>
      <c r="K352" s="38">
        <v>8</v>
      </c>
      <c r="L352" s="38"/>
      <c r="M352" s="39">
        <f>Prices!BP354*Wages!$C352</f>
        <v>5.567903225806452</v>
      </c>
      <c r="N352" s="39">
        <f>Prices!BP354*Wages!D352</f>
        <v>3.7119354838709682</v>
      </c>
      <c r="O352" s="39">
        <f>Prices!$BP354*Wages!E352</f>
        <v>4.0181701612903229</v>
      </c>
      <c r="P352" s="39">
        <f>Prices!$BP354*F352</f>
        <v>8.3518548387096789</v>
      </c>
      <c r="Q352" s="39">
        <f>(31.1*0.925/Prices!$BN354)*G352</f>
        <v>5.567903225806452</v>
      </c>
    </row>
    <row r="353" spans="1:17">
      <c r="A353" s="54">
        <f t="shared" si="22"/>
        <v>1603</v>
      </c>
      <c r="B353" s="36"/>
      <c r="C353" s="38">
        <v>12</v>
      </c>
      <c r="D353" s="38">
        <v>8</v>
      </c>
      <c r="E353" s="38">
        <v>8.66</v>
      </c>
      <c r="F353" s="38">
        <f t="shared" si="24"/>
        <v>18</v>
      </c>
      <c r="G353" s="38">
        <f t="shared" si="23"/>
        <v>12</v>
      </c>
      <c r="H353" s="39">
        <f>F353/Wages!C353</f>
        <v>1.5</v>
      </c>
      <c r="I353" s="38">
        <f>G353/Wages!D353</f>
        <v>1.5</v>
      </c>
      <c r="J353" s="38">
        <v>12.5</v>
      </c>
      <c r="K353" s="38">
        <v>7.5</v>
      </c>
      <c r="L353" s="38"/>
      <c r="M353" s="39">
        <f>Prices!BP355*Wages!$C353</f>
        <v>5.567903225806452</v>
      </c>
      <c r="N353" s="39">
        <f>Prices!BP355*Wages!D353</f>
        <v>3.7119354838709682</v>
      </c>
      <c r="O353" s="39">
        <f>Prices!$BP355*Wages!E353</f>
        <v>4.0181701612903229</v>
      </c>
      <c r="P353" s="39">
        <f>Prices!$BP355*F353</f>
        <v>8.3518548387096789</v>
      </c>
      <c r="Q353" s="39">
        <f>(31.1*0.925/Prices!$BN355)*G353</f>
        <v>5.567903225806452</v>
      </c>
    </row>
    <row r="354" spans="1:17">
      <c r="A354" s="54">
        <f t="shared" si="22"/>
        <v>1604</v>
      </c>
      <c r="B354" s="36"/>
      <c r="C354" s="38">
        <v>12</v>
      </c>
      <c r="D354" s="38">
        <v>8</v>
      </c>
      <c r="E354" s="38">
        <v>8.66</v>
      </c>
      <c r="F354" s="38">
        <f t="shared" si="24"/>
        <v>18</v>
      </c>
      <c r="G354" s="38">
        <f t="shared" si="23"/>
        <v>12</v>
      </c>
      <c r="H354" s="39">
        <f>F354/Wages!C354</f>
        <v>1.5</v>
      </c>
      <c r="I354" s="38">
        <f>G354/Wages!D354</f>
        <v>1.5</v>
      </c>
      <c r="J354" s="38">
        <v>13</v>
      </c>
      <c r="K354" s="38">
        <v>8</v>
      </c>
      <c r="L354" s="38"/>
      <c r="M354" s="39">
        <f>Prices!BP356*Wages!$C354</f>
        <v>5.567903225806452</v>
      </c>
      <c r="N354" s="39">
        <f>Prices!BP356*Wages!D354</f>
        <v>3.7119354838709682</v>
      </c>
      <c r="O354" s="39">
        <f>Prices!$BP356*Wages!E354</f>
        <v>4.0181701612903229</v>
      </c>
      <c r="P354" s="39">
        <f>Prices!$BP356*F354</f>
        <v>8.3518548387096789</v>
      </c>
      <c r="Q354" s="39">
        <f>(31.1*0.925/Prices!$BN356)*G354</f>
        <v>5.567903225806452</v>
      </c>
    </row>
    <row r="355" spans="1:17">
      <c r="A355" s="54">
        <f t="shared" si="22"/>
        <v>1605</v>
      </c>
      <c r="B355" s="36"/>
      <c r="C355" s="38">
        <v>12</v>
      </c>
      <c r="D355" s="38">
        <v>8</v>
      </c>
      <c r="E355" s="38">
        <v>8.66</v>
      </c>
      <c r="F355" s="38">
        <f t="shared" si="24"/>
        <v>18</v>
      </c>
      <c r="G355" s="38">
        <f t="shared" si="23"/>
        <v>12</v>
      </c>
      <c r="H355" s="39">
        <f>F355/Wages!C355</f>
        <v>1.5</v>
      </c>
      <c r="I355" s="38">
        <f>G355/Wages!D355</f>
        <v>1.5</v>
      </c>
      <c r="J355" s="38">
        <v>13</v>
      </c>
      <c r="K355" s="38">
        <v>7</v>
      </c>
      <c r="L355" s="38"/>
      <c r="M355" s="39">
        <f>Prices!BP357*Wages!$C355</f>
        <v>5.567903225806452</v>
      </c>
      <c r="N355" s="39">
        <f>Prices!BP357*Wages!D355</f>
        <v>3.7119354838709682</v>
      </c>
      <c r="O355" s="39">
        <f>Prices!$BP357*Wages!E355</f>
        <v>4.0181701612903229</v>
      </c>
      <c r="P355" s="39">
        <f>Prices!$BP357*F355</f>
        <v>8.3518548387096789</v>
      </c>
      <c r="Q355" s="39">
        <f>(31.1*0.925/Prices!$BN357)*G355</f>
        <v>5.567903225806452</v>
      </c>
    </row>
    <row r="356" spans="1:17">
      <c r="A356" s="54">
        <f t="shared" si="22"/>
        <v>1606</v>
      </c>
      <c r="B356" s="36"/>
      <c r="C356" s="38">
        <v>12</v>
      </c>
      <c r="D356" s="38">
        <v>8</v>
      </c>
      <c r="E356" s="38">
        <v>8.66</v>
      </c>
      <c r="F356" s="38">
        <f t="shared" si="24"/>
        <v>18</v>
      </c>
      <c r="G356" s="38">
        <f t="shared" si="23"/>
        <v>12</v>
      </c>
      <c r="H356" s="39">
        <f>F356/Wages!C356</f>
        <v>1.5</v>
      </c>
      <c r="I356" s="38">
        <f>G356/Wages!D356</f>
        <v>1.5</v>
      </c>
      <c r="J356" s="38">
        <v>13.5</v>
      </c>
      <c r="K356" s="38">
        <v>7.5</v>
      </c>
      <c r="L356" s="38"/>
      <c r="M356" s="39">
        <f>Prices!BP358*Wages!$C356</f>
        <v>5.567903225806452</v>
      </c>
      <c r="N356" s="39">
        <f>Prices!BP358*Wages!D356</f>
        <v>3.7119354838709682</v>
      </c>
      <c r="O356" s="39">
        <f>Prices!$BP358*Wages!E356</f>
        <v>4.0181701612903229</v>
      </c>
      <c r="P356" s="39">
        <f>Prices!$BP358*F356</f>
        <v>8.3518548387096789</v>
      </c>
      <c r="Q356" s="39">
        <f>(31.1*0.925/Prices!$BN358)*G356</f>
        <v>5.567903225806452</v>
      </c>
    </row>
    <row r="357" spans="1:17">
      <c r="A357" s="54">
        <f t="shared" si="22"/>
        <v>1607</v>
      </c>
      <c r="B357" s="36"/>
      <c r="C357" s="38">
        <v>12</v>
      </c>
      <c r="D357" s="38">
        <v>8</v>
      </c>
      <c r="E357" s="38">
        <v>8.66</v>
      </c>
      <c r="F357" s="38">
        <f>8*2.38</f>
        <v>19.04</v>
      </c>
      <c r="G357" s="38">
        <f>5*2.6</f>
        <v>13</v>
      </c>
      <c r="H357" s="39">
        <f>F357/Wages!C357</f>
        <v>1.5866666666666667</v>
      </c>
      <c r="I357" s="38">
        <f>G357/Wages!D357</f>
        <v>1.625</v>
      </c>
      <c r="J357" s="38">
        <v>12</v>
      </c>
      <c r="K357" s="36"/>
      <c r="L357" s="38"/>
      <c r="M357" s="39">
        <f>Prices!BP359*Wages!$C357</f>
        <v>5.567903225806452</v>
      </c>
      <c r="N357" s="39">
        <f>Prices!BP359*Wages!D357</f>
        <v>3.7119354838709682</v>
      </c>
      <c r="O357" s="39">
        <f>Prices!$BP359*Wages!E357</f>
        <v>4.0181701612903229</v>
      </c>
      <c r="P357" s="39">
        <f>Prices!$BP359*F357</f>
        <v>8.8344064516129031</v>
      </c>
      <c r="Q357" s="39">
        <f>(31.1*0.925/Prices!$BN359)*G357</f>
        <v>6.0318951612903229</v>
      </c>
    </row>
    <row r="358" spans="1:17">
      <c r="A358" s="54">
        <f t="shared" si="22"/>
        <v>1608</v>
      </c>
      <c r="B358" s="36"/>
      <c r="C358" s="38">
        <v>12</v>
      </c>
      <c r="D358" s="38">
        <v>8</v>
      </c>
      <c r="E358" s="38">
        <v>8.66</v>
      </c>
      <c r="F358" s="38">
        <f>8*2.5</f>
        <v>20</v>
      </c>
      <c r="G358" s="38">
        <f t="shared" ref="G358:G369" si="25">5*2.8</f>
        <v>14</v>
      </c>
      <c r="H358" s="39">
        <f>F358/Wages!C358</f>
        <v>1.6666666666666667</v>
      </c>
      <c r="I358" s="38">
        <f>G358/Wages!D358</f>
        <v>1.75</v>
      </c>
      <c r="J358" s="38">
        <v>13</v>
      </c>
      <c r="K358" s="38">
        <v>8</v>
      </c>
      <c r="L358" s="38"/>
      <c r="M358" s="39">
        <f>Prices!BP360*Wages!$C358</f>
        <v>5.567903225806452</v>
      </c>
      <c r="N358" s="39">
        <f>Prices!BP360*Wages!D358</f>
        <v>3.7119354838709682</v>
      </c>
      <c r="O358" s="39">
        <f>Prices!$BP360*Wages!E358</f>
        <v>4.0181701612903229</v>
      </c>
      <c r="P358" s="39">
        <f>Prices!$BP360*F358</f>
        <v>9.2798387096774206</v>
      </c>
      <c r="Q358" s="39">
        <f>(31.1*0.925/Prices!$BN360)*G358</f>
        <v>6.4958870967741946</v>
      </c>
    </row>
    <row r="359" spans="1:17">
      <c r="A359" s="54">
        <f t="shared" si="22"/>
        <v>1609</v>
      </c>
      <c r="B359" s="36"/>
      <c r="C359" s="38">
        <v>12</v>
      </c>
      <c r="D359" s="38">
        <v>8</v>
      </c>
      <c r="E359" s="38">
        <v>8.66</v>
      </c>
      <c r="F359" s="38">
        <f>8*2.5</f>
        <v>20</v>
      </c>
      <c r="G359" s="38">
        <f t="shared" si="25"/>
        <v>14</v>
      </c>
      <c r="H359" s="39">
        <f>F359/Wages!C359</f>
        <v>1.6666666666666667</v>
      </c>
      <c r="I359" s="38">
        <f>G359/Wages!D359</f>
        <v>1.75</v>
      </c>
      <c r="J359" s="36"/>
      <c r="K359" s="36"/>
      <c r="L359" s="38"/>
      <c r="M359" s="39">
        <f>Prices!BP361*Wages!$C359</f>
        <v>5.567903225806452</v>
      </c>
      <c r="N359" s="39">
        <f>Prices!BP361*Wages!D359</f>
        <v>3.7119354838709682</v>
      </c>
      <c r="O359" s="39">
        <f>Prices!$BP361*Wages!E359</f>
        <v>4.0181701612903229</v>
      </c>
      <c r="P359" s="39">
        <f>Prices!$BP361*F359</f>
        <v>9.2798387096774206</v>
      </c>
      <c r="Q359" s="39">
        <f>(31.1*0.925/Prices!$BN361)*G359</f>
        <v>6.4958870967741946</v>
      </c>
    </row>
    <row r="360" spans="1:17">
      <c r="A360" s="54">
        <f t="shared" si="22"/>
        <v>1610</v>
      </c>
      <c r="B360" s="36"/>
      <c r="C360" s="38">
        <v>12</v>
      </c>
      <c r="D360" s="38">
        <v>8</v>
      </c>
      <c r="E360" s="38">
        <v>9</v>
      </c>
      <c r="F360" s="38">
        <v>20</v>
      </c>
      <c r="G360" s="38">
        <f t="shared" si="25"/>
        <v>14</v>
      </c>
      <c r="H360" s="39">
        <f>F360/Wages!C360</f>
        <v>1.6666666666666667</v>
      </c>
      <c r="I360" s="38">
        <f>G360/Wages!D360</f>
        <v>1.75</v>
      </c>
      <c r="J360" s="38">
        <v>12.5</v>
      </c>
      <c r="K360" s="38">
        <v>8</v>
      </c>
      <c r="L360" s="38"/>
      <c r="M360" s="39">
        <f>Prices!BP362*Wages!$C360</f>
        <v>5.567903225806452</v>
      </c>
      <c r="N360" s="39">
        <f>Prices!BP362*Wages!D360</f>
        <v>3.7119354838709682</v>
      </c>
      <c r="O360" s="39">
        <f>Prices!$BP362*Wages!E360</f>
        <v>4.1759274193548395</v>
      </c>
      <c r="P360" s="39">
        <f>Prices!$BP362*F360</f>
        <v>9.2798387096774206</v>
      </c>
      <c r="Q360" s="39">
        <f>(31.1*0.925/Prices!$BN362)*G360</f>
        <v>6.4958870967741946</v>
      </c>
    </row>
    <row r="361" spans="1:17">
      <c r="A361" s="54">
        <f t="shared" si="22"/>
        <v>1611</v>
      </c>
      <c r="B361" s="36"/>
      <c r="C361" s="38">
        <v>12</v>
      </c>
      <c r="D361" s="38">
        <v>8</v>
      </c>
      <c r="E361" s="38">
        <v>9</v>
      </c>
      <c r="F361" s="38">
        <v>20</v>
      </c>
      <c r="G361" s="38">
        <f t="shared" si="25"/>
        <v>14</v>
      </c>
      <c r="H361" s="39">
        <f>F361/Wages!C361</f>
        <v>1.6666666666666667</v>
      </c>
      <c r="I361" s="38">
        <f>G361/Wages!D361</f>
        <v>1.75</v>
      </c>
      <c r="J361" s="38">
        <v>12</v>
      </c>
      <c r="K361" s="38">
        <v>8</v>
      </c>
      <c r="L361" s="38"/>
      <c r="M361" s="39">
        <f>Prices!BP363*Wages!$C361</f>
        <v>5.567903225806452</v>
      </c>
      <c r="N361" s="39">
        <f>Prices!BP363*Wages!D361</f>
        <v>3.7119354838709682</v>
      </c>
      <c r="O361" s="39">
        <f>Prices!$BP363*Wages!E361</f>
        <v>4.1759274193548395</v>
      </c>
      <c r="P361" s="39">
        <f>Prices!$BP363*F361</f>
        <v>9.2798387096774206</v>
      </c>
      <c r="Q361" s="39">
        <f>(31.1*0.925/Prices!$BN363)*G361</f>
        <v>6.4958870967741946</v>
      </c>
    </row>
    <row r="362" spans="1:17">
      <c r="A362" s="54">
        <f t="shared" si="22"/>
        <v>1612</v>
      </c>
      <c r="B362" s="36"/>
      <c r="C362" s="38">
        <v>12</v>
      </c>
      <c r="D362" s="38">
        <v>8</v>
      </c>
      <c r="E362" s="38">
        <v>9</v>
      </c>
      <c r="F362" s="38">
        <v>20</v>
      </c>
      <c r="G362" s="38">
        <f t="shared" si="25"/>
        <v>14</v>
      </c>
      <c r="H362" s="39">
        <f>F362/Wages!C362</f>
        <v>1.6666666666666667</v>
      </c>
      <c r="I362" s="38">
        <f>G362/Wages!D362</f>
        <v>1.75</v>
      </c>
      <c r="J362" s="38">
        <v>14</v>
      </c>
      <c r="K362" s="38">
        <v>8.5</v>
      </c>
      <c r="L362" s="38"/>
      <c r="M362" s="39">
        <f>Prices!BP364*Wages!$C362</f>
        <v>5.567903225806452</v>
      </c>
      <c r="N362" s="39">
        <f>Prices!BP364*Wages!D362</f>
        <v>3.7119354838709682</v>
      </c>
      <c r="O362" s="39">
        <f>Prices!$BP364*Wages!E362</f>
        <v>4.1759274193548395</v>
      </c>
      <c r="P362" s="39">
        <f>Prices!$BP364*F362</f>
        <v>9.2798387096774206</v>
      </c>
      <c r="Q362" s="39">
        <f>(31.1*0.925/Prices!$BN364)*G362</f>
        <v>6.4958870967741946</v>
      </c>
    </row>
    <row r="363" spans="1:17">
      <c r="A363" s="54">
        <f t="shared" si="22"/>
        <v>1613</v>
      </c>
      <c r="B363" s="36"/>
      <c r="C363" s="38">
        <v>12</v>
      </c>
      <c r="D363" s="38">
        <v>8</v>
      </c>
      <c r="E363" s="38">
        <v>9</v>
      </c>
      <c r="F363" s="38">
        <v>20</v>
      </c>
      <c r="G363" s="38">
        <f t="shared" si="25"/>
        <v>14</v>
      </c>
      <c r="H363" s="39">
        <f>F363/Wages!C363</f>
        <v>1.6666666666666667</v>
      </c>
      <c r="I363" s="38">
        <f>G363/Wages!D363</f>
        <v>1.75</v>
      </c>
      <c r="J363" s="38">
        <v>13</v>
      </c>
      <c r="K363" s="38">
        <v>8</v>
      </c>
      <c r="L363" s="38"/>
      <c r="M363" s="39">
        <f>Prices!BP365*Wages!$C363</f>
        <v>5.567903225806452</v>
      </c>
      <c r="N363" s="39">
        <f>Prices!BP365*Wages!D363</f>
        <v>3.7119354838709682</v>
      </c>
      <c r="O363" s="39">
        <f>Prices!$BP365*Wages!E363</f>
        <v>4.1759274193548395</v>
      </c>
      <c r="P363" s="39">
        <f>Prices!$BP365*F363</f>
        <v>9.2798387096774206</v>
      </c>
      <c r="Q363" s="39">
        <f>(31.1*0.925/Prices!$BN365)*G363</f>
        <v>6.4958870967741946</v>
      </c>
    </row>
    <row r="364" spans="1:17">
      <c r="A364" s="54">
        <f t="shared" si="22"/>
        <v>1614</v>
      </c>
      <c r="B364" s="36"/>
      <c r="C364" s="38">
        <v>12</v>
      </c>
      <c r="D364" s="38">
        <v>8</v>
      </c>
      <c r="E364" s="38">
        <v>9</v>
      </c>
      <c r="F364" s="38">
        <v>20</v>
      </c>
      <c r="G364" s="38">
        <f t="shared" si="25"/>
        <v>14</v>
      </c>
      <c r="H364" s="39">
        <f>F364/Wages!C364</f>
        <v>1.6666666666666667</v>
      </c>
      <c r="I364" s="38">
        <f>G364/Wages!D364</f>
        <v>1.75</v>
      </c>
      <c r="J364" s="36"/>
      <c r="K364" s="36"/>
      <c r="L364" s="38"/>
      <c r="M364" s="39">
        <f>Prices!BP366*Wages!$C364</f>
        <v>5.567903225806452</v>
      </c>
      <c r="N364" s="39">
        <f>Prices!BP366*Wages!D364</f>
        <v>3.7119354838709682</v>
      </c>
      <c r="O364" s="39">
        <f>Prices!$BP366*Wages!E364</f>
        <v>4.1759274193548395</v>
      </c>
      <c r="P364" s="39">
        <f>Prices!$BP366*F364</f>
        <v>9.2798387096774206</v>
      </c>
      <c r="Q364" s="39">
        <f>(31.1*0.925/Prices!$BN366)*G364</f>
        <v>6.4958870967741946</v>
      </c>
    </row>
    <row r="365" spans="1:17">
      <c r="A365" s="54">
        <f t="shared" si="22"/>
        <v>1615</v>
      </c>
      <c r="B365" s="36"/>
      <c r="C365" s="38">
        <v>12</v>
      </c>
      <c r="D365" s="38">
        <v>8</v>
      </c>
      <c r="E365" s="38">
        <v>9</v>
      </c>
      <c r="F365" s="38">
        <v>20</v>
      </c>
      <c r="G365" s="38">
        <f t="shared" si="25"/>
        <v>14</v>
      </c>
      <c r="H365" s="39">
        <f>F365/Wages!C365</f>
        <v>1.6666666666666667</v>
      </c>
      <c r="I365" s="38">
        <f>G365/Wages!D365</f>
        <v>1.75</v>
      </c>
      <c r="J365" s="38">
        <v>12</v>
      </c>
      <c r="K365" s="36"/>
      <c r="L365" s="38"/>
      <c r="M365" s="39">
        <f>Prices!BP367*Wages!$C365</f>
        <v>5.567903225806452</v>
      </c>
      <c r="N365" s="39">
        <f>Prices!BP367*Wages!D365</f>
        <v>3.7119354838709682</v>
      </c>
      <c r="O365" s="39">
        <f>Prices!$BP367*Wages!E365</f>
        <v>4.1759274193548395</v>
      </c>
      <c r="P365" s="39">
        <f>Prices!$BP367*F365</f>
        <v>9.2798387096774206</v>
      </c>
      <c r="Q365" s="39">
        <f>(31.1*0.925/Prices!$BN367)*G365</f>
        <v>6.4958870967741946</v>
      </c>
    </row>
    <row r="366" spans="1:17">
      <c r="A366" s="54">
        <f t="shared" si="22"/>
        <v>1616</v>
      </c>
      <c r="B366" s="36"/>
      <c r="C366" s="38">
        <v>12</v>
      </c>
      <c r="D366" s="38">
        <v>8</v>
      </c>
      <c r="E366" s="38">
        <v>9</v>
      </c>
      <c r="F366" s="38">
        <v>20</v>
      </c>
      <c r="G366" s="38">
        <f t="shared" si="25"/>
        <v>14</v>
      </c>
      <c r="H366" s="39">
        <f>F366/Wages!C366</f>
        <v>1.6666666666666667</v>
      </c>
      <c r="I366" s="38">
        <f>G366/Wages!D366</f>
        <v>1.75</v>
      </c>
      <c r="J366" s="38">
        <v>13</v>
      </c>
      <c r="K366" s="38">
        <v>8.5</v>
      </c>
      <c r="L366" s="38"/>
      <c r="M366" s="39">
        <f>Prices!BP368*Wages!$C366</f>
        <v>5.567903225806452</v>
      </c>
      <c r="N366" s="39">
        <f>Prices!BP368*Wages!D366</f>
        <v>3.7119354838709682</v>
      </c>
      <c r="O366" s="39">
        <f>Prices!$BP368*Wages!E366</f>
        <v>4.1759274193548395</v>
      </c>
      <c r="P366" s="39">
        <f>Prices!$BP368*F366</f>
        <v>9.2798387096774206</v>
      </c>
      <c r="Q366" s="39">
        <f>(31.1*0.925/Prices!$BN368)*G366</f>
        <v>6.4958870967741946</v>
      </c>
    </row>
    <row r="367" spans="1:17">
      <c r="A367" s="54">
        <f t="shared" si="22"/>
        <v>1617</v>
      </c>
      <c r="B367" s="36"/>
      <c r="C367" s="38">
        <v>12</v>
      </c>
      <c r="D367" s="38">
        <v>8</v>
      </c>
      <c r="E367" s="38">
        <v>9</v>
      </c>
      <c r="F367" s="38">
        <v>20</v>
      </c>
      <c r="G367" s="38">
        <f t="shared" si="25"/>
        <v>14</v>
      </c>
      <c r="H367" s="39">
        <f>F367/Wages!C367</f>
        <v>1.6666666666666667</v>
      </c>
      <c r="I367" s="38">
        <f>G367/Wages!D367</f>
        <v>1.75</v>
      </c>
      <c r="J367" s="38">
        <v>14</v>
      </c>
      <c r="K367" s="38">
        <v>9</v>
      </c>
      <c r="L367" s="38"/>
      <c r="M367" s="39">
        <f>Prices!BP369*Wages!$C367</f>
        <v>5.567903225806452</v>
      </c>
      <c r="N367" s="39">
        <f>Prices!BP369*Wages!D367</f>
        <v>3.7119354838709682</v>
      </c>
      <c r="O367" s="39">
        <f>Prices!$BP369*Wages!E367</f>
        <v>4.1759274193548395</v>
      </c>
      <c r="P367" s="39">
        <f>Prices!$BP369*F367</f>
        <v>9.2798387096774206</v>
      </c>
      <c r="Q367" s="39">
        <f>(31.1*0.925/Prices!$BN369)*G367</f>
        <v>6.4958870967741946</v>
      </c>
    </row>
    <row r="368" spans="1:17">
      <c r="A368" s="54">
        <f t="shared" si="22"/>
        <v>1618</v>
      </c>
      <c r="B368" s="36"/>
      <c r="C368" s="38">
        <v>12</v>
      </c>
      <c r="D368" s="38">
        <v>8</v>
      </c>
      <c r="E368" s="38">
        <v>9</v>
      </c>
      <c r="F368" s="38">
        <v>20</v>
      </c>
      <c r="G368" s="38">
        <f t="shared" si="25"/>
        <v>14</v>
      </c>
      <c r="H368" s="39">
        <f>F368/Wages!C368</f>
        <v>1.6666666666666667</v>
      </c>
      <c r="I368" s="38">
        <f>G368/Wages!D368</f>
        <v>1.75</v>
      </c>
      <c r="J368" s="38">
        <v>14</v>
      </c>
      <c r="K368" s="38">
        <v>9</v>
      </c>
      <c r="L368" s="38"/>
      <c r="M368" s="39">
        <f>Prices!BP370*Wages!$C368</f>
        <v>5.567903225806452</v>
      </c>
      <c r="N368" s="39">
        <f>Prices!BP370*Wages!D368</f>
        <v>3.7119354838709682</v>
      </c>
      <c r="O368" s="39">
        <f>Prices!$BP370*Wages!E368</f>
        <v>4.1759274193548395</v>
      </c>
      <c r="P368" s="39">
        <f>Prices!$BP370*F368</f>
        <v>9.2798387096774206</v>
      </c>
      <c r="Q368" s="39">
        <f>(31.1*0.925/Prices!$BN370)*G368</f>
        <v>6.4958870967741946</v>
      </c>
    </row>
    <row r="369" spans="1:17">
      <c r="A369" s="54">
        <f t="shared" si="22"/>
        <v>1619</v>
      </c>
      <c r="B369" s="36"/>
      <c r="C369" s="38">
        <v>12</v>
      </c>
      <c r="D369" s="38">
        <v>8</v>
      </c>
      <c r="E369" s="38">
        <v>9</v>
      </c>
      <c r="F369" s="38">
        <v>20</v>
      </c>
      <c r="G369" s="38">
        <f t="shared" si="25"/>
        <v>14</v>
      </c>
      <c r="H369" s="39">
        <f>F369/Wages!C369</f>
        <v>1.6666666666666667</v>
      </c>
      <c r="I369" s="38">
        <f>G369/Wages!D369</f>
        <v>1.75</v>
      </c>
      <c r="J369" s="38">
        <v>13</v>
      </c>
      <c r="K369" s="38">
        <v>8</v>
      </c>
      <c r="L369" s="38"/>
      <c r="M369" s="39">
        <f>Prices!BP371*Wages!$C369</f>
        <v>5.567903225806452</v>
      </c>
      <c r="N369" s="39">
        <f>Prices!BP371*Wages!D369</f>
        <v>3.7119354838709682</v>
      </c>
      <c r="O369" s="39">
        <f>Prices!$BP371*Wages!E369</f>
        <v>4.1759274193548395</v>
      </c>
      <c r="P369" s="39">
        <f>Prices!$BP371*F369</f>
        <v>9.2798387096774206</v>
      </c>
      <c r="Q369" s="39">
        <f>(31.1*0.925/Prices!$BN371)*G369</f>
        <v>6.4958870967741946</v>
      </c>
    </row>
    <row r="370" spans="1:17">
      <c r="A370" s="54">
        <f t="shared" si="22"/>
        <v>1620</v>
      </c>
      <c r="B370" s="36"/>
      <c r="C370" s="38">
        <v>12</v>
      </c>
      <c r="D370" s="38">
        <v>8</v>
      </c>
      <c r="E370" s="38">
        <v>10</v>
      </c>
      <c r="F370" s="38">
        <v>24</v>
      </c>
      <c r="G370" s="38">
        <v>16</v>
      </c>
      <c r="H370" s="38">
        <f>F370/Wages!C370</f>
        <v>2</v>
      </c>
      <c r="I370" s="38">
        <f>G370/Wages!D370</f>
        <v>2</v>
      </c>
      <c r="J370" s="38">
        <v>13</v>
      </c>
      <c r="K370" s="38">
        <v>9</v>
      </c>
      <c r="L370" s="38"/>
      <c r="M370" s="39">
        <f>Prices!BP372*Wages!$C370</f>
        <v>5.567903225806452</v>
      </c>
      <c r="N370" s="39">
        <f>Prices!BP372*Wages!D370</f>
        <v>3.7119354838709682</v>
      </c>
      <c r="O370" s="39">
        <f>Prices!$BP372*Wages!E370</f>
        <v>4.6399193548387103</v>
      </c>
      <c r="P370" s="39">
        <f>Prices!$BP372*F370</f>
        <v>11.135806451612904</v>
      </c>
      <c r="Q370" s="39">
        <f>(31.1*0.925/Prices!$BN372)*G370</f>
        <v>7.4238709677419363</v>
      </c>
    </row>
    <row r="371" spans="1:17">
      <c r="A371" s="54">
        <f t="shared" si="22"/>
        <v>1621</v>
      </c>
      <c r="B371" s="36"/>
      <c r="C371" s="38">
        <v>12</v>
      </c>
      <c r="D371" s="38">
        <v>8</v>
      </c>
      <c r="E371" s="38">
        <v>10</v>
      </c>
      <c r="F371" s="38">
        <v>24</v>
      </c>
      <c r="G371" s="38">
        <v>16</v>
      </c>
      <c r="H371" s="38">
        <f>F371/Wages!C371</f>
        <v>2</v>
      </c>
      <c r="I371" s="38">
        <f>G371/Wages!D371</f>
        <v>2</v>
      </c>
      <c r="J371" s="38">
        <v>13</v>
      </c>
      <c r="K371" s="38">
        <v>8.5</v>
      </c>
      <c r="L371" s="38"/>
      <c r="M371" s="39">
        <f>Prices!BP373*Wages!$C371</f>
        <v>5.567903225806452</v>
      </c>
      <c r="N371" s="39">
        <f>Prices!BP373*Wages!D371</f>
        <v>3.7119354838709682</v>
      </c>
      <c r="O371" s="39">
        <f>Prices!$BP373*Wages!E371</f>
        <v>4.6399193548387103</v>
      </c>
      <c r="P371" s="39">
        <f>Prices!$BP373*F371</f>
        <v>11.135806451612904</v>
      </c>
      <c r="Q371" s="39">
        <f>(31.1*0.925/Prices!$BN373)*G371</f>
        <v>7.4238709677419363</v>
      </c>
    </row>
    <row r="372" spans="1:17">
      <c r="A372" s="54">
        <f t="shared" si="22"/>
        <v>1622</v>
      </c>
      <c r="B372" s="36"/>
      <c r="C372" s="38">
        <v>12</v>
      </c>
      <c r="D372" s="38">
        <v>8</v>
      </c>
      <c r="E372" s="38">
        <v>10</v>
      </c>
      <c r="F372" s="38">
        <v>24</v>
      </c>
      <c r="G372" s="38">
        <v>16</v>
      </c>
      <c r="H372" s="38">
        <f>F372/Wages!C372</f>
        <v>2</v>
      </c>
      <c r="I372" s="38">
        <f>G372/Wages!D372</f>
        <v>2</v>
      </c>
      <c r="J372" s="36"/>
      <c r="K372" s="36"/>
      <c r="L372" s="38"/>
      <c r="M372" s="39">
        <f>Prices!BP374*Wages!$C372</f>
        <v>5.567903225806452</v>
      </c>
      <c r="N372" s="39">
        <f>Prices!BP374*Wages!D372</f>
        <v>3.7119354838709682</v>
      </c>
      <c r="O372" s="39">
        <f>Prices!$BP374*Wages!E372</f>
        <v>4.6399193548387103</v>
      </c>
      <c r="P372" s="39">
        <f>Prices!$BP374*F372</f>
        <v>11.135806451612904</v>
      </c>
      <c r="Q372" s="39">
        <f>(31.1*0.925/Prices!$BN374)*G372</f>
        <v>7.4238709677419363</v>
      </c>
    </row>
    <row r="373" spans="1:17">
      <c r="A373" s="54">
        <f t="shared" si="22"/>
        <v>1623</v>
      </c>
      <c r="B373" s="36"/>
      <c r="C373" s="38">
        <v>12</v>
      </c>
      <c r="D373" s="38">
        <v>8</v>
      </c>
      <c r="E373" s="38">
        <v>10</v>
      </c>
      <c r="F373" s="38">
        <v>24</v>
      </c>
      <c r="G373" s="38">
        <v>16</v>
      </c>
      <c r="H373" s="38">
        <f>F373/Wages!C373</f>
        <v>2</v>
      </c>
      <c r="I373" s="38">
        <f>G373/Wages!D373</f>
        <v>2</v>
      </c>
      <c r="J373" s="38">
        <v>13</v>
      </c>
      <c r="K373" s="36"/>
      <c r="L373" s="38"/>
      <c r="M373" s="39">
        <f>Prices!BP375*Wages!$C373</f>
        <v>5.567903225806452</v>
      </c>
      <c r="N373" s="39">
        <f>Prices!BP375*Wages!D373</f>
        <v>3.7119354838709682</v>
      </c>
      <c r="O373" s="39">
        <f>Prices!$BP375*Wages!E373</f>
        <v>4.6399193548387103</v>
      </c>
      <c r="P373" s="39">
        <f>Prices!$BP375*F373</f>
        <v>11.135806451612904</v>
      </c>
      <c r="Q373" s="39">
        <f>(31.1*0.925/Prices!$BN375)*G373</f>
        <v>7.4238709677419363</v>
      </c>
    </row>
    <row r="374" spans="1:17">
      <c r="A374" s="54">
        <f t="shared" si="22"/>
        <v>1624</v>
      </c>
      <c r="B374" s="36"/>
      <c r="C374" s="38">
        <v>12</v>
      </c>
      <c r="D374" s="38">
        <v>8</v>
      </c>
      <c r="E374" s="38">
        <v>10</v>
      </c>
      <c r="F374" s="38">
        <v>24</v>
      </c>
      <c r="G374" s="38">
        <v>16</v>
      </c>
      <c r="H374" s="38">
        <f>F374/Wages!C374</f>
        <v>2</v>
      </c>
      <c r="I374" s="38">
        <f>G374/Wages!D374</f>
        <v>2</v>
      </c>
      <c r="J374" s="38">
        <v>13.5</v>
      </c>
      <c r="K374" s="38">
        <v>8.5</v>
      </c>
      <c r="L374" s="38"/>
      <c r="M374" s="39">
        <f>Prices!BP376*Wages!$C374</f>
        <v>5.567903225806452</v>
      </c>
      <c r="N374" s="39">
        <f>Prices!BP376*Wages!D374</f>
        <v>3.7119354838709682</v>
      </c>
      <c r="O374" s="39">
        <f>Prices!$BP376*Wages!E374</f>
        <v>4.6399193548387103</v>
      </c>
      <c r="P374" s="39">
        <f>Prices!$BP376*F374</f>
        <v>11.135806451612904</v>
      </c>
      <c r="Q374" s="39">
        <f>(31.1*0.925/Prices!$BN376)*G374</f>
        <v>7.4238709677419363</v>
      </c>
    </row>
    <row r="375" spans="1:17">
      <c r="A375" s="54">
        <f t="shared" si="22"/>
        <v>1625</v>
      </c>
      <c r="B375" s="36"/>
      <c r="C375" s="38">
        <v>12</v>
      </c>
      <c r="D375" s="38">
        <v>8</v>
      </c>
      <c r="E375" s="38">
        <v>10</v>
      </c>
      <c r="F375" s="38">
        <v>24</v>
      </c>
      <c r="G375" s="38">
        <v>16</v>
      </c>
      <c r="H375" s="38">
        <f>F375/Wages!C375</f>
        <v>2</v>
      </c>
      <c r="I375" s="38">
        <f>G375/Wages!D375</f>
        <v>2</v>
      </c>
      <c r="J375" s="36"/>
      <c r="K375" s="38">
        <v>8</v>
      </c>
      <c r="L375" s="38"/>
      <c r="M375" s="39">
        <f>Prices!BP377*Wages!$C375</f>
        <v>5.567903225806452</v>
      </c>
      <c r="N375" s="39">
        <f>Prices!BP377*Wages!D375</f>
        <v>3.7119354838709682</v>
      </c>
      <c r="O375" s="39">
        <f>Prices!$BP377*Wages!E375</f>
        <v>4.6399193548387103</v>
      </c>
      <c r="P375" s="39">
        <f>Prices!$BP377*F375</f>
        <v>11.135806451612904</v>
      </c>
      <c r="Q375" s="39">
        <f>(31.1*0.925/Prices!$BN377)*G375</f>
        <v>7.4238709677419363</v>
      </c>
    </row>
    <row r="376" spans="1:17">
      <c r="A376" s="54">
        <f t="shared" si="22"/>
        <v>1626</v>
      </c>
      <c r="B376" s="36"/>
      <c r="C376" s="38">
        <v>12</v>
      </c>
      <c r="D376" s="38">
        <v>8</v>
      </c>
      <c r="E376" s="38">
        <v>10</v>
      </c>
      <c r="F376" s="38">
        <v>24</v>
      </c>
      <c r="G376" s="38">
        <v>16</v>
      </c>
      <c r="H376" s="38">
        <f>F376/Wages!C376</f>
        <v>2</v>
      </c>
      <c r="I376" s="38">
        <f>G376/Wages!D376</f>
        <v>2</v>
      </c>
      <c r="J376" s="36"/>
      <c r="K376" s="38">
        <v>8</v>
      </c>
      <c r="L376" s="38"/>
      <c r="M376" s="39">
        <f>Prices!BP378*Wages!$C376</f>
        <v>5.567903225806452</v>
      </c>
      <c r="N376" s="39">
        <f>Prices!BP378*Wages!D376</f>
        <v>3.7119354838709682</v>
      </c>
      <c r="O376" s="39">
        <f>Prices!$BP378*Wages!E376</f>
        <v>4.6399193548387103</v>
      </c>
      <c r="P376" s="39">
        <f>Prices!$BP378*F376</f>
        <v>11.135806451612904</v>
      </c>
      <c r="Q376" s="39">
        <f>(31.1*0.925/Prices!$BN378)*G376</f>
        <v>7.4238709677419363</v>
      </c>
    </row>
    <row r="377" spans="1:17">
      <c r="A377" s="54">
        <f t="shared" si="22"/>
        <v>1627</v>
      </c>
      <c r="B377" s="36"/>
      <c r="C377" s="38">
        <v>12</v>
      </c>
      <c r="D377" s="38">
        <v>9</v>
      </c>
      <c r="E377" s="38">
        <v>10</v>
      </c>
      <c r="F377" s="38">
        <v>24</v>
      </c>
      <c r="G377" s="38">
        <v>16</v>
      </c>
      <c r="H377" s="38">
        <f>F377/Wages!C377</f>
        <v>2</v>
      </c>
      <c r="I377" s="39">
        <f>G377/Wages!D377</f>
        <v>1.7777777777777777</v>
      </c>
      <c r="J377" s="36"/>
      <c r="K377" s="38">
        <v>8</v>
      </c>
      <c r="L377" s="38"/>
      <c r="M377" s="39">
        <f>Prices!BP379*Wages!$C377</f>
        <v>5.567903225806452</v>
      </c>
      <c r="N377" s="39">
        <f>Prices!BP379*Wages!D377</f>
        <v>4.1759274193548395</v>
      </c>
      <c r="O377" s="39">
        <f>Prices!$BP379*Wages!E377</f>
        <v>4.6399193548387103</v>
      </c>
      <c r="P377" s="39">
        <f>Prices!$BP379*F377</f>
        <v>11.135806451612904</v>
      </c>
      <c r="Q377" s="39">
        <f>(31.1*0.925/Prices!$BN379)*G377</f>
        <v>7.4238709677419363</v>
      </c>
    </row>
    <row r="378" spans="1:17">
      <c r="A378" s="54">
        <f t="shared" si="22"/>
        <v>1628</v>
      </c>
      <c r="B378" s="36"/>
      <c r="C378" s="38">
        <v>12</v>
      </c>
      <c r="D378" s="38">
        <v>9</v>
      </c>
      <c r="E378" s="38">
        <v>10</v>
      </c>
      <c r="F378" s="38">
        <v>24</v>
      </c>
      <c r="G378" s="38">
        <v>16</v>
      </c>
      <c r="H378" s="38">
        <f>F378/Wages!C378</f>
        <v>2</v>
      </c>
      <c r="I378" s="39">
        <f>G378/Wages!D378</f>
        <v>1.7777777777777777</v>
      </c>
      <c r="J378" s="38">
        <v>13</v>
      </c>
      <c r="K378" s="38">
        <v>8</v>
      </c>
      <c r="L378" s="38"/>
      <c r="M378" s="39">
        <f>Prices!BP380*Wages!$C378</f>
        <v>5.567903225806452</v>
      </c>
      <c r="N378" s="39">
        <f>Prices!BP380*Wages!D378</f>
        <v>4.1759274193548395</v>
      </c>
      <c r="O378" s="39">
        <f>Prices!$BP380*Wages!E378</f>
        <v>4.6399193548387103</v>
      </c>
      <c r="P378" s="39">
        <f>Prices!$BP380*F378</f>
        <v>11.135806451612904</v>
      </c>
      <c r="Q378" s="39">
        <f>(31.1*0.925/Prices!$BN380)*G378</f>
        <v>7.4238709677419363</v>
      </c>
    </row>
    <row r="379" spans="1:17">
      <c r="A379" s="54">
        <f t="shared" si="22"/>
        <v>1629</v>
      </c>
      <c r="B379" s="36"/>
      <c r="C379" s="38">
        <v>12</v>
      </c>
      <c r="D379" s="38">
        <v>9</v>
      </c>
      <c r="E379" s="38">
        <v>10</v>
      </c>
      <c r="F379" s="38">
        <v>24</v>
      </c>
      <c r="G379" s="38">
        <v>16</v>
      </c>
      <c r="H379" s="38">
        <f>F379/Wages!C379</f>
        <v>2</v>
      </c>
      <c r="I379" s="39">
        <f>G379/Wages!D379</f>
        <v>1.7777777777777777</v>
      </c>
      <c r="J379" s="38">
        <v>12</v>
      </c>
      <c r="K379" s="38">
        <v>8</v>
      </c>
      <c r="L379" s="38"/>
      <c r="M379" s="39">
        <f>Prices!BP381*Wages!$C379</f>
        <v>5.567903225806452</v>
      </c>
      <c r="N379" s="39">
        <f>Prices!BP381*Wages!D379</f>
        <v>4.1759274193548395</v>
      </c>
      <c r="O379" s="39">
        <f>Prices!$BP381*Wages!E379</f>
        <v>4.6399193548387103</v>
      </c>
      <c r="P379" s="39">
        <f>Prices!$BP381*F379</f>
        <v>11.135806451612904</v>
      </c>
      <c r="Q379" s="39">
        <f>(31.1*0.925/Prices!$BN381)*G379</f>
        <v>7.4238709677419363</v>
      </c>
    </row>
    <row r="380" spans="1:17">
      <c r="A380" s="54">
        <f t="shared" si="22"/>
        <v>1630</v>
      </c>
      <c r="B380" s="36"/>
      <c r="C380" s="38">
        <v>14</v>
      </c>
      <c r="D380" s="38">
        <v>9</v>
      </c>
      <c r="E380" s="38">
        <v>11.33</v>
      </c>
      <c r="F380" s="38">
        <v>29</v>
      </c>
      <c r="G380" s="38">
        <v>16</v>
      </c>
      <c r="H380" s="39">
        <f>F380/Wages!C380</f>
        <v>2.0714285714285716</v>
      </c>
      <c r="I380" s="39">
        <f>G380/Wages!D380</f>
        <v>1.7777777777777777</v>
      </c>
      <c r="J380" s="38">
        <v>14</v>
      </c>
      <c r="K380" s="38">
        <v>8</v>
      </c>
      <c r="L380" s="38"/>
      <c r="M380" s="39">
        <f>Prices!BP382*Wages!$C380</f>
        <v>6.4958870967741946</v>
      </c>
      <c r="N380" s="39">
        <f>Prices!BP382*Wages!D380</f>
        <v>4.1759274193548395</v>
      </c>
      <c r="O380" s="39">
        <f>Prices!$BP382*Wages!E380</f>
        <v>5.2570286290322583</v>
      </c>
      <c r="P380" s="39">
        <f>Prices!$BP382*F380</f>
        <v>13.455766129032259</v>
      </c>
      <c r="Q380" s="39">
        <f>(31.1*0.925/Prices!$BN382)*G380</f>
        <v>7.4238709677419363</v>
      </c>
    </row>
    <row r="381" spans="1:17">
      <c r="A381" s="54">
        <f t="shared" si="22"/>
        <v>1631</v>
      </c>
      <c r="B381" s="36"/>
      <c r="C381" s="38">
        <v>14</v>
      </c>
      <c r="D381" s="38">
        <v>9</v>
      </c>
      <c r="E381" s="38">
        <v>11.33</v>
      </c>
      <c r="F381" s="38">
        <v>29</v>
      </c>
      <c r="G381" s="38">
        <v>16</v>
      </c>
      <c r="H381" s="39">
        <f>F381/Wages!C381</f>
        <v>2.0714285714285716</v>
      </c>
      <c r="I381" s="39">
        <f>G381/Wages!D381</f>
        <v>1.7777777777777777</v>
      </c>
      <c r="J381" s="38">
        <v>14</v>
      </c>
      <c r="K381" s="38">
        <v>10</v>
      </c>
      <c r="L381" s="38"/>
      <c r="M381" s="39">
        <f>Prices!BP383*Wages!$C381</f>
        <v>6.4958870967741946</v>
      </c>
      <c r="N381" s="39">
        <f>Prices!BP383*Wages!D381</f>
        <v>4.1759274193548395</v>
      </c>
      <c r="O381" s="39">
        <f>Prices!$BP383*Wages!E381</f>
        <v>5.2570286290322583</v>
      </c>
      <c r="P381" s="39">
        <f>Prices!$BP383*F381</f>
        <v>13.455766129032259</v>
      </c>
      <c r="Q381" s="39">
        <f>(31.1*0.925/Prices!$BN383)*G381</f>
        <v>7.4238709677419363</v>
      </c>
    </row>
    <row r="382" spans="1:17">
      <c r="A382" s="54">
        <f t="shared" si="22"/>
        <v>1632</v>
      </c>
      <c r="B382" s="36"/>
      <c r="C382" s="38">
        <v>14</v>
      </c>
      <c r="D382" s="38">
        <v>9</v>
      </c>
      <c r="E382" s="38">
        <v>11.33</v>
      </c>
      <c r="F382" s="38">
        <v>29</v>
      </c>
      <c r="G382" s="38">
        <v>16</v>
      </c>
      <c r="H382" s="39">
        <f>F382/Wages!C382</f>
        <v>2.0714285714285716</v>
      </c>
      <c r="I382" s="39">
        <f>G382/Wages!D382</f>
        <v>1.7777777777777777</v>
      </c>
      <c r="J382" s="38">
        <v>14</v>
      </c>
      <c r="K382" s="38">
        <v>10</v>
      </c>
      <c r="L382" s="38"/>
      <c r="M382" s="39">
        <f>Prices!BP384*Wages!$C382</f>
        <v>6.4958870967741946</v>
      </c>
      <c r="N382" s="39">
        <f>Prices!BP384*Wages!D382</f>
        <v>4.1759274193548395</v>
      </c>
      <c r="O382" s="39">
        <f>Prices!$BP384*Wages!E382</f>
        <v>5.2570286290322583</v>
      </c>
      <c r="P382" s="39">
        <f>Prices!$BP384*F382</f>
        <v>13.455766129032259</v>
      </c>
      <c r="Q382" s="39">
        <f>(31.1*0.925/Prices!$BN384)*G382</f>
        <v>7.4238709677419363</v>
      </c>
    </row>
    <row r="383" spans="1:17">
      <c r="A383" s="54">
        <f t="shared" si="22"/>
        <v>1633</v>
      </c>
      <c r="B383" s="36"/>
      <c r="C383" s="38">
        <v>14</v>
      </c>
      <c r="D383" s="38">
        <v>9</v>
      </c>
      <c r="E383" s="38">
        <v>11.33</v>
      </c>
      <c r="F383" s="38">
        <v>29</v>
      </c>
      <c r="G383" s="38">
        <v>16</v>
      </c>
      <c r="H383" s="39">
        <f>F383/Wages!C383</f>
        <v>2.0714285714285716</v>
      </c>
      <c r="I383" s="39">
        <f>G383/Wages!D383</f>
        <v>1.7777777777777777</v>
      </c>
      <c r="J383" s="38">
        <v>14</v>
      </c>
      <c r="K383" s="38">
        <v>9.5</v>
      </c>
      <c r="L383" s="38"/>
      <c r="M383" s="39">
        <f>Prices!BP385*Wages!$C383</f>
        <v>6.4958870967741946</v>
      </c>
      <c r="N383" s="39">
        <f>Prices!BP385*Wages!D383</f>
        <v>4.1759274193548395</v>
      </c>
      <c r="O383" s="39">
        <f>Prices!$BP385*Wages!E383</f>
        <v>5.2570286290322583</v>
      </c>
      <c r="P383" s="39">
        <f>Prices!$BP385*F383</f>
        <v>13.455766129032259</v>
      </c>
      <c r="Q383" s="39">
        <f>(31.1*0.925/Prices!$BN385)*G383</f>
        <v>7.4238709677419363</v>
      </c>
    </row>
    <row r="384" spans="1:17">
      <c r="A384" s="54">
        <f t="shared" si="22"/>
        <v>1634</v>
      </c>
      <c r="B384" s="36"/>
      <c r="C384" s="38">
        <v>14</v>
      </c>
      <c r="D384" s="38">
        <v>9</v>
      </c>
      <c r="E384" s="38">
        <v>11.33</v>
      </c>
      <c r="F384" s="38">
        <v>29</v>
      </c>
      <c r="G384" s="38">
        <v>16</v>
      </c>
      <c r="H384" s="39">
        <f>F384/Wages!C384</f>
        <v>2.0714285714285716</v>
      </c>
      <c r="I384" s="39">
        <f>G384/Wages!D384</f>
        <v>1.7777777777777777</v>
      </c>
      <c r="J384" s="38">
        <v>14</v>
      </c>
      <c r="K384" s="36"/>
      <c r="L384" s="38"/>
      <c r="M384" s="39">
        <f>Prices!BP386*Wages!$C384</f>
        <v>6.4958870967741946</v>
      </c>
      <c r="N384" s="39">
        <f>Prices!BP386*Wages!D384</f>
        <v>4.1759274193548395</v>
      </c>
      <c r="O384" s="39">
        <f>Prices!$BP386*Wages!E384</f>
        <v>5.2570286290322583</v>
      </c>
      <c r="P384" s="39">
        <f>Prices!$BP386*F384</f>
        <v>13.455766129032259</v>
      </c>
      <c r="Q384" s="39">
        <f>(31.1*0.925/Prices!$BN386)*G384</f>
        <v>7.4238709677419363</v>
      </c>
    </row>
    <row r="385" spans="1:17">
      <c r="A385" s="54">
        <f t="shared" si="22"/>
        <v>1635</v>
      </c>
      <c r="B385" s="36"/>
      <c r="C385" s="38">
        <v>14</v>
      </c>
      <c r="D385" s="38">
        <v>9</v>
      </c>
      <c r="E385" s="38">
        <v>11.33</v>
      </c>
      <c r="F385" s="38">
        <v>29</v>
      </c>
      <c r="G385" s="38">
        <v>16</v>
      </c>
      <c r="H385" s="39">
        <f>F385/Wages!C385</f>
        <v>2.0714285714285716</v>
      </c>
      <c r="I385" s="39">
        <f>G385/Wages!D385</f>
        <v>1.7777777777777777</v>
      </c>
      <c r="J385" s="38">
        <v>14</v>
      </c>
      <c r="K385" s="36"/>
      <c r="L385" s="38"/>
      <c r="M385" s="39">
        <f>Prices!BP387*Wages!$C385</f>
        <v>6.4958870967741946</v>
      </c>
      <c r="N385" s="39">
        <f>Prices!BP387*Wages!D385</f>
        <v>4.1759274193548395</v>
      </c>
      <c r="O385" s="39">
        <f>Prices!$BP387*Wages!E385</f>
        <v>5.2570286290322583</v>
      </c>
      <c r="P385" s="39">
        <f>Prices!$BP387*F385</f>
        <v>13.455766129032259</v>
      </c>
      <c r="Q385" s="39">
        <f>(31.1*0.925/Prices!$BN387)*G385</f>
        <v>7.4238709677419363</v>
      </c>
    </row>
    <row r="386" spans="1:17">
      <c r="A386" s="54">
        <f t="shared" si="22"/>
        <v>1636</v>
      </c>
      <c r="B386" s="36"/>
      <c r="C386" s="38">
        <v>14</v>
      </c>
      <c r="D386" s="38">
        <v>9</v>
      </c>
      <c r="E386" s="38">
        <v>11.33</v>
      </c>
      <c r="F386" s="38">
        <v>29</v>
      </c>
      <c r="G386" s="38">
        <v>16</v>
      </c>
      <c r="H386" s="39">
        <f>F386/Wages!C386</f>
        <v>2.0714285714285716</v>
      </c>
      <c r="I386" s="39">
        <f>G386/Wages!D386</f>
        <v>1.7777777777777777</v>
      </c>
      <c r="J386" s="38">
        <v>14</v>
      </c>
      <c r="K386" s="36"/>
      <c r="L386" s="38"/>
      <c r="M386" s="39">
        <f>Prices!BP388*Wages!$C386</f>
        <v>6.4958870967741946</v>
      </c>
      <c r="N386" s="39">
        <f>Prices!BP388*Wages!D386</f>
        <v>4.1759274193548395</v>
      </c>
      <c r="O386" s="39">
        <f>Prices!$BP388*Wages!E386</f>
        <v>5.2570286290322583</v>
      </c>
      <c r="P386" s="39">
        <f>Prices!$BP388*F386</f>
        <v>13.455766129032259</v>
      </c>
      <c r="Q386" s="39">
        <f>(31.1*0.925/Prices!$BN388)*G386</f>
        <v>7.4238709677419363</v>
      </c>
    </row>
    <row r="387" spans="1:17">
      <c r="A387" s="54">
        <f t="shared" si="22"/>
        <v>1637</v>
      </c>
      <c r="B387" s="36"/>
      <c r="C387" s="38">
        <v>14</v>
      </c>
      <c r="D387" s="38">
        <v>9</v>
      </c>
      <c r="E387" s="38">
        <v>11.33</v>
      </c>
      <c r="F387" s="38">
        <v>29</v>
      </c>
      <c r="G387" s="38">
        <v>16</v>
      </c>
      <c r="H387" s="39">
        <f>F387/Wages!C387</f>
        <v>2.0714285714285716</v>
      </c>
      <c r="I387" s="39">
        <f>G387/Wages!D387</f>
        <v>1.7777777777777777</v>
      </c>
      <c r="J387" s="38">
        <v>14</v>
      </c>
      <c r="K387" s="38">
        <v>10</v>
      </c>
      <c r="L387" s="38"/>
      <c r="M387" s="39">
        <f>Prices!BP389*Wages!$C387</f>
        <v>6.4958870967741946</v>
      </c>
      <c r="N387" s="39">
        <f>Prices!BP389*Wages!D387</f>
        <v>4.1759274193548395</v>
      </c>
      <c r="O387" s="39">
        <f>Prices!$BP389*Wages!E387</f>
        <v>5.2570286290322583</v>
      </c>
      <c r="P387" s="39">
        <f>Prices!$BP389*F387</f>
        <v>13.455766129032259</v>
      </c>
      <c r="Q387" s="39">
        <f>(31.1*0.925/Prices!$BN389)*G387</f>
        <v>7.4238709677419363</v>
      </c>
    </row>
    <row r="388" spans="1:17">
      <c r="A388" s="54">
        <f t="shared" si="22"/>
        <v>1638</v>
      </c>
      <c r="B388" s="36"/>
      <c r="C388" s="38">
        <v>14</v>
      </c>
      <c r="D388" s="38">
        <v>9</v>
      </c>
      <c r="E388" s="38">
        <v>11.33</v>
      </c>
      <c r="F388" s="38">
        <v>29</v>
      </c>
      <c r="G388" s="38">
        <v>16</v>
      </c>
      <c r="H388" s="39">
        <f>F388/Wages!C388</f>
        <v>2.0714285714285716</v>
      </c>
      <c r="I388" s="39">
        <f>G388/Wages!D388</f>
        <v>1.7777777777777777</v>
      </c>
      <c r="J388" s="38">
        <v>14</v>
      </c>
      <c r="K388" s="38">
        <v>10</v>
      </c>
      <c r="L388" s="38"/>
      <c r="M388" s="39">
        <f>Prices!BP390*Wages!$C388</f>
        <v>6.4958870967741946</v>
      </c>
      <c r="N388" s="39">
        <f>Prices!BP390*Wages!D388</f>
        <v>4.1759274193548395</v>
      </c>
      <c r="O388" s="39">
        <f>Prices!$BP390*Wages!E388</f>
        <v>5.2570286290322583</v>
      </c>
      <c r="P388" s="39">
        <f>Prices!$BP390*F388</f>
        <v>13.455766129032259</v>
      </c>
      <c r="Q388" s="39">
        <f>(31.1*0.925/Prices!$BN390)*G388</f>
        <v>7.4238709677419363</v>
      </c>
    </row>
    <row r="389" spans="1:17">
      <c r="A389" s="54">
        <f t="shared" si="22"/>
        <v>1639</v>
      </c>
      <c r="B389" s="36"/>
      <c r="C389" s="38">
        <v>14</v>
      </c>
      <c r="D389" s="38">
        <v>9</v>
      </c>
      <c r="E389" s="38">
        <v>11.33</v>
      </c>
      <c r="F389" s="38">
        <v>29</v>
      </c>
      <c r="G389" s="38">
        <v>16</v>
      </c>
      <c r="H389" s="39">
        <f>F389/Wages!C389</f>
        <v>2.0714285714285716</v>
      </c>
      <c r="I389" s="39">
        <f>G389/Wages!D389</f>
        <v>1.7777777777777777</v>
      </c>
      <c r="J389" s="38">
        <v>14</v>
      </c>
      <c r="K389" s="38">
        <v>10</v>
      </c>
      <c r="L389" s="38"/>
      <c r="M389" s="39">
        <f>Prices!BP391*Wages!$C389</f>
        <v>6.4958870967741946</v>
      </c>
      <c r="N389" s="39">
        <f>Prices!BP391*Wages!D389</f>
        <v>4.1759274193548395</v>
      </c>
      <c r="O389" s="39">
        <f>Prices!$BP391*Wages!E389</f>
        <v>5.2570286290322583</v>
      </c>
      <c r="P389" s="39">
        <f>Prices!$BP391*F389</f>
        <v>13.455766129032259</v>
      </c>
      <c r="Q389" s="39">
        <f>(31.1*0.925/Prices!$BN391)*G389</f>
        <v>7.4238709677419363</v>
      </c>
    </row>
    <row r="390" spans="1:17">
      <c r="A390" s="54">
        <f t="shared" si="22"/>
        <v>1640</v>
      </c>
      <c r="B390" s="36"/>
      <c r="C390" s="38">
        <v>14</v>
      </c>
      <c r="D390" s="38">
        <v>11</v>
      </c>
      <c r="E390" s="38">
        <v>12</v>
      </c>
      <c r="F390" s="38">
        <v>30</v>
      </c>
      <c r="G390" s="38">
        <v>18</v>
      </c>
      <c r="H390" s="39">
        <f>F390/Wages!C390</f>
        <v>2.1428571428571428</v>
      </c>
      <c r="I390" s="39">
        <f>G390/Wages!D390</f>
        <v>1.6363636363636365</v>
      </c>
      <c r="J390" s="38">
        <v>14</v>
      </c>
      <c r="K390" s="38">
        <v>10</v>
      </c>
      <c r="L390" s="38"/>
      <c r="M390" s="39">
        <f>Prices!BP392*Wages!$C390</f>
        <v>6.4958870967741946</v>
      </c>
      <c r="N390" s="39">
        <f>Prices!BP392*Wages!D390</f>
        <v>5.1039112903225812</v>
      </c>
      <c r="O390" s="39">
        <f>Prices!$BP392*Wages!E390</f>
        <v>5.567903225806452</v>
      </c>
      <c r="P390" s="39">
        <f>Prices!$BP392*F390</f>
        <v>13.919758064516131</v>
      </c>
      <c r="Q390" s="39">
        <f>(31.1*0.925/Prices!$BN392)*G390</f>
        <v>8.3518548387096789</v>
      </c>
    </row>
    <row r="391" spans="1:17">
      <c r="A391" s="54">
        <f t="shared" si="22"/>
        <v>1641</v>
      </c>
      <c r="B391" s="36"/>
      <c r="C391" s="38">
        <v>14</v>
      </c>
      <c r="D391" s="38">
        <v>11</v>
      </c>
      <c r="E391" s="38">
        <v>12</v>
      </c>
      <c r="F391" s="38">
        <v>30</v>
      </c>
      <c r="G391" s="38">
        <v>18</v>
      </c>
      <c r="H391" s="39">
        <f>F391/Wages!C391</f>
        <v>2.1428571428571428</v>
      </c>
      <c r="I391" s="39">
        <f>G391/Wages!D391</f>
        <v>1.6363636363636365</v>
      </c>
      <c r="J391" s="38">
        <v>14</v>
      </c>
      <c r="K391" s="38">
        <v>10</v>
      </c>
      <c r="L391" s="38"/>
      <c r="M391" s="39">
        <f>Prices!BP393*Wages!$C391</f>
        <v>6.4958870967741946</v>
      </c>
      <c r="N391" s="39">
        <f>Prices!BP393*Wages!D391</f>
        <v>5.1039112903225812</v>
      </c>
      <c r="O391" s="39">
        <f>Prices!$BP393*Wages!E391</f>
        <v>5.567903225806452</v>
      </c>
      <c r="P391" s="39">
        <f>Prices!$BP393*F391</f>
        <v>13.919758064516131</v>
      </c>
      <c r="Q391" s="39">
        <f>(31.1*0.925/Prices!$BN393)*G391</f>
        <v>8.3518548387096789</v>
      </c>
    </row>
    <row r="392" spans="1:17">
      <c r="A392" s="54">
        <f t="shared" si="22"/>
        <v>1642</v>
      </c>
      <c r="B392" s="36"/>
      <c r="C392" s="38">
        <v>14</v>
      </c>
      <c r="D392" s="38">
        <v>11</v>
      </c>
      <c r="E392" s="38">
        <v>12</v>
      </c>
      <c r="F392" s="38">
        <v>30</v>
      </c>
      <c r="G392" s="38">
        <v>18</v>
      </c>
      <c r="H392" s="39">
        <f>F392/Wages!C392</f>
        <v>2.1428571428571428</v>
      </c>
      <c r="I392" s="39">
        <f>G392/Wages!D392</f>
        <v>1.6363636363636365</v>
      </c>
      <c r="J392" s="36"/>
      <c r="K392" s="38">
        <v>10</v>
      </c>
      <c r="L392" s="38"/>
      <c r="M392" s="39">
        <f>Prices!BP394*Wages!$C392</f>
        <v>6.4958870967741946</v>
      </c>
      <c r="N392" s="39">
        <f>Prices!BP394*Wages!D392</f>
        <v>5.1039112903225812</v>
      </c>
      <c r="O392" s="39">
        <f>Prices!$BP394*Wages!E392</f>
        <v>5.567903225806452</v>
      </c>
      <c r="P392" s="39">
        <f>Prices!$BP394*F392</f>
        <v>13.919758064516131</v>
      </c>
      <c r="Q392" s="39">
        <f>(31.1*0.925/Prices!$BN394)*G392</f>
        <v>8.3518548387096789</v>
      </c>
    </row>
    <row r="393" spans="1:17">
      <c r="A393" s="54">
        <f t="shared" si="22"/>
        <v>1643</v>
      </c>
      <c r="B393" s="36"/>
      <c r="C393" s="38">
        <v>17</v>
      </c>
      <c r="D393" s="38">
        <v>11</v>
      </c>
      <c r="E393" s="38">
        <v>12</v>
      </c>
      <c r="F393" s="38">
        <v>30</v>
      </c>
      <c r="G393" s="38">
        <v>18</v>
      </c>
      <c r="H393" s="39">
        <f>F393/Wages!C393</f>
        <v>1.7647058823529411</v>
      </c>
      <c r="I393" s="39">
        <f>G393/Wages!D393</f>
        <v>1.6363636363636365</v>
      </c>
      <c r="J393" s="38">
        <v>21</v>
      </c>
      <c r="K393" s="38">
        <v>10</v>
      </c>
      <c r="L393" s="38"/>
      <c r="M393" s="39">
        <f>Prices!BP395*Wages!$C393</f>
        <v>7.8878629032258072</v>
      </c>
      <c r="N393" s="39">
        <f>Prices!BP395*Wages!D393</f>
        <v>5.1039112903225812</v>
      </c>
      <c r="O393" s="39">
        <f>Prices!$BP395*Wages!E393</f>
        <v>5.567903225806452</v>
      </c>
      <c r="P393" s="39">
        <f>Prices!$BP395*F393</f>
        <v>13.919758064516131</v>
      </c>
      <c r="Q393" s="39">
        <f>(31.1*0.925/Prices!$BN395)*G393</f>
        <v>8.3518548387096789</v>
      </c>
    </row>
    <row r="394" spans="1:17">
      <c r="A394" s="54">
        <f t="shared" ref="A394:A457" si="26">A393+1</f>
        <v>1644</v>
      </c>
      <c r="B394" s="36"/>
      <c r="C394" s="38">
        <v>17</v>
      </c>
      <c r="D394" s="38">
        <v>11</v>
      </c>
      <c r="E394" s="38">
        <v>12</v>
      </c>
      <c r="F394" s="38">
        <v>30</v>
      </c>
      <c r="G394" s="38">
        <v>18</v>
      </c>
      <c r="H394" s="39">
        <f>F394/Wages!C394</f>
        <v>1.7647058823529411</v>
      </c>
      <c r="I394" s="39">
        <f>G394/Wages!D394</f>
        <v>1.6363636363636365</v>
      </c>
      <c r="J394" s="38">
        <v>16</v>
      </c>
      <c r="K394" s="38">
        <v>10</v>
      </c>
      <c r="L394" s="38"/>
      <c r="M394" s="39">
        <f>Prices!BP396*Wages!$C394</f>
        <v>7.8878629032258072</v>
      </c>
      <c r="N394" s="39">
        <f>Prices!BP396*Wages!D394</f>
        <v>5.1039112903225812</v>
      </c>
      <c r="O394" s="39">
        <f>Prices!$BP396*Wages!E394</f>
        <v>5.567903225806452</v>
      </c>
      <c r="P394" s="39">
        <f>Prices!$BP396*F394</f>
        <v>13.919758064516131</v>
      </c>
      <c r="Q394" s="39">
        <f>(31.1*0.925/Prices!$BN396)*G394</f>
        <v>8.3518548387096789</v>
      </c>
    </row>
    <row r="395" spans="1:17">
      <c r="A395" s="54">
        <f t="shared" si="26"/>
        <v>1645</v>
      </c>
      <c r="B395" s="36"/>
      <c r="C395" s="38">
        <v>17</v>
      </c>
      <c r="D395" s="38">
        <v>11</v>
      </c>
      <c r="E395" s="38">
        <v>12</v>
      </c>
      <c r="F395" s="38">
        <v>30</v>
      </c>
      <c r="G395" s="38">
        <v>18</v>
      </c>
      <c r="H395" s="39">
        <f>F395/Wages!C395</f>
        <v>1.7647058823529411</v>
      </c>
      <c r="I395" s="39">
        <f>G395/Wages!D395</f>
        <v>1.6363636363636365</v>
      </c>
      <c r="J395" s="38">
        <v>16</v>
      </c>
      <c r="K395" s="38">
        <v>10</v>
      </c>
      <c r="L395" s="38"/>
      <c r="M395" s="39">
        <f>Prices!BP397*Wages!$C395</f>
        <v>7.8878629032258072</v>
      </c>
      <c r="N395" s="39">
        <f>Prices!BP397*Wages!D395</f>
        <v>5.1039112903225812</v>
      </c>
      <c r="O395" s="39">
        <f>Prices!$BP397*Wages!E395</f>
        <v>5.567903225806452</v>
      </c>
      <c r="P395" s="39">
        <f>Prices!$BP397*F395</f>
        <v>13.919758064516131</v>
      </c>
      <c r="Q395" s="39">
        <f>(31.1*0.925/Prices!$BN397)*G395</f>
        <v>8.3518548387096789</v>
      </c>
    </row>
    <row r="396" spans="1:17">
      <c r="A396" s="54">
        <f t="shared" si="26"/>
        <v>1646</v>
      </c>
      <c r="B396" s="36"/>
      <c r="C396" s="38">
        <v>17</v>
      </c>
      <c r="D396" s="38">
        <v>11</v>
      </c>
      <c r="E396" s="38">
        <v>12</v>
      </c>
      <c r="F396" s="38">
        <v>30</v>
      </c>
      <c r="G396" s="38">
        <v>18</v>
      </c>
      <c r="H396" s="39">
        <f>F396/Wages!C396</f>
        <v>1.7647058823529411</v>
      </c>
      <c r="I396" s="39">
        <f>G396/Wages!D396</f>
        <v>1.6363636363636365</v>
      </c>
      <c r="J396" s="38">
        <v>20</v>
      </c>
      <c r="K396" s="38">
        <v>12</v>
      </c>
      <c r="L396" s="38"/>
      <c r="M396" s="39">
        <f>Prices!BP398*Wages!$C396</f>
        <v>7.8878629032258072</v>
      </c>
      <c r="N396" s="39">
        <f>Prices!BP398*Wages!D396</f>
        <v>5.1039112903225812</v>
      </c>
      <c r="O396" s="39">
        <f>Prices!$BP398*Wages!E396</f>
        <v>5.567903225806452</v>
      </c>
      <c r="P396" s="39">
        <f>Prices!$BP398*F396</f>
        <v>13.919758064516131</v>
      </c>
      <c r="Q396" s="39">
        <f>(31.1*0.925/Prices!$BN398)*G396</f>
        <v>8.3518548387096789</v>
      </c>
    </row>
    <row r="397" spans="1:17">
      <c r="A397" s="54">
        <f t="shared" si="26"/>
        <v>1647</v>
      </c>
      <c r="B397" s="36"/>
      <c r="C397" s="38">
        <v>17</v>
      </c>
      <c r="D397" s="38">
        <v>12</v>
      </c>
      <c r="E397" s="38">
        <v>12</v>
      </c>
      <c r="F397" s="38">
        <v>30</v>
      </c>
      <c r="G397" s="38">
        <v>18</v>
      </c>
      <c r="H397" s="39">
        <f>F397/Wages!C397</f>
        <v>1.7647058823529411</v>
      </c>
      <c r="I397" s="38">
        <f>G397/Wages!D397</f>
        <v>1.5</v>
      </c>
      <c r="J397" s="38">
        <v>18</v>
      </c>
      <c r="K397" s="38">
        <v>13</v>
      </c>
      <c r="L397" s="38"/>
      <c r="M397" s="39">
        <f>Prices!BP399*Wages!$C397</f>
        <v>7.8878629032258072</v>
      </c>
      <c r="N397" s="39">
        <f>Prices!BP399*Wages!D397</f>
        <v>5.567903225806452</v>
      </c>
      <c r="O397" s="39">
        <f>Prices!$BP399*Wages!E397</f>
        <v>5.567903225806452</v>
      </c>
      <c r="P397" s="39">
        <f>Prices!$BP399*F397</f>
        <v>13.919758064516131</v>
      </c>
      <c r="Q397" s="39">
        <f>(31.1*0.925/Prices!$BN399)*G397</f>
        <v>8.3518548387096789</v>
      </c>
    </row>
    <row r="398" spans="1:17">
      <c r="A398" s="54">
        <f t="shared" si="26"/>
        <v>1648</v>
      </c>
      <c r="B398" s="36"/>
      <c r="C398" s="38">
        <v>17</v>
      </c>
      <c r="D398" s="38">
        <v>12</v>
      </c>
      <c r="E398" s="38">
        <v>12</v>
      </c>
      <c r="F398" s="38">
        <v>30</v>
      </c>
      <c r="G398" s="38">
        <v>18</v>
      </c>
      <c r="H398" s="39">
        <f>F398/Wages!C398</f>
        <v>1.7647058823529411</v>
      </c>
      <c r="I398" s="38">
        <f>G398/Wages!D398</f>
        <v>1.5</v>
      </c>
      <c r="J398" s="38">
        <v>21</v>
      </c>
      <c r="K398" s="38">
        <v>12</v>
      </c>
      <c r="L398" s="38"/>
      <c r="M398" s="39">
        <f>Prices!BP400*Wages!$C398</f>
        <v>7.8878629032258072</v>
      </c>
      <c r="N398" s="39">
        <f>Prices!BP400*Wages!D398</f>
        <v>5.567903225806452</v>
      </c>
      <c r="O398" s="39">
        <f>Prices!$BP400*Wages!E398</f>
        <v>5.567903225806452</v>
      </c>
      <c r="P398" s="39">
        <f>Prices!$BP400*F398</f>
        <v>13.919758064516131</v>
      </c>
      <c r="Q398" s="39">
        <f>(31.1*0.925/Prices!$BN400)*G398</f>
        <v>8.3518548387096789</v>
      </c>
    </row>
    <row r="399" spans="1:17">
      <c r="A399" s="54">
        <f t="shared" si="26"/>
        <v>1649</v>
      </c>
      <c r="B399" s="36"/>
      <c r="C399" s="38">
        <v>17</v>
      </c>
      <c r="D399" s="38">
        <v>12</v>
      </c>
      <c r="E399" s="38">
        <v>12</v>
      </c>
      <c r="F399" s="38">
        <v>30</v>
      </c>
      <c r="G399" s="38">
        <v>18</v>
      </c>
      <c r="H399" s="39">
        <f>F399/Wages!C399</f>
        <v>1.7647058823529411</v>
      </c>
      <c r="I399" s="38">
        <f>G399/Wages!D399</f>
        <v>1.5</v>
      </c>
      <c r="J399" s="38">
        <v>19</v>
      </c>
      <c r="K399" s="36"/>
      <c r="L399" s="38"/>
      <c r="M399" s="39">
        <f>Prices!BP401*Wages!$C399</f>
        <v>7.8878629032258072</v>
      </c>
      <c r="N399" s="39">
        <f>Prices!BP401*Wages!D399</f>
        <v>5.567903225806452</v>
      </c>
      <c r="O399" s="39">
        <f>Prices!$BP401*Wages!E399</f>
        <v>5.567903225806452</v>
      </c>
      <c r="P399" s="39">
        <f>Prices!$BP401*F399</f>
        <v>13.919758064516131</v>
      </c>
      <c r="Q399" s="39">
        <f>(31.1*0.925/Prices!$BN401)*G399</f>
        <v>8.3518548387096789</v>
      </c>
    </row>
    <row r="400" spans="1:17">
      <c r="A400" s="54">
        <f t="shared" si="26"/>
        <v>1650</v>
      </c>
      <c r="B400" s="36"/>
      <c r="C400" s="38">
        <v>17</v>
      </c>
      <c r="D400" s="38">
        <v>12</v>
      </c>
      <c r="E400" s="38">
        <v>12</v>
      </c>
      <c r="F400" s="38">
        <v>30</v>
      </c>
      <c r="G400" s="38">
        <v>20</v>
      </c>
      <c r="H400" s="39">
        <f>F400/Wages!C400</f>
        <v>1.7647058823529411</v>
      </c>
      <c r="I400" s="39">
        <f>G400/Wages!D400</f>
        <v>1.6666666666666667</v>
      </c>
      <c r="J400" s="38">
        <v>18</v>
      </c>
      <c r="K400" s="38">
        <v>10</v>
      </c>
      <c r="L400" s="38"/>
      <c r="M400" s="39">
        <f>Prices!BP402*Wages!$C400</f>
        <v>7.8878629032258072</v>
      </c>
      <c r="N400" s="39">
        <f>Prices!BP402*Wages!D400</f>
        <v>5.567903225806452</v>
      </c>
      <c r="O400" s="39">
        <f>Prices!$BP402*Wages!E400</f>
        <v>5.567903225806452</v>
      </c>
      <c r="P400" s="39">
        <f>Prices!$BP402*F400</f>
        <v>13.919758064516131</v>
      </c>
      <c r="Q400" s="39">
        <f>(31.1*0.925/Prices!$BN402)*G400</f>
        <v>9.2798387096774206</v>
      </c>
    </row>
    <row r="401" spans="1:17">
      <c r="A401" s="54">
        <f t="shared" si="26"/>
        <v>1651</v>
      </c>
      <c r="B401" s="36"/>
      <c r="C401" s="38">
        <v>17</v>
      </c>
      <c r="D401" s="38">
        <v>12</v>
      </c>
      <c r="E401" s="38">
        <v>12</v>
      </c>
      <c r="F401" s="38">
        <v>30</v>
      </c>
      <c r="G401" s="38">
        <v>20</v>
      </c>
      <c r="H401" s="39">
        <f>F401/Wages!C401</f>
        <v>1.7647058823529411</v>
      </c>
      <c r="I401" s="39">
        <f>G401/Wages!D401</f>
        <v>1.6666666666666667</v>
      </c>
      <c r="J401" s="38">
        <v>20</v>
      </c>
      <c r="K401" s="36"/>
      <c r="L401" s="38"/>
      <c r="M401" s="39">
        <f>Prices!BP403*Wages!$C401</f>
        <v>7.8878629032258072</v>
      </c>
      <c r="N401" s="39">
        <f>Prices!BP403*Wages!D401</f>
        <v>5.567903225806452</v>
      </c>
      <c r="O401" s="39">
        <f>Prices!$BP403*Wages!E401</f>
        <v>5.567903225806452</v>
      </c>
      <c r="P401" s="39">
        <f>Prices!$BP403*F401</f>
        <v>13.919758064516131</v>
      </c>
      <c r="Q401" s="39">
        <f>(31.1*0.925/Prices!$BN403)*G401</f>
        <v>9.2798387096774206</v>
      </c>
    </row>
    <row r="402" spans="1:17">
      <c r="A402" s="54">
        <f t="shared" si="26"/>
        <v>1652</v>
      </c>
      <c r="B402" s="36"/>
      <c r="C402" s="38">
        <v>17</v>
      </c>
      <c r="D402" s="38">
        <v>12</v>
      </c>
      <c r="E402" s="38">
        <v>12</v>
      </c>
      <c r="F402" s="38">
        <v>30</v>
      </c>
      <c r="G402" s="38">
        <v>20</v>
      </c>
      <c r="H402" s="39">
        <f>F402/Wages!C402</f>
        <v>1.7647058823529411</v>
      </c>
      <c r="I402" s="39">
        <f>G402/Wages!D402</f>
        <v>1.6666666666666667</v>
      </c>
      <c r="J402" s="36"/>
      <c r="K402" s="36"/>
      <c r="L402" s="38"/>
      <c r="M402" s="39">
        <f>Prices!BP404*Wages!$C402</f>
        <v>7.8878629032258072</v>
      </c>
      <c r="N402" s="39">
        <f>Prices!BP404*Wages!D402</f>
        <v>5.567903225806452</v>
      </c>
      <c r="O402" s="39">
        <f>Prices!$BP404*Wages!E402</f>
        <v>5.567903225806452</v>
      </c>
      <c r="P402" s="39">
        <f>Prices!$BP404*F402</f>
        <v>13.919758064516131</v>
      </c>
      <c r="Q402" s="39">
        <f>(31.1*0.925/Prices!$BN404)*G402</f>
        <v>9.2798387096774206</v>
      </c>
    </row>
    <row r="403" spans="1:17">
      <c r="A403" s="54">
        <f t="shared" si="26"/>
        <v>1653</v>
      </c>
      <c r="B403" s="36"/>
      <c r="C403" s="38">
        <v>17</v>
      </c>
      <c r="D403" s="38">
        <v>12</v>
      </c>
      <c r="E403" s="38">
        <v>12</v>
      </c>
      <c r="F403" s="38">
        <v>30</v>
      </c>
      <c r="G403" s="38">
        <v>20</v>
      </c>
      <c r="H403" s="39">
        <f>F403/Wages!C403</f>
        <v>1.7647058823529411</v>
      </c>
      <c r="I403" s="39">
        <f>G403/Wages!D403</f>
        <v>1.6666666666666667</v>
      </c>
      <c r="J403" s="36"/>
      <c r="K403" s="36"/>
      <c r="L403" s="38"/>
      <c r="M403" s="39">
        <f>Prices!BP405*Wages!$C403</f>
        <v>7.8878629032258072</v>
      </c>
      <c r="N403" s="39">
        <f>Prices!BP405*Wages!D403</f>
        <v>5.567903225806452</v>
      </c>
      <c r="O403" s="39">
        <f>Prices!$BP405*Wages!E403</f>
        <v>5.567903225806452</v>
      </c>
      <c r="P403" s="39">
        <f>Prices!$BP405*F403</f>
        <v>13.919758064516131</v>
      </c>
      <c r="Q403" s="39">
        <f>(31.1*0.925/Prices!$BN405)*G403</f>
        <v>9.2798387096774206</v>
      </c>
    </row>
    <row r="404" spans="1:17">
      <c r="A404" s="54">
        <f t="shared" si="26"/>
        <v>1654</v>
      </c>
      <c r="B404" s="36"/>
      <c r="C404" s="38">
        <v>17</v>
      </c>
      <c r="D404" s="38">
        <v>12</v>
      </c>
      <c r="E404" s="38">
        <v>12</v>
      </c>
      <c r="F404" s="38">
        <v>30</v>
      </c>
      <c r="G404" s="38">
        <v>20</v>
      </c>
      <c r="H404" s="39">
        <f>F404/Wages!C404</f>
        <v>1.7647058823529411</v>
      </c>
      <c r="I404" s="39">
        <f>G404/Wages!D404</f>
        <v>1.6666666666666667</v>
      </c>
      <c r="J404" s="38">
        <v>19</v>
      </c>
      <c r="K404" s="38">
        <v>10</v>
      </c>
      <c r="L404" s="38"/>
      <c r="M404" s="39">
        <f>Prices!BP406*Wages!$C404</f>
        <v>7.8878629032258072</v>
      </c>
      <c r="N404" s="39">
        <f>Prices!BP406*Wages!D404</f>
        <v>5.567903225806452</v>
      </c>
      <c r="O404" s="39">
        <f>Prices!$BP406*Wages!E404</f>
        <v>5.567903225806452</v>
      </c>
      <c r="P404" s="39">
        <f>Prices!$BP406*F404</f>
        <v>13.919758064516131</v>
      </c>
      <c r="Q404" s="39">
        <f>(31.1*0.925/Prices!$BN406)*G404</f>
        <v>9.2798387096774206</v>
      </c>
    </row>
    <row r="405" spans="1:17">
      <c r="A405" s="54">
        <f t="shared" si="26"/>
        <v>1655</v>
      </c>
      <c r="B405" s="36"/>
      <c r="C405" s="38">
        <v>17</v>
      </c>
      <c r="D405" s="38">
        <v>12</v>
      </c>
      <c r="E405" s="38">
        <v>12</v>
      </c>
      <c r="F405" s="38">
        <v>30</v>
      </c>
      <c r="G405" s="38">
        <v>20</v>
      </c>
      <c r="H405" s="39">
        <f>F405/Wages!C405</f>
        <v>1.7647058823529411</v>
      </c>
      <c r="I405" s="39">
        <f>G405/Wages!D405</f>
        <v>1.6666666666666667</v>
      </c>
      <c r="J405" s="38">
        <v>18</v>
      </c>
      <c r="K405" s="36"/>
      <c r="L405" s="38"/>
      <c r="M405" s="39">
        <f>Prices!BP407*Wages!$C405</f>
        <v>7.8878629032258072</v>
      </c>
      <c r="N405" s="39">
        <f>Prices!BP407*Wages!D405</f>
        <v>5.567903225806452</v>
      </c>
      <c r="O405" s="39">
        <f>Prices!$BP407*Wages!E405</f>
        <v>5.567903225806452</v>
      </c>
      <c r="P405" s="39">
        <f>Prices!$BP407*F405</f>
        <v>13.919758064516131</v>
      </c>
      <c r="Q405" s="39">
        <f>(31.1*0.925/Prices!$BN407)*G405</f>
        <v>9.2798387096774206</v>
      </c>
    </row>
    <row r="406" spans="1:17">
      <c r="A406" s="54">
        <f t="shared" si="26"/>
        <v>1656</v>
      </c>
      <c r="B406" s="36"/>
      <c r="C406" s="38">
        <v>18</v>
      </c>
      <c r="D406" s="38">
        <v>12</v>
      </c>
      <c r="E406" s="38">
        <v>12</v>
      </c>
      <c r="F406" s="38">
        <v>30</v>
      </c>
      <c r="G406" s="38">
        <v>20</v>
      </c>
      <c r="H406" s="39">
        <f>F406/Wages!C406</f>
        <v>1.6666666666666667</v>
      </c>
      <c r="I406" s="39">
        <f>G406/Wages!D406</f>
        <v>1.6666666666666667</v>
      </c>
      <c r="J406" s="38">
        <v>18</v>
      </c>
      <c r="K406" s="36"/>
      <c r="L406" s="38"/>
      <c r="M406" s="39">
        <f>Prices!BP408*Wages!$C406</f>
        <v>8.3518548387096789</v>
      </c>
      <c r="N406" s="39">
        <f>Prices!BP408*Wages!D406</f>
        <v>5.567903225806452</v>
      </c>
      <c r="O406" s="39">
        <f>Prices!$BP408*Wages!E406</f>
        <v>5.567903225806452</v>
      </c>
      <c r="P406" s="39">
        <f>Prices!$BP408*F406</f>
        <v>13.919758064516131</v>
      </c>
      <c r="Q406" s="39">
        <f>(31.1*0.925/Prices!$BN408)*G406</f>
        <v>9.2798387096774206</v>
      </c>
    </row>
    <row r="407" spans="1:17">
      <c r="A407" s="54">
        <f t="shared" si="26"/>
        <v>1657</v>
      </c>
      <c r="B407" s="36"/>
      <c r="C407" s="38">
        <v>18</v>
      </c>
      <c r="D407" s="38">
        <v>12</v>
      </c>
      <c r="E407" s="38">
        <v>12</v>
      </c>
      <c r="F407" s="38">
        <v>30</v>
      </c>
      <c r="G407" s="38">
        <v>20</v>
      </c>
      <c r="H407" s="39">
        <f>F407/Wages!C407</f>
        <v>1.6666666666666667</v>
      </c>
      <c r="I407" s="39">
        <f>G407/Wages!D407</f>
        <v>1.6666666666666667</v>
      </c>
      <c r="J407" s="36"/>
      <c r="K407" s="36"/>
      <c r="L407" s="38"/>
      <c r="M407" s="39">
        <f>Prices!BP409*Wages!$C407</f>
        <v>8.3518548387096789</v>
      </c>
      <c r="N407" s="39">
        <f>Prices!BP409*Wages!D407</f>
        <v>5.567903225806452</v>
      </c>
      <c r="O407" s="39">
        <f>Prices!$BP409*Wages!E407</f>
        <v>5.567903225806452</v>
      </c>
      <c r="P407" s="39">
        <f>Prices!$BP409*F407</f>
        <v>13.919758064516131</v>
      </c>
      <c r="Q407" s="39">
        <f>(31.1*0.925/Prices!$BN409)*G407</f>
        <v>9.2798387096774206</v>
      </c>
    </row>
    <row r="408" spans="1:17">
      <c r="A408" s="54">
        <f t="shared" si="26"/>
        <v>1658</v>
      </c>
      <c r="B408" s="36"/>
      <c r="C408" s="38">
        <v>18</v>
      </c>
      <c r="D408" s="38">
        <v>12</v>
      </c>
      <c r="E408" s="38">
        <v>12</v>
      </c>
      <c r="F408" s="38">
        <v>30</v>
      </c>
      <c r="G408" s="38">
        <v>20</v>
      </c>
      <c r="H408" s="39">
        <f>F408/Wages!C408</f>
        <v>1.6666666666666667</v>
      </c>
      <c r="I408" s="39">
        <f>G408/Wages!D408</f>
        <v>1.6666666666666667</v>
      </c>
      <c r="J408" s="36"/>
      <c r="K408" s="36"/>
      <c r="L408" s="38"/>
      <c r="M408" s="39">
        <f>Prices!BP410*Wages!$C408</f>
        <v>8.3518548387096789</v>
      </c>
      <c r="N408" s="39">
        <f>Prices!BP410*Wages!D408</f>
        <v>5.567903225806452</v>
      </c>
      <c r="O408" s="39">
        <f>Prices!$BP410*Wages!E408</f>
        <v>5.567903225806452</v>
      </c>
      <c r="P408" s="39">
        <f>Prices!$BP410*F408</f>
        <v>13.919758064516131</v>
      </c>
      <c r="Q408" s="39">
        <f>(31.1*0.925/Prices!$BN410)*G408</f>
        <v>9.2798387096774206</v>
      </c>
    </row>
    <row r="409" spans="1:17">
      <c r="A409" s="54">
        <f t="shared" si="26"/>
        <v>1659</v>
      </c>
      <c r="B409" s="36"/>
      <c r="C409" s="38">
        <v>18</v>
      </c>
      <c r="D409" s="38">
        <v>12</v>
      </c>
      <c r="E409" s="38">
        <v>12</v>
      </c>
      <c r="F409" s="38">
        <v>30</v>
      </c>
      <c r="G409" s="38">
        <v>20</v>
      </c>
      <c r="H409" s="39">
        <f>F409/Wages!C409</f>
        <v>1.6666666666666667</v>
      </c>
      <c r="I409" s="39">
        <f>G409/Wages!D409</f>
        <v>1.6666666666666667</v>
      </c>
      <c r="J409" s="38">
        <v>18</v>
      </c>
      <c r="K409" s="38">
        <v>10</v>
      </c>
      <c r="L409" s="38"/>
      <c r="M409" s="39">
        <f>Prices!BP411*Wages!$C409</f>
        <v>8.3518548387096789</v>
      </c>
      <c r="N409" s="39">
        <f>Prices!BP411*Wages!D409</f>
        <v>5.567903225806452</v>
      </c>
      <c r="O409" s="39">
        <f>Prices!$BP411*Wages!E409</f>
        <v>5.567903225806452</v>
      </c>
      <c r="P409" s="39">
        <f>Prices!$BP411*F409</f>
        <v>13.919758064516131</v>
      </c>
      <c r="Q409" s="39">
        <f>(31.1*0.925/Prices!$BN411)*G409</f>
        <v>9.2798387096774206</v>
      </c>
    </row>
    <row r="410" spans="1:17">
      <c r="A410" s="54">
        <f t="shared" si="26"/>
        <v>1660</v>
      </c>
      <c r="B410" s="36"/>
      <c r="C410" s="38">
        <v>18</v>
      </c>
      <c r="D410" s="38">
        <v>12</v>
      </c>
      <c r="E410" s="38">
        <v>12</v>
      </c>
      <c r="F410" s="38">
        <v>36</v>
      </c>
      <c r="G410" s="38">
        <v>20</v>
      </c>
      <c r="H410" s="38">
        <f>F410/Wages!C410</f>
        <v>2</v>
      </c>
      <c r="I410" s="39">
        <f>G410/Wages!D410</f>
        <v>1.6666666666666667</v>
      </c>
      <c r="J410" s="38">
        <v>18</v>
      </c>
      <c r="K410" s="38">
        <v>12</v>
      </c>
      <c r="L410" s="38"/>
      <c r="M410" s="39">
        <f>Prices!BP412*Wages!$C410</f>
        <v>8.3518548387096789</v>
      </c>
      <c r="N410" s="39">
        <f>Prices!BP412*Wages!D410</f>
        <v>5.567903225806452</v>
      </c>
      <c r="O410" s="39">
        <f>Prices!$BP412*Wages!E410</f>
        <v>5.567903225806452</v>
      </c>
      <c r="P410" s="39">
        <f>Prices!$BP412*F410</f>
        <v>16.703709677419358</v>
      </c>
      <c r="Q410" s="39">
        <f>(31.1*0.925/Prices!$BN412)*G410</f>
        <v>9.2798387096774206</v>
      </c>
    </row>
    <row r="411" spans="1:17">
      <c r="A411" s="54">
        <f t="shared" si="26"/>
        <v>1661</v>
      </c>
      <c r="B411" s="36"/>
      <c r="C411" s="38">
        <v>18</v>
      </c>
      <c r="D411" s="38">
        <v>12</v>
      </c>
      <c r="E411" s="38">
        <v>12</v>
      </c>
      <c r="F411" s="38">
        <v>36</v>
      </c>
      <c r="G411" s="38">
        <v>20</v>
      </c>
      <c r="H411" s="38">
        <f>F411/Wages!C411</f>
        <v>2</v>
      </c>
      <c r="I411" s="39">
        <f>G411/Wages!D411</f>
        <v>1.6666666666666667</v>
      </c>
      <c r="J411" s="36"/>
      <c r="K411" s="36"/>
      <c r="L411" s="38"/>
      <c r="M411" s="39">
        <f>Prices!BP413*Wages!$C411</f>
        <v>8.3518548387096789</v>
      </c>
      <c r="N411" s="39">
        <f>Prices!BP413*Wages!D411</f>
        <v>5.567903225806452</v>
      </c>
      <c r="O411" s="39">
        <f>Prices!$BP413*Wages!E411</f>
        <v>5.567903225806452</v>
      </c>
      <c r="P411" s="39">
        <f>Prices!$BP413*F411</f>
        <v>16.703709677419358</v>
      </c>
      <c r="Q411" s="39">
        <f>(31.1*0.925/Prices!$BN413)*G411</f>
        <v>9.2798387096774206</v>
      </c>
    </row>
    <row r="412" spans="1:17">
      <c r="A412" s="54">
        <f t="shared" si="26"/>
        <v>1662</v>
      </c>
      <c r="B412" s="36"/>
      <c r="C412" s="38">
        <v>18</v>
      </c>
      <c r="D412" s="38">
        <v>12</v>
      </c>
      <c r="E412" s="38">
        <v>12</v>
      </c>
      <c r="F412" s="38">
        <v>36</v>
      </c>
      <c r="G412" s="38">
        <v>20</v>
      </c>
      <c r="H412" s="38">
        <f>F412/Wages!C412</f>
        <v>2</v>
      </c>
      <c r="I412" s="39">
        <f>G412/Wages!D412</f>
        <v>1.6666666666666667</v>
      </c>
      <c r="J412" s="38">
        <v>18</v>
      </c>
      <c r="K412" s="38">
        <v>11</v>
      </c>
      <c r="L412" s="38"/>
      <c r="M412" s="39">
        <f>Prices!BP414*Wages!$C412</f>
        <v>8.3518548387096789</v>
      </c>
      <c r="N412" s="39">
        <f>Prices!BP414*Wages!D412</f>
        <v>5.567903225806452</v>
      </c>
      <c r="O412" s="39">
        <f>Prices!$BP414*Wages!E412</f>
        <v>5.567903225806452</v>
      </c>
      <c r="P412" s="39">
        <f>Prices!$BP414*F412</f>
        <v>16.703709677419358</v>
      </c>
      <c r="Q412" s="39">
        <f>(31.1*0.925/Prices!$BN414)*G412</f>
        <v>9.2798387096774206</v>
      </c>
    </row>
    <row r="413" spans="1:17">
      <c r="A413" s="54">
        <f t="shared" si="26"/>
        <v>1663</v>
      </c>
      <c r="B413" s="36"/>
      <c r="C413" s="38">
        <v>18</v>
      </c>
      <c r="D413" s="38">
        <v>12</v>
      </c>
      <c r="E413" s="38">
        <v>12</v>
      </c>
      <c r="F413" s="38">
        <v>36</v>
      </c>
      <c r="G413" s="38">
        <v>20</v>
      </c>
      <c r="H413" s="38">
        <f>F413/Wages!C413</f>
        <v>2</v>
      </c>
      <c r="I413" s="39">
        <f>G413/Wages!D413</f>
        <v>1.6666666666666667</v>
      </c>
      <c r="J413" s="38">
        <v>20</v>
      </c>
      <c r="K413" s="38">
        <v>12</v>
      </c>
      <c r="L413" s="38"/>
      <c r="M413" s="39">
        <f>Prices!BP415*Wages!$C413</f>
        <v>8.3518548387096789</v>
      </c>
      <c r="N413" s="39">
        <f>Prices!BP415*Wages!D413</f>
        <v>5.567903225806452</v>
      </c>
      <c r="O413" s="39">
        <f>Prices!$BP415*Wages!E413</f>
        <v>5.567903225806452</v>
      </c>
      <c r="P413" s="39">
        <f>Prices!$BP415*F413</f>
        <v>16.703709677419358</v>
      </c>
      <c r="Q413" s="39">
        <f>(31.1*0.925/Prices!$BN415)*G413</f>
        <v>9.2798387096774206</v>
      </c>
    </row>
    <row r="414" spans="1:17">
      <c r="A414" s="54">
        <f t="shared" si="26"/>
        <v>1664</v>
      </c>
      <c r="B414" s="36"/>
      <c r="C414" s="38">
        <v>18</v>
      </c>
      <c r="D414" s="38">
        <v>12</v>
      </c>
      <c r="E414" s="38">
        <v>12</v>
      </c>
      <c r="F414" s="38">
        <v>36</v>
      </c>
      <c r="G414" s="38">
        <v>20</v>
      </c>
      <c r="H414" s="38">
        <f>F414/Wages!C414</f>
        <v>2</v>
      </c>
      <c r="I414" s="39">
        <f>G414/Wages!D414</f>
        <v>1.6666666666666667</v>
      </c>
      <c r="J414" s="36"/>
      <c r="K414" s="38">
        <v>12</v>
      </c>
      <c r="L414" s="38"/>
      <c r="M414" s="39">
        <f>Prices!BP416*Wages!$C414</f>
        <v>8.3518548387096789</v>
      </c>
      <c r="N414" s="39">
        <f>Prices!BP416*Wages!D414</f>
        <v>5.567903225806452</v>
      </c>
      <c r="O414" s="39">
        <f>Prices!$BP416*Wages!E414</f>
        <v>5.567903225806452</v>
      </c>
      <c r="P414" s="39">
        <f>Prices!$BP416*F414</f>
        <v>16.703709677419358</v>
      </c>
      <c r="Q414" s="39">
        <f>(31.1*0.925/Prices!$BN416)*G414</f>
        <v>9.2798387096774206</v>
      </c>
    </row>
    <row r="415" spans="1:17">
      <c r="A415" s="54">
        <f t="shared" si="26"/>
        <v>1665</v>
      </c>
      <c r="B415" s="36"/>
      <c r="C415" s="38">
        <v>18</v>
      </c>
      <c r="D415" s="38">
        <v>12</v>
      </c>
      <c r="E415" s="38">
        <v>12</v>
      </c>
      <c r="F415" s="38">
        <v>36</v>
      </c>
      <c r="G415" s="38">
        <v>20</v>
      </c>
      <c r="H415" s="38">
        <f>F415/Wages!C415</f>
        <v>2</v>
      </c>
      <c r="I415" s="39">
        <f>G415/Wages!D415</f>
        <v>1.6666666666666667</v>
      </c>
      <c r="J415" s="36"/>
      <c r="K415" s="38">
        <v>12</v>
      </c>
      <c r="L415" s="38"/>
      <c r="M415" s="39">
        <f>Prices!BP417*Wages!$C415</f>
        <v>8.3518548387096789</v>
      </c>
      <c r="N415" s="39">
        <f>Prices!BP417*Wages!D415</f>
        <v>5.567903225806452</v>
      </c>
      <c r="O415" s="39">
        <f>Prices!$BP417*Wages!E415</f>
        <v>5.567903225806452</v>
      </c>
      <c r="P415" s="39">
        <f>Prices!$BP417*F415</f>
        <v>16.703709677419358</v>
      </c>
      <c r="Q415" s="39">
        <f>(31.1*0.925/Prices!$BN417)*G415</f>
        <v>9.2798387096774206</v>
      </c>
    </row>
    <row r="416" spans="1:17">
      <c r="A416" s="54">
        <f t="shared" si="26"/>
        <v>1666</v>
      </c>
      <c r="B416" s="36"/>
      <c r="C416" s="38">
        <v>18</v>
      </c>
      <c r="D416" s="38">
        <v>12</v>
      </c>
      <c r="E416" s="38">
        <v>12</v>
      </c>
      <c r="F416" s="38">
        <v>36</v>
      </c>
      <c r="G416" s="38">
        <v>20</v>
      </c>
      <c r="H416" s="38">
        <f>F416/Wages!C416</f>
        <v>2</v>
      </c>
      <c r="I416" s="39">
        <f>G416/Wages!D416</f>
        <v>1.6666666666666667</v>
      </c>
      <c r="J416" s="36"/>
      <c r="K416" s="38">
        <v>12</v>
      </c>
      <c r="L416" s="38"/>
      <c r="M416" s="39">
        <f>Prices!BP418*Wages!$C416</f>
        <v>8.3518548387096789</v>
      </c>
      <c r="N416" s="39">
        <f>Prices!BP418*Wages!D416</f>
        <v>5.567903225806452</v>
      </c>
      <c r="O416" s="39">
        <f>Prices!$BP418*Wages!E416</f>
        <v>5.567903225806452</v>
      </c>
      <c r="P416" s="39">
        <f>Prices!$BP418*F416</f>
        <v>16.703709677419358</v>
      </c>
      <c r="Q416" s="39">
        <f>(31.1*0.925/Prices!$BN418)*G416</f>
        <v>9.2798387096774206</v>
      </c>
    </row>
    <row r="417" spans="1:17">
      <c r="A417" s="54">
        <f t="shared" si="26"/>
        <v>1667</v>
      </c>
      <c r="B417" s="36"/>
      <c r="C417" s="38">
        <v>18</v>
      </c>
      <c r="D417" s="38">
        <v>12</v>
      </c>
      <c r="E417" s="38">
        <v>12</v>
      </c>
      <c r="F417" s="38">
        <v>36</v>
      </c>
      <c r="G417" s="38">
        <v>20</v>
      </c>
      <c r="H417" s="38">
        <f>F417/Wages!C417</f>
        <v>2</v>
      </c>
      <c r="I417" s="39">
        <f>G417/Wages!D417</f>
        <v>1.6666666666666667</v>
      </c>
      <c r="J417" s="36"/>
      <c r="K417" s="38">
        <v>12</v>
      </c>
      <c r="L417" s="38"/>
      <c r="M417" s="39">
        <f>Prices!BP419*Wages!$C417</f>
        <v>8.3518548387096789</v>
      </c>
      <c r="N417" s="39">
        <f>Prices!BP419*Wages!D417</f>
        <v>5.567903225806452</v>
      </c>
      <c r="O417" s="39">
        <f>Prices!$BP419*Wages!E417</f>
        <v>5.567903225806452</v>
      </c>
      <c r="P417" s="39">
        <f>Prices!$BP419*F417</f>
        <v>16.703709677419358</v>
      </c>
      <c r="Q417" s="39">
        <f>(31.1*0.925/Prices!$BN419)*G417</f>
        <v>9.2798387096774206</v>
      </c>
    </row>
    <row r="418" spans="1:17">
      <c r="A418" s="54">
        <f t="shared" si="26"/>
        <v>1668</v>
      </c>
      <c r="B418" s="36"/>
      <c r="C418" s="38">
        <v>18</v>
      </c>
      <c r="D418" s="38">
        <v>12</v>
      </c>
      <c r="E418" s="38">
        <v>12</v>
      </c>
      <c r="F418" s="38">
        <v>36</v>
      </c>
      <c r="G418" s="38">
        <v>20</v>
      </c>
      <c r="H418" s="38">
        <f>F418/Wages!C418</f>
        <v>2</v>
      </c>
      <c r="I418" s="39">
        <f>G418/Wages!D418</f>
        <v>1.6666666666666667</v>
      </c>
      <c r="J418" s="36"/>
      <c r="K418" s="38">
        <v>12</v>
      </c>
      <c r="L418" s="38"/>
      <c r="M418" s="39">
        <f>Prices!BP420*Wages!$C418</f>
        <v>8.3518548387096789</v>
      </c>
      <c r="N418" s="39">
        <f>Prices!BP420*Wages!D418</f>
        <v>5.567903225806452</v>
      </c>
      <c r="O418" s="39">
        <f>Prices!$BP420*Wages!E418</f>
        <v>5.567903225806452</v>
      </c>
      <c r="P418" s="39">
        <f>Prices!$BP420*F418</f>
        <v>16.703709677419358</v>
      </c>
      <c r="Q418" s="39">
        <f>(31.1*0.925/Prices!$BN420)*G418</f>
        <v>9.2798387096774206</v>
      </c>
    </row>
    <row r="419" spans="1:17">
      <c r="A419" s="54">
        <f t="shared" si="26"/>
        <v>1669</v>
      </c>
      <c r="B419" s="36"/>
      <c r="C419" s="38">
        <v>18</v>
      </c>
      <c r="D419" s="38">
        <v>12</v>
      </c>
      <c r="E419" s="38">
        <v>12</v>
      </c>
      <c r="F419" s="38">
        <v>36</v>
      </c>
      <c r="G419" s="38">
        <v>20</v>
      </c>
      <c r="H419" s="38">
        <f>F419/Wages!C419</f>
        <v>2</v>
      </c>
      <c r="I419" s="39">
        <f>G419/Wages!D419</f>
        <v>1.6666666666666667</v>
      </c>
      <c r="J419" s="38">
        <v>18</v>
      </c>
      <c r="K419" s="38">
        <v>12</v>
      </c>
      <c r="L419" s="38"/>
      <c r="M419" s="39">
        <f>Prices!BP421*Wages!$C419</f>
        <v>8.3518548387096789</v>
      </c>
      <c r="N419" s="39">
        <f>Prices!BP421*Wages!D419</f>
        <v>5.567903225806452</v>
      </c>
      <c r="O419" s="39">
        <f>Prices!$BP421*Wages!E419</f>
        <v>5.567903225806452</v>
      </c>
      <c r="P419" s="39">
        <f>Prices!$BP421*F419</f>
        <v>16.703709677419358</v>
      </c>
      <c r="Q419" s="39">
        <f>(31.1*0.925/Prices!$BN421)*G419</f>
        <v>9.2798387096774206</v>
      </c>
    </row>
    <row r="420" spans="1:17">
      <c r="A420" s="54">
        <f t="shared" si="26"/>
        <v>1670</v>
      </c>
      <c r="B420" s="36"/>
      <c r="C420" s="38">
        <v>18</v>
      </c>
      <c r="D420" s="38">
        <v>12</v>
      </c>
      <c r="E420" s="38">
        <v>12</v>
      </c>
      <c r="F420" s="38">
        <v>30</v>
      </c>
      <c r="G420" s="38">
        <v>20</v>
      </c>
      <c r="H420" s="39">
        <f>F420/Wages!C420</f>
        <v>1.6666666666666667</v>
      </c>
      <c r="I420" s="39">
        <f>G420/Wages!D420</f>
        <v>1.6666666666666667</v>
      </c>
      <c r="J420" s="38">
        <v>18</v>
      </c>
      <c r="K420" s="38">
        <v>12</v>
      </c>
      <c r="L420" s="38"/>
      <c r="M420" s="39">
        <f>Prices!BP422*Wages!$C420</f>
        <v>8.3518548387096789</v>
      </c>
      <c r="N420" s="39">
        <f>Prices!BP422*Wages!D420</f>
        <v>5.567903225806452</v>
      </c>
      <c r="O420" s="39">
        <f>Prices!$BP422*Wages!E420</f>
        <v>5.567903225806452</v>
      </c>
      <c r="P420" s="39">
        <f>Prices!$BP422*F420</f>
        <v>13.919758064516131</v>
      </c>
      <c r="Q420" s="39">
        <f>(31.1*0.925/Prices!$BN422)*G420</f>
        <v>9.2798387096774206</v>
      </c>
    </row>
    <row r="421" spans="1:17">
      <c r="A421" s="54">
        <f t="shared" si="26"/>
        <v>1671</v>
      </c>
      <c r="B421" s="36"/>
      <c r="C421" s="38">
        <v>18</v>
      </c>
      <c r="D421" s="38">
        <v>12</v>
      </c>
      <c r="E421" s="38">
        <v>12</v>
      </c>
      <c r="F421" s="38">
        <v>30</v>
      </c>
      <c r="G421" s="38">
        <v>20</v>
      </c>
      <c r="H421" s="39">
        <f>F421/Wages!C421</f>
        <v>1.6666666666666667</v>
      </c>
      <c r="I421" s="39">
        <f>G421/Wages!D421</f>
        <v>1.6666666666666667</v>
      </c>
      <c r="J421" s="38">
        <v>18</v>
      </c>
      <c r="K421" s="38">
        <v>12</v>
      </c>
      <c r="L421" s="38"/>
      <c r="M421" s="39">
        <f>Prices!BP423*Wages!$C421</f>
        <v>8.3518548387096789</v>
      </c>
      <c r="N421" s="39">
        <f>Prices!BP423*Wages!D421</f>
        <v>5.567903225806452</v>
      </c>
      <c r="O421" s="39">
        <f>Prices!$BP423*Wages!E421</f>
        <v>5.567903225806452</v>
      </c>
      <c r="P421" s="39">
        <f>Prices!$BP423*F421</f>
        <v>13.919758064516131</v>
      </c>
      <c r="Q421" s="39">
        <f>(31.1*0.925/Prices!$BN423)*G421</f>
        <v>9.2798387096774206</v>
      </c>
    </row>
    <row r="422" spans="1:17">
      <c r="A422" s="54">
        <f t="shared" si="26"/>
        <v>1672</v>
      </c>
      <c r="B422" s="36"/>
      <c r="C422" s="38">
        <v>18</v>
      </c>
      <c r="D422" s="38">
        <v>12</v>
      </c>
      <c r="E422" s="38">
        <v>12</v>
      </c>
      <c r="F422" s="38">
        <v>30</v>
      </c>
      <c r="G422" s="38">
        <v>20</v>
      </c>
      <c r="H422" s="39">
        <f>F422/Wages!C422</f>
        <v>1.6666666666666667</v>
      </c>
      <c r="I422" s="39">
        <f>G422/Wages!D422</f>
        <v>1.6666666666666667</v>
      </c>
      <c r="J422" s="38">
        <v>18</v>
      </c>
      <c r="K422" s="38">
        <v>12</v>
      </c>
      <c r="L422" s="38"/>
      <c r="M422" s="39">
        <f>Prices!BP424*Wages!$C422</f>
        <v>8.3518548387096789</v>
      </c>
      <c r="N422" s="39">
        <f>Prices!BP424*Wages!D422</f>
        <v>5.567903225806452</v>
      </c>
      <c r="O422" s="39">
        <f>Prices!$BP424*Wages!E422</f>
        <v>5.567903225806452</v>
      </c>
      <c r="P422" s="39">
        <f>Prices!$BP424*F422</f>
        <v>13.919758064516131</v>
      </c>
      <c r="Q422" s="39">
        <f>(31.1*0.925/Prices!$BN424)*G422</f>
        <v>9.2798387096774206</v>
      </c>
    </row>
    <row r="423" spans="1:17">
      <c r="A423" s="54">
        <f t="shared" si="26"/>
        <v>1673</v>
      </c>
      <c r="B423" s="36"/>
      <c r="C423" s="38">
        <v>18</v>
      </c>
      <c r="D423" s="38">
        <v>12</v>
      </c>
      <c r="E423" s="38">
        <v>12</v>
      </c>
      <c r="F423" s="38">
        <v>30</v>
      </c>
      <c r="G423" s="38">
        <v>20</v>
      </c>
      <c r="H423" s="39">
        <f>F423/Wages!C423</f>
        <v>1.6666666666666667</v>
      </c>
      <c r="I423" s="39">
        <f>G423/Wages!D423</f>
        <v>1.6666666666666667</v>
      </c>
      <c r="J423" s="38">
        <v>19</v>
      </c>
      <c r="K423" s="38">
        <v>12</v>
      </c>
      <c r="L423" s="38"/>
      <c r="M423" s="39">
        <f>Prices!BP425*Wages!$C423</f>
        <v>8.3518548387096789</v>
      </c>
      <c r="N423" s="39">
        <f>Prices!BP425*Wages!D423</f>
        <v>5.567903225806452</v>
      </c>
      <c r="O423" s="39">
        <f>Prices!$BP425*Wages!E423</f>
        <v>5.567903225806452</v>
      </c>
      <c r="P423" s="39">
        <f>Prices!$BP425*F423</f>
        <v>13.919758064516131</v>
      </c>
      <c r="Q423" s="39">
        <f>(31.1*0.925/Prices!$BN425)*G423</f>
        <v>9.2798387096774206</v>
      </c>
    </row>
    <row r="424" spans="1:17">
      <c r="A424" s="54">
        <f t="shared" si="26"/>
        <v>1674</v>
      </c>
      <c r="B424" s="36"/>
      <c r="C424" s="38">
        <v>18</v>
      </c>
      <c r="D424" s="38">
        <v>12</v>
      </c>
      <c r="E424" s="38">
        <v>12</v>
      </c>
      <c r="F424" s="38">
        <v>30</v>
      </c>
      <c r="G424" s="38">
        <v>20</v>
      </c>
      <c r="H424" s="39">
        <f>F424/Wages!C424</f>
        <v>1.6666666666666667</v>
      </c>
      <c r="I424" s="39">
        <f>G424/Wages!D424</f>
        <v>1.6666666666666667</v>
      </c>
      <c r="J424" s="38">
        <v>18</v>
      </c>
      <c r="K424" s="38">
        <v>12</v>
      </c>
      <c r="L424" s="38"/>
      <c r="M424" s="39">
        <f>Prices!BP426*Wages!$C424</f>
        <v>8.3518548387096789</v>
      </c>
      <c r="N424" s="39">
        <f>Prices!BP426*Wages!D424</f>
        <v>5.567903225806452</v>
      </c>
      <c r="O424" s="39">
        <f>Prices!$BP426*Wages!E424</f>
        <v>5.567903225806452</v>
      </c>
      <c r="P424" s="39">
        <f>Prices!$BP426*F424</f>
        <v>13.919758064516131</v>
      </c>
      <c r="Q424" s="39">
        <f>(31.1*0.925/Prices!$BN426)*G424</f>
        <v>9.2798387096774206</v>
      </c>
    </row>
    <row r="425" spans="1:17">
      <c r="A425" s="54">
        <f t="shared" si="26"/>
        <v>1675</v>
      </c>
      <c r="B425" s="36"/>
      <c r="C425" s="38">
        <v>18</v>
      </c>
      <c r="D425" s="38">
        <v>12</v>
      </c>
      <c r="E425" s="38">
        <v>12</v>
      </c>
      <c r="F425" s="38">
        <v>30</v>
      </c>
      <c r="G425" s="38">
        <v>20</v>
      </c>
      <c r="H425" s="39">
        <f>F425/Wages!C425</f>
        <v>1.6666666666666667</v>
      </c>
      <c r="I425" s="39">
        <f>G425/Wages!D425</f>
        <v>1.6666666666666667</v>
      </c>
      <c r="J425" s="38">
        <v>20</v>
      </c>
      <c r="K425" s="38">
        <v>12</v>
      </c>
      <c r="L425" s="38"/>
      <c r="M425" s="39">
        <f>Prices!BP427*Wages!$C425</f>
        <v>8.3518548387096789</v>
      </c>
      <c r="N425" s="39">
        <f>Prices!BP427*Wages!D425</f>
        <v>5.567903225806452</v>
      </c>
      <c r="O425" s="39">
        <f>Prices!$BP427*Wages!E425</f>
        <v>5.567903225806452</v>
      </c>
      <c r="P425" s="39">
        <f>Prices!$BP427*F425</f>
        <v>13.919758064516131</v>
      </c>
      <c r="Q425" s="39">
        <f>(31.1*0.925/Prices!$BN427)*G425</f>
        <v>9.2798387096774206</v>
      </c>
    </row>
    <row r="426" spans="1:17">
      <c r="A426" s="54">
        <f t="shared" si="26"/>
        <v>1676</v>
      </c>
      <c r="B426" s="36"/>
      <c r="C426" s="38">
        <v>18</v>
      </c>
      <c r="D426" s="38">
        <v>12</v>
      </c>
      <c r="E426" s="38">
        <v>12</v>
      </c>
      <c r="F426" s="38">
        <v>30</v>
      </c>
      <c r="G426" s="38">
        <v>20</v>
      </c>
      <c r="H426" s="39">
        <f>F426/Wages!C426</f>
        <v>1.6666666666666667</v>
      </c>
      <c r="I426" s="39">
        <f>G426/Wages!D426</f>
        <v>1.6666666666666667</v>
      </c>
      <c r="J426" s="36"/>
      <c r="K426" s="36"/>
      <c r="L426" s="38"/>
      <c r="M426" s="39">
        <f>Prices!BP428*Wages!$C426</f>
        <v>8.3518548387096789</v>
      </c>
      <c r="N426" s="39">
        <f>Prices!BP428*Wages!D426</f>
        <v>5.567903225806452</v>
      </c>
      <c r="O426" s="39">
        <f>Prices!$BP428*Wages!E426</f>
        <v>5.567903225806452</v>
      </c>
      <c r="P426" s="39">
        <f>Prices!$BP428*F426</f>
        <v>13.919758064516131</v>
      </c>
      <c r="Q426" s="39">
        <f>(31.1*0.925/Prices!$BN428)*G426</f>
        <v>9.2798387096774206</v>
      </c>
    </row>
    <row r="427" spans="1:17">
      <c r="A427" s="54">
        <f t="shared" si="26"/>
        <v>1677</v>
      </c>
      <c r="B427" s="36"/>
      <c r="C427" s="38">
        <v>18</v>
      </c>
      <c r="D427" s="38">
        <v>12</v>
      </c>
      <c r="E427" s="38">
        <v>12</v>
      </c>
      <c r="F427" s="38">
        <v>30</v>
      </c>
      <c r="G427" s="38">
        <v>20</v>
      </c>
      <c r="H427" s="39">
        <f>F427/Wages!C427</f>
        <v>1.6666666666666667</v>
      </c>
      <c r="I427" s="39">
        <f>G427/Wages!D427</f>
        <v>1.6666666666666667</v>
      </c>
      <c r="J427" s="36"/>
      <c r="K427" s="38">
        <v>13</v>
      </c>
      <c r="L427" s="38"/>
      <c r="M427" s="39">
        <f>Prices!BP429*Wages!$C427</f>
        <v>8.3518548387096789</v>
      </c>
      <c r="N427" s="39">
        <f>Prices!BP429*Wages!D427</f>
        <v>5.567903225806452</v>
      </c>
      <c r="O427" s="39">
        <f>Prices!$BP429*Wages!E427</f>
        <v>5.567903225806452</v>
      </c>
      <c r="P427" s="39">
        <f>Prices!$BP429*F427</f>
        <v>13.919758064516131</v>
      </c>
      <c r="Q427" s="39">
        <f>(31.1*0.925/Prices!$BN429)*G427</f>
        <v>9.2798387096774206</v>
      </c>
    </row>
    <row r="428" spans="1:17">
      <c r="A428" s="54">
        <f t="shared" si="26"/>
        <v>1678</v>
      </c>
      <c r="B428" s="36"/>
      <c r="C428" s="38">
        <v>18</v>
      </c>
      <c r="D428" s="38">
        <v>12</v>
      </c>
      <c r="E428" s="38">
        <v>12</v>
      </c>
      <c r="F428" s="38">
        <v>30</v>
      </c>
      <c r="G428" s="38">
        <v>20</v>
      </c>
      <c r="H428" s="39">
        <f>F428/Wages!C428</f>
        <v>1.6666666666666667</v>
      </c>
      <c r="I428" s="39">
        <f>G428/Wages!D428</f>
        <v>1.6666666666666667</v>
      </c>
      <c r="J428" s="38">
        <v>18</v>
      </c>
      <c r="K428" s="38">
        <v>12</v>
      </c>
      <c r="L428" s="38"/>
      <c r="M428" s="39">
        <f>Prices!BP430*Wages!$C428</f>
        <v>8.3518548387096789</v>
      </c>
      <c r="N428" s="39">
        <f>Prices!BP430*Wages!D428</f>
        <v>5.567903225806452</v>
      </c>
      <c r="O428" s="39">
        <f>Prices!$BP430*Wages!E428</f>
        <v>5.567903225806452</v>
      </c>
      <c r="P428" s="39">
        <f>Prices!$BP430*F428</f>
        <v>13.919758064516131</v>
      </c>
      <c r="Q428" s="39">
        <f>(31.1*0.925/Prices!$BN430)*G428</f>
        <v>9.2798387096774206</v>
      </c>
    </row>
    <row r="429" spans="1:17">
      <c r="A429" s="54">
        <f t="shared" si="26"/>
        <v>1679</v>
      </c>
      <c r="B429" s="36"/>
      <c r="C429" s="38">
        <v>18</v>
      </c>
      <c r="D429" s="38">
        <v>12</v>
      </c>
      <c r="E429" s="38">
        <v>12</v>
      </c>
      <c r="F429" s="38">
        <v>30</v>
      </c>
      <c r="G429" s="38">
        <v>20</v>
      </c>
      <c r="H429" s="39">
        <f>F429/Wages!C429</f>
        <v>1.6666666666666667</v>
      </c>
      <c r="I429" s="39">
        <f>G429/Wages!D429</f>
        <v>1.6666666666666667</v>
      </c>
      <c r="J429" s="36"/>
      <c r="K429" s="38">
        <v>12</v>
      </c>
      <c r="L429" s="38"/>
      <c r="M429" s="39">
        <f>Prices!BP431*Wages!$C429</f>
        <v>8.3518548387096789</v>
      </c>
      <c r="N429" s="39">
        <f>Prices!BP431*Wages!D429</f>
        <v>5.567903225806452</v>
      </c>
      <c r="O429" s="39">
        <f>Prices!$BP431*Wages!E429</f>
        <v>5.567903225806452</v>
      </c>
      <c r="P429" s="39">
        <f>Prices!$BP431*F429</f>
        <v>13.919758064516131</v>
      </c>
      <c r="Q429" s="39">
        <f>(31.1*0.925/Prices!$BN431)*G429</f>
        <v>9.2798387096774206</v>
      </c>
    </row>
    <row r="430" spans="1:17">
      <c r="A430" s="54">
        <f t="shared" si="26"/>
        <v>1680</v>
      </c>
      <c r="B430" s="36"/>
      <c r="C430" s="38">
        <v>18</v>
      </c>
      <c r="D430" s="38">
        <v>12</v>
      </c>
      <c r="E430" s="38">
        <v>12</v>
      </c>
      <c r="F430" s="38">
        <v>30</v>
      </c>
      <c r="G430" s="38">
        <v>20</v>
      </c>
      <c r="H430" s="39">
        <f>F430/Wages!C430</f>
        <v>1.6666666666666667</v>
      </c>
      <c r="I430" s="39">
        <f>G430/Wages!D430</f>
        <v>1.6666666666666667</v>
      </c>
      <c r="J430" s="36"/>
      <c r="K430" s="38">
        <v>12</v>
      </c>
      <c r="L430" s="38"/>
      <c r="M430" s="39">
        <f>Prices!BP432*Wages!$C430</f>
        <v>8.3518548387096789</v>
      </c>
      <c r="N430" s="39">
        <f>Prices!BP432*Wages!D430</f>
        <v>5.567903225806452</v>
      </c>
      <c r="O430" s="39">
        <f>Prices!$BP432*Wages!E430</f>
        <v>5.567903225806452</v>
      </c>
      <c r="P430" s="39">
        <f>Prices!$BP432*F430</f>
        <v>13.919758064516131</v>
      </c>
      <c r="Q430" s="39">
        <f>(31.1*0.925/Prices!$BN432)*G430</f>
        <v>9.2798387096774206</v>
      </c>
    </row>
    <row r="431" spans="1:17">
      <c r="A431" s="54">
        <f t="shared" si="26"/>
        <v>1681</v>
      </c>
      <c r="B431" s="36"/>
      <c r="C431" s="38">
        <v>18</v>
      </c>
      <c r="D431" s="38">
        <v>12</v>
      </c>
      <c r="E431" s="38">
        <v>12</v>
      </c>
      <c r="F431" s="38">
        <v>30</v>
      </c>
      <c r="G431" s="38">
        <v>20</v>
      </c>
      <c r="H431" s="39">
        <f>F431/Wages!C431</f>
        <v>1.6666666666666667</v>
      </c>
      <c r="I431" s="39">
        <f>G431/Wages!D431</f>
        <v>1.6666666666666667</v>
      </c>
      <c r="J431" s="38">
        <v>20</v>
      </c>
      <c r="K431" s="38">
        <v>12</v>
      </c>
      <c r="L431" s="38"/>
      <c r="M431" s="39">
        <f>Prices!BP433*Wages!$C431</f>
        <v>8.3518548387096789</v>
      </c>
      <c r="N431" s="39">
        <f>Prices!BP433*Wages!D431</f>
        <v>5.567903225806452</v>
      </c>
      <c r="O431" s="39">
        <f>Prices!$BP433*Wages!E431</f>
        <v>5.567903225806452</v>
      </c>
      <c r="P431" s="39">
        <f>Prices!$BP433*F431</f>
        <v>13.919758064516131</v>
      </c>
      <c r="Q431" s="39">
        <f>(31.1*0.925/Prices!$BN433)*G431</f>
        <v>9.2798387096774206</v>
      </c>
    </row>
    <row r="432" spans="1:17">
      <c r="A432" s="54">
        <f t="shared" si="26"/>
        <v>1682</v>
      </c>
      <c r="B432" s="36"/>
      <c r="C432" s="38">
        <v>18</v>
      </c>
      <c r="D432" s="38">
        <v>12</v>
      </c>
      <c r="E432" s="38">
        <v>12</v>
      </c>
      <c r="F432" s="38">
        <v>30</v>
      </c>
      <c r="G432" s="38">
        <v>20</v>
      </c>
      <c r="H432" s="39">
        <f>F432/Wages!C432</f>
        <v>1.6666666666666667</v>
      </c>
      <c r="I432" s="39">
        <f>G432/Wages!D432</f>
        <v>1.6666666666666667</v>
      </c>
      <c r="J432" s="38">
        <v>22</v>
      </c>
      <c r="K432" s="38">
        <v>12</v>
      </c>
      <c r="L432" s="38"/>
      <c r="M432" s="39">
        <f>Prices!BP434*Wages!$C432</f>
        <v>8.3518548387096789</v>
      </c>
      <c r="N432" s="39">
        <f>Prices!BP434*Wages!D432</f>
        <v>5.567903225806452</v>
      </c>
      <c r="O432" s="39">
        <f>Prices!$BP434*Wages!E432</f>
        <v>5.567903225806452</v>
      </c>
      <c r="P432" s="39">
        <f>Prices!$BP434*F432</f>
        <v>13.919758064516131</v>
      </c>
      <c r="Q432" s="39">
        <f>(31.1*0.925/Prices!$BN434)*G432</f>
        <v>9.2798387096774206</v>
      </c>
    </row>
    <row r="433" spans="1:17">
      <c r="A433" s="54">
        <f t="shared" si="26"/>
        <v>1683</v>
      </c>
      <c r="B433" s="36"/>
      <c r="C433" s="38">
        <v>18</v>
      </c>
      <c r="D433" s="38">
        <v>12</v>
      </c>
      <c r="E433" s="38">
        <v>12</v>
      </c>
      <c r="F433" s="38">
        <v>30</v>
      </c>
      <c r="G433" s="38">
        <v>20</v>
      </c>
      <c r="H433" s="39">
        <f>F433/Wages!C433</f>
        <v>1.6666666666666667</v>
      </c>
      <c r="I433" s="39">
        <f>G433/Wages!D433</f>
        <v>1.6666666666666667</v>
      </c>
      <c r="J433" s="36"/>
      <c r="K433" s="38">
        <v>12</v>
      </c>
      <c r="L433" s="38"/>
      <c r="M433" s="39">
        <f>Prices!BP435*Wages!$C433</f>
        <v>8.3518548387096789</v>
      </c>
      <c r="N433" s="39">
        <f>Prices!BP435*Wages!D433</f>
        <v>5.567903225806452</v>
      </c>
      <c r="O433" s="39">
        <f>Prices!$BP435*Wages!E433</f>
        <v>5.567903225806452</v>
      </c>
      <c r="P433" s="39">
        <f>Prices!$BP435*F433</f>
        <v>13.919758064516131</v>
      </c>
      <c r="Q433" s="39">
        <f>(31.1*0.925/Prices!$BN435)*G433</f>
        <v>9.2798387096774206</v>
      </c>
    </row>
    <row r="434" spans="1:17">
      <c r="A434" s="54">
        <f t="shared" si="26"/>
        <v>1684</v>
      </c>
      <c r="B434" s="36"/>
      <c r="C434" s="38">
        <v>18</v>
      </c>
      <c r="D434" s="38">
        <v>12</v>
      </c>
      <c r="E434" s="38">
        <v>12</v>
      </c>
      <c r="F434" s="38">
        <v>30</v>
      </c>
      <c r="G434" s="38">
        <v>20</v>
      </c>
      <c r="H434" s="39">
        <f>F434/Wages!C434</f>
        <v>1.6666666666666667</v>
      </c>
      <c r="I434" s="39">
        <f>G434/Wages!D434</f>
        <v>1.6666666666666667</v>
      </c>
      <c r="J434" s="38">
        <v>20</v>
      </c>
      <c r="K434" s="38">
        <v>12</v>
      </c>
      <c r="L434" s="38"/>
      <c r="M434" s="39">
        <f>Prices!BP436*Wages!$C434</f>
        <v>8.3518548387096789</v>
      </c>
      <c r="N434" s="39">
        <f>Prices!BP436*Wages!D434</f>
        <v>5.567903225806452</v>
      </c>
      <c r="O434" s="39">
        <f>Prices!$BP436*Wages!E434</f>
        <v>5.567903225806452</v>
      </c>
      <c r="P434" s="39">
        <f>Prices!$BP436*F434</f>
        <v>13.919758064516131</v>
      </c>
      <c r="Q434" s="39">
        <f>(31.1*0.925/Prices!$BN436)*G434</f>
        <v>9.2798387096774206</v>
      </c>
    </row>
    <row r="435" spans="1:17">
      <c r="A435" s="54">
        <f t="shared" si="26"/>
        <v>1685</v>
      </c>
      <c r="B435" s="36"/>
      <c r="C435" s="38">
        <v>18</v>
      </c>
      <c r="D435" s="38">
        <v>12</v>
      </c>
      <c r="E435" s="38">
        <v>12</v>
      </c>
      <c r="F435" s="38">
        <v>30</v>
      </c>
      <c r="G435" s="38">
        <v>20</v>
      </c>
      <c r="H435" s="39">
        <f>F435/Wages!C435</f>
        <v>1.6666666666666667</v>
      </c>
      <c r="I435" s="39">
        <f>G435/Wages!D435</f>
        <v>1.6666666666666667</v>
      </c>
      <c r="J435" s="36"/>
      <c r="K435" s="38">
        <v>12</v>
      </c>
      <c r="L435" s="38"/>
      <c r="M435" s="39">
        <f>Prices!BP437*Wages!$C435</f>
        <v>8.3518548387096789</v>
      </c>
      <c r="N435" s="39">
        <f>Prices!BP437*Wages!D435</f>
        <v>5.567903225806452</v>
      </c>
      <c r="O435" s="39">
        <f>Prices!$BP437*Wages!E435</f>
        <v>5.567903225806452</v>
      </c>
      <c r="P435" s="39">
        <f>Prices!$BP437*F435</f>
        <v>13.919758064516131</v>
      </c>
      <c r="Q435" s="39">
        <f>(31.1*0.925/Prices!$BN437)*G435</f>
        <v>9.2798387096774206</v>
      </c>
    </row>
    <row r="436" spans="1:17">
      <c r="A436" s="54">
        <f t="shared" si="26"/>
        <v>1686</v>
      </c>
      <c r="B436" s="36"/>
      <c r="C436" s="38">
        <v>18</v>
      </c>
      <c r="D436" s="38">
        <v>12</v>
      </c>
      <c r="E436" s="38">
        <v>12</v>
      </c>
      <c r="F436" s="38">
        <v>30</v>
      </c>
      <c r="G436" s="38">
        <v>20</v>
      </c>
      <c r="H436" s="39">
        <f>F436/Wages!C436</f>
        <v>1.6666666666666667</v>
      </c>
      <c r="I436" s="39">
        <f>G436/Wages!D436</f>
        <v>1.6666666666666667</v>
      </c>
      <c r="J436" s="36"/>
      <c r="K436" s="38">
        <v>12</v>
      </c>
      <c r="L436" s="38"/>
      <c r="M436" s="39">
        <f>Prices!BP438*Wages!$C436</f>
        <v>8.3518548387096789</v>
      </c>
      <c r="N436" s="39">
        <f>Prices!BP438*Wages!D436</f>
        <v>5.567903225806452</v>
      </c>
      <c r="O436" s="39">
        <f>Prices!$BP438*Wages!E436</f>
        <v>5.567903225806452</v>
      </c>
      <c r="P436" s="39">
        <f>Prices!$BP438*F436</f>
        <v>13.919758064516131</v>
      </c>
      <c r="Q436" s="39">
        <f>(31.1*0.925/Prices!$BN438)*G436</f>
        <v>9.2798387096774206</v>
      </c>
    </row>
    <row r="437" spans="1:17">
      <c r="A437" s="54">
        <f t="shared" si="26"/>
        <v>1687</v>
      </c>
      <c r="B437" s="36"/>
      <c r="C437" s="38">
        <v>18</v>
      </c>
      <c r="D437" s="38">
        <v>12</v>
      </c>
      <c r="E437" s="38">
        <v>12</v>
      </c>
      <c r="F437" s="38">
        <v>30</v>
      </c>
      <c r="G437" s="38">
        <v>20</v>
      </c>
      <c r="H437" s="39">
        <f>F437/Wages!C437</f>
        <v>1.6666666666666667</v>
      </c>
      <c r="I437" s="39">
        <f>G437/Wages!D437</f>
        <v>1.6666666666666667</v>
      </c>
      <c r="J437" s="36"/>
      <c r="K437" s="38">
        <v>12</v>
      </c>
      <c r="L437" s="38"/>
      <c r="M437" s="39">
        <f>Prices!BP439*Wages!$C437</f>
        <v>8.3518548387096789</v>
      </c>
      <c r="N437" s="39">
        <f>Prices!BP439*Wages!D437</f>
        <v>5.567903225806452</v>
      </c>
      <c r="O437" s="39">
        <f>Prices!$BP439*Wages!E437</f>
        <v>5.567903225806452</v>
      </c>
      <c r="P437" s="39">
        <f>Prices!$BP439*F437</f>
        <v>13.919758064516131</v>
      </c>
      <c r="Q437" s="39">
        <f>(31.1*0.925/Prices!$BN439)*G437</f>
        <v>9.2798387096774206</v>
      </c>
    </row>
    <row r="438" spans="1:17">
      <c r="A438" s="54">
        <f t="shared" si="26"/>
        <v>1688</v>
      </c>
      <c r="B438" s="36"/>
      <c r="C438" s="38">
        <v>19</v>
      </c>
      <c r="D438" s="38">
        <v>12</v>
      </c>
      <c r="E438" s="38">
        <v>12</v>
      </c>
      <c r="F438" s="38">
        <v>30</v>
      </c>
      <c r="G438" s="38">
        <v>20</v>
      </c>
      <c r="H438" s="39">
        <f>F438/Wages!C438</f>
        <v>1.5789473684210527</v>
      </c>
      <c r="I438" s="39">
        <f>G438/Wages!D438</f>
        <v>1.6666666666666667</v>
      </c>
      <c r="J438" s="36"/>
      <c r="K438" s="38">
        <v>12</v>
      </c>
      <c r="L438" s="38"/>
      <c r="M438" s="39">
        <f>Prices!BP440*Wages!$C438</f>
        <v>8.8158467741935489</v>
      </c>
      <c r="N438" s="39">
        <f>Prices!BP440*Wages!D438</f>
        <v>5.567903225806452</v>
      </c>
      <c r="O438" s="39">
        <f>Prices!$BP440*Wages!E438</f>
        <v>5.567903225806452</v>
      </c>
      <c r="P438" s="39">
        <f>Prices!$BP440*F438</f>
        <v>13.919758064516131</v>
      </c>
      <c r="Q438" s="39">
        <f>(31.1*0.925/Prices!$BN440)*G438</f>
        <v>9.2798387096774206</v>
      </c>
    </row>
    <row r="439" spans="1:17">
      <c r="A439" s="54">
        <f t="shared" si="26"/>
        <v>1689</v>
      </c>
      <c r="B439" s="36"/>
      <c r="C439" s="38">
        <v>19</v>
      </c>
      <c r="D439" s="38">
        <v>12</v>
      </c>
      <c r="E439" s="38">
        <v>12</v>
      </c>
      <c r="F439" s="38">
        <v>30</v>
      </c>
      <c r="G439" s="38">
        <v>20</v>
      </c>
      <c r="H439" s="39">
        <f>F439/Wages!C439</f>
        <v>1.5789473684210527</v>
      </c>
      <c r="I439" s="39">
        <f>G439/Wages!D439</f>
        <v>1.6666666666666667</v>
      </c>
      <c r="J439" s="36"/>
      <c r="K439" s="38">
        <v>12</v>
      </c>
      <c r="L439" s="38"/>
      <c r="M439" s="39">
        <f>Prices!BP441*Wages!$C439</f>
        <v>8.8158467741935489</v>
      </c>
      <c r="N439" s="39">
        <f>Prices!BP441*Wages!D439</f>
        <v>5.567903225806452</v>
      </c>
      <c r="O439" s="39">
        <f>Prices!$BP441*Wages!E439</f>
        <v>5.567903225806452</v>
      </c>
      <c r="P439" s="39">
        <f>Prices!$BP441*F439</f>
        <v>13.919758064516131</v>
      </c>
      <c r="Q439" s="39">
        <f>(31.1*0.925/Prices!$BN441)*G439</f>
        <v>9.2798387096774206</v>
      </c>
    </row>
    <row r="440" spans="1:17">
      <c r="A440" s="54">
        <f t="shared" si="26"/>
        <v>1690</v>
      </c>
      <c r="B440" s="36"/>
      <c r="C440" s="38">
        <v>19</v>
      </c>
      <c r="D440" s="38">
        <v>12</v>
      </c>
      <c r="E440" s="38">
        <v>12</v>
      </c>
      <c r="F440" s="38">
        <v>30</v>
      </c>
      <c r="G440" s="38">
        <v>24</v>
      </c>
      <c r="H440" s="39">
        <f>F440/Wages!C440</f>
        <v>1.5789473684210527</v>
      </c>
      <c r="I440" s="39">
        <f>G440/Wages!D440</f>
        <v>2</v>
      </c>
      <c r="J440" s="36"/>
      <c r="K440" s="38">
        <v>12</v>
      </c>
      <c r="L440" s="38"/>
      <c r="M440" s="39">
        <f>Prices!BP442*Wages!$C440</f>
        <v>8.8158467741935489</v>
      </c>
      <c r="N440" s="39">
        <f>Prices!BP442*Wages!D440</f>
        <v>5.567903225806452</v>
      </c>
      <c r="O440" s="39">
        <f>Prices!$BP442*Wages!E440</f>
        <v>5.567903225806452</v>
      </c>
      <c r="P440" s="39">
        <f>Prices!$BP442*F440</f>
        <v>13.919758064516131</v>
      </c>
      <c r="Q440" s="39">
        <f>(31.1*0.925/Prices!$BN442)*G440</f>
        <v>11.135806451612904</v>
      </c>
    </row>
    <row r="441" spans="1:17">
      <c r="A441" s="54">
        <f t="shared" si="26"/>
        <v>1691</v>
      </c>
      <c r="B441" s="36"/>
      <c r="C441" s="38">
        <v>19</v>
      </c>
      <c r="D441" s="38">
        <v>12</v>
      </c>
      <c r="E441" s="38">
        <v>12</v>
      </c>
      <c r="F441" s="38">
        <v>30</v>
      </c>
      <c r="G441" s="38">
        <v>24</v>
      </c>
      <c r="H441" s="39">
        <f>F441/Wages!C441</f>
        <v>1.5789473684210527</v>
      </c>
      <c r="I441" s="39">
        <f>G441/Wages!D441</f>
        <v>2</v>
      </c>
      <c r="J441" s="36"/>
      <c r="K441" s="38">
        <v>12</v>
      </c>
      <c r="L441" s="38"/>
      <c r="M441" s="39">
        <f>Prices!BP443*Wages!$C441</f>
        <v>8.8158467741935489</v>
      </c>
      <c r="N441" s="39">
        <f>Prices!BP443*Wages!D441</f>
        <v>5.567903225806452</v>
      </c>
      <c r="O441" s="39">
        <f>Prices!$BP443*Wages!E441</f>
        <v>5.567903225806452</v>
      </c>
      <c r="P441" s="39">
        <f>Prices!$BP443*F441</f>
        <v>13.919758064516131</v>
      </c>
      <c r="Q441" s="39">
        <f>(31.1*0.925/Prices!$BN443)*G441</f>
        <v>11.135806451612904</v>
      </c>
    </row>
    <row r="442" spans="1:17">
      <c r="A442" s="54">
        <f t="shared" si="26"/>
        <v>1692</v>
      </c>
      <c r="B442" s="36"/>
      <c r="C442" s="38">
        <v>19</v>
      </c>
      <c r="D442" s="38">
        <v>12</v>
      </c>
      <c r="E442" s="38">
        <v>12</v>
      </c>
      <c r="F442" s="38">
        <v>30</v>
      </c>
      <c r="G442" s="38">
        <v>24</v>
      </c>
      <c r="H442" s="39">
        <f>F442/Wages!C442</f>
        <v>1.5789473684210527</v>
      </c>
      <c r="I442" s="39">
        <f>G442/Wages!D442</f>
        <v>2</v>
      </c>
      <c r="J442" s="38">
        <v>20</v>
      </c>
      <c r="K442" s="38">
        <v>12</v>
      </c>
      <c r="L442" s="38"/>
      <c r="M442" s="39">
        <f>Prices!BP444*Wages!$C442</f>
        <v>8.8158467741935489</v>
      </c>
      <c r="N442" s="39">
        <f>Prices!BP444*Wages!D442</f>
        <v>5.567903225806452</v>
      </c>
      <c r="O442" s="39">
        <f>Prices!$BP444*Wages!E442</f>
        <v>5.567903225806452</v>
      </c>
      <c r="P442" s="39">
        <f>Prices!$BP444*F442</f>
        <v>13.919758064516131</v>
      </c>
      <c r="Q442" s="39">
        <f>(31.1*0.925/Prices!$BN444)*G442</f>
        <v>11.135806451612904</v>
      </c>
    </row>
    <row r="443" spans="1:17">
      <c r="A443" s="54">
        <f t="shared" si="26"/>
        <v>1693</v>
      </c>
      <c r="B443" s="36"/>
      <c r="C443" s="38">
        <v>19</v>
      </c>
      <c r="D443" s="38">
        <v>12</v>
      </c>
      <c r="E443" s="38">
        <v>12</v>
      </c>
      <c r="F443" s="38">
        <v>30</v>
      </c>
      <c r="G443" s="38">
        <v>24</v>
      </c>
      <c r="H443" s="39">
        <f>F443/Wages!C443</f>
        <v>1.5789473684210527</v>
      </c>
      <c r="I443" s="39">
        <f>G443/Wages!D443</f>
        <v>2</v>
      </c>
      <c r="J443" s="36"/>
      <c r="K443" s="38">
        <v>12</v>
      </c>
      <c r="L443" s="38"/>
      <c r="M443" s="39">
        <f>Prices!BP445*Wages!$C443</f>
        <v>8.8158467741935489</v>
      </c>
      <c r="N443" s="39">
        <f>Prices!BP445*Wages!D443</f>
        <v>5.567903225806452</v>
      </c>
      <c r="O443" s="39">
        <f>Prices!$BP445*Wages!E443</f>
        <v>5.567903225806452</v>
      </c>
      <c r="P443" s="39">
        <f>Prices!$BP445*F443</f>
        <v>13.919758064516131</v>
      </c>
      <c r="Q443" s="39">
        <f>(31.1*0.925/Prices!$BN445)*G443</f>
        <v>11.135806451612904</v>
      </c>
    </row>
    <row r="444" spans="1:17">
      <c r="A444" s="54">
        <f t="shared" si="26"/>
        <v>1694</v>
      </c>
      <c r="B444" s="36"/>
      <c r="C444" s="38">
        <v>19</v>
      </c>
      <c r="D444" s="38">
        <v>13</v>
      </c>
      <c r="E444" s="38">
        <v>12</v>
      </c>
      <c r="F444" s="38">
        <v>30</v>
      </c>
      <c r="G444" s="38">
        <v>24</v>
      </c>
      <c r="H444" s="39">
        <f>F444/Wages!C444</f>
        <v>1.5789473684210527</v>
      </c>
      <c r="I444" s="39">
        <f>G444/Wages!D444</f>
        <v>1.8461538461538463</v>
      </c>
      <c r="J444" s="38">
        <v>21</v>
      </c>
      <c r="K444" s="38">
        <v>12</v>
      </c>
      <c r="L444" s="38"/>
      <c r="M444" s="39">
        <f>Prices!BP446*Wages!$C444</f>
        <v>8.8158467741935489</v>
      </c>
      <c r="N444" s="39">
        <f>Prices!BP446*Wages!D444</f>
        <v>6.0318951612903229</v>
      </c>
      <c r="O444" s="39">
        <f>Prices!$BP446*Wages!E444</f>
        <v>5.567903225806452</v>
      </c>
      <c r="P444" s="39">
        <f>Prices!$BP446*F444</f>
        <v>13.919758064516131</v>
      </c>
      <c r="Q444" s="39">
        <f>(31.1*0.925/Prices!$BN446)*G444</f>
        <v>11.135806451612904</v>
      </c>
    </row>
    <row r="445" spans="1:17">
      <c r="A445" s="54">
        <f t="shared" si="26"/>
        <v>1695</v>
      </c>
      <c r="B445" s="36"/>
      <c r="C445" s="38">
        <v>19</v>
      </c>
      <c r="D445" s="38">
        <v>13</v>
      </c>
      <c r="E445" s="38">
        <v>12</v>
      </c>
      <c r="F445" s="38">
        <v>30</v>
      </c>
      <c r="G445" s="38">
        <v>24</v>
      </c>
      <c r="H445" s="39">
        <f>F445/Wages!C445</f>
        <v>1.5789473684210527</v>
      </c>
      <c r="I445" s="39">
        <f>G445/Wages!D445</f>
        <v>1.8461538461538463</v>
      </c>
      <c r="J445" s="38">
        <v>22</v>
      </c>
      <c r="K445" s="38">
        <v>12</v>
      </c>
      <c r="L445" s="38"/>
      <c r="M445" s="39">
        <f>Prices!BP447*Wages!$C445</f>
        <v>8.8158467741935489</v>
      </c>
      <c r="N445" s="39">
        <f>Prices!BP447*Wages!D445</f>
        <v>6.0318951612903229</v>
      </c>
      <c r="O445" s="39">
        <f>Prices!$BP447*Wages!E445</f>
        <v>5.567903225806452</v>
      </c>
      <c r="P445" s="39">
        <f>Prices!$BP447*F445</f>
        <v>13.919758064516131</v>
      </c>
      <c r="Q445" s="39">
        <f>(31.1*0.925/Prices!$BN447)*G445</f>
        <v>11.135806451612904</v>
      </c>
    </row>
    <row r="446" spans="1:17">
      <c r="A446" s="54">
        <f t="shared" si="26"/>
        <v>1696</v>
      </c>
      <c r="B446" s="36"/>
      <c r="C446" s="38">
        <v>19</v>
      </c>
      <c r="D446" s="38">
        <v>13</v>
      </c>
      <c r="E446" s="38">
        <v>12</v>
      </c>
      <c r="F446" s="38">
        <v>30</v>
      </c>
      <c r="G446" s="38">
        <v>24</v>
      </c>
      <c r="H446" s="39">
        <f>F446/Wages!C446</f>
        <v>1.5789473684210527</v>
      </c>
      <c r="I446" s="39">
        <f>G446/Wages!D446</f>
        <v>1.8461538461538463</v>
      </c>
      <c r="J446" s="38">
        <v>18</v>
      </c>
      <c r="K446" s="38">
        <v>12</v>
      </c>
      <c r="L446" s="38"/>
      <c r="M446" s="39">
        <f>Prices!BP448*Wages!$C446</f>
        <v>8.8158467741935489</v>
      </c>
      <c r="N446" s="39">
        <f>Prices!BP448*Wages!D446</f>
        <v>6.0318951612903229</v>
      </c>
      <c r="O446" s="39">
        <f>Prices!$BP448*Wages!E446</f>
        <v>5.567903225806452</v>
      </c>
      <c r="P446" s="39">
        <f>Prices!$BP448*F446</f>
        <v>13.919758064516131</v>
      </c>
      <c r="Q446" s="39">
        <f>(31.1*0.925/Prices!$BN448)*G446</f>
        <v>11.135806451612904</v>
      </c>
    </row>
    <row r="447" spans="1:17">
      <c r="A447" s="54">
        <f t="shared" si="26"/>
        <v>1697</v>
      </c>
      <c r="B447" s="36"/>
      <c r="C447" s="38">
        <v>19</v>
      </c>
      <c r="D447" s="38">
        <v>13</v>
      </c>
      <c r="E447" s="38">
        <v>12</v>
      </c>
      <c r="F447" s="38">
        <v>30</v>
      </c>
      <c r="G447" s="38">
        <v>24</v>
      </c>
      <c r="H447" s="39">
        <f>F447/Wages!C447</f>
        <v>1.5789473684210527</v>
      </c>
      <c r="I447" s="39">
        <f>G447/Wages!D447</f>
        <v>1.8461538461538463</v>
      </c>
      <c r="J447" s="38">
        <v>20</v>
      </c>
      <c r="K447" s="38">
        <v>12</v>
      </c>
      <c r="L447" s="38"/>
      <c r="M447" s="39">
        <f>Prices!BP449*Wages!$C447</f>
        <v>8.8158467741935489</v>
      </c>
      <c r="N447" s="39">
        <f>Prices!BP449*Wages!D447</f>
        <v>6.0318951612903229</v>
      </c>
      <c r="O447" s="39">
        <f>Prices!$BP449*Wages!E447</f>
        <v>5.567903225806452</v>
      </c>
      <c r="P447" s="39">
        <f>Prices!$BP449*F447</f>
        <v>13.919758064516131</v>
      </c>
      <c r="Q447" s="39">
        <f>(31.1*0.925/Prices!$BN449)*G447</f>
        <v>11.135806451612904</v>
      </c>
    </row>
    <row r="448" spans="1:17">
      <c r="A448" s="54">
        <f t="shared" si="26"/>
        <v>1698</v>
      </c>
      <c r="B448" s="36"/>
      <c r="C448" s="38">
        <v>19</v>
      </c>
      <c r="D448" s="38">
        <v>13</v>
      </c>
      <c r="E448" s="38">
        <v>12</v>
      </c>
      <c r="F448" s="38">
        <v>30</v>
      </c>
      <c r="G448" s="38">
        <v>24</v>
      </c>
      <c r="H448" s="39">
        <f>F448/Wages!C448</f>
        <v>1.5789473684210527</v>
      </c>
      <c r="I448" s="39">
        <f>G448/Wages!D448</f>
        <v>1.8461538461538463</v>
      </c>
      <c r="J448" s="36"/>
      <c r="K448" s="38">
        <v>12</v>
      </c>
      <c r="L448" s="38"/>
      <c r="M448" s="39">
        <f>Prices!BP450*Wages!$C448</f>
        <v>8.8158467741935489</v>
      </c>
      <c r="N448" s="39">
        <f>Prices!BP450*Wages!D448</f>
        <v>6.0318951612903229</v>
      </c>
      <c r="O448" s="39">
        <f>Prices!$BP450*Wages!E448</f>
        <v>5.567903225806452</v>
      </c>
      <c r="P448" s="39">
        <f>Prices!$BP450*F448</f>
        <v>13.919758064516131</v>
      </c>
      <c r="Q448" s="39">
        <f>(31.1*0.925/Prices!$BN450)*G448</f>
        <v>11.135806451612904</v>
      </c>
    </row>
    <row r="449" spans="1:17">
      <c r="A449" s="54">
        <f t="shared" si="26"/>
        <v>1699</v>
      </c>
      <c r="B449" s="36"/>
      <c r="C449" s="38">
        <v>19</v>
      </c>
      <c r="D449" s="38">
        <v>13</v>
      </c>
      <c r="E449" s="38">
        <v>12</v>
      </c>
      <c r="F449" s="38">
        <v>30</v>
      </c>
      <c r="G449" s="38">
        <v>24</v>
      </c>
      <c r="H449" s="39">
        <f>F449/Wages!C449</f>
        <v>1.5789473684210527</v>
      </c>
      <c r="I449" s="39">
        <f>G449/Wages!D449</f>
        <v>1.8461538461538463</v>
      </c>
      <c r="J449" s="36"/>
      <c r="K449" s="38">
        <v>12</v>
      </c>
      <c r="L449" s="38"/>
      <c r="M449" s="39">
        <f>Prices!BP451*Wages!$C449</f>
        <v>8.8158467741935489</v>
      </c>
      <c r="N449" s="39">
        <f>Prices!BP451*Wages!D449</f>
        <v>6.0318951612903229</v>
      </c>
      <c r="O449" s="39">
        <f>Prices!$BP451*Wages!E449</f>
        <v>5.567903225806452</v>
      </c>
      <c r="P449" s="39">
        <f>Prices!$BP451*F449</f>
        <v>13.919758064516131</v>
      </c>
      <c r="Q449" s="39">
        <f>(31.1*0.925/Prices!$BN451)*G449</f>
        <v>11.135806451612904</v>
      </c>
    </row>
    <row r="450" spans="1:17">
      <c r="A450" s="54">
        <f t="shared" si="26"/>
        <v>1700</v>
      </c>
      <c r="B450" s="36"/>
      <c r="C450" s="38">
        <v>19</v>
      </c>
      <c r="D450" s="38">
        <v>13</v>
      </c>
      <c r="E450" s="38">
        <v>12</v>
      </c>
      <c r="F450" s="38">
        <v>30</v>
      </c>
      <c r="G450" s="38">
        <v>22</v>
      </c>
      <c r="H450" s="39">
        <f>F450/Wages!C450</f>
        <v>1.5789473684210527</v>
      </c>
      <c r="I450" s="39">
        <f>G450/Wages!D450</f>
        <v>1.6923076923076923</v>
      </c>
      <c r="J450" s="38">
        <v>20</v>
      </c>
      <c r="K450" s="38">
        <v>12</v>
      </c>
      <c r="L450" s="38"/>
      <c r="M450" s="39">
        <f>Prices!BP452*Wages!$C450</f>
        <v>8.8158467741935489</v>
      </c>
      <c r="N450" s="39">
        <f>Prices!BP452*Wages!D450</f>
        <v>6.0318951612903229</v>
      </c>
      <c r="O450" s="39">
        <f>Prices!$BP452*Wages!E450</f>
        <v>5.567903225806452</v>
      </c>
      <c r="P450" s="39">
        <f>Prices!$BP452*F450</f>
        <v>13.919758064516131</v>
      </c>
      <c r="Q450" s="39">
        <f>(31.1*0.925/Prices!$BN452)*G450</f>
        <v>10.207822580645162</v>
      </c>
    </row>
    <row r="451" spans="1:17">
      <c r="A451" s="54">
        <f t="shared" si="26"/>
        <v>1701</v>
      </c>
      <c r="B451" s="36"/>
      <c r="C451" s="38">
        <v>19</v>
      </c>
      <c r="D451" s="38">
        <v>13</v>
      </c>
      <c r="E451" s="38">
        <v>12</v>
      </c>
      <c r="F451" s="38">
        <v>30</v>
      </c>
      <c r="G451" s="38">
        <v>22</v>
      </c>
      <c r="H451" s="39">
        <f>F451/Wages!C451</f>
        <v>1.5789473684210527</v>
      </c>
      <c r="I451" s="39">
        <f>G451/Wages!D451</f>
        <v>1.6923076923076923</v>
      </c>
      <c r="J451" s="36"/>
      <c r="K451" s="38">
        <v>12</v>
      </c>
      <c r="L451" s="38"/>
      <c r="M451" s="39">
        <f>Prices!BP453*Wages!$C451</f>
        <v>8.8158467741935489</v>
      </c>
      <c r="N451" s="39">
        <f>Prices!BP453*Wages!D451</f>
        <v>6.0318951612903229</v>
      </c>
      <c r="O451" s="39">
        <f>Prices!$BP453*Wages!E451</f>
        <v>5.567903225806452</v>
      </c>
      <c r="P451" s="39">
        <f>Prices!$BP453*F451</f>
        <v>13.919758064516131</v>
      </c>
      <c r="Q451" s="39">
        <f>(31.1*0.925/Prices!$BN453)*G451</f>
        <v>10.207822580645162</v>
      </c>
    </row>
    <row r="452" spans="1:17">
      <c r="A452" s="54">
        <f t="shared" si="26"/>
        <v>1702</v>
      </c>
      <c r="B452" s="36"/>
      <c r="C452" s="38">
        <v>21</v>
      </c>
      <c r="D452" s="38">
        <v>14.5</v>
      </c>
      <c r="E452" s="38">
        <v>12</v>
      </c>
      <c r="F452" s="38">
        <v>30</v>
      </c>
      <c r="G452" s="38">
        <v>22</v>
      </c>
      <c r="H452" s="39">
        <f>F452/Wages!C452</f>
        <v>1.4285714285714286</v>
      </c>
      <c r="I452" s="39">
        <f>G452/Wages!D452</f>
        <v>1.5172413793103448</v>
      </c>
      <c r="J452" s="36"/>
      <c r="K452" s="38">
        <v>12</v>
      </c>
      <c r="L452" s="38"/>
      <c r="M452" s="39">
        <f>Prices!BP454*Wages!$C452</f>
        <v>9.7438306451612906</v>
      </c>
      <c r="N452" s="39">
        <f>Prices!BP454*Wages!D452</f>
        <v>6.7278830645161296</v>
      </c>
      <c r="O452" s="39">
        <f>Prices!$BP454*Wages!E452</f>
        <v>5.567903225806452</v>
      </c>
      <c r="P452" s="39">
        <f>Prices!$BP454*F452</f>
        <v>13.919758064516131</v>
      </c>
      <c r="Q452" s="39">
        <f>(31.1*0.925/Prices!$BN454)*G452</f>
        <v>10.207822580645162</v>
      </c>
    </row>
    <row r="453" spans="1:17">
      <c r="A453" s="54">
        <f t="shared" si="26"/>
        <v>1703</v>
      </c>
      <c r="B453" s="36"/>
      <c r="C453" s="38">
        <v>21</v>
      </c>
      <c r="D453" s="38">
        <v>14.5</v>
      </c>
      <c r="E453" s="38">
        <v>12</v>
      </c>
      <c r="F453" s="38">
        <v>30</v>
      </c>
      <c r="G453" s="38">
        <v>22</v>
      </c>
      <c r="H453" s="39">
        <f>F453/Wages!C453</f>
        <v>1.4285714285714286</v>
      </c>
      <c r="I453" s="39">
        <f>G453/Wages!D453</f>
        <v>1.5172413793103448</v>
      </c>
      <c r="J453" s="38">
        <v>20</v>
      </c>
      <c r="K453" s="38">
        <v>12</v>
      </c>
      <c r="L453" s="38"/>
      <c r="M453" s="39">
        <f>Prices!BP455*Wages!$C453</f>
        <v>9.7438306451612906</v>
      </c>
      <c r="N453" s="39">
        <f>Prices!BP455*Wages!D453</f>
        <v>6.7278830645161296</v>
      </c>
      <c r="O453" s="39">
        <f>Prices!$BP455*Wages!E453</f>
        <v>5.567903225806452</v>
      </c>
      <c r="P453" s="39">
        <f>Prices!$BP455*F453</f>
        <v>13.919758064516131</v>
      </c>
      <c r="Q453" s="39">
        <f>(31.1*0.925/Prices!$BN455)*G453</f>
        <v>10.207822580645162</v>
      </c>
    </row>
    <row r="454" spans="1:17">
      <c r="A454" s="54">
        <f t="shared" si="26"/>
        <v>1704</v>
      </c>
      <c r="B454" s="36"/>
      <c r="C454" s="38">
        <v>21</v>
      </c>
      <c r="D454" s="38">
        <v>14.5</v>
      </c>
      <c r="E454" s="38">
        <v>12</v>
      </c>
      <c r="F454" s="38">
        <v>30</v>
      </c>
      <c r="G454" s="38">
        <v>24</v>
      </c>
      <c r="H454" s="39">
        <f>F454/Wages!C454</f>
        <v>1.4285714285714286</v>
      </c>
      <c r="I454" s="39">
        <f>G454/Wages!D454</f>
        <v>1.6551724137931034</v>
      </c>
      <c r="J454" s="36"/>
      <c r="K454" s="38">
        <v>12</v>
      </c>
      <c r="L454" s="38"/>
      <c r="M454" s="39">
        <f>Prices!BP456*Wages!$C454</f>
        <v>9.7438306451612906</v>
      </c>
      <c r="N454" s="39">
        <f>Prices!BP456*Wages!D454</f>
        <v>6.7278830645161296</v>
      </c>
      <c r="O454" s="39">
        <f>Prices!$BP456*Wages!E454</f>
        <v>5.567903225806452</v>
      </c>
      <c r="P454" s="39">
        <f>Prices!$BP456*F454</f>
        <v>13.919758064516131</v>
      </c>
      <c r="Q454" s="39">
        <f>(31.1*0.925/Prices!$BN456)*G454</f>
        <v>11.135806451612904</v>
      </c>
    </row>
    <row r="455" spans="1:17">
      <c r="A455" s="54">
        <f t="shared" si="26"/>
        <v>1705</v>
      </c>
      <c r="B455" s="36"/>
      <c r="C455" s="38">
        <v>21</v>
      </c>
      <c r="D455" s="38">
        <v>14.5</v>
      </c>
      <c r="E455" s="38">
        <v>12</v>
      </c>
      <c r="F455" s="38">
        <v>30</v>
      </c>
      <c r="G455" s="38">
        <v>22</v>
      </c>
      <c r="H455" s="39">
        <f>F455/Wages!C455</f>
        <v>1.4285714285714286</v>
      </c>
      <c r="I455" s="39">
        <f>G455/Wages!D455</f>
        <v>1.5172413793103448</v>
      </c>
      <c r="J455" s="36"/>
      <c r="K455" s="38">
        <v>12</v>
      </c>
      <c r="L455" s="38"/>
      <c r="M455" s="39">
        <f>Prices!BP457*Wages!$C455</f>
        <v>9.7438306451612906</v>
      </c>
      <c r="N455" s="39">
        <f>Prices!BP457*Wages!D455</f>
        <v>6.7278830645161296</v>
      </c>
      <c r="O455" s="39">
        <f>Prices!$BP457*Wages!E455</f>
        <v>5.567903225806452</v>
      </c>
      <c r="P455" s="39">
        <f>Prices!$BP457*F455</f>
        <v>13.919758064516131</v>
      </c>
      <c r="Q455" s="39">
        <f>(31.1*0.925/Prices!$BN457)*G455</f>
        <v>10.207822580645162</v>
      </c>
    </row>
    <row r="456" spans="1:17">
      <c r="A456" s="54">
        <f t="shared" si="26"/>
        <v>1706</v>
      </c>
      <c r="B456" s="36"/>
      <c r="C456" s="38">
        <v>21</v>
      </c>
      <c r="D456" s="38">
        <v>14.5</v>
      </c>
      <c r="E456" s="38">
        <v>12</v>
      </c>
      <c r="F456" s="38">
        <v>30</v>
      </c>
      <c r="G456" s="38">
        <v>22</v>
      </c>
      <c r="H456" s="39">
        <f>F456/Wages!C456</f>
        <v>1.4285714285714286</v>
      </c>
      <c r="I456" s="39">
        <f>G456/Wages!D456</f>
        <v>1.5172413793103448</v>
      </c>
      <c r="J456" s="36"/>
      <c r="K456" s="38">
        <v>12</v>
      </c>
      <c r="L456" s="38"/>
      <c r="M456" s="39">
        <f>Prices!BP458*Wages!$C456</f>
        <v>9.7438306451612906</v>
      </c>
      <c r="N456" s="39">
        <f>Prices!BP458*Wages!D456</f>
        <v>6.7278830645161296</v>
      </c>
      <c r="O456" s="39">
        <f>Prices!$BP458*Wages!E456</f>
        <v>5.567903225806452</v>
      </c>
      <c r="P456" s="39">
        <f>Prices!$BP458*F456</f>
        <v>13.919758064516131</v>
      </c>
      <c r="Q456" s="39">
        <f>(31.1*0.925/Prices!$BN458)*G456</f>
        <v>10.207822580645162</v>
      </c>
    </row>
    <row r="457" spans="1:17">
      <c r="A457" s="54">
        <f t="shared" si="26"/>
        <v>1707</v>
      </c>
      <c r="B457" s="36"/>
      <c r="C457" s="38">
        <v>21</v>
      </c>
      <c r="D457" s="38">
        <v>14.5</v>
      </c>
      <c r="E457" s="38">
        <v>12</v>
      </c>
      <c r="F457" s="38">
        <v>30</v>
      </c>
      <c r="G457" s="38">
        <v>22</v>
      </c>
      <c r="H457" s="39">
        <f>F457/Wages!C457</f>
        <v>1.4285714285714286</v>
      </c>
      <c r="I457" s="39">
        <f>G457/Wages!D457</f>
        <v>1.5172413793103448</v>
      </c>
      <c r="J457" s="38">
        <v>20</v>
      </c>
      <c r="K457" s="38">
        <v>12</v>
      </c>
      <c r="L457" s="38"/>
      <c r="M457" s="39">
        <f>Prices!BP459*Wages!$C457</f>
        <v>9.7438306451612906</v>
      </c>
      <c r="N457" s="39">
        <f>Prices!BP459*Wages!D457</f>
        <v>6.7278830645161296</v>
      </c>
      <c r="O457" s="39">
        <f>Prices!$BP459*Wages!E457</f>
        <v>5.567903225806452</v>
      </c>
      <c r="P457" s="39">
        <f>Prices!$BP459*F457</f>
        <v>13.919758064516131</v>
      </c>
      <c r="Q457" s="39">
        <f>(31.1*0.925/Prices!$BN459)*G457</f>
        <v>10.207822580645162</v>
      </c>
    </row>
    <row r="458" spans="1:17">
      <c r="A458" s="54">
        <f t="shared" ref="A458:A521" si="27">A457+1</f>
        <v>1708</v>
      </c>
      <c r="B458" s="36"/>
      <c r="C458" s="38">
        <v>21</v>
      </c>
      <c r="D458" s="38">
        <v>14.5</v>
      </c>
      <c r="E458" s="38">
        <v>12</v>
      </c>
      <c r="F458" s="38">
        <v>30</v>
      </c>
      <c r="G458" s="38">
        <v>22</v>
      </c>
      <c r="H458" s="39">
        <f>F458/Wages!C458</f>
        <v>1.4285714285714286</v>
      </c>
      <c r="I458" s="39">
        <f>G458/Wages!D458</f>
        <v>1.5172413793103448</v>
      </c>
      <c r="J458" s="36"/>
      <c r="K458" s="38">
        <v>12</v>
      </c>
      <c r="L458" s="38"/>
      <c r="M458" s="39">
        <f>Prices!BP460*Wages!$C458</f>
        <v>9.7438306451612906</v>
      </c>
      <c r="N458" s="39">
        <f>Prices!BP460*Wages!D458</f>
        <v>6.7278830645161296</v>
      </c>
      <c r="O458" s="39">
        <f>Prices!$BP460*Wages!E458</f>
        <v>5.567903225806452</v>
      </c>
      <c r="P458" s="39">
        <f>Prices!$BP460*F458</f>
        <v>13.919758064516131</v>
      </c>
      <c r="Q458" s="39">
        <f>(31.1*0.925/Prices!$BN460)*G458</f>
        <v>10.207822580645162</v>
      </c>
    </row>
    <row r="459" spans="1:17">
      <c r="A459" s="54">
        <f t="shared" si="27"/>
        <v>1709</v>
      </c>
      <c r="B459" s="36"/>
      <c r="C459" s="38">
        <v>21</v>
      </c>
      <c r="D459" s="38">
        <v>14.5</v>
      </c>
      <c r="E459" s="38">
        <v>12</v>
      </c>
      <c r="F459" s="38">
        <v>30</v>
      </c>
      <c r="G459" s="38">
        <v>22</v>
      </c>
      <c r="H459" s="39">
        <f>F459/Wages!C459</f>
        <v>1.4285714285714286</v>
      </c>
      <c r="I459" s="39">
        <f>G459/Wages!D459</f>
        <v>1.5172413793103448</v>
      </c>
      <c r="J459" s="36"/>
      <c r="K459" s="38">
        <v>12</v>
      </c>
      <c r="L459" s="38"/>
      <c r="M459" s="39">
        <f>Prices!BP461*Wages!$C459</f>
        <v>9.7438306451612906</v>
      </c>
      <c r="N459" s="39">
        <f>Prices!BP461*Wages!D459</f>
        <v>6.7278830645161296</v>
      </c>
      <c r="O459" s="39">
        <f>Prices!$BP461*Wages!E459</f>
        <v>5.567903225806452</v>
      </c>
      <c r="P459" s="39">
        <f>Prices!$BP461*F459</f>
        <v>13.919758064516131</v>
      </c>
      <c r="Q459" s="39">
        <f>(31.1*0.925/Prices!$BN461)*G459</f>
        <v>10.207822580645162</v>
      </c>
    </row>
    <row r="460" spans="1:17">
      <c r="A460" s="54">
        <f t="shared" si="27"/>
        <v>1710</v>
      </c>
      <c r="B460" s="36"/>
      <c r="C460" s="38">
        <v>21</v>
      </c>
      <c r="D460" s="38">
        <v>14.5</v>
      </c>
      <c r="E460" s="38">
        <v>12</v>
      </c>
      <c r="F460" s="38">
        <v>30</v>
      </c>
      <c r="G460" s="38">
        <v>22</v>
      </c>
      <c r="H460" s="39">
        <f>F460/Wages!C460</f>
        <v>1.4285714285714286</v>
      </c>
      <c r="I460" s="39">
        <f>G460/Wages!D460</f>
        <v>1.5172413793103448</v>
      </c>
      <c r="J460" s="38">
        <v>20</v>
      </c>
      <c r="K460" s="38">
        <v>12</v>
      </c>
      <c r="L460" s="38"/>
      <c r="M460" s="39">
        <f>Prices!BP462*Wages!$C460</f>
        <v>9.7438306451612906</v>
      </c>
      <c r="N460" s="39">
        <f>Prices!BP462*Wages!D460</f>
        <v>6.7278830645161296</v>
      </c>
      <c r="O460" s="39">
        <f>Prices!$BP462*Wages!E460</f>
        <v>5.567903225806452</v>
      </c>
      <c r="P460" s="39">
        <f>Prices!$BP462*F460</f>
        <v>13.919758064516131</v>
      </c>
      <c r="Q460" s="39">
        <f>(31.1*0.925/Prices!$BN462)*G460</f>
        <v>10.207822580645162</v>
      </c>
    </row>
    <row r="461" spans="1:17">
      <c r="A461" s="54">
        <f t="shared" si="27"/>
        <v>1711</v>
      </c>
      <c r="B461" s="36"/>
      <c r="C461" s="38">
        <v>22</v>
      </c>
      <c r="D461" s="38">
        <v>15</v>
      </c>
      <c r="E461" s="38">
        <v>12</v>
      </c>
      <c r="F461" s="38">
        <v>30</v>
      </c>
      <c r="G461" s="38">
        <v>22</v>
      </c>
      <c r="H461" s="39">
        <f>F461/Wages!C461</f>
        <v>1.3636363636363635</v>
      </c>
      <c r="I461" s="39">
        <f>G461/Wages!D461</f>
        <v>1.4666666666666666</v>
      </c>
      <c r="J461" s="36"/>
      <c r="K461" s="38">
        <v>12</v>
      </c>
      <c r="L461" s="38"/>
      <c r="M461" s="39">
        <f>Prices!BP463*Wages!$C461</f>
        <v>10.207822580645162</v>
      </c>
      <c r="N461" s="39">
        <f>Prices!BP463*Wages!D461</f>
        <v>6.9598790322580655</v>
      </c>
      <c r="O461" s="39">
        <f>Prices!$BP463*Wages!E461</f>
        <v>5.567903225806452</v>
      </c>
      <c r="P461" s="39">
        <f>Prices!$BP463*F461</f>
        <v>13.919758064516131</v>
      </c>
      <c r="Q461" s="39">
        <f>(31.1*0.925/Prices!$BN463)*G461</f>
        <v>10.207822580645162</v>
      </c>
    </row>
    <row r="462" spans="1:17">
      <c r="A462" s="54">
        <f t="shared" si="27"/>
        <v>1712</v>
      </c>
      <c r="B462" s="36"/>
      <c r="C462" s="38">
        <v>22</v>
      </c>
      <c r="D462" s="38">
        <v>15</v>
      </c>
      <c r="E462" s="38">
        <v>12</v>
      </c>
      <c r="F462" s="38">
        <v>30</v>
      </c>
      <c r="G462" s="38">
        <v>22</v>
      </c>
      <c r="H462" s="39">
        <f>F462/Wages!C462</f>
        <v>1.3636363636363635</v>
      </c>
      <c r="I462" s="39">
        <f>G462/Wages!D462</f>
        <v>1.4666666666666666</v>
      </c>
      <c r="J462" s="36"/>
      <c r="K462" s="38">
        <v>12</v>
      </c>
      <c r="L462" s="38"/>
      <c r="M462" s="39">
        <f>Prices!BP464*Wages!$C462</f>
        <v>10.207822580645162</v>
      </c>
      <c r="N462" s="39">
        <f>Prices!BP464*Wages!D462</f>
        <v>6.9598790322580655</v>
      </c>
      <c r="O462" s="39">
        <f>Prices!$BP464*Wages!E462</f>
        <v>5.567903225806452</v>
      </c>
      <c r="P462" s="39">
        <f>Prices!$BP464*F462</f>
        <v>13.919758064516131</v>
      </c>
      <c r="Q462" s="39">
        <f>(31.1*0.925/Prices!$BN464)*G462</f>
        <v>10.207822580645162</v>
      </c>
    </row>
    <row r="463" spans="1:17">
      <c r="A463" s="54">
        <f t="shared" si="27"/>
        <v>1713</v>
      </c>
      <c r="B463" s="36"/>
      <c r="C463" s="38">
        <v>22</v>
      </c>
      <c r="D463" s="38">
        <v>15</v>
      </c>
      <c r="E463" s="38">
        <v>12</v>
      </c>
      <c r="F463" s="38">
        <v>30</v>
      </c>
      <c r="G463" s="38">
        <v>22</v>
      </c>
      <c r="H463" s="39">
        <f>F463/Wages!C463</f>
        <v>1.3636363636363635</v>
      </c>
      <c r="I463" s="39">
        <f>G463/Wages!D463</f>
        <v>1.4666666666666666</v>
      </c>
      <c r="J463" s="36"/>
      <c r="K463" s="38">
        <v>12</v>
      </c>
      <c r="L463" s="38"/>
      <c r="M463" s="39">
        <f>Prices!BP465*Wages!$C463</f>
        <v>10.207822580645162</v>
      </c>
      <c r="N463" s="39">
        <f>Prices!BP465*Wages!D463</f>
        <v>6.9598790322580655</v>
      </c>
      <c r="O463" s="39">
        <f>Prices!$BP465*Wages!E463</f>
        <v>5.567903225806452</v>
      </c>
      <c r="P463" s="39">
        <f>Prices!$BP465*F463</f>
        <v>13.919758064516131</v>
      </c>
      <c r="Q463" s="39">
        <f>(31.1*0.925/Prices!$BN465)*G463</f>
        <v>10.207822580645162</v>
      </c>
    </row>
    <row r="464" spans="1:17">
      <c r="A464" s="54">
        <f t="shared" si="27"/>
        <v>1714</v>
      </c>
      <c r="B464" s="36"/>
      <c r="C464" s="38">
        <v>22</v>
      </c>
      <c r="D464" s="38">
        <v>15</v>
      </c>
      <c r="E464" s="38">
        <v>12</v>
      </c>
      <c r="F464" s="38">
        <v>30</v>
      </c>
      <c r="G464" s="38">
        <v>22</v>
      </c>
      <c r="H464" s="39">
        <f>F464/Wages!C464</f>
        <v>1.3636363636363635</v>
      </c>
      <c r="I464" s="39">
        <f>G464/Wages!D464</f>
        <v>1.4666666666666666</v>
      </c>
      <c r="J464" s="36"/>
      <c r="K464" s="38">
        <v>12</v>
      </c>
      <c r="L464" s="38"/>
      <c r="M464" s="39">
        <f>Prices!BP466*Wages!$C464</f>
        <v>10.207822580645162</v>
      </c>
      <c r="N464" s="39">
        <f>Prices!BP466*Wages!D464</f>
        <v>6.9598790322580655</v>
      </c>
      <c r="O464" s="39">
        <f>Prices!$BP466*Wages!E464</f>
        <v>5.567903225806452</v>
      </c>
      <c r="P464" s="39">
        <f>Prices!$BP466*F464</f>
        <v>13.919758064516131</v>
      </c>
      <c r="Q464" s="39">
        <f>(31.1*0.925/Prices!$BN466)*G464</f>
        <v>10.207822580645162</v>
      </c>
    </row>
    <row r="465" spans="1:17">
      <c r="A465" s="54">
        <f t="shared" si="27"/>
        <v>1715</v>
      </c>
      <c r="B465" s="36"/>
      <c r="C465" s="38">
        <v>22</v>
      </c>
      <c r="D465" s="38">
        <v>15</v>
      </c>
      <c r="E465" s="38">
        <v>12</v>
      </c>
      <c r="F465" s="38">
        <v>30</v>
      </c>
      <c r="G465" s="38">
        <v>22</v>
      </c>
      <c r="H465" s="39">
        <f>F465/Wages!C465</f>
        <v>1.3636363636363635</v>
      </c>
      <c r="I465" s="39">
        <f>G465/Wages!D465</f>
        <v>1.4666666666666666</v>
      </c>
      <c r="J465" s="36"/>
      <c r="K465" s="38">
        <v>12</v>
      </c>
      <c r="L465" s="38"/>
      <c r="M465" s="39">
        <f>Prices!BP467*Wages!$C465</f>
        <v>10.207822580645162</v>
      </c>
      <c r="N465" s="39">
        <f>Prices!BP467*Wages!D465</f>
        <v>6.9598790322580655</v>
      </c>
      <c r="O465" s="39">
        <f>Prices!$BP467*Wages!E465</f>
        <v>5.567903225806452</v>
      </c>
      <c r="P465" s="39">
        <f>Prices!$BP467*F465</f>
        <v>13.919758064516131</v>
      </c>
      <c r="Q465" s="39">
        <f>(31.1*0.925/Prices!$BN467)*G465</f>
        <v>10.207822580645162</v>
      </c>
    </row>
    <row r="466" spans="1:17">
      <c r="A466" s="54">
        <f t="shared" si="27"/>
        <v>1716</v>
      </c>
      <c r="B466" s="36"/>
      <c r="C466" s="38">
        <v>22</v>
      </c>
      <c r="D466" s="38">
        <v>15</v>
      </c>
      <c r="E466" s="38">
        <v>12</v>
      </c>
      <c r="F466" s="38">
        <v>30</v>
      </c>
      <c r="G466" s="38">
        <v>22</v>
      </c>
      <c r="H466" s="39">
        <f>F466/Wages!C466</f>
        <v>1.3636363636363635</v>
      </c>
      <c r="I466" s="39">
        <f>G466/Wages!D466</f>
        <v>1.4666666666666666</v>
      </c>
      <c r="J466" s="36"/>
      <c r="K466" s="38">
        <v>12</v>
      </c>
      <c r="L466" s="38"/>
      <c r="M466" s="39">
        <f>Prices!BP468*Wages!$C466</f>
        <v>10.207822580645162</v>
      </c>
      <c r="N466" s="39">
        <f>Prices!BP468*Wages!D466</f>
        <v>6.9598790322580655</v>
      </c>
      <c r="O466" s="39">
        <f>Prices!$BP468*Wages!E466</f>
        <v>5.567903225806452</v>
      </c>
      <c r="P466" s="39">
        <f>Prices!$BP468*F466</f>
        <v>13.919758064516131</v>
      </c>
      <c r="Q466" s="39">
        <f>(31.1*0.925/Prices!$BN468)*G466</f>
        <v>10.207822580645162</v>
      </c>
    </row>
    <row r="467" spans="1:17">
      <c r="A467" s="54">
        <f t="shared" si="27"/>
        <v>1717</v>
      </c>
      <c r="B467" s="36"/>
      <c r="C467" s="38">
        <v>22</v>
      </c>
      <c r="D467" s="38">
        <v>15</v>
      </c>
      <c r="E467" s="38">
        <v>12</v>
      </c>
      <c r="F467" s="38">
        <v>30</v>
      </c>
      <c r="G467" s="38">
        <v>22</v>
      </c>
      <c r="H467" s="39">
        <f>F467/Wages!C467</f>
        <v>1.3636363636363635</v>
      </c>
      <c r="I467" s="39">
        <f>G467/Wages!D467</f>
        <v>1.4666666666666666</v>
      </c>
      <c r="J467" s="36"/>
      <c r="K467" s="38">
        <v>12</v>
      </c>
      <c r="L467" s="38"/>
      <c r="M467" s="39">
        <f>Prices!BP469*Wages!$C467</f>
        <v>10.207822580645162</v>
      </c>
      <c r="N467" s="39">
        <f>Prices!BP469*Wages!D467</f>
        <v>6.9598790322580655</v>
      </c>
      <c r="O467" s="39">
        <f>Prices!$BP469*Wages!E467</f>
        <v>5.567903225806452</v>
      </c>
      <c r="P467" s="39">
        <f>Prices!$BP469*F467</f>
        <v>13.919758064516131</v>
      </c>
      <c r="Q467" s="39">
        <f>(31.1*0.925/Prices!$BN469)*G467</f>
        <v>10.207822580645162</v>
      </c>
    </row>
    <row r="468" spans="1:17">
      <c r="A468" s="54">
        <f t="shared" si="27"/>
        <v>1718</v>
      </c>
      <c r="B468" s="36"/>
      <c r="C468" s="38">
        <v>22</v>
      </c>
      <c r="D468" s="38">
        <v>15</v>
      </c>
      <c r="E468" s="38">
        <v>12</v>
      </c>
      <c r="F468" s="38">
        <v>30</v>
      </c>
      <c r="G468" s="38">
        <v>22</v>
      </c>
      <c r="H468" s="39">
        <f>F468/Wages!C468</f>
        <v>1.3636363636363635</v>
      </c>
      <c r="I468" s="39">
        <f>G468/Wages!D468</f>
        <v>1.4666666666666666</v>
      </c>
      <c r="J468" s="36"/>
      <c r="K468" s="38">
        <v>12</v>
      </c>
      <c r="L468" s="38"/>
      <c r="M468" s="39">
        <f>Prices!BP470*Wages!$C468</f>
        <v>10.207822580645162</v>
      </c>
      <c r="N468" s="39">
        <f>Prices!BP470*Wages!D468</f>
        <v>6.9598790322580655</v>
      </c>
      <c r="O468" s="39">
        <f>Prices!$BP470*Wages!E468</f>
        <v>5.567903225806452</v>
      </c>
      <c r="P468" s="39">
        <f>Prices!$BP470*F468</f>
        <v>13.919758064516131</v>
      </c>
      <c r="Q468" s="39">
        <f>(31.1*0.925/Prices!$BN470)*G468</f>
        <v>10.207822580645162</v>
      </c>
    </row>
    <row r="469" spans="1:17">
      <c r="A469" s="54">
        <f t="shared" si="27"/>
        <v>1719</v>
      </c>
      <c r="B469" s="36"/>
      <c r="C469" s="38">
        <v>22</v>
      </c>
      <c r="D469" s="38">
        <v>15</v>
      </c>
      <c r="E469" s="38">
        <v>12</v>
      </c>
      <c r="F469" s="38">
        <v>30</v>
      </c>
      <c r="G469" s="38">
        <v>22</v>
      </c>
      <c r="H469" s="39">
        <f>F469/Wages!C469</f>
        <v>1.3636363636363635</v>
      </c>
      <c r="I469" s="39">
        <f>G469/Wages!D469</f>
        <v>1.4666666666666666</v>
      </c>
      <c r="J469" s="36"/>
      <c r="K469" s="38">
        <v>12</v>
      </c>
      <c r="L469" s="38"/>
      <c r="M469" s="39">
        <f>Prices!BP471*Wages!$C469</f>
        <v>10.207822580645162</v>
      </c>
      <c r="N469" s="39">
        <f>Prices!BP471*Wages!D469</f>
        <v>6.9598790322580655</v>
      </c>
      <c r="O469" s="39">
        <f>Prices!$BP471*Wages!E469</f>
        <v>5.567903225806452</v>
      </c>
      <c r="P469" s="39">
        <f>Prices!$BP471*F469</f>
        <v>13.919758064516131</v>
      </c>
      <c r="Q469" s="39">
        <f>(31.1*0.925/Prices!$BN471)*G469</f>
        <v>10.207822580645162</v>
      </c>
    </row>
    <row r="470" spans="1:17">
      <c r="A470" s="54">
        <f t="shared" si="27"/>
        <v>1720</v>
      </c>
      <c r="B470" s="36"/>
      <c r="C470" s="38">
        <v>22</v>
      </c>
      <c r="D470" s="38">
        <v>15</v>
      </c>
      <c r="E470" s="38">
        <v>12</v>
      </c>
      <c r="F470" s="38">
        <v>30</v>
      </c>
      <c r="G470" s="38">
        <v>22</v>
      </c>
      <c r="H470" s="39">
        <f>F470/Wages!C470</f>
        <v>1.3636363636363635</v>
      </c>
      <c r="I470" s="39">
        <f>G470/Wages!D470</f>
        <v>1.4666666666666666</v>
      </c>
      <c r="J470" s="36"/>
      <c r="K470" s="38">
        <v>12</v>
      </c>
      <c r="L470" s="38"/>
      <c r="M470" s="39">
        <f>Prices!BP472*Wages!$C470</f>
        <v>10.207822580645162</v>
      </c>
      <c r="N470" s="39">
        <f>Prices!BP472*Wages!D470</f>
        <v>6.9598790322580655</v>
      </c>
      <c r="O470" s="39">
        <f>Prices!$BP472*Wages!E470</f>
        <v>5.567903225806452</v>
      </c>
      <c r="P470" s="39">
        <f>Prices!$BP472*F470</f>
        <v>13.919758064516131</v>
      </c>
      <c r="Q470" s="39">
        <f>(31.1*0.925/Prices!$BN472)*G470</f>
        <v>10.207822580645162</v>
      </c>
    </row>
    <row r="471" spans="1:17">
      <c r="A471" s="54">
        <f t="shared" si="27"/>
        <v>1721</v>
      </c>
      <c r="B471" s="36"/>
      <c r="C471" s="38">
        <v>22</v>
      </c>
      <c r="D471" s="38">
        <v>15</v>
      </c>
      <c r="E471" s="38">
        <v>12</v>
      </c>
      <c r="F471" s="38">
        <v>30</v>
      </c>
      <c r="G471" s="38">
        <v>22</v>
      </c>
      <c r="H471" s="39">
        <f>F471/Wages!C471</f>
        <v>1.3636363636363635</v>
      </c>
      <c r="I471" s="39">
        <f>G471/Wages!D471</f>
        <v>1.4666666666666666</v>
      </c>
      <c r="J471" s="36"/>
      <c r="K471" s="38">
        <v>12</v>
      </c>
      <c r="L471" s="38"/>
      <c r="M471" s="39">
        <f>Prices!BP473*Wages!$C471</f>
        <v>10.207822580645162</v>
      </c>
      <c r="N471" s="39">
        <f>Prices!BP473*Wages!D471</f>
        <v>6.9598790322580655</v>
      </c>
      <c r="O471" s="39">
        <f>Prices!$BP473*Wages!E471</f>
        <v>5.567903225806452</v>
      </c>
      <c r="P471" s="39">
        <f>Prices!$BP473*F471</f>
        <v>13.919758064516131</v>
      </c>
      <c r="Q471" s="39">
        <f>(31.1*0.925/Prices!$BN473)*G471</f>
        <v>10.207822580645162</v>
      </c>
    </row>
    <row r="472" spans="1:17">
      <c r="A472" s="54">
        <f t="shared" si="27"/>
        <v>1722</v>
      </c>
      <c r="B472" s="36"/>
      <c r="C472" s="38">
        <v>22</v>
      </c>
      <c r="D472" s="38">
        <v>15</v>
      </c>
      <c r="E472" s="38">
        <v>12</v>
      </c>
      <c r="F472" s="38">
        <v>30</v>
      </c>
      <c r="G472" s="38">
        <v>22</v>
      </c>
      <c r="H472" s="39">
        <f>F472/Wages!C472</f>
        <v>1.3636363636363635</v>
      </c>
      <c r="I472" s="39">
        <f>G472/Wages!D472</f>
        <v>1.4666666666666666</v>
      </c>
      <c r="J472" s="36"/>
      <c r="K472" s="38">
        <v>12</v>
      </c>
      <c r="L472" s="38"/>
      <c r="M472" s="39">
        <f>Prices!BP474*Wages!$C472</f>
        <v>10.207822580645162</v>
      </c>
      <c r="N472" s="39">
        <f>Prices!BP474*Wages!D472</f>
        <v>6.9598790322580655</v>
      </c>
      <c r="O472" s="39">
        <f>Prices!$BP474*Wages!E472</f>
        <v>5.567903225806452</v>
      </c>
      <c r="P472" s="39">
        <f>Prices!$BP474*F472</f>
        <v>13.919758064516131</v>
      </c>
      <c r="Q472" s="39">
        <f>(31.1*0.925/Prices!$BN474)*G472</f>
        <v>10.207822580645162</v>
      </c>
    </row>
    <row r="473" spans="1:17">
      <c r="A473" s="54">
        <f t="shared" si="27"/>
        <v>1723</v>
      </c>
      <c r="B473" s="36"/>
      <c r="C473" s="38">
        <v>22</v>
      </c>
      <c r="D473" s="38">
        <v>15</v>
      </c>
      <c r="E473" s="38">
        <v>12</v>
      </c>
      <c r="F473" s="38">
        <v>30</v>
      </c>
      <c r="G473" s="38">
        <v>22</v>
      </c>
      <c r="H473" s="39">
        <f>F473/Wages!C473</f>
        <v>1.3636363636363635</v>
      </c>
      <c r="I473" s="39">
        <f>G473/Wages!D473</f>
        <v>1.4666666666666666</v>
      </c>
      <c r="J473" s="36"/>
      <c r="K473" s="38">
        <v>12</v>
      </c>
      <c r="L473" s="38"/>
      <c r="M473" s="39">
        <f>Prices!BP475*Wages!$C473</f>
        <v>10.207822580645162</v>
      </c>
      <c r="N473" s="39">
        <f>Prices!BP475*Wages!D473</f>
        <v>6.9598790322580655</v>
      </c>
      <c r="O473" s="39">
        <f>Prices!$BP475*Wages!E473</f>
        <v>5.567903225806452</v>
      </c>
      <c r="P473" s="39">
        <f>Prices!$BP475*F473</f>
        <v>13.919758064516131</v>
      </c>
      <c r="Q473" s="39">
        <f>(31.1*0.925/Prices!$BN475)*G473</f>
        <v>10.207822580645162</v>
      </c>
    </row>
    <row r="474" spans="1:17">
      <c r="A474" s="54">
        <f t="shared" si="27"/>
        <v>1724</v>
      </c>
      <c r="B474" s="36"/>
      <c r="C474" s="38">
        <v>22</v>
      </c>
      <c r="D474" s="38">
        <v>15</v>
      </c>
      <c r="E474" s="38">
        <v>12</v>
      </c>
      <c r="F474" s="38">
        <v>30</v>
      </c>
      <c r="G474" s="38">
        <v>22</v>
      </c>
      <c r="H474" s="39">
        <f>F474/Wages!C474</f>
        <v>1.3636363636363635</v>
      </c>
      <c r="I474" s="39">
        <f>G474/Wages!D474</f>
        <v>1.4666666666666666</v>
      </c>
      <c r="J474" s="36"/>
      <c r="K474" s="38">
        <v>12</v>
      </c>
      <c r="L474" s="38"/>
      <c r="M474" s="39">
        <f>Prices!BP476*Wages!$C474</f>
        <v>10.207822580645162</v>
      </c>
      <c r="N474" s="39">
        <f>Prices!BP476*Wages!D474</f>
        <v>6.9598790322580655</v>
      </c>
      <c r="O474" s="39">
        <f>Prices!$BP476*Wages!E474</f>
        <v>5.567903225806452</v>
      </c>
      <c r="P474" s="39">
        <f>Prices!$BP476*F474</f>
        <v>13.919758064516131</v>
      </c>
      <c r="Q474" s="39">
        <f>(31.1*0.925/Prices!$BN476)*G474</f>
        <v>10.207822580645162</v>
      </c>
    </row>
    <row r="475" spans="1:17">
      <c r="A475" s="54">
        <f t="shared" si="27"/>
        <v>1725</v>
      </c>
      <c r="B475" s="36"/>
      <c r="C475" s="38">
        <v>22</v>
      </c>
      <c r="D475" s="38">
        <v>15</v>
      </c>
      <c r="E475" s="38">
        <v>12</v>
      </c>
      <c r="F475" s="38">
        <v>30</v>
      </c>
      <c r="G475" s="38">
        <v>22</v>
      </c>
      <c r="H475" s="39">
        <f>F475/Wages!C475</f>
        <v>1.3636363636363635</v>
      </c>
      <c r="I475" s="39">
        <f>G475/Wages!D475</f>
        <v>1.4666666666666666</v>
      </c>
      <c r="J475" s="36"/>
      <c r="K475" s="38">
        <v>12</v>
      </c>
      <c r="L475" s="38"/>
      <c r="M475" s="39">
        <f>Prices!BP477*Wages!$C475</f>
        <v>10.207822580645162</v>
      </c>
      <c r="N475" s="39">
        <f>Prices!BP477*Wages!D475</f>
        <v>6.9598790322580655</v>
      </c>
      <c r="O475" s="39">
        <f>Prices!$BP477*Wages!E475</f>
        <v>5.567903225806452</v>
      </c>
      <c r="P475" s="39">
        <f>Prices!$BP477*F475</f>
        <v>13.919758064516131</v>
      </c>
      <c r="Q475" s="39">
        <f>(31.1*0.925/Prices!$BN477)*G475</f>
        <v>10.207822580645162</v>
      </c>
    </row>
    <row r="476" spans="1:17">
      <c r="A476" s="54">
        <f t="shared" si="27"/>
        <v>1726</v>
      </c>
      <c r="B476" s="36"/>
      <c r="C476" s="38">
        <v>22</v>
      </c>
      <c r="D476" s="38">
        <v>15</v>
      </c>
      <c r="E476" s="38">
        <v>12</v>
      </c>
      <c r="F476" s="38">
        <v>30</v>
      </c>
      <c r="G476" s="38">
        <v>22</v>
      </c>
      <c r="H476" s="39">
        <f>F476/Wages!C476</f>
        <v>1.3636363636363635</v>
      </c>
      <c r="I476" s="39">
        <f>G476/Wages!D476</f>
        <v>1.4666666666666666</v>
      </c>
      <c r="J476" s="36"/>
      <c r="K476" s="38">
        <v>12</v>
      </c>
      <c r="L476" s="38"/>
      <c r="M476" s="39">
        <f>Prices!BP478*Wages!$C476</f>
        <v>10.207822580645162</v>
      </c>
      <c r="N476" s="39">
        <f>Prices!BP478*Wages!D476</f>
        <v>6.9598790322580655</v>
      </c>
      <c r="O476" s="39">
        <f>Prices!$BP478*Wages!E476</f>
        <v>5.567903225806452</v>
      </c>
      <c r="P476" s="39">
        <f>Prices!$BP478*F476</f>
        <v>13.919758064516131</v>
      </c>
      <c r="Q476" s="39">
        <f>(31.1*0.925/Prices!$BN478)*G476</f>
        <v>10.207822580645162</v>
      </c>
    </row>
    <row r="477" spans="1:17">
      <c r="A477" s="54">
        <f t="shared" si="27"/>
        <v>1727</v>
      </c>
      <c r="B477" s="36"/>
      <c r="C477" s="38">
        <v>22</v>
      </c>
      <c r="D477" s="38">
        <v>15</v>
      </c>
      <c r="E477" s="38">
        <v>12</v>
      </c>
      <c r="F477" s="38">
        <v>30</v>
      </c>
      <c r="G477" s="38">
        <v>22</v>
      </c>
      <c r="H477" s="39">
        <f>F477/Wages!C477</f>
        <v>1.3636363636363635</v>
      </c>
      <c r="I477" s="39">
        <f>G477/Wages!D477</f>
        <v>1.4666666666666666</v>
      </c>
      <c r="J477" s="38">
        <v>18</v>
      </c>
      <c r="K477" s="38">
        <v>12</v>
      </c>
      <c r="L477" s="38"/>
      <c r="M477" s="39">
        <f>Prices!BP479*Wages!$C477</f>
        <v>10.207822580645162</v>
      </c>
      <c r="N477" s="39">
        <f>Prices!BP479*Wages!D477</f>
        <v>6.9598790322580655</v>
      </c>
      <c r="O477" s="39">
        <f>Prices!$BP479*Wages!E477</f>
        <v>5.567903225806452</v>
      </c>
      <c r="P477" s="39">
        <f>Prices!$BP479*F477</f>
        <v>13.919758064516131</v>
      </c>
      <c r="Q477" s="39">
        <f>(31.1*0.925/Prices!$BN479)*G477</f>
        <v>10.207822580645162</v>
      </c>
    </row>
    <row r="478" spans="1:17">
      <c r="A478" s="54">
        <f t="shared" si="27"/>
        <v>1728</v>
      </c>
      <c r="B478" s="36"/>
      <c r="C478" s="38">
        <v>22</v>
      </c>
      <c r="D478" s="38">
        <v>15</v>
      </c>
      <c r="E478" s="38">
        <v>12</v>
      </c>
      <c r="F478" s="38">
        <v>30</v>
      </c>
      <c r="G478" s="38">
        <v>22</v>
      </c>
      <c r="H478" s="39">
        <f>F478/Wages!C478</f>
        <v>1.3636363636363635</v>
      </c>
      <c r="I478" s="39">
        <f>G478/Wages!D478</f>
        <v>1.4666666666666666</v>
      </c>
      <c r="J478" s="38">
        <v>18</v>
      </c>
      <c r="K478" s="38">
        <v>12</v>
      </c>
      <c r="L478" s="38"/>
      <c r="M478" s="39">
        <f>Prices!BP480*Wages!$C478</f>
        <v>10.207822580645162</v>
      </c>
      <c r="N478" s="39">
        <f>Prices!BP480*Wages!D478</f>
        <v>6.9598790322580655</v>
      </c>
      <c r="O478" s="39">
        <f>Prices!$BP480*Wages!E478</f>
        <v>5.567903225806452</v>
      </c>
      <c r="P478" s="39">
        <f>Prices!$BP480*F478</f>
        <v>13.919758064516131</v>
      </c>
      <c r="Q478" s="39">
        <f>(31.1*0.925/Prices!$BN480)*G478</f>
        <v>10.207822580645162</v>
      </c>
    </row>
    <row r="479" spans="1:17">
      <c r="A479" s="54">
        <f t="shared" si="27"/>
        <v>1729</v>
      </c>
      <c r="B479" s="36"/>
      <c r="C479" s="38">
        <v>22</v>
      </c>
      <c r="D479" s="38">
        <v>15</v>
      </c>
      <c r="E479" s="38">
        <v>12</v>
      </c>
      <c r="F479" s="38">
        <v>30</v>
      </c>
      <c r="G479" s="38">
        <v>22</v>
      </c>
      <c r="H479" s="39">
        <f>F479/Wages!C479</f>
        <v>1.3636363636363635</v>
      </c>
      <c r="I479" s="39">
        <f>G479/Wages!D479</f>
        <v>1.4666666666666666</v>
      </c>
      <c r="J479" s="38">
        <v>18</v>
      </c>
      <c r="K479" s="38">
        <v>12</v>
      </c>
      <c r="L479" s="38"/>
      <c r="M479" s="39">
        <f>Prices!BP481*Wages!$C479</f>
        <v>10.207822580645162</v>
      </c>
      <c r="N479" s="39">
        <f>Prices!BP481*Wages!D479</f>
        <v>6.9598790322580655</v>
      </c>
      <c r="O479" s="39">
        <f>Prices!$BP481*Wages!E479</f>
        <v>5.567903225806452</v>
      </c>
      <c r="P479" s="39">
        <f>Prices!$BP481*F479</f>
        <v>13.919758064516131</v>
      </c>
      <c r="Q479" s="39">
        <f>(31.1*0.925/Prices!$BN481)*G479</f>
        <v>10.207822580645162</v>
      </c>
    </row>
    <row r="480" spans="1:17">
      <c r="A480" s="54">
        <f t="shared" si="27"/>
        <v>1730</v>
      </c>
      <c r="B480" s="36"/>
      <c r="C480" s="38">
        <v>22</v>
      </c>
      <c r="D480" s="38">
        <v>15</v>
      </c>
      <c r="E480" s="38">
        <v>12</v>
      </c>
      <c r="F480" s="38">
        <v>30</v>
      </c>
      <c r="G480" s="38">
        <v>22</v>
      </c>
      <c r="H480" s="39">
        <f>F480/Wages!C480</f>
        <v>1.3636363636363635</v>
      </c>
      <c r="I480" s="39">
        <f>G480/Wages!D480</f>
        <v>1.4666666666666666</v>
      </c>
      <c r="J480" s="38">
        <v>18</v>
      </c>
      <c r="K480" s="38">
        <v>12</v>
      </c>
      <c r="L480" s="38"/>
      <c r="M480" s="39">
        <f>Prices!BP482*Wages!$C480</f>
        <v>10.207822580645162</v>
      </c>
      <c r="N480" s="39">
        <f>Prices!BP482*Wages!D480</f>
        <v>6.9598790322580655</v>
      </c>
      <c r="O480" s="39">
        <f>Prices!$BP482*Wages!E480</f>
        <v>5.567903225806452</v>
      </c>
      <c r="P480" s="39">
        <f>Prices!$BP482*F480</f>
        <v>13.919758064516131</v>
      </c>
      <c r="Q480" s="39">
        <f>(31.1*0.925/Prices!$BN482)*G480</f>
        <v>10.207822580645162</v>
      </c>
    </row>
    <row r="481" spans="1:17">
      <c r="A481" s="54">
        <f t="shared" si="27"/>
        <v>1731</v>
      </c>
      <c r="B481" s="36"/>
      <c r="C481" s="38">
        <v>23</v>
      </c>
      <c r="D481" s="38">
        <v>15.5</v>
      </c>
      <c r="E481" s="38">
        <v>12</v>
      </c>
      <c r="F481" s="38">
        <v>30</v>
      </c>
      <c r="G481" s="38">
        <v>22</v>
      </c>
      <c r="H481" s="39">
        <f>F481/Wages!C481</f>
        <v>1.3043478260869565</v>
      </c>
      <c r="I481" s="39">
        <f>G481/Wages!D481</f>
        <v>1.4193548387096775</v>
      </c>
      <c r="J481" s="38">
        <v>18</v>
      </c>
      <c r="K481" s="38">
        <v>12</v>
      </c>
      <c r="L481" s="38"/>
      <c r="M481" s="39">
        <f>Prices!BP483*Wages!$C481</f>
        <v>10.671814516129034</v>
      </c>
      <c r="N481" s="39">
        <f>Prices!BP483*Wages!D481</f>
        <v>7.1918750000000005</v>
      </c>
      <c r="O481" s="39">
        <f>Prices!$BP483*Wages!E481</f>
        <v>5.567903225806452</v>
      </c>
      <c r="P481" s="39">
        <f>Prices!$BP483*F481</f>
        <v>13.919758064516131</v>
      </c>
      <c r="Q481" s="39">
        <f>(31.1*0.925/Prices!$BN483)*G481</f>
        <v>10.207822580645162</v>
      </c>
    </row>
    <row r="482" spans="1:17">
      <c r="A482" s="54">
        <f t="shared" si="27"/>
        <v>1732</v>
      </c>
      <c r="B482" s="36"/>
      <c r="C482" s="38">
        <v>23</v>
      </c>
      <c r="D482" s="38">
        <v>15.5</v>
      </c>
      <c r="E482" s="38">
        <v>12</v>
      </c>
      <c r="F482" s="38">
        <v>30</v>
      </c>
      <c r="G482" s="38">
        <v>22</v>
      </c>
      <c r="H482" s="39">
        <f>F482/Wages!C482</f>
        <v>1.3043478260869565</v>
      </c>
      <c r="I482" s="39">
        <f>G482/Wages!D482</f>
        <v>1.4193548387096775</v>
      </c>
      <c r="J482" s="38">
        <v>18</v>
      </c>
      <c r="K482" s="38">
        <v>12</v>
      </c>
      <c r="L482" s="38"/>
      <c r="M482" s="39">
        <f>Prices!BP484*Wages!$C482</f>
        <v>10.671814516129034</v>
      </c>
      <c r="N482" s="39">
        <f>Prices!BP484*Wages!D482</f>
        <v>7.1918750000000005</v>
      </c>
      <c r="O482" s="39">
        <f>Prices!$BP484*Wages!E482</f>
        <v>5.567903225806452</v>
      </c>
      <c r="P482" s="39">
        <f>Prices!$BP484*F482</f>
        <v>13.919758064516131</v>
      </c>
      <c r="Q482" s="39">
        <f>(31.1*0.925/Prices!$BN484)*G482</f>
        <v>10.207822580645162</v>
      </c>
    </row>
    <row r="483" spans="1:17">
      <c r="A483" s="54">
        <f t="shared" si="27"/>
        <v>1733</v>
      </c>
      <c r="B483" s="36"/>
      <c r="C483" s="38">
        <v>23</v>
      </c>
      <c r="D483" s="38">
        <v>15.5</v>
      </c>
      <c r="E483" s="38">
        <v>12</v>
      </c>
      <c r="F483" s="38">
        <v>30</v>
      </c>
      <c r="G483" s="38">
        <v>22</v>
      </c>
      <c r="H483" s="39">
        <f>F483/Wages!C483</f>
        <v>1.3043478260869565</v>
      </c>
      <c r="I483" s="39">
        <f>G483/Wages!D483</f>
        <v>1.4193548387096775</v>
      </c>
      <c r="J483" s="38">
        <v>18</v>
      </c>
      <c r="K483" s="38">
        <v>12</v>
      </c>
      <c r="L483" s="38"/>
      <c r="M483" s="39">
        <f>Prices!BP485*Wages!$C483</f>
        <v>10.671814516129034</v>
      </c>
      <c r="N483" s="39">
        <f>Prices!BP485*Wages!D483</f>
        <v>7.1918750000000005</v>
      </c>
      <c r="O483" s="39">
        <f>Prices!$BP485*Wages!E483</f>
        <v>5.567903225806452</v>
      </c>
      <c r="P483" s="39">
        <f>Prices!$BP485*F483</f>
        <v>13.919758064516131</v>
      </c>
      <c r="Q483" s="39">
        <f>(31.1*0.925/Prices!$BN485)*G483</f>
        <v>10.207822580645162</v>
      </c>
    </row>
    <row r="484" spans="1:17">
      <c r="A484" s="54">
        <f t="shared" si="27"/>
        <v>1734</v>
      </c>
      <c r="B484" s="36"/>
      <c r="C484" s="38">
        <v>23</v>
      </c>
      <c r="D484" s="38">
        <v>15.5</v>
      </c>
      <c r="E484" s="38">
        <v>12</v>
      </c>
      <c r="F484" s="38">
        <v>30</v>
      </c>
      <c r="G484" s="38">
        <v>22</v>
      </c>
      <c r="H484" s="39">
        <f>F484/Wages!C484</f>
        <v>1.3043478260869565</v>
      </c>
      <c r="I484" s="39">
        <f>G484/Wages!D484</f>
        <v>1.4193548387096775</v>
      </c>
      <c r="J484" s="38">
        <v>18</v>
      </c>
      <c r="K484" s="38">
        <v>12</v>
      </c>
      <c r="L484" s="38"/>
      <c r="M484" s="39">
        <f>Prices!BP486*Wages!$C484</f>
        <v>10.671814516129034</v>
      </c>
      <c r="N484" s="39">
        <f>Prices!BP486*Wages!D484</f>
        <v>7.1918750000000005</v>
      </c>
      <c r="O484" s="39">
        <f>Prices!$BP486*Wages!E484</f>
        <v>5.567903225806452</v>
      </c>
      <c r="P484" s="39">
        <f>Prices!$BP486*F484</f>
        <v>13.919758064516131</v>
      </c>
      <c r="Q484" s="39">
        <f>(31.1*0.925/Prices!$BN486)*G484</f>
        <v>10.207822580645162</v>
      </c>
    </row>
    <row r="485" spans="1:17">
      <c r="A485" s="54">
        <f t="shared" si="27"/>
        <v>1735</v>
      </c>
      <c r="B485" s="36"/>
      <c r="C485" s="38">
        <v>23</v>
      </c>
      <c r="D485" s="38">
        <v>15.5</v>
      </c>
      <c r="E485" s="38">
        <v>12</v>
      </c>
      <c r="F485" s="38">
        <v>30</v>
      </c>
      <c r="G485" s="38">
        <v>24</v>
      </c>
      <c r="H485" s="39">
        <f>F485/Wages!C485</f>
        <v>1.3043478260869565</v>
      </c>
      <c r="I485" s="39">
        <f>G485/Wages!D485</f>
        <v>1.5483870967741935</v>
      </c>
      <c r="J485" s="38">
        <v>18</v>
      </c>
      <c r="K485" s="38">
        <v>12</v>
      </c>
      <c r="L485" s="38"/>
      <c r="M485" s="39">
        <f>Prices!BP487*Wages!$C485</f>
        <v>10.671814516129034</v>
      </c>
      <c r="N485" s="39">
        <f>Prices!BP487*Wages!D485</f>
        <v>7.1918750000000005</v>
      </c>
      <c r="O485" s="39">
        <f>Prices!$BP487*Wages!E485</f>
        <v>5.567903225806452</v>
      </c>
      <c r="P485" s="39">
        <f>Prices!$BP487*F485</f>
        <v>13.919758064516131</v>
      </c>
      <c r="Q485" s="39">
        <f>(31.1*0.925/Prices!$BN487)*G485</f>
        <v>11.135806451612904</v>
      </c>
    </row>
    <row r="486" spans="1:17">
      <c r="A486" s="54">
        <f t="shared" si="27"/>
        <v>1736</v>
      </c>
      <c r="B486" s="36"/>
      <c r="C486" s="38">
        <v>23</v>
      </c>
      <c r="D486" s="38">
        <v>15.5</v>
      </c>
      <c r="E486" s="38">
        <v>12</v>
      </c>
      <c r="F486" s="38">
        <v>36</v>
      </c>
      <c r="G486" s="38">
        <v>24</v>
      </c>
      <c r="H486" s="39">
        <f>F486/Wages!C486</f>
        <v>1.5652173913043479</v>
      </c>
      <c r="I486" s="39">
        <f>G486/Wages!D486</f>
        <v>1.5483870967741935</v>
      </c>
      <c r="J486" s="38">
        <v>18</v>
      </c>
      <c r="K486" s="38">
        <v>12</v>
      </c>
      <c r="L486" s="38"/>
      <c r="M486" s="39">
        <f>Prices!BP488*Wages!$C486</f>
        <v>10.671814516129034</v>
      </c>
      <c r="N486" s="39">
        <f>Prices!BP488*Wages!D486</f>
        <v>7.1918750000000005</v>
      </c>
      <c r="O486" s="39">
        <f>Prices!$BP488*Wages!E486</f>
        <v>5.567903225806452</v>
      </c>
      <c r="P486" s="39">
        <f>Prices!$BP488*F486</f>
        <v>16.703709677419358</v>
      </c>
      <c r="Q486" s="39">
        <f>(31.1*0.925/Prices!$BN488)*G486</f>
        <v>11.135806451612904</v>
      </c>
    </row>
    <row r="487" spans="1:17">
      <c r="A487" s="54">
        <f t="shared" si="27"/>
        <v>1737</v>
      </c>
      <c r="B487" s="36"/>
      <c r="C487" s="38">
        <v>24</v>
      </c>
      <c r="D487" s="38">
        <v>16</v>
      </c>
      <c r="E487" s="38">
        <v>12</v>
      </c>
      <c r="F487" s="38">
        <v>36</v>
      </c>
      <c r="G487" s="38">
        <v>24</v>
      </c>
      <c r="H487" s="38">
        <f>F487/Wages!C487</f>
        <v>1.5</v>
      </c>
      <c r="I487" s="38">
        <f>G487/Wages!D487</f>
        <v>1.5</v>
      </c>
      <c r="J487" s="38">
        <v>18</v>
      </c>
      <c r="K487" s="38">
        <v>12</v>
      </c>
      <c r="L487" s="38"/>
      <c r="M487" s="39">
        <f>Prices!BP489*Wages!$C487</f>
        <v>11.135806451612904</v>
      </c>
      <c r="N487" s="39">
        <f>Prices!BP489*Wages!D487</f>
        <v>7.4238709677419363</v>
      </c>
      <c r="O487" s="39">
        <f>Prices!$BP489*Wages!E487</f>
        <v>5.567903225806452</v>
      </c>
      <c r="P487" s="39">
        <f>Prices!$BP489*F487</f>
        <v>16.703709677419358</v>
      </c>
      <c r="Q487" s="39">
        <f>(31.1*0.925/Prices!$BN489)*G487</f>
        <v>11.135806451612904</v>
      </c>
    </row>
    <row r="488" spans="1:17">
      <c r="A488" s="54">
        <f t="shared" si="27"/>
        <v>1738</v>
      </c>
      <c r="B488" s="36"/>
      <c r="C488" s="38">
        <v>24</v>
      </c>
      <c r="D488" s="38">
        <v>16</v>
      </c>
      <c r="E488" s="38">
        <v>12</v>
      </c>
      <c r="F488" s="38">
        <v>36</v>
      </c>
      <c r="G488" s="38">
        <v>24</v>
      </c>
      <c r="H488" s="38">
        <f>F488/Wages!C488</f>
        <v>1.5</v>
      </c>
      <c r="I488" s="38">
        <f>G488/Wages!D488</f>
        <v>1.5</v>
      </c>
      <c r="J488" s="38">
        <v>18</v>
      </c>
      <c r="K488" s="38">
        <v>12</v>
      </c>
      <c r="L488" s="38"/>
      <c r="M488" s="39">
        <f>Prices!BP490*Wages!$C488</f>
        <v>11.135806451612904</v>
      </c>
      <c r="N488" s="39">
        <f>Prices!BP490*Wages!D488</f>
        <v>7.4238709677419363</v>
      </c>
      <c r="O488" s="39">
        <f>Prices!$BP490*Wages!E488</f>
        <v>5.567903225806452</v>
      </c>
      <c r="P488" s="39">
        <f>Prices!$BP490*F488</f>
        <v>16.703709677419358</v>
      </c>
      <c r="Q488" s="39">
        <f>(31.1*0.925/Prices!$BN490)*G488</f>
        <v>11.135806451612904</v>
      </c>
    </row>
    <row r="489" spans="1:17">
      <c r="A489" s="54">
        <f t="shared" si="27"/>
        <v>1739</v>
      </c>
      <c r="B489" s="36"/>
      <c r="C489" s="38">
        <v>24</v>
      </c>
      <c r="D489" s="38">
        <v>16</v>
      </c>
      <c r="E489" s="38">
        <v>12</v>
      </c>
      <c r="F489" s="38">
        <v>36</v>
      </c>
      <c r="G489" s="38">
        <v>24</v>
      </c>
      <c r="H489" s="38">
        <f>F489/Wages!C489</f>
        <v>1.5</v>
      </c>
      <c r="I489" s="38">
        <f>G489/Wages!D489</f>
        <v>1.5</v>
      </c>
      <c r="J489" s="38">
        <v>18</v>
      </c>
      <c r="K489" s="38">
        <v>12</v>
      </c>
      <c r="L489" s="38"/>
      <c r="M489" s="39">
        <f>Prices!BP491*Wages!$C489</f>
        <v>11.135806451612904</v>
      </c>
      <c r="N489" s="39">
        <f>Prices!BP491*Wages!D489</f>
        <v>7.4238709677419363</v>
      </c>
      <c r="O489" s="39">
        <f>Prices!$BP491*Wages!E489</f>
        <v>5.567903225806452</v>
      </c>
      <c r="P489" s="39">
        <f>Prices!$BP491*F489</f>
        <v>16.703709677419358</v>
      </c>
      <c r="Q489" s="39">
        <f>(31.1*0.925/Prices!$BN491)*G489</f>
        <v>11.135806451612904</v>
      </c>
    </row>
    <row r="490" spans="1:17">
      <c r="A490" s="54">
        <f t="shared" si="27"/>
        <v>1740</v>
      </c>
      <c r="B490" s="36"/>
      <c r="C490" s="38">
        <v>24</v>
      </c>
      <c r="D490" s="38">
        <v>16</v>
      </c>
      <c r="E490" s="38">
        <v>12</v>
      </c>
      <c r="F490" s="38">
        <v>36</v>
      </c>
      <c r="G490" s="38">
        <v>24</v>
      </c>
      <c r="H490" s="38">
        <f>F490/Wages!C490</f>
        <v>1.5</v>
      </c>
      <c r="I490" s="38">
        <f>G490/Wages!D490</f>
        <v>1.5</v>
      </c>
      <c r="J490" s="38">
        <v>18</v>
      </c>
      <c r="K490" s="38">
        <v>12</v>
      </c>
      <c r="L490" s="38"/>
      <c r="M490" s="39">
        <f>Prices!BP492*Wages!$C490</f>
        <v>11.135806451612904</v>
      </c>
      <c r="N490" s="39">
        <f>Prices!BP492*Wages!D490</f>
        <v>7.4238709677419363</v>
      </c>
      <c r="O490" s="39">
        <f>Prices!$BP492*Wages!E490</f>
        <v>5.567903225806452</v>
      </c>
      <c r="P490" s="39">
        <f>Prices!$BP492*F490</f>
        <v>16.703709677419358</v>
      </c>
      <c r="Q490" s="39">
        <f>(31.1*0.925/Prices!$BN492)*G490</f>
        <v>11.135806451612904</v>
      </c>
    </row>
    <row r="491" spans="1:17">
      <c r="A491" s="54">
        <f t="shared" si="27"/>
        <v>1741</v>
      </c>
      <c r="B491" s="36"/>
      <c r="C491" s="38">
        <v>24</v>
      </c>
      <c r="D491" s="38">
        <v>16</v>
      </c>
      <c r="E491" s="38">
        <v>12</v>
      </c>
      <c r="F491" s="38">
        <v>36</v>
      </c>
      <c r="G491" s="38">
        <v>24</v>
      </c>
      <c r="H491" s="38">
        <f>F491/Wages!C491</f>
        <v>1.5</v>
      </c>
      <c r="I491" s="38">
        <f>G491/Wages!D491</f>
        <v>1.5</v>
      </c>
      <c r="J491" s="38">
        <v>18</v>
      </c>
      <c r="K491" s="38">
        <v>12</v>
      </c>
      <c r="L491" s="38"/>
      <c r="M491" s="39">
        <f>Prices!BP493*Wages!$C491</f>
        <v>11.135806451612904</v>
      </c>
      <c r="N491" s="39">
        <f>Prices!BP493*Wages!D491</f>
        <v>7.4238709677419363</v>
      </c>
      <c r="O491" s="39">
        <f>Prices!$BP493*Wages!E491</f>
        <v>5.567903225806452</v>
      </c>
      <c r="P491" s="39">
        <f>Prices!$BP493*F491</f>
        <v>16.703709677419358</v>
      </c>
      <c r="Q491" s="39">
        <f>(31.1*0.925/Prices!$BN493)*G491</f>
        <v>11.135806451612904</v>
      </c>
    </row>
    <row r="492" spans="1:17">
      <c r="A492" s="54">
        <f t="shared" si="27"/>
        <v>1742</v>
      </c>
      <c r="B492" s="36"/>
      <c r="C492" s="38">
        <v>24</v>
      </c>
      <c r="D492" s="38">
        <v>16</v>
      </c>
      <c r="E492" s="38">
        <v>12</v>
      </c>
      <c r="F492" s="38">
        <v>36</v>
      </c>
      <c r="G492" s="38">
        <v>24</v>
      </c>
      <c r="H492" s="38">
        <f>F492/Wages!C492</f>
        <v>1.5</v>
      </c>
      <c r="I492" s="38">
        <f>G492/Wages!D492</f>
        <v>1.5</v>
      </c>
      <c r="J492" s="38">
        <v>18</v>
      </c>
      <c r="K492" s="38">
        <v>12</v>
      </c>
      <c r="L492" s="38"/>
      <c r="M492" s="39">
        <f>Prices!BP494*Wages!$C492</f>
        <v>11.135806451612904</v>
      </c>
      <c r="N492" s="39">
        <f>Prices!BP494*Wages!D492</f>
        <v>7.4238709677419363</v>
      </c>
      <c r="O492" s="39">
        <f>Prices!$BP494*Wages!E492</f>
        <v>5.567903225806452</v>
      </c>
      <c r="P492" s="39">
        <f>Prices!$BP494*F492</f>
        <v>16.703709677419358</v>
      </c>
      <c r="Q492" s="39">
        <f>(31.1*0.925/Prices!$BN494)*G492</f>
        <v>11.135806451612904</v>
      </c>
    </row>
    <row r="493" spans="1:17">
      <c r="A493" s="54">
        <f t="shared" si="27"/>
        <v>1743</v>
      </c>
      <c r="B493" s="36"/>
      <c r="C493" s="38">
        <v>24</v>
      </c>
      <c r="D493" s="38">
        <v>16</v>
      </c>
      <c r="E493" s="38">
        <v>12</v>
      </c>
      <c r="F493" s="38">
        <v>36</v>
      </c>
      <c r="G493" s="38">
        <v>22</v>
      </c>
      <c r="H493" s="38">
        <f>F493/Wages!C493</f>
        <v>1.5</v>
      </c>
      <c r="I493" s="38">
        <f>G493/Wages!D493</f>
        <v>1.375</v>
      </c>
      <c r="J493" s="38">
        <v>18</v>
      </c>
      <c r="K493" s="38">
        <v>12</v>
      </c>
      <c r="L493" s="38"/>
      <c r="M493" s="39">
        <f>Prices!BP495*Wages!$C493</f>
        <v>11.135806451612904</v>
      </c>
      <c r="N493" s="39">
        <f>Prices!BP495*Wages!D493</f>
        <v>7.4238709677419363</v>
      </c>
      <c r="O493" s="39">
        <f>Prices!$BP495*Wages!E493</f>
        <v>5.567903225806452</v>
      </c>
      <c r="P493" s="39">
        <f>Prices!$BP495*F493</f>
        <v>16.703709677419358</v>
      </c>
      <c r="Q493" s="39">
        <f>(31.1*0.925/Prices!$BN495)*G493</f>
        <v>10.207822580645162</v>
      </c>
    </row>
    <row r="494" spans="1:17">
      <c r="A494" s="54">
        <f t="shared" si="27"/>
        <v>1744</v>
      </c>
      <c r="B494" s="36"/>
      <c r="C494" s="38">
        <v>24</v>
      </c>
      <c r="D494" s="38">
        <v>16</v>
      </c>
      <c r="E494" s="38">
        <v>12</v>
      </c>
      <c r="F494" s="38">
        <v>36</v>
      </c>
      <c r="G494" s="38">
        <v>24</v>
      </c>
      <c r="H494" s="38">
        <f>F494/Wages!C494</f>
        <v>1.5</v>
      </c>
      <c r="I494" s="38">
        <f>G494/Wages!D494</f>
        <v>1.5</v>
      </c>
      <c r="J494" s="38">
        <v>18</v>
      </c>
      <c r="K494" s="38">
        <v>12</v>
      </c>
      <c r="L494" s="38"/>
      <c r="M494" s="39">
        <f>Prices!BP496*Wages!$C494</f>
        <v>11.135806451612904</v>
      </c>
      <c r="N494" s="39">
        <f>Prices!BP496*Wages!D494</f>
        <v>7.4238709677419363</v>
      </c>
      <c r="O494" s="39">
        <f>Prices!$BP496*Wages!E494</f>
        <v>5.567903225806452</v>
      </c>
      <c r="P494" s="39">
        <f>Prices!$BP496*F494</f>
        <v>16.703709677419358</v>
      </c>
      <c r="Q494" s="39">
        <f>(31.1*0.925/Prices!$BN496)*G494</f>
        <v>11.135806451612904</v>
      </c>
    </row>
    <row r="495" spans="1:17">
      <c r="A495" s="54">
        <f t="shared" si="27"/>
        <v>1745</v>
      </c>
      <c r="B495" s="36"/>
      <c r="C495" s="38">
        <v>24</v>
      </c>
      <c r="D495" s="38">
        <v>16</v>
      </c>
      <c r="E495" s="38">
        <v>12</v>
      </c>
      <c r="F495" s="38">
        <v>36</v>
      </c>
      <c r="G495" s="38">
        <v>24</v>
      </c>
      <c r="H495" s="38">
        <f>F495/Wages!C495</f>
        <v>1.5</v>
      </c>
      <c r="I495" s="38">
        <f>G495/Wages!D495</f>
        <v>1.5</v>
      </c>
      <c r="J495" s="38">
        <v>18</v>
      </c>
      <c r="K495" s="38">
        <v>12</v>
      </c>
      <c r="L495" s="38"/>
      <c r="M495" s="39">
        <f>Prices!BP497*Wages!$C495</f>
        <v>11.135806451612904</v>
      </c>
      <c r="N495" s="39">
        <f>Prices!BP497*Wages!D495</f>
        <v>7.4238709677419363</v>
      </c>
      <c r="O495" s="39">
        <f>Prices!$BP497*Wages!E495</f>
        <v>5.567903225806452</v>
      </c>
      <c r="P495" s="39">
        <f>Prices!$BP497*F495</f>
        <v>16.703709677419358</v>
      </c>
      <c r="Q495" s="39">
        <f>(31.1*0.925/Prices!$BN497)*G495</f>
        <v>11.135806451612904</v>
      </c>
    </row>
    <row r="496" spans="1:17">
      <c r="A496" s="54">
        <f t="shared" si="27"/>
        <v>1746</v>
      </c>
      <c r="B496" s="36"/>
      <c r="C496" s="38">
        <v>24</v>
      </c>
      <c r="D496" s="38">
        <v>16</v>
      </c>
      <c r="E496" s="38">
        <v>12</v>
      </c>
      <c r="F496" s="38">
        <v>36</v>
      </c>
      <c r="G496" s="38">
        <v>24</v>
      </c>
      <c r="H496" s="38">
        <f>F496/Wages!C496</f>
        <v>1.5</v>
      </c>
      <c r="I496" s="38">
        <f>G496/Wages!D496</f>
        <v>1.5</v>
      </c>
      <c r="J496" s="38">
        <v>18</v>
      </c>
      <c r="K496" s="38">
        <v>12</v>
      </c>
      <c r="L496" s="38"/>
      <c r="M496" s="39">
        <f>Prices!BP498*Wages!$C496</f>
        <v>11.135806451612904</v>
      </c>
      <c r="N496" s="39">
        <f>Prices!BP498*Wages!D496</f>
        <v>7.4238709677419363</v>
      </c>
      <c r="O496" s="39">
        <f>Prices!$BP498*Wages!E496</f>
        <v>5.567903225806452</v>
      </c>
      <c r="P496" s="39">
        <f>Prices!$BP498*F496</f>
        <v>16.703709677419358</v>
      </c>
      <c r="Q496" s="39">
        <f>(31.1*0.925/Prices!$BN498)*G496</f>
        <v>11.135806451612904</v>
      </c>
    </row>
    <row r="497" spans="1:17">
      <c r="A497" s="54">
        <f t="shared" si="27"/>
        <v>1747</v>
      </c>
      <c r="B497" s="36"/>
      <c r="C497" s="38">
        <v>24</v>
      </c>
      <c r="D497" s="38">
        <v>16</v>
      </c>
      <c r="E497" s="38">
        <v>12</v>
      </c>
      <c r="F497" s="38">
        <v>36</v>
      </c>
      <c r="G497" s="38">
        <v>24</v>
      </c>
      <c r="H497" s="38">
        <f>F497/Wages!C497</f>
        <v>1.5</v>
      </c>
      <c r="I497" s="38">
        <f>G497/Wages!D497</f>
        <v>1.5</v>
      </c>
      <c r="J497" s="38">
        <v>18</v>
      </c>
      <c r="K497" s="38">
        <v>12</v>
      </c>
      <c r="L497" s="38"/>
      <c r="M497" s="39">
        <f>Prices!BP499*Wages!$C497</f>
        <v>11.135806451612904</v>
      </c>
      <c r="N497" s="39">
        <f>Prices!BP499*Wages!D497</f>
        <v>7.4238709677419363</v>
      </c>
      <c r="O497" s="39">
        <f>Prices!$BP499*Wages!E497</f>
        <v>5.567903225806452</v>
      </c>
      <c r="P497" s="39">
        <f>Prices!$BP499*F497</f>
        <v>16.703709677419358</v>
      </c>
      <c r="Q497" s="39">
        <f>(31.1*0.925/Prices!$BN499)*G497</f>
        <v>11.135806451612904</v>
      </c>
    </row>
    <row r="498" spans="1:17">
      <c r="A498" s="54">
        <f t="shared" si="27"/>
        <v>1748</v>
      </c>
      <c r="B498" s="36"/>
      <c r="C498" s="38">
        <v>24</v>
      </c>
      <c r="D498" s="38">
        <v>16</v>
      </c>
      <c r="E498" s="38">
        <v>12</v>
      </c>
      <c r="F498" s="38">
        <v>36</v>
      </c>
      <c r="G498" s="38">
        <v>24</v>
      </c>
      <c r="H498" s="38">
        <f>F498/Wages!C498</f>
        <v>1.5</v>
      </c>
      <c r="I498" s="38">
        <f>G498/Wages!D498</f>
        <v>1.5</v>
      </c>
      <c r="J498" s="38">
        <v>18</v>
      </c>
      <c r="K498" s="38">
        <v>12</v>
      </c>
      <c r="L498" s="38"/>
      <c r="M498" s="39">
        <f>Prices!BP500*Wages!$C498</f>
        <v>11.135806451612904</v>
      </c>
      <c r="N498" s="39">
        <f>Prices!BP500*Wages!D498</f>
        <v>7.4238709677419363</v>
      </c>
      <c r="O498" s="39">
        <f>Prices!$BP500*Wages!E498</f>
        <v>5.567903225806452</v>
      </c>
      <c r="P498" s="39">
        <f>Prices!$BP500*F498</f>
        <v>16.703709677419358</v>
      </c>
      <c r="Q498" s="39">
        <f>(31.1*0.925/Prices!$BN500)*G498</f>
        <v>11.135806451612904</v>
      </c>
    </row>
    <row r="499" spans="1:17">
      <c r="A499" s="54">
        <f t="shared" si="27"/>
        <v>1749</v>
      </c>
      <c r="B499" s="36"/>
      <c r="C499" s="38">
        <v>24</v>
      </c>
      <c r="D499" s="38">
        <v>16</v>
      </c>
      <c r="E499" s="38">
        <v>12</v>
      </c>
      <c r="F499" s="38">
        <v>36</v>
      </c>
      <c r="G499" s="38">
        <v>24</v>
      </c>
      <c r="H499" s="38">
        <f>F499/Wages!C499</f>
        <v>1.5</v>
      </c>
      <c r="I499" s="38">
        <f>G499/Wages!D499</f>
        <v>1.5</v>
      </c>
      <c r="J499" s="38">
        <v>18</v>
      </c>
      <c r="K499" s="38">
        <v>12</v>
      </c>
      <c r="L499" s="38"/>
      <c r="M499" s="39">
        <f>Prices!BP501*Wages!$C499</f>
        <v>11.135806451612904</v>
      </c>
      <c r="N499" s="39">
        <f>Prices!BP501*Wages!D499</f>
        <v>7.4238709677419363</v>
      </c>
      <c r="O499" s="39">
        <f>Prices!$BP501*Wages!E499</f>
        <v>5.567903225806452</v>
      </c>
      <c r="P499" s="39">
        <f>Prices!$BP501*F499</f>
        <v>16.703709677419358</v>
      </c>
      <c r="Q499" s="39">
        <f>(31.1*0.925/Prices!$BN501)*G499</f>
        <v>11.135806451612904</v>
      </c>
    </row>
    <row r="500" spans="1:17">
      <c r="A500" s="54">
        <f t="shared" si="27"/>
        <v>1750</v>
      </c>
      <c r="B500" s="36"/>
      <c r="C500" s="38">
        <v>24</v>
      </c>
      <c r="D500" s="38">
        <v>16</v>
      </c>
      <c r="E500" s="38">
        <v>12</v>
      </c>
      <c r="F500" s="38">
        <v>36</v>
      </c>
      <c r="G500" s="38">
        <v>26</v>
      </c>
      <c r="H500" s="38">
        <f>F500/Wages!C500</f>
        <v>1.5</v>
      </c>
      <c r="I500" s="38">
        <f>G500/Wages!D500</f>
        <v>1.625</v>
      </c>
      <c r="J500" s="38">
        <v>18</v>
      </c>
      <c r="K500" s="38">
        <v>12</v>
      </c>
      <c r="L500" s="38"/>
      <c r="M500" s="39">
        <f>Prices!BP502*Wages!$C500</f>
        <v>11.135806451612904</v>
      </c>
      <c r="N500" s="39">
        <f>Prices!BP502*Wages!D500</f>
        <v>7.4238709677419363</v>
      </c>
      <c r="O500" s="39">
        <f>Prices!$BP502*Wages!E500</f>
        <v>5.567903225806452</v>
      </c>
      <c r="P500" s="39">
        <f>Prices!$BP502*F500</f>
        <v>16.703709677419358</v>
      </c>
      <c r="Q500" s="39">
        <f>(31.1*0.925/Prices!$BN502)*G500</f>
        <v>12.063790322580646</v>
      </c>
    </row>
    <row r="501" spans="1:17">
      <c r="A501" s="54">
        <f t="shared" si="27"/>
        <v>1751</v>
      </c>
      <c r="B501" s="36"/>
      <c r="C501" s="38">
        <v>24</v>
      </c>
      <c r="D501" s="38">
        <v>16</v>
      </c>
      <c r="E501" s="38">
        <v>12</v>
      </c>
      <c r="F501" s="38">
        <v>36</v>
      </c>
      <c r="G501" s="38">
        <v>24</v>
      </c>
      <c r="H501" s="38">
        <f>F501/Wages!C501</f>
        <v>1.5</v>
      </c>
      <c r="I501" s="38">
        <f>G501/Wages!D501</f>
        <v>1.5</v>
      </c>
      <c r="J501" s="38">
        <v>18</v>
      </c>
      <c r="K501" s="38">
        <v>12</v>
      </c>
      <c r="L501" s="38"/>
      <c r="M501" s="39">
        <f>Prices!BP503*Wages!$C501</f>
        <v>11.135806451612904</v>
      </c>
      <c r="N501" s="39">
        <f>Prices!BP503*Wages!D501</f>
        <v>7.4238709677419363</v>
      </c>
      <c r="O501" s="39">
        <f>Prices!$BP503*Wages!E501</f>
        <v>5.567903225806452</v>
      </c>
      <c r="P501" s="39">
        <f>Prices!$BP503*F501</f>
        <v>16.703709677419358</v>
      </c>
      <c r="Q501" s="39">
        <f>(31.1*0.925/Prices!$BN503)*G501</f>
        <v>11.135806451612904</v>
      </c>
    </row>
    <row r="502" spans="1:17">
      <c r="A502" s="54">
        <f t="shared" si="27"/>
        <v>1752</v>
      </c>
      <c r="B502" s="36"/>
      <c r="C502" s="38">
        <v>24</v>
      </c>
      <c r="D502" s="38">
        <v>16</v>
      </c>
      <c r="E502" s="38">
        <v>12</v>
      </c>
      <c r="F502" s="38">
        <v>36</v>
      </c>
      <c r="G502" s="38">
        <v>24</v>
      </c>
      <c r="H502" s="38">
        <f>F502/Wages!C502</f>
        <v>1.5</v>
      </c>
      <c r="I502" s="38">
        <f>G502/Wages!D502</f>
        <v>1.5</v>
      </c>
      <c r="J502" s="38">
        <v>18</v>
      </c>
      <c r="K502" s="38">
        <v>12</v>
      </c>
      <c r="L502" s="38"/>
      <c r="M502" s="39">
        <f>Prices!BP504*Wages!$C502</f>
        <v>11.135806451612904</v>
      </c>
      <c r="N502" s="39">
        <f>Prices!BP504*Wages!D502</f>
        <v>7.4238709677419363</v>
      </c>
      <c r="O502" s="39">
        <f>Prices!$BP504*Wages!E502</f>
        <v>5.567903225806452</v>
      </c>
      <c r="P502" s="39">
        <f>Prices!$BP504*F502</f>
        <v>16.703709677419358</v>
      </c>
      <c r="Q502" s="39">
        <f>(31.1*0.925/Prices!$BN504)*G502</f>
        <v>11.135806451612904</v>
      </c>
    </row>
    <row r="503" spans="1:17">
      <c r="A503" s="54">
        <f t="shared" si="27"/>
        <v>1753</v>
      </c>
      <c r="B503" s="36"/>
      <c r="C503" s="38">
        <v>24</v>
      </c>
      <c r="D503" s="38">
        <v>16</v>
      </c>
      <c r="E503" s="38">
        <v>12</v>
      </c>
      <c r="F503" s="38">
        <v>36</v>
      </c>
      <c r="G503" s="38">
        <v>24</v>
      </c>
      <c r="H503" s="38">
        <f>F503/Wages!C503</f>
        <v>1.5</v>
      </c>
      <c r="I503" s="38">
        <f>G503/Wages!D503</f>
        <v>1.5</v>
      </c>
      <c r="J503" s="38">
        <v>18</v>
      </c>
      <c r="K503" s="38">
        <v>12</v>
      </c>
      <c r="L503" s="38"/>
      <c r="M503" s="39">
        <f>Prices!BP505*Wages!$C503</f>
        <v>11.135806451612904</v>
      </c>
      <c r="N503" s="39">
        <f>Prices!BP505*Wages!D503</f>
        <v>7.4238709677419363</v>
      </c>
      <c r="O503" s="39">
        <f>Prices!$BP505*Wages!E503</f>
        <v>5.567903225806452</v>
      </c>
      <c r="P503" s="39">
        <f>Prices!$BP505*F503</f>
        <v>16.703709677419358</v>
      </c>
      <c r="Q503" s="39">
        <f>(31.1*0.925/Prices!$BN505)*G503</f>
        <v>11.135806451612904</v>
      </c>
    </row>
    <row r="504" spans="1:17">
      <c r="A504" s="54">
        <f t="shared" si="27"/>
        <v>1754</v>
      </c>
      <c r="B504" s="36"/>
      <c r="C504" s="38">
        <v>24</v>
      </c>
      <c r="D504" s="38">
        <v>16</v>
      </c>
      <c r="E504" s="38">
        <v>12</v>
      </c>
      <c r="F504" s="38">
        <v>36</v>
      </c>
      <c r="G504" s="38">
        <v>24</v>
      </c>
      <c r="H504" s="38">
        <f>F504/Wages!C504</f>
        <v>1.5</v>
      </c>
      <c r="I504" s="38">
        <f>G504/Wages!D504</f>
        <v>1.5</v>
      </c>
      <c r="J504" s="38">
        <v>18</v>
      </c>
      <c r="K504" s="38">
        <v>12</v>
      </c>
      <c r="L504" s="38"/>
      <c r="M504" s="39">
        <f>Prices!BP506*Wages!$C504</f>
        <v>11.135806451612904</v>
      </c>
      <c r="N504" s="39">
        <f>Prices!BP506*Wages!D504</f>
        <v>7.4238709677419363</v>
      </c>
      <c r="O504" s="39">
        <f>Prices!$BP506*Wages!E504</f>
        <v>5.567903225806452</v>
      </c>
      <c r="P504" s="39">
        <f>Prices!$BP506*F504</f>
        <v>16.703709677419358</v>
      </c>
      <c r="Q504" s="39">
        <f>(31.1*0.925/Prices!$BN506)*G504</f>
        <v>11.135806451612904</v>
      </c>
    </row>
    <row r="505" spans="1:17">
      <c r="A505" s="54">
        <f t="shared" si="27"/>
        <v>1755</v>
      </c>
      <c r="B505" s="36"/>
      <c r="C505" s="38">
        <v>24</v>
      </c>
      <c r="D505" s="38">
        <v>16</v>
      </c>
      <c r="E505" s="38">
        <v>12</v>
      </c>
      <c r="F505" s="38">
        <v>36</v>
      </c>
      <c r="G505" s="38">
        <v>24</v>
      </c>
      <c r="H505" s="38">
        <f>F505/Wages!C505</f>
        <v>1.5</v>
      </c>
      <c r="I505" s="38">
        <f>G505/Wages!D505</f>
        <v>1.5</v>
      </c>
      <c r="J505" s="38">
        <v>18</v>
      </c>
      <c r="K505" s="38">
        <v>12</v>
      </c>
      <c r="L505" s="38"/>
      <c r="M505" s="39">
        <f>Prices!BP507*Wages!$C505</f>
        <v>11.135806451612904</v>
      </c>
      <c r="N505" s="39">
        <f>Prices!BP507*Wages!D505</f>
        <v>7.4238709677419363</v>
      </c>
      <c r="O505" s="39">
        <f>Prices!$BP507*Wages!E505</f>
        <v>5.567903225806452</v>
      </c>
      <c r="P505" s="39">
        <f>Prices!$BP507*F505</f>
        <v>16.703709677419358</v>
      </c>
      <c r="Q505" s="39">
        <f>(31.1*0.925/Prices!$BN507)*G505</f>
        <v>11.135806451612904</v>
      </c>
    </row>
    <row r="506" spans="1:17">
      <c r="A506" s="54">
        <f t="shared" si="27"/>
        <v>1756</v>
      </c>
      <c r="B506" s="36"/>
      <c r="C506" s="38">
        <v>24</v>
      </c>
      <c r="D506" s="38">
        <v>16</v>
      </c>
      <c r="E506" s="38">
        <v>12</v>
      </c>
      <c r="F506" s="38">
        <v>36</v>
      </c>
      <c r="G506" s="38">
        <v>24</v>
      </c>
      <c r="H506" s="38">
        <f>F506/Wages!C506</f>
        <v>1.5</v>
      </c>
      <c r="I506" s="38">
        <f>G506/Wages!D506</f>
        <v>1.5</v>
      </c>
      <c r="J506" s="38">
        <v>18</v>
      </c>
      <c r="K506" s="38">
        <v>12</v>
      </c>
      <c r="L506" s="38"/>
      <c r="M506" s="39">
        <f>Prices!BP508*Wages!$C506</f>
        <v>11.135806451612904</v>
      </c>
      <c r="N506" s="39">
        <f>Prices!BP508*Wages!D506</f>
        <v>7.4238709677419363</v>
      </c>
      <c r="O506" s="39">
        <f>Prices!$BP508*Wages!E506</f>
        <v>5.567903225806452</v>
      </c>
      <c r="P506" s="39">
        <f>Prices!$BP508*F506</f>
        <v>16.703709677419358</v>
      </c>
      <c r="Q506" s="39">
        <f>(31.1*0.925/Prices!$BN508)*G506</f>
        <v>11.135806451612904</v>
      </c>
    </row>
    <row r="507" spans="1:17">
      <c r="A507" s="54">
        <f t="shared" si="27"/>
        <v>1757</v>
      </c>
      <c r="B507" s="36"/>
      <c r="C507" s="38">
        <v>24</v>
      </c>
      <c r="D507" s="38">
        <v>16</v>
      </c>
      <c r="E507" s="38">
        <v>12</v>
      </c>
      <c r="F507" s="38">
        <v>36</v>
      </c>
      <c r="G507" s="38">
        <v>24</v>
      </c>
      <c r="H507" s="38">
        <f>F507/Wages!C507</f>
        <v>1.5</v>
      </c>
      <c r="I507" s="38">
        <f>G507/Wages!D507</f>
        <v>1.5</v>
      </c>
      <c r="J507" s="38">
        <v>18</v>
      </c>
      <c r="K507" s="38">
        <v>12</v>
      </c>
      <c r="L507" s="38"/>
      <c r="M507" s="39">
        <f>Prices!BP509*Wages!$C507</f>
        <v>11.135806451612904</v>
      </c>
      <c r="N507" s="39">
        <f>Prices!BP509*Wages!D507</f>
        <v>7.4238709677419363</v>
      </c>
      <c r="O507" s="39">
        <f>Prices!$BP509*Wages!E507</f>
        <v>5.567903225806452</v>
      </c>
      <c r="P507" s="39">
        <f>Prices!$BP509*F507</f>
        <v>16.703709677419358</v>
      </c>
      <c r="Q507" s="39">
        <f>(31.1*0.925/Prices!$BN509)*G507</f>
        <v>11.135806451612904</v>
      </c>
    </row>
    <row r="508" spans="1:17">
      <c r="A508" s="54">
        <f t="shared" si="27"/>
        <v>1758</v>
      </c>
      <c r="B508" s="36"/>
      <c r="C508" s="38">
        <v>24</v>
      </c>
      <c r="D508" s="38">
        <v>16</v>
      </c>
      <c r="E508" s="38">
        <v>12</v>
      </c>
      <c r="F508" s="38">
        <v>36</v>
      </c>
      <c r="G508" s="38">
        <v>24</v>
      </c>
      <c r="H508" s="38">
        <f>F508/Wages!C508</f>
        <v>1.5</v>
      </c>
      <c r="I508" s="38">
        <f>G508/Wages!D508</f>
        <v>1.5</v>
      </c>
      <c r="J508" s="38">
        <v>18</v>
      </c>
      <c r="K508" s="38">
        <v>12</v>
      </c>
      <c r="L508" s="38"/>
      <c r="M508" s="39">
        <f>Prices!BP510*Wages!$C508</f>
        <v>11.135806451612904</v>
      </c>
      <c r="N508" s="39">
        <f>Prices!BP510*Wages!D508</f>
        <v>7.4238709677419363</v>
      </c>
      <c r="O508" s="39">
        <f>Prices!$BP510*Wages!E508</f>
        <v>5.567903225806452</v>
      </c>
      <c r="P508" s="39">
        <f>Prices!$BP510*F508</f>
        <v>16.703709677419358</v>
      </c>
      <c r="Q508" s="39">
        <f>(31.1*0.925/Prices!$BN510)*G508</f>
        <v>11.135806451612904</v>
      </c>
    </row>
    <row r="509" spans="1:17">
      <c r="A509" s="54">
        <f t="shared" si="27"/>
        <v>1759</v>
      </c>
      <c r="B509" s="36"/>
      <c r="C509" s="38">
        <v>24</v>
      </c>
      <c r="D509" s="38">
        <v>16</v>
      </c>
      <c r="E509" s="38">
        <v>12</v>
      </c>
      <c r="F509" s="38">
        <v>36</v>
      </c>
      <c r="G509" s="38">
        <v>24</v>
      </c>
      <c r="H509" s="38">
        <f>F509/Wages!C509</f>
        <v>1.5</v>
      </c>
      <c r="I509" s="38">
        <f>G509/Wages!D509</f>
        <v>1.5</v>
      </c>
      <c r="J509" s="38">
        <v>18</v>
      </c>
      <c r="K509" s="38">
        <v>12</v>
      </c>
      <c r="L509" s="38"/>
      <c r="M509" s="39">
        <f>Prices!BP511*Wages!$C509</f>
        <v>11.135806451612904</v>
      </c>
      <c r="N509" s="39">
        <f>Prices!BP511*Wages!D509</f>
        <v>7.4238709677419363</v>
      </c>
      <c r="O509" s="39">
        <f>Prices!$BP511*Wages!E509</f>
        <v>5.567903225806452</v>
      </c>
      <c r="P509" s="39">
        <f>Prices!$BP511*F509</f>
        <v>16.703709677419358</v>
      </c>
      <c r="Q509" s="39">
        <f>(31.1*0.925/Prices!$BN511)*G509</f>
        <v>11.135806451612904</v>
      </c>
    </row>
    <row r="510" spans="1:17">
      <c r="A510" s="54">
        <f t="shared" si="27"/>
        <v>1760</v>
      </c>
      <c r="B510" s="36"/>
      <c r="C510" s="38">
        <v>24</v>
      </c>
      <c r="D510" s="38">
        <v>16</v>
      </c>
      <c r="E510" s="38">
        <v>12</v>
      </c>
      <c r="F510" s="38">
        <v>36</v>
      </c>
      <c r="G510" s="38">
        <v>24</v>
      </c>
      <c r="H510" s="38">
        <f>F510/Wages!C510</f>
        <v>1.5</v>
      </c>
      <c r="I510" s="38">
        <f>G510/Wages!D510</f>
        <v>1.5</v>
      </c>
      <c r="J510" s="38">
        <v>18</v>
      </c>
      <c r="K510" s="38">
        <v>12</v>
      </c>
      <c r="L510" s="38"/>
      <c r="M510" s="39">
        <f>Prices!BP512*Wages!$C510</f>
        <v>11.135806451612904</v>
      </c>
      <c r="N510" s="39">
        <f>Prices!BP512*Wages!D510</f>
        <v>7.4238709677419363</v>
      </c>
      <c r="O510" s="39">
        <f>Prices!$BP512*Wages!E510</f>
        <v>5.567903225806452</v>
      </c>
      <c r="P510" s="39">
        <f>Prices!$BP512*F510</f>
        <v>16.703709677419358</v>
      </c>
      <c r="Q510" s="39">
        <f>(31.1*0.925/Prices!$BN512)*G510</f>
        <v>11.135806451612904</v>
      </c>
    </row>
    <row r="511" spans="1:17">
      <c r="A511" s="54">
        <f t="shared" si="27"/>
        <v>1761</v>
      </c>
      <c r="B511" s="36"/>
      <c r="C511" s="38">
        <v>24</v>
      </c>
      <c r="D511" s="38">
        <v>16</v>
      </c>
      <c r="E511" s="38">
        <v>12</v>
      </c>
      <c r="F511" s="38">
        <v>36</v>
      </c>
      <c r="G511" s="38">
        <v>24</v>
      </c>
      <c r="H511" s="38">
        <f>F511/Wages!C511</f>
        <v>1.5</v>
      </c>
      <c r="I511" s="38">
        <f>G511/Wages!D511</f>
        <v>1.5</v>
      </c>
      <c r="J511" s="38">
        <v>18</v>
      </c>
      <c r="K511" s="38">
        <v>12</v>
      </c>
      <c r="L511" s="38"/>
      <c r="M511" s="39">
        <f>Prices!BP513*Wages!$C511</f>
        <v>11.135806451612904</v>
      </c>
      <c r="N511" s="39">
        <f>Prices!BP513*Wages!D511</f>
        <v>7.4238709677419363</v>
      </c>
      <c r="O511" s="39">
        <f>Prices!$BP513*Wages!E511</f>
        <v>5.567903225806452</v>
      </c>
      <c r="P511" s="39">
        <f>Prices!$BP513*F511</f>
        <v>16.703709677419358</v>
      </c>
      <c r="Q511" s="39">
        <f>(31.1*0.925/Prices!$BN513)*G511</f>
        <v>11.135806451612904</v>
      </c>
    </row>
    <row r="512" spans="1:17">
      <c r="A512" s="54">
        <f t="shared" si="27"/>
        <v>1762</v>
      </c>
      <c r="B512" s="36"/>
      <c r="C512" s="38">
        <v>24</v>
      </c>
      <c r="D512" s="38">
        <v>16</v>
      </c>
      <c r="E512" s="38">
        <v>12</v>
      </c>
      <c r="F512" s="38">
        <v>36</v>
      </c>
      <c r="G512" s="38">
        <v>24</v>
      </c>
      <c r="H512" s="38">
        <f>F512/Wages!C512</f>
        <v>1.5</v>
      </c>
      <c r="I512" s="38">
        <f>G512/Wages!D512</f>
        <v>1.5</v>
      </c>
      <c r="J512" s="38">
        <v>18</v>
      </c>
      <c r="K512" s="38">
        <v>12</v>
      </c>
      <c r="L512" s="38"/>
      <c r="M512" s="39">
        <f>Prices!BP514*Wages!$C512</f>
        <v>11.135806451612904</v>
      </c>
      <c r="N512" s="39">
        <f>Prices!BP514*Wages!D512</f>
        <v>7.4238709677419363</v>
      </c>
      <c r="O512" s="39">
        <f>Prices!$BP514*Wages!E512</f>
        <v>5.567903225806452</v>
      </c>
      <c r="P512" s="39">
        <f>Prices!$BP514*F512</f>
        <v>16.703709677419358</v>
      </c>
      <c r="Q512" s="39">
        <f>(31.1*0.925/Prices!$BN514)*G512</f>
        <v>11.135806451612904</v>
      </c>
    </row>
    <row r="513" spans="1:17">
      <c r="A513" s="54">
        <f t="shared" si="27"/>
        <v>1763</v>
      </c>
      <c r="B513" s="36"/>
      <c r="C513" s="38">
        <v>24</v>
      </c>
      <c r="D513" s="38">
        <v>16</v>
      </c>
      <c r="E513" s="38">
        <v>12</v>
      </c>
      <c r="F513" s="38">
        <v>36</v>
      </c>
      <c r="G513" s="38">
        <v>24</v>
      </c>
      <c r="H513" s="38">
        <f>F513/Wages!C513</f>
        <v>1.5</v>
      </c>
      <c r="I513" s="38">
        <f>G513/Wages!D513</f>
        <v>1.5</v>
      </c>
      <c r="J513" s="38">
        <v>18</v>
      </c>
      <c r="K513" s="38">
        <v>12</v>
      </c>
      <c r="L513" s="38"/>
      <c r="M513" s="39">
        <f>Prices!BP515*Wages!$C513</f>
        <v>11.135806451612904</v>
      </c>
      <c r="N513" s="39">
        <f>Prices!BP515*Wages!D513</f>
        <v>7.4238709677419363</v>
      </c>
      <c r="O513" s="39">
        <f>Prices!$BP515*Wages!E513</f>
        <v>5.567903225806452</v>
      </c>
      <c r="P513" s="39">
        <f>Prices!$BP515*F513</f>
        <v>16.703709677419358</v>
      </c>
      <c r="Q513" s="39">
        <f>(31.1*0.925/Prices!$BN515)*G513</f>
        <v>11.135806451612904</v>
      </c>
    </row>
    <row r="514" spans="1:17">
      <c r="A514" s="54">
        <f t="shared" si="27"/>
        <v>1764</v>
      </c>
      <c r="B514" s="36"/>
      <c r="C514" s="38">
        <v>24</v>
      </c>
      <c r="D514" s="38">
        <v>16</v>
      </c>
      <c r="E514" s="38">
        <v>12</v>
      </c>
      <c r="F514" s="38">
        <v>36</v>
      </c>
      <c r="G514" s="38">
        <v>24</v>
      </c>
      <c r="H514" s="38">
        <f>F514/Wages!C514</f>
        <v>1.5</v>
      </c>
      <c r="I514" s="38">
        <f>G514/Wages!D514</f>
        <v>1.5</v>
      </c>
      <c r="J514" s="38">
        <v>18</v>
      </c>
      <c r="K514" s="38">
        <v>12</v>
      </c>
      <c r="L514" s="38"/>
      <c r="M514" s="39">
        <f>Prices!BP516*Wages!$C514</f>
        <v>11.135806451612904</v>
      </c>
      <c r="N514" s="39">
        <f>Prices!BP516*Wages!D514</f>
        <v>7.4238709677419363</v>
      </c>
      <c r="O514" s="39">
        <f>Prices!$BP516*Wages!E514</f>
        <v>5.567903225806452</v>
      </c>
      <c r="P514" s="39">
        <f>Prices!$BP516*F514</f>
        <v>16.703709677419358</v>
      </c>
      <c r="Q514" s="39">
        <f>(31.1*0.925/Prices!$BN516)*G514</f>
        <v>11.135806451612904</v>
      </c>
    </row>
    <row r="515" spans="1:17">
      <c r="A515" s="54">
        <f t="shared" si="27"/>
        <v>1765</v>
      </c>
      <c r="B515" s="36"/>
      <c r="C515" s="38">
        <v>24</v>
      </c>
      <c r="D515" s="38">
        <v>16</v>
      </c>
      <c r="E515" s="38">
        <v>12</v>
      </c>
      <c r="F515" s="38">
        <v>36</v>
      </c>
      <c r="G515" s="38">
        <v>24</v>
      </c>
      <c r="H515" s="38">
        <f>F515/Wages!C515</f>
        <v>1.5</v>
      </c>
      <c r="I515" s="38">
        <f>G515/Wages!D515</f>
        <v>1.5</v>
      </c>
      <c r="J515" s="38">
        <v>18</v>
      </c>
      <c r="K515" s="38">
        <v>12</v>
      </c>
      <c r="L515" s="38"/>
      <c r="M515" s="39">
        <f>Prices!BP517*Wages!$C515</f>
        <v>11.135806451612904</v>
      </c>
      <c r="N515" s="39">
        <f>Prices!BP517*Wages!D515</f>
        <v>7.4238709677419363</v>
      </c>
      <c r="O515" s="39">
        <f>Prices!$BP517*Wages!E515</f>
        <v>5.567903225806452</v>
      </c>
      <c r="P515" s="39">
        <f>Prices!$BP517*F515</f>
        <v>16.703709677419358</v>
      </c>
      <c r="Q515" s="39">
        <f>(31.1*0.925/Prices!$BN517)*G515</f>
        <v>11.135806451612904</v>
      </c>
    </row>
    <row r="516" spans="1:17">
      <c r="A516" s="54">
        <f t="shared" si="27"/>
        <v>1766</v>
      </c>
      <c r="B516" s="36"/>
      <c r="C516" s="38">
        <v>24</v>
      </c>
      <c r="D516" s="38">
        <v>16</v>
      </c>
      <c r="E516" s="38">
        <v>12</v>
      </c>
      <c r="F516" s="38">
        <v>36</v>
      </c>
      <c r="G516" s="38">
        <v>24</v>
      </c>
      <c r="H516" s="38">
        <f>F516/Wages!C516</f>
        <v>1.5</v>
      </c>
      <c r="I516" s="38">
        <f>G516/Wages!D516</f>
        <v>1.5</v>
      </c>
      <c r="J516" s="38">
        <v>19</v>
      </c>
      <c r="K516" s="38">
        <v>12</v>
      </c>
      <c r="L516" s="38"/>
      <c r="M516" s="39">
        <f>Prices!BP518*Wages!$C516</f>
        <v>11.135806451612904</v>
      </c>
      <c r="N516" s="39">
        <f>Prices!BP518*Wages!D516</f>
        <v>7.4238709677419363</v>
      </c>
      <c r="O516" s="39">
        <f>Prices!$BP518*Wages!E516</f>
        <v>5.567903225806452</v>
      </c>
      <c r="P516" s="39">
        <f>Prices!$BP518*F516</f>
        <v>16.703709677419358</v>
      </c>
      <c r="Q516" s="39">
        <f>(31.1*0.925/Prices!$BN518)*G516</f>
        <v>11.135806451612904</v>
      </c>
    </row>
    <row r="517" spans="1:17">
      <c r="A517" s="54">
        <f t="shared" si="27"/>
        <v>1767</v>
      </c>
      <c r="B517" s="36"/>
      <c r="C517" s="38">
        <v>24</v>
      </c>
      <c r="D517" s="38">
        <v>16</v>
      </c>
      <c r="E517" s="38">
        <v>12</v>
      </c>
      <c r="F517" s="38">
        <v>36</v>
      </c>
      <c r="G517" s="38">
        <v>24</v>
      </c>
      <c r="H517" s="38">
        <f>F517/Wages!C517</f>
        <v>1.5</v>
      </c>
      <c r="I517" s="38">
        <f>G517/Wages!D517</f>
        <v>1.5</v>
      </c>
      <c r="J517" s="38">
        <v>19</v>
      </c>
      <c r="K517" s="38">
        <v>12</v>
      </c>
      <c r="L517" s="38"/>
      <c r="M517" s="39">
        <f>Prices!BP519*Wages!$C517</f>
        <v>11.135806451612904</v>
      </c>
      <c r="N517" s="39">
        <f>Prices!BP519*Wages!D517</f>
        <v>7.4238709677419363</v>
      </c>
      <c r="O517" s="39">
        <f>Prices!$BP519*Wages!E517</f>
        <v>5.567903225806452</v>
      </c>
      <c r="P517" s="39">
        <f>Prices!$BP519*F517</f>
        <v>16.703709677419358</v>
      </c>
      <c r="Q517" s="39">
        <f>(31.1*0.925/Prices!$BN519)*G517</f>
        <v>11.135806451612904</v>
      </c>
    </row>
    <row r="518" spans="1:17">
      <c r="A518" s="54">
        <f t="shared" si="27"/>
        <v>1768</v>
      </c>
      <c r="B518" s="36"/>
      <c r="C518" s="38">
        <v>24</v>
      </c>
      <c r="D518" s="38">
        <v>16</v>
      </c>
      <c r="E518" s="38">
        <v>12</v>
      </c>
      <c r="F518" s="38">
        <v>36</v>
      </c>
      <c r="G518" s="38">
        <v>24</v>
      </c>
      <c r="H518" s="38">
        <f>F518/Wages!C518</f>
        <v>1.5</v>
      </c>
      <c r="I518" s="38">
        <f>G518/Wages!D518</f>
        <v>1.5</v>
      </c>
      <c r="J518" s="38">
        <v>19</v>
      </c>
      <c r="K518" s="38">
        <v>12</v>
      </c>
      <c r="L518" s="38"/>
      <c r="M518" s="39">
        <f>Prices!BP520*Wages!$C518</f>
        <v>11.135806451612904</v>
      </c>
      <c r="N518" s="39">
        <f>Prices!BP520*Wages!D518</f>
        <v>7.4238709677419363</v>
      </c>
      <c r="O518" s="39">
        <f>Prices!$BP520*Wages!E518</f>
        <v>5.567903225806452</v>
      </c>
      <c r="P518" s="39">
        <f>Prices!$BP520*F518</f>
        <v>16.703709677419358</v>
      </c>
      <c r="Q518" s="39">
        <f>(31.1*0.925/Prices!$BN520)*G518</f>
        <v>11.135806451612904</v>
      </c>
    </row>
    <row r="519" spans="1:17">
      <c r="A519" s="54">
        <f t="shared" si="27"/>
        <v>1769</v>
      </c>
      <c r="B519" s="36"/>
      <c r="C519" s="38">
        <v>24</v>
      </c>
      <c r="D519" s="38">
        <v>16</v>
      </c>
      <c r="E519" s="38">
        <v>12</v>
      </c>
      <c r="F519" s="38">
        <v>36</v>
      </c>
      <c r="G519" s="38">
        <v>24</v>
      </c>
      <c r="H519" s="38">
        <f>F519/Wages!C519</f>
        <v>1.5</v>
      </c>
      <c r="I519" s="38">
        <f>G519/Wages!D519</f>
        <v>1.5</v>
      </c>
      <c r="J519" s="38">
        <v>19</v>
      </c>
      <c r="K519" s="38">
        <v>12</v>
      </c>
      <c r="L519" s="38"/>
      <c r="M519" s="39">
        <f>Prices!BP521*Wages!$C519</f>
        <v>11.135806451612904</v>
      </c>
      <c r="N519" s="39">
        <f>Prices!BP521*Wages!D519</f>
        <v>7.4238709677419363</v>
      </c>
      <c r="O519" s="39">
        <f>Prices!$BP521*Wages!E519</f>
        <v>5.567903225806452</v>
      </c>
      <c r="P519" s="39">
        <f>Prices!$BP521*F519</f>
        <v>16.703709677419358</v>
      </c>
      <c r="Q519" s="39">
        <f>(31.1*0.925/Prices!$BN521)*G519</f>
        <v>11.135806451612904</v>
      </c>
    </row>
    <row r="520" spans="1:17">
      <c r="A520" s="54">
        <f t="shared" si="27"/>
        <v>1770</v>
      </c>
      <c r="B520" s="36"/>
      <c r="C520" s="38">
        <v>24</v>
      </c>
      <c r="D520" s="38">
        <v>16</v>
      </c>
      <c r="E520" s="38">
        <v>12</v>
      </c>
      <c r="F520" s="38">
        <v>36</v>
      </c>
      <c r="G520" s="38">
        <v>24</v>
      </c>
      <c r="H520" s="38">
        <f>F520/Wages!C520</f>
        <v>1.5</v>
      </c>
      <c r="I520" s="38">
        <f>G520/Wages!D520</f>
        <v>1.5</v>
      </c>
      <c r="J520" s="38">
        <v>24</v>
      </c>
      <c r="K520" s="38">
        <v>12</v>
      </c>
      <c r="L520" s="38"/>
      <c r="M520" s="39">
        <f>Prices!BP522*Wages!$C520</f>
        <v>11.135806451612904</v>
      </c>
      <c r="N520" s="39">
        <f>Prices!BP522*Wages!D520</f>
        <v>7.4238709677419363</v>
      </c>
      <c r="O520" s="39">
        <f>Prices!$BP522*Wages!E520</f>
        <v>5.567903225806452</v>
      </c>
      <c r="P520" s="39">
        <f>Prices!$BP522*F520</f>
        <v>16.703709677419358</v>
      </c>
      <c r="Q520" s="39">
        <f>(31.1*0.925/Prices!$BN522)*G520</f>
        <v>11.135806451612904</v>
      </c>
    </row>
    <row r="521" spans="1:17">
      <c r="A521" s="54">
        <f t="shared" si="27"/>
        <v>1771</v>
      </c>
      <c r="B521" s="36"/>
      <c r="C521" s="38">
        <v>24</v>
      </c>
      <c r="D521" s="38">
        <v>16</v>
      </c>
      <c r="E521" s="38">
        <v>12</v>
      </c>
      <c r="F521" s="38">
        <v>36</v>
      </c>
      <c r="G521" s="38">
        <v>24</v>
      </c>
      <c r="H521" s="38">
        <f>F521/Wages!C521</f>
        <v>1.5</v>
      </c>
      <c r="I521" s="38">
        <f>G521/Wages!D521</f>
        <v>1.5</v>
      </c>
      <c r="J521" s="38">
        <v>24</v>
      </c>
      <c r="K521" s="38">
        <v>12</v>
      </c>
      <c r="L521" s="38"/>
      <c r="M521" s="39">
        <f>Prices!BP523*Wages!$C521</f>
        <v>11.135806451612904</v>
      </c>
      <c r="N521" s="39">
        <f>Prices!BP523*Wages!D521</f>
        <v>7.4238709677419363</v>
      </c>
      <c r="O521" s="39">
        <f>Prices!$BP523*Wages!E521</f>
        <v>5.567903225806452</v>
      </c>
      <c r="P521" s="39">
        <f>Prices!$BP523*F521</f>
        <v>16.703709677419358</v>
      </c>
      <c r="Q521" s="39">
        <f>(31.1*0.925/Prices!$BN523)*G521</f>
        <v>11.135806451612904</v>
      </c>
    </row>
    <row r="522" spans="1:17">
      <c r="A522" s="54">
        <f t="shared" ref="A522:A585" si="28">A521+1</f>
        <v>1772</v>
      </c>
      <c r="B522" s="36"/>
      <c r="C522" s="38">
        <v>24</v>
      </c>
      <c r="D522" s="38">
        <v>16</v>
      </c>
      <c r="E522" s="38">
        <v>12</v>
      </c>
      <c r="F522" s="38">
        <v>36</v>
      </c>
      <c r="G522" s="38">
        <v>24</v>
      </c>
      <c r="H522" s="38">
        <f>F522/Wages!C522</f>
        <v>1.5</v>
      </c>
      <c r="I522" s="38">
        <f>G522/Wages!D522</f>
        <v>1.5</v>
      </c>
      <c r="J522" s="38">
        <v>24</v>
      </c>
      <c r="K522" s="38">
        <v>12</v>
      </c>
      <c r="L522" s="38"/>
      <c r="M522" s="39">
        <f>Prices!BP524*Wages!$C522</f>
        <v>11.135806451612904</v>
      </c>
      <c r="N522" s="39">
        <f>Prices!BP524*Wages!D522</f>
        <v>7.4238709677419363</v>
      </c>
      <c r="O522" s="39">
        <f>Prices!$BP524*Wages!E522</f>
        <v>5.567903225806452</v>
      </c>
      <c r="P522" s="39">
        <f>Prices!$BP524*F522</f>
        <v>16.703709677419358</v>
      </c>
      <c r="Q522" s="39">
        <f>(31.1*0.925/Prices!$BN524)*G522</f>
        <v>11.135806451612904</v>
      </c>
    </row>
    <row r="523" spans="1:17">
      <c r="A523" s="54">
        <f t="shared" si="28"/>
        <v>1773</v>
      </c>
      <c r="B523" s="36"/>
      <c r="C523" s="38">
        <v>24</v>
      </c>
      <c r="D523" s="38">
        <v>16</v>
      </c>
      <c r="E523" s="38">
        <v>12</v>
      </c>
      <c r="F523" s="38">
        <v>36</v>
      </c>
      <c r="G523" s="38">
        <v>24</v>
      </c>
      <c r="H523" s="38">
        <f>F523/Wages!C523</f>
        <v>1.5</v>
      </c>
      <c r="I523" s="38">
        <f>G523/Wages!D523</f>
        <v>1.5</v>
      </c>
      <c r="J523" s="38">
        <v>24</v>
      </c>
      <c r="K523" s="38">
        <v>12</v>
      </c>
      <c r="L523" s="38"/>
      <c r="M523" s="39">
        <f>Prices!BP525*Wages!$C523</f>
        <v>11.135806451612904</v>
      </c>
      <c r="N523" s="39">
        <f>Prices!BP525*Wages!D523</f>
        <v>7.4238709677419363</v>
      </c>
      <c r="O523" s="39">
        <f>Prices!$BP525*Wages!E523</f>
        <v>5.567903225806452</v>
      </c>
      <c r="P523" s="39">
        <f>Prices!$BP525*F523</f>
        <v>16.703709677419358</v>
      </c>
      <c r="Q523" s="39">
        <f>(31.1*0.925/Prices!$BN525)*G523</f>
        <v>11.135806451612904</v>
      </c>
    </row>
    <row r="524" spans="1:17">
      <c r="A524" s="54">
        <f t="shared" si="28"/>
        <v>1774</v>
      </c>
      <c r="B524" s="36"/>
      <c r="C524" s="38">
        <v>26.5</v>
      </c>
      <c r="D524" s="38">
        <v>17.5</v>
      </c>
      <c r="E524" s="38">
        <v>12</v>
      </c>
      <c r="F524" s="38">
        <v>36</v>
      </c>
      <c r="G524" s="38">
        <v>24</v>
      </c>
      <c r="H524" s="39">
        <f>F524/Wages!C524</f>
        <v>1.3584905660377358</v>
      </c>
      <c r="I524" s="39">
        <f>G524/Wages!D524</f>
        <v>1.3714285714285714</v>
      </c>
      <c r="J524" s="38">
        <v>24</v>
      </c>
      <c r="K524" s="38">
        <v>12</v>
      </c>
      <c r="L524" s="38"/>
      <c r="M524" s="39">
        <f>Prices!BP526*Wages!$C524</f>
        <v>12.295786290322582</v>
      </c>
      <c r="N524" s="39">
        <f>Prices!BP526*Wages!D524</f>
        <v>8.1198588709677431</v>
      </c>
      <c r="O524" s="39">
        <f>Prices!$BP526*Wages!E524</f>
        <v>5.567903225806452</v>
      </c>
      <c r="P524" s="39">
        <f>Prices!$BP526*F524</f>
        <v>16.703709677419358</v>
      </c>
      <c r="Q524" s="39">
        <f>(31.1*0.925/Prices!$BN526)*G524</f>
        <v>11.135806451612904</v>
      </c>
    </row>
    <row r="525" spans="1:17">
      <c r="A525" s="54">
        <f t="shared" si="28"/>
        <v>1775</v>
      </c>
      <c r="B525" s="36"/>
      <c r="C525" s="38">
        <v>26.5</v>
      </c>
      <c r="D525" s="38">
        <v>17.5</v>
      </c>
      <c r="E525" s="38">
        <v>12</v>
      </c>
      <c r="F525" s="38">
        <v>36</v>
      </c>
      <c r="G525" s="38">
        <v>24</v>
      </c>
      <c r="H525" s="39">
        <f>F525/Wages!C525</f>
        <v>1.3584905660377358</v>
      </c>
      <c r="I525" s="39">
        <f>G525/Wages!D525</f>
        <v>1.3714285714285714</v>
      </c>
      <c r="J525" s="38">
        <v>24</v>
      </c>
      <c r="K525" s="38">
        <v>12</v>
      </c>
      <c r="L525" s="38"/>
      <c r="M525" s="39">
        <f>Prices!BP527*Wages!$C525</f>
        <v>12.295786290322582</v>
      </c>
      <c r="N525" s="39">
        <f>Prices!BP527*Wages!D525</f>
        <v>8.1198588709677431</v>
      </c>
      <c r="O525" s="39">
        <f>Prices!$BP527*Wages!E525</f>
        <v>5.567903225806452</v>
      </c>
      <c r="P525" s="39">
        <f>Prices!$BP527*F525</f>
        <v>16.703709677419358</v>
      </c>
      <c r="Q525" s="39">
        <f>(31.1*0.925/Prices!$BN527)*G525</f>
        <v>11.135806451612904</v>
      </c>
    </row>
    <row r="526" spans="1:17">
      <c r="A526" s="54">
        <f t="shared" si="28"/>
        <v>1776</v>
      </c>
      <c r="B526" s="36"/>
      <c r="C526" s="38">
        <v>26.5</v>
      </c>
      <c r="D526" s="38">
        <v>17.5</v>
      </c>
      <c r="E526" s="38">
        <v>12</v>
      </c>
      <c r="F526" s="38">
        <v>40</v>
      </c>
      <c r="G526" s="38">
        <v>24</v>
      </c>
      <c r="H526" s="39">
        <f>F526/Wages!C526</f>
        <v>1.5094339622641511</v>
      </c>
      <c r="I526" s="39">
        <f>G526/Wages!D526</f>
        <v>1.3714285714285714</v>
      </c>
      <c r="J526" s="38">
        <v>24</v>
      </c>
      <c r="K526" s="38">
        <v>12</v>
      </c>
      <c r="L526" s="38"/>
      <c r="M526" s="39">
        <f>Prices!BP528*Wages!$C526</f>
        <v>12.295786290322582</v>
      </c>
      <c r="N526" s="39">
        <f>Prices!BP528*Wages!D526</f>
        <v>8.1198588709677431</v>
      </c>
      <c r="O526" s="39">
        <f>Prices!$BP528*Wages!E526</f>
        <v>5.567903225806452</v>
      </c>
      <c r="P526" s="39">
        <f>Prices!$BP528*F526</f>
        <v>18.559677419354841</v>
      </c>
      <c r="Q526" s="39">
        <f>(31.1*0.925/Prices!$BN528)*G526</f>
        <v>11.135806451612904</v>
      </c>
    </row>
    <row r="527" spans="1:17">
      <c r="A527" s="54">
        <f t="shared" si="28"/>
        <v>1777</v>
      </c>
      <c r="B527" s="36"/>
      <c r="C527" s="38">
        <v>29</v>
      </c>
      <c r="D527" s="38">
        <v>19</v>
      </c>
      <c r="E527" s="38">
        <v>12</v>
      </c>
      <c r="F527" s="38">
        <v>40</v>
      </c>
      <c r="G527" s="38">
        <v>24</v>
      </c>
      <c r="H527" s="39">
        <f>F527/Wages!C527</f>
        <v>1.3793103448275863</v>
      </c>
      <c r="I527" s="39">
        <f>G527/Wages!D527</f>
        <v>1.263157894736842</v>
      </c>
      <c r="J527" s="38">
        <v>24</v>
      </c>
      <c r="K527" s="38">
        <v>12</v>
      </c>
      <c r="L527" s="38"/>
      <c r="M527" s="39">
        <f>Prices!BP529*Wages!$C527</f>
        <v>13.455766129032259</v>
      </c>
      <c r="N527" s="39">
        <f>Prices!BP529*Wages!D527</f>
        <v>8.8158467741935489</v>
      </c>
      <c r="O527" s="39">
        <f>Prices!$BP529*Wages!E527</f>
        <v>5.567903225806452</v>
      </c>
      <c r="P527" s="39">
        <f>Prices!$BP529*F527</f>
        <v>18.559677419354841</v>
      </c>
      <c r="Q527" s="39">
        <f>(31.1*0.925/Prices!$BN529)*G527</f>
        <v>11.135806451612904</v>
      </c>
    </row>
    <row r="528" spans="1:17">
      <c r="A528" s="54">
        <f t="shared" si="28"/>
        <v>1778</v>
      </c>
      <c r="B528" s="36"/>
      <c r="C528" s="38">
        <v>29</v>
      </c>
      <c r="D528" s="38">
        <v>19</v>
      </c>
      <c r="E528" s="38">
        <v>12</v>
      </c>
      <c r="F528" s="38">
        <v>40</v>
      </c>
      <c r="G528" s="38">
        <v>24</v>
      </c>
      <c r="H528" s="39">
        <f>F528/Wages!C528</f>
        <v>1.3793103448275863</v>
      </c>
      <c r="I528" s="39">
        <f>G528/Wages!D528</f>
        <v>1.263157894736842</v>
      </c>
      <c r="J528" s="38">
        <v>24</v>
      </c>
      <c r="K528" s="38">
        <v>12</v>
      </c>
      <c r="L528" s="38"/>
      <c r="M528" s="39">
        <f>Prices!BP530*Wages!$C528</f>
        <v>13.455766129032259</v>
      </c>
      <c r="N528" s="39">
        <f>Prices!BP530*Wages!D528</f>
        <v>8.8158467741935489</v>
      </c>
      <c r="O528" s="39">
        <f>Prices!$BP530*Wages!E528</f>
        <v>5.567903225806452</v>
      </c>
      <c r="P528" s="39">
        <f>Prices!$BP530*F528</f>
        <v>18.559677419354841</v>
      </c>
      <c r="Q528" s="39">
        <f>(31.1*0.925/Prices!$BN530)*G528</f>
        <v>11.135806451612904</v>
      </c>
    </row>
    <row r="529" spans="1:17">
      <c r="A529" s="54">
        <f t="shared" si="28"/>
        <v>1779</v>
      </c>
      <c r="B529" s="36"/>
      <c r="C529" s="38">
        <v>29</v>
      </c>
      <c r="D529" s="38">
        <v>19</v>
      </c>
      <c r="E529" s="38">
        <v>12</v>
      </c>
      <c r="F529" s="38">
        <v>40</v>
      </c>
      <c r="G529" s="38">
        <v>24</v>
      </c>
      <c r="H529" s="39">
        <f>F529/Wages!C529</f>
        <v>1.3793103448275863</v>
      </c>
      <c r="I529" s="39">
        <f>G529/Wages!D529</f>
        <v>1.263157894736842</v>
      </c>
      <c r="J529" s="38">
        <v>24</v>
      </c>
      <c r="K529" s="38">
        <v>12</v>
      </c>
      <c r="L529" s="38"/>
      <c r="M529" s="39">
        <f>Prices!BP531*Wages!$C529</f>
        <v>13.455766129032259</v>
      </c>
      <c r="N529" s="39">
        <f>Prices!BP531*Wages!D529</f>
        <v>8.8158467741935489</v>
      </c>
      <c r="O529" s="39">
        <f>Prices!$BP531*Wages!E529</f>
        <v>5.567903225806452</v>
      </c>
      <c r="P529" s="39">
        <f>Prices!$BP531*F529</f>
        <v>18.559677419354841</v>
      </c>
      <c r="Q529" s="39">
        <f>(31.1*0.925/Prices!$BN531)*G529</f>
        <v>11.135806451612904</v>
      </c>
    </row>
    <row r="530" spans="1:17">
      <c r="A530" s="54">
        <f t="shared" si="28"/>
        <v>1780</v>
      </c>
      <c r="B530" s="36"/>
      <c r="C530" s="38">
        <v>29</v>
      </c>
      <c r="D530" s="38">
        <v>19</v>
      </c>
      <c r="E530" s="38">
        <v>12</v>
      </c>
      <c r="F530" s="38">
        <v>40</v>
      </c>
      <c r="G530" s="38">
        <v>24</v>
      </c>
      <c r="H530" s="39">
        <f>F530/Wages!C530</f>
        <v>1.3793103448275863</v>
      </c>
      <c r="I530" s="39">
        <f>G530/Wages!D530</f>
        <v>1.263157894736842</v>
      </c>
      <c r="J530" s="38">
        <v>24</v>
      </c>
      <c r="K530" s="38">
        <v>12</v>
      </c>
      <c r="L530" s="38"/>
      <c r="M530" s="39">
        <f>Prices!BP532*Wages!$C530</f>
        <v>13.455766129032259</v>
      </c>
      <c r="N530" s="39">
        <f>Prices!BP532*Wages!D530</f>
        <v>8.8158467741935489</v>
      </c>
      <c r="O530" s="39">
        <f>Prices!$BP532*Wages!E530</f>
        <v>5.567903225806452</v>
      </c>
      <c r="P530" s="39">
        <f>Prices!$BP532*F530</f>
        <v>18.559677419354841</v>
      </c>
      <c r="Q530" s="39">
        <f>(31.1*0.925/Prices!$BN532)*G530</f>
        <v>11.135806451612904</v>
      </c>
    </row>
    <row r="531" spans="1:17">
      <c r="A531" s="54">
        <f t="shared" si="28"/>
        <v>1781</v>
      </c>
      <c r="B531" s="36"/>
      <c r="C531" s="38">
        <v>29</v>
      </c>
      <c r="D531" s="38">
        <v>19</v>
      </c>
      <c r="E531" s="38">
        <v>12</v>
      </c>
      <c r="F531" s="38">
        <v>40</v>
      </c>
      <c r="G531" s="38">
        <v>24</v>
      </c>
      <c r="H531" s="39">
        <f>F531/Wages!C531</f>
        <v>1.3793103448275863</v>
      </c>
      <c r="I531" s="39">
        <f>G531/Wages!D531</f>
        <v>1.263157894736842</v>
      </c>
      <c r="J531" s="38">
        <v>24</v>
      </c>
      <c r="K531" s="38">
        <v>12</v>
      </c>
      <c r="L531" s="38"/>
      <c r="M531" s="39">
        <f>Prices!BP533*Wages!$C531</f>
        <v>13.455766129032259</v>
      </c>
      <c r="N531" s="39">
        <f>Prices!BP533*Wages!D531</f>
        <v>8.8158467741935489</v>
      </c>
      <c r="O531" s="39">
        <f>Prices!$BP533*Wages!E531</f>
        <v>5.567903225806452</v>
      </c>
      <c r="P531" s="39">
        <f>Prices!$BP533*F531</f>
        <v>18.559677419354841</v>
      </c>
      <c r="Q531" s="39">
        <f>(31.1*0.925/Prices!$BN533)*G531</f>
        <v>11.135806451612904</v>
      </c>
    </row>
    <row r="532" spans="1:17">
      <c r="A532" s="54">
        <f t="shared" si="28"/>
        <v>1782</v>
      </c>
      <c r="B532" s="36"/>
      <c r="C532" s="38">
        <v>29</v>
      </c>
      <c r="D532" s="38">
        <v>19</v>
      </c>
      <c r="E532" s="38">
        <v>12</v>
      </c>
      <c r="F532" s="38">
        <v>40</v>
      </c>
      <c r="G532" s="38">
        <v>24</v>
      </c>
      <c r="H532" s="39">
        <f>F532/Wages!C532</f>
        <v>1.3793103448275863</v>
      </c>
      <c r="I532" s="39">
        <f>G532/Wages!D532</f>
        <v>1.263157894736842</v>
      </c>
      <c r="J532" s="38">
        <v>24</v>
      </c>
      <c r="K532" s="38">
        <v>12</v>
      </c>
      <c r="L532" s="38"/>
      <c r="M532" s="39">
        <f>Prices!BP534*Wages!$C532</f>
        <v>13.455766129032259</v>
      </c>
      <c r="N532" s="39">
        <f>Prices!BP534*Wages!D532</f>
        <v>8.8158467741935489</v>
      </c>
      <c r="O532" s="39">
        <f>Prices!$BP534*Wages!E532</f>
        <v>5.567903225806452</v>
      </c>
      <c r="P532" s="39">
        <f>Prices!$BP534*F532</f>
        <v>18.559677419354841</v>
      </c>
      <c r="Q532" s="39">
        <f>(31.1*0.925/Prices!$BN534)*G532</f>
        <v>11.135806451612904</v>
      </c>
    </row>
    <row r="533" spans="1:17">
      <c r="A533" s="54">
        <f t="shared" si="28"/>
        <v>1783</v>
      </c>
      <c r="B533" s="36"/>
      <c r="C533" s="38">
        <v>29</v>
      </c>
      <c r="D533" s="38">
        <v>19</v>
      </c>
      <c r="E533" s="38">
        <v>12</v>
      </c>
      <c r="F533" s="38">
        <v>40</v>
      </c>
      <c r="G533" s="38">
        <v>24</v>
      </c>
      <c r="H533" s="39">
        <f>F533/Wages!C533</f>
        <v>1.3793103448275863</v>
      </c>
      <c r="I533" s="39">
        <f>G533/Wages!D533</f>
        <v>1.263157894736842</v>
      </c>
      <c r="J533" s="38">
        <v>24</v>
      </c>
      <c r="K533" s="38">
        <v>12</v>
      </c>
      <c r="L533" s="38"/>
      <c r="M533" s="39">
        <f>Prices!BP535*Wages!$C533</f>
        <v>13.455766129032259</v>
      </c>
      <c r="N533" s="39">
        <f>Prices!BP535*Wages!D533</f>
        <v>8.8158467741935489</v>
      </c>
      <c r="O533" s="39">
        <f>Prices!$BP535*Wages!E533</f>
        <v>5.567903225806452</v>
      </c>
      <c r="P533" s="39">
        <f>Prices!$BP535*F533</f>
        <v>18.559677419354841</v>
      </c>
      <c r="Q533" s="39">
        <f>(31.1*0.925/Prices!$BN535)*G533</f>
        <v>11.135806451612904</v>
      </c>
    </row>
    <row r="534" spans="1:17">
      <c r="A534" s="54">
        <f t="shared" si="28"/>
        <v>1784</v>
      </c>
      <c r="B534" s="36"/>
      <c r="C534" s="38">
        <v>29</v>
      </c>
      <c r="D534" s="38">
        <v>19</v>
      </c>
      <c r="E534" s="38">
        <v>12</v>
      </c>
      <c r="F534" s="38">
        <v>40</v>
      </c>
      <c r="G534" s="38">
        <v>24</v>
      </c>
      <c r="H534" s="39">
        <f>F534/Wages!C534</f>
        <v>1.3793103448275863</v>
      </c>
      <c r="I534" s="39">
        <f>G534/Wages!D534</f>
        <v>1.263157894736842</v>
      </c>
      <c r="J534" s="38">
        <v>24</v>
      </c>
      <c r="K534" s="38">
        <v>12</v>
      </c>
      <c r="L534" s="38"/>
      <c r="M534" s="39">
        <f>Prices!BP536*Wages!$C534</f>
        <v>13.455766129032259</v>
      </c>
      <c r="N534" s="39">
        <f>Prices!BP536*Wages!D534</f>
        <v>8.8158467741935489</v>
      </c>
      <c r="O534" s="39">
        <f>Prices!$BP536*Wages!E534</f>
        <v>5.567903225806452</v>
      </c>
      <c r="P534" s="39">
        <f>Prices!$BP536*F534</f>
        <v>18.559677419354841</v>
      </c>
      <c r="Q534" s="39">
        <f>(31.1*0.925/Prices!$BN536)*G534</f>
        <v>11.135806451612904</v>
      </c>
    </row>
    <row r="535" spans="1:17">
      <c r="A535" s="54">
        <f t="shared" si="28"/>
        <v>1785</v>
      </c>
      <c r="B535" s="36"/>
      <c r="C535" s="38">
        <v>29</v>
      </c>
      <c r="D535" s="38">
        <v>19</v>
      </c>
      <c r="E535" s="38">
        <v>12</v>
      </c>
      <c r="F535" s="38">
        <v>40</v>
      </c>
      <c r="G535" s="38">
        <v>24</v>
      </c>
      <c r="H535" s="39">
        <f>F535/Wages!C535</f>
        <v>1.3793103448275863</v>
      </c>
      <c r="I535" s="39">
        <f>G535/Wages!D535</f>
        <v>1.263157894736842</v>
      </c>
      <c r="J535" s="38">
        <v>24</v>
      </c>
      <c r="K535" s="38">
        <v>14</v>
      </c>
      <c r="L535" s="38"/>
      <c r="M535" s="39">
        <f>Prices!BP537*Wages!$C535</f>
        <v>13.455766129032259</v>
      </c>
      <c r="N535" s="39">
        <f>Prices!BP537*Wages!D535</f>
        <v>8.8158467741935489</v>
      </c>
      <c r="O535" s="39">
        <f>Prices!$BP537*Wages!E535</f>
        <v>5.567903225806452</v>
      </c>
      <c r="P535" s="39">
        <f>Prices!$BP537*F535</f>
        <v>18.559677419354841</v>
      </c>
      <c r="Q535" s="39">
        <f>(31.1*0.925/Prices!$BN537)*G535</f>
        <v>11.135806451612904</v>
      </c>
    </row>
    <row r="536" spans="1:17">
      <c r="A536" s="54">
        <f t="shared" si="28"/>
        <v>1786</v>
      </c>
      <c r="B536" s="36"/>
      <c r="C536" s="38">
        <v>29</v>
      </c>
      <c r="D536" s="38">
        <v>19</v>
      </c>
      <c r="E536" s="38">
        <v>12</v>
      </c>
      <c r="F536" s="38">
        <v>40</v>
      </c>
      <c r="G536" s="38">
        <v>24</v>
      </c>
      <c r="H536" s="39">
        <f>F536/Wages!C536</f>
        <v>1.3793103448275863</v>
      </c>
      <c r="I536" s="39">
        <f>G536/Wages!D536</f>
        <v>1.263157894736842</v>
      </c>
      <c r="J536" s="38">
        <v>24</v>
      </c>
      <c r="K536" s="38">
        <v>14</v>
      </c>
      <c r="L536" s="38"/>
      <c r="M536" s="39">
        <f>Prices!BP538*Wages!$C536</f>
        <v>13.455766129032259</v>
      </c>
      <c r="N536" s="39">
        <f>Prices!BP538*Wages!D536</f>
        <v>8.8158467741935489</v>
      </c>
      <c r="O536" s="39">
        <f>Prices!$BP538*Wages!E536</f>
        <v>5.567903225806452</v>
      </c>
      <c r="P536" s="39">
        <f>Prices!$BP538*F536</f>
        <v>18.559677419354841</v>
      </c>
      <c r="Q536" s="39">
        <f>(31.1*0.925/Prices!$BN538)*G536</f>
        <v>11.135806451612904</v>
      </c>
    </row>
    <row r="537" spans="1:17">
      <c r="A537" s="54">
        <f t="shared" si="28"/>
        <v>1787</v>
      </c>
      <c r="B537" s="36"/>
      <c r="C537" s="38">
        <v>29</v>
      </c>
      <c r="D537" s="38">
        <v>19</v>
      </c>
      <c r="E537" s="38">
        <v>12</v>
      </c>
      <c r="F537" s="38">
        <v>40</v>
      </c>
      <c r="G537" s="38">
        <v>24</v>
      </c>
      <c r="H537" s="39">
        <f>F537/Wages!C537</f>
        <v>1.3793103448275863</v>
      </c>
      <c r="I537" s="39">
        <f>G537/Wages!D537</f>
        <v>1.263157894736842</v>
      </c>
      <c r="J537" s="38">
        <v>24</v>
      </c>
      <c r="K537" s="38">
        <v>14</v>
      </c>
      <c r="L537" s="38"/>
      <c r="M537" s="39">
        <f>Prices!BP539*Wages!$C537</f>
        <v>13.455766129032259</v>
      </c>
      <c r="N537" s="39">
        <f>Prices!BP539*Wages!D537</f>
        <v>8.8158467741935489</v>
      </c>
      <c r="O537" s="39">
        <f>Prices!$BP539*Wages!E537</f>
        <v>5.567903225806452</v>
      </c>
      <c r="P537" s="39">
        <f>Prices!$BP539*F537</f>
        <v>18.559677419354841</v>
      </c>
      <c r="Q537" s="39">
        <f>(31.1*0.925/Prices!$BN539)*G537</f>
        <v>11.135806451612904</v>
      </c>
    </row>
    <row r="538" spans="1:17">
      <c r="A538" s="54">
        <f t="shared" si="28"/>
        <v>1788</v>
      </c>
      <c r="B538" s="36"/>
      <c r="C538" s="38">
        <v>29</v>
      </c>
      <c r="D538" s="38">
        <v>19</v>
      </c>
      <c r="E538" s="38">
        <v>12</v>
      </c>
      <c r="F538" s="38">
        <v>40</v>
      </c>
      <c r="G538" s="38">
        <v>24</v>
      </c>
      <c r="H538" s="39">
        <f>F538/Wages!C538</f>
        <v>1.3793103448275863</v>
      </c>
      <c r="I538" s="39">
        <f>G538/Wages!D538</f>
        <v>1.263157894736842</v>
      </c>
      <c r="J538" s="38">
        <v>24</v>
      </c>
      <c r="K538" s="38">
        <v>14</v>
      </c>
      <c r="L538" s="38"/>
      <c r="M538" s="39">
        <f>Prices!BP540*Wages!$C538</f>
        <v>13.455766129032259</v>
      </c>
      <c r="N538" s="39">
        <f>Prices!BP540*Wages!D538</f>
        <v>8.8158467741935489</v>
      </c>
      <c r="O538" s="39">
        <f>Prices!$BP540*Wages!E538</f>
        <v>5.567903225806452</v>
      </c>
      <c r="P538" s="39">
        <f>Prices!$BP540*F538</f>
        <v>18.559677419354841</v>
      </c>
      <c r="Q538" s="39">
        <f>(31.1*0.925/Prices!$BN540)*G538</f>
        <v>11.135806451612904</v>
      </c>
    </row>
    <row r="539" spans="1:17">
      <c r="A539" s="54">
        <f t="shared" si="28"/>
        <v>1789</v>
      </c>
      <c r="B539" s="36"/>
      <c r="C539" s="38">
        <v>29</v>
      </c>
      <c r="D539" s="38">
        <v>19</v>
      </c>
      <c r="E539" s="38">
        <v>12</v>
      </c>
      <c r="F539" s="38">
        <v>40</v>
      </c>
      <c r="G539" s="38">
        <v>24</v>
      </c>
      <c r="H539" s="39">
        <f>F539/Wages!C539</f>
        <v>1.3793103448275863</v>
      </c>
      <c r="I539" s="39">
        <f>G539/Wages!D539</f>
        <v>1.263157894736842</v>
      </c>
      <c r="J539" s="38">
        <v>24</v>
      </c>
      <c r="K539" s="38">
        <v>14</v>
      </c>
      <c r="L539" s="38"/>
      <c r="M539" s="39">
        <f>Prices!BP541*Wages!$C539</f>
        <v>13.455766129032259</v>
      </c>
      <c r="N539" s="39">
        <f>Prices!BP541*Wages!D539</f>
        <v>8.8158467741935489</v>
      </c>
      <c r="O539" s="39">
        <f>Prices!$BP541*Wages!E539</f>
        <v>5.567903225806452</v>
      </c>
      <c r="P539" s="39">
        <f>Prices!$BP541*F539</f>
        <v>18.559677419354841</v>
      </c>
      <c r="Q539" s="39">
        <f>(31.1*0.925/Prices!$BN541)*G539</f>
        <v>11.135806451612904</v>
      </c>
    </row>
    <row r="540" spans="1:17">
      <c r="A540" s="54">
        <f t="shared" si="28"/>
        <v>1790</v>
      </c>
      <c r="B540" s="36"/>
      <c r="C540" s="38">
        <v>29</v>
      </c>
      <c r="D540" s="38">
        <v>19</v>
      </c>
      <c r="E540" s="38">
        <v>12</v>
      </c>
      <c r="F540" s="38">
        <v>40</v>
      </c>
      <c r="G540" s="38">
        <v>24</v>
      </c>
      <c r="H540" s="39">
        <f>F540/Wages!C540</f>
        <v>1.3793103448275863</v>
      </c>
      <c r="I540" s="39">
        <f>G540/Wages!D540</f>
        <v>1.263157894736842</v>
      </c>
      <c r="J540" s="38">
        <v>24</v>
      </c>
      <c r="K540" s="38">
        <v>14</v>
      </c>
      <c r="L540" s="38"/>
      <c r="M540" s="39">
        <f>Prices!BP542*Wages!$C540</f>
        <v>13.455766129032259</v>
      </c>
      <c r="N540" s="39">
        <f>Prices!BP542*Wages!D540</f>
        <v>8.8158467741935489</v>
      </c>
      <c r="O540" s="39">
        <f>Prices!$BP542*Wages!E540</f>
        <v>5.567903225806452</v>
      </c>
      <c r="P540" s="39">
        <f>Prices!$BP542*F540</f>
        <v>18.559677419354841</v>
      </c>
      <c r="Q540" s="39">
        <f>(31.1*0.925/Prices!$BN542)*G540</f>
        <v>11.135806451612904</v>
      </c>
    </row>
    <row r="541" spans="1:17">
      <c r="A541" s="54">
        <f t="shared" si="28"/>
        <v>1791</v>
      </c>
      <c r="B541" s="36"/>
      <c r="C541" s="38">
        <v>29</v>
      </c>
      <c r="D541" s="38">
        <v>19</v>
      </c>
      <c r="E541" s="38">
        <v>12</v>
      </c>
      <c r="F541" s="38">
        <v>40</v>
      </c>
      <c r="G541" s="38">
        <v>24</v>
      </c>
      <c r="H541" s="39">
        <f>F541/Wages!C541</f>
        <v>1.3793103448275863</v>
      </c>
      <c r="I541" s="39">
        <f>G541/Wages!D541</f>
        <v>1.263157894736842</v>
      </c>
      <c r="J541" s="38">
        <v>24</v>
      </c>
      <c r="K541" s="38">
        <v>14</v>
      </c>
      <c r="L541" s="38"/>
      <c r="M541" s="39">
        <f>Prices!BP543*Wages!$C541</f>
        <v>13.455766129032259</v>
      </c>
      <c r="N541" s="39">
        <f>Prices!BP543*Wages!D541</f>
        <v>8.8158467741935489</v>
      </c>
      <c r="O541" s="39">
        <f>Prices!$BP543*Wages!E541</f>
        <v>5.567903225806452</v>
      </c>
      <c r="P541" s="39">
        <f>Prices!$BP543*F541</f>
        <v>18.559677419354841</v>
      </c>
      <c r="Q541" s="39">
        <f>(31.1*0.925/Prices!$BN543)*G541</f>
        <v>11.135806451612904</v>
      </c>
    </row>
    <row r="542" spans="1:17">
      <c r="A542" s="54">
        <f t="shared" si="28"/>
        <v>1792</v>
      </c>
      <c r="B542" s="36"/>
      <c r="C542" s="38">
        <v>32.5</v>
      </c>
      <c r="D542" s="38">
        <v>20.5</v>
      </c>
      <c r="E542" s="38">
        <v>12</v>
      </c>
      <c r="F542" s="38">
        <v>40</v>
      </c>
      <c r="G542" s="38">
        <v>24</v>
      </c>
      <c r="H542" s="39">
        <f>F542/Wages!C542</f>
        <v>1.2307692307692308</v>
      </c>
      <c r="I542" s="39">
        <f>G542/Wages!D542</f>
        <v>1.1707317073170731</v>
      </c>
      <c r="J542" s="38">
        <v>24</v>
      </c>
      <c r="K542" s="38">
        <v>14</v>
      </c>
      <c r="L542" s="38"/>
      <c r="M542" s="39">
        <f>Prices!BP544*Wages!$C542</f>
        <v>15.079737903225809</v>
      </c>
      <c r="N542" s="39">
        <f>Prices!BP544*Wages!D542</f>
        <v>9.5118346774193565</v>
      </c>
      <c r="O542" s="39">
        <f>Prices!$BP544*Wages!E542</f>
        <v>5.567903225806452</v>
      </c>
      <c r="P542" s="39">
        <f>Prices!$BP544*F542</f>
        <v>18.559677419354841</v>
      </c>
      <c r="Q542" s="39">
        <f>(31.1*0.925/Prices!$BN544)*G542</f>
        <v>11.135806451612904</v>
      </c>
    </row>
    <row r="543" spans="1:17">
      <c r="A543" s="54">
        <f t="shared" si="28"/>
        <v>1793</v>
      </c>
      <c r="B543" s="36"/>
      <c r="C543" s="38">
        <v>32.5</v>
      </c>
      <c r="D543" s="38">
        <v>20.5</v>
      </c>
      <c r="E543" s="38">
        <v>12</v>
      </c>
      <c r="F543" s="38">
        <v>40</v>
      </c>
      <c r="G543" s="38">
        <v>26</v>
      </c>
      <c r="H543" s="39">
        <f>F543/Wages!C543</f>
        <v>1.2307692307692308</v>
      </c>
      <c r="I543" s="39">
        <f>G543/Wages!D543</f>
        <v>1.2682926829268293</v>
      </c>
      <c r="J543" s="38">
        <v>36</v>
      </c>
      <c r="K543" s="38">
        <v>20</v>
      </c>
      <c r="L543" s="38"/>
      <c r="M543" s="39">
        <f>Prices!BP545*Wages!$C543</f>
        <v>15.079737903225809</v>
      </c>
      <c r="N543" s="39">
        <f>Prices!BP545*Wages!D543</f>
        <v>9.5118346774193565</v>
      </c>
      <c r="O543" s="39">
        <f>Prices!$BP545*Wages!E543</f>
        <v>5.567903225806452</v>
      </c>
      <c r="P543" s="39">
        <f>Prices!$BP545*F543</f>
        <v>18.559677419354841</v>
      </c>
      <c r="Q543" s="39">
        <f>(31.1*0.925/Prices!$BN545)*G543</f>
        <v>12.063790322580646</v>
      </c>
    </row>
    <row r="544" spans="1:17">
      <c r="A544" s="54">
        <f t="shared" si="28"/>
        <v>1794</v>
      </c>
      <c r="B544" s="36"/>
      <c r="C544" s="38">
        <v>32.5</v>
      </c>
      <c r="D544" s="38">
        <v>22</v>
      </c>
      <c r="E544" s="38">
        <v>17</v>
      </c>
      <c r="F544" s="38">
        <v>40</v>
      </c>
      <c r="G544" s="38">
        <v>26</v>
      </c>
      <c r="H544" s="39">
        <f>F544/Wages!C544</f>
        <v>1.2307692307692308</v>
      </c>
      <c r="I544" s="39">
        <f>G544/Wages!D544</f>
        <v>1.1818181818181819</v>
      </c>
      <c r="J544" s="38">
        <v>36</v>
      </c>
      <c r="K544" s="38">
        <v>20</v>
      </c>
      <c r="L544" s="38"/>
      <c r="M544" s="39">
        <f>Prices!BP546*Wages!$C544</f>
        <v>15.079737903225809</v>
      </c>
      <c r="N544" s="39">
        <f>Prices!BP546*Wages!D544</f>
        <v>10.207822580645162</v>
      </c>
      <c r="O544" s="39">
        <f>Prices!$BP546*Wages!E544</f>
        <v>7.8878629032258072</v>
      </c>
      <c r="P544" s="39">
        <f>Prices!$BP546*F544</f>
        <v>18.559677419354841</v>
      </c>
      <c r="Q544" s="39">
        <f>(31.1*0.925/Prices!$BN546)*G544</f>
        <v>12.063790322580646</v>
      </c>
    </row>
    <row r="545" spans="1:17">
      <c r="A545" s="54">
        <f t="shared" si="28"/>
        <v>1795</v>
      </c>
      <c r="B545" s="36"/>
      <c r="C545" s="38">
        <v>32.5</v>
      </c>
      <c r="D545" s="38">
        <v>22</v>
      </c>
      <c r="E545" s="38">
        <v>17</v>
      </c>
      <c r="F545" s="38">
        <v>40</v>
      </c>
      <c r="G545" s="38">
        <v>28</v>
      </c>
      <c r="H545" s="39">
        <f>F545/Wages!C545</f>
        <v>1.2307692307692308</v>
      </c>
      <c r="I545" s="39">
        <f>G545/Wages!D545</f>
        <v>1.2727272727272727</v>
      </c>
      <c r="J545" s="38">
        <v>36</v>
      </c>
      <c r="K545" s="38">
        <v>20</v>
      </c>
      <c r="L545" s="38"/>
      <c r="M545" s="39">
        <f>Prices!BP547*Wages!$C545</f>
        <v>15.079737903225809</v>
      </c>
      <c r="N545" s="39">
        <f>Prices!BP547*Wages!D545</f>
        <v>10.207822580645162</v>
      </c>
      <c r="O545" s="39">
        <f>Prices!$BP547*Wages!E545</f>
        <v>7.8878629032258072</v>
      </c>
      <c r="P545" s="39">
        <f>Prices!$BP547*F545</f>
        <v>18.559677419354841</v>
      </c>
      <c r="Q545" s="39">
        <f>(31.1*0.925/Prices!$BN547)*G545</f>
        <v>12.991774193548389</v>
      </c>
    </row>
    <row r="546" spans="1:17">
      <c r="A546" s="54">
        <f t="shared" si="28"/>
        <v>1796</v>
      </c>
      <c r="B546" s="36"/>
      <c r="C546" s="38">
        <v>32.5</v>
      </c>
      <c r="D546" s="38">
        <v>22</v>
      </c>
      <c r="E546" s="38">
        <v>17</v>
      </c>
      <c r="F546" s="38">
        <v>42</v>
      </c>
      <c r="G546" s="38">
        <v>30</v>
      </c>
      <c r="H546" s="39">
        <f>F546/Wages!C546</f>
        <v>1.2923076923076924</v>
      </c>
      <c r="I546" s="39">
        <f>G546/Wages!D546</f>
        <v>1.3636363636363635</v>
      </c>
      <c r="J546" s="38">
        <v>36</v>
      </c>
      <c r="K546" s="38">
        <v>20</v>
      </c>
      <c r="L546" s="38"/>
      <c r="M546" s="39">
        <f>Prices!BP548*Wages!$C546</f>
        <v>15.079737903225809</v>
      </c>
      <c r="N546" s="39">
        <f>Prices!BP548*Wages!D546</f>
        <v>10.207822580645162</v>
      </c>
      <c r="O546" s="39">
        <f>Prices!$BP548*Wages!E546</f>
        <v>7.8878629032258072</v>
      </c>
      <c r="P546" s="39">
        <f>Prices!$BP548*F546</f>
        <v>19.487661290322581</v>
      </c>
      <c r="Q546" s="39">
        <f>(31.1*0.925/Prices!$BN548)*G546</f>
        <v>13.919758064516131</v>
      </c>
    </row>
    <row r="547" spans="1:17">
      <c r="A547" s="54">
        <f t="shared" si="28"/>
        <v>1797</v>
      </c>
      <c r="B547" s="36"/>
      <c r="C547" s="38">
        <v>36</v>
      </c>
      <c r="D547" s="38">
        <v>22</v>
      </c>
      <c r="E547" s="38">
        <v>17</v>
      </c>
      <c r="F547" s="38">
        <v>46</v>
      </c>
      <c r="G547" s="38">
        <v>31</v>
      </c>
      <c r="H547" s="39">
        <f>F547/Wages!C547</f>
        <v>1.2777777777777777</v>
      </c>
      <c r="I547" s="39">
        <f>G547/Wages!D547</f>
        <v>1.4090909090909092</v>
      </c>
      <c r="J547" s="38">
        <v>36</v>
      </c>
      <c r="K547" s="38">
        <v>20</v>
      </c>
      <c r="L547" s="38"/>
      <c r="M547" s="39">
        <f>Prices!BP549*Wages!$C547</f>
        <v>16.703709677419358</v>
      </c>
      <c r="N547" s="39">
        <f>Prices!BP549*Wages!D547</f>
        <v>10.207822580645162</v>
      </c>
      <c r="O547" s="39">
        <f>Prices!$BP549*Wages!E547</f>
        <v>7.8878629032258072</v>
      </c>
      <c r="P547" s="39">
        <f>Prices!$BP549*F547</f>
        <v>21.343629032258068</v>
      </c>
      <c r="Q547" s="39">
        <f>(31.1*0.925/Prices!$BN549)*G547</f>
        <v>14.383750000000001</v>
      </c>
    </row>
    <row r="548" spans="1:17">
      <c r="A548" s="54">
        <f t="shared" si="28"/>
        <v>1798</v>
      </c>
      <c r="B548" s="36"/>
      <c r="C548" s="38">
        <v>36</v>
      </c>
      <c r="D548" s="38">
        <v>22</v>
      </c>
      <c r="E548" s="38">
        <v>17</v>
      </c>
      <c r="F548" s="38">
        <v>48</v>
      </c>
      <c r="G548" s="38">
        <v>32</v>
      </c>
      <c r="H548" s="39">
        <f>F548/Wages!C548</f>
        <v>1.3333333333333333</v>
      </c>
      <c r="I548" s="39">
        <f>G548/Wages!D548</f>
        <v>1.4545454545454546</v>
      </c>
      <c r="J548" s="38">
        <v>36</v>
      </c>
      <c r="K548" s="38">
        <v>20</v>
      </c>
      <c r="L548" s="38"/>
      <c r="M548" s="39">
        <f>Prices!BP550*Wages!$C548</f>
        <v>16.703709677419358</v>
      </c>
      <c r="N548" s="39">
        <f>Prices!BP550*Wages!D548</f>
        <v>10.207822580645162</v>
      </c>
      <c r="O548" s="39">
        <f>Prices!$BP550*Wages!E548</f>
        <v>7.8878629032258072</v>
      </c>
      <c r="P548" s="39">
        <f>Prices!$BP550*F548</f>
        <v>22.271612903225808</v>
      </c>
      <c r="Q548" s="39">
        <f>(31.1*0.925/Prices!$BN550)*G548</f>
        <v>14.847741935483873</v>
      </c>
    </row>
    <row r="549" spans="1:17">
      <c r="A549" s="54">
        <f t="shared" si="28"/>
        <v>1799</v>
      </c>
      <c r="B549" s="36"/>
      <c r="C549" s="38">
        <v>36</v>
      </c>
      <c r="D549" s="38">
        <v>23</v>
      </c>
      <c r="E549" s="38">
        <v>17</v>
      </c>
      <c r="F549" s="38">
        <v>50</v>
      </c>
      <c r="G549" s="38">
        <v>36</v>
      </c>
      <c r="H549" s="39">
        <f>F549/Wages!C549</f>
        <v>1.3888888888888888</v>
      </c>
      <c r="I549" s="39">
        <f>G549/Wages!D549</f>
        <v>1.5652173913043479</v>
      </c>
      <c r="J549" s="38">
        <v>36</v>
      </c>
      <c r="K549" s="38">
        <v>20</v>
      </c>
      <c r="L549" s="38"/>
      <c r="M549" s="39">
        <f>Prices!BP551*Wages!$C549</f>
        <v>16.703709677419358</v>
      </c>
      <c r="N549" s="39">
        <f>Prices!BP551*Wages!D549</f>
        <v>10.671814516129034</v>
      </c>
      <c r="O549" s="39">
        <f>Prices!$BP551*Wages!E549</f>
        <v>7.8878629032258072</v>
      </c>
      <c r="P549" s="39">
        <f>Prices!$BP551*F549</f>
        <v>23.199596774193552</v>
      </c>
      <c r="Q549" s="39">
        <f>(31.1*0.925/Prices!$BN551)*G549</f>
        <v>16.703709677419358</v>
      </c>
    </row>
    <row r="550" spans="1:17">
      <c r="A550" s="54">
        <f t="shared" si="28"/>
        <v>1800</v>
      </c>
      <c r="B550" s="36"/>
      <c r="C550" s="38">
        <v>36</v>
      </c>
      <c r="D550" s="38">
        <v>23</v>
      </c>
      <c r="E550" s="38">
        <v>17</v>
      </c>
      <c r="F550" s="38">
        <v>52</v>
      </c>
      <c r="G550" s="38">
        <v>36</v>
      </c>
      <c r="H550" s="39">
        <f>F550/Wages!C550</f>
        <v>1.4444444444444444</v>
      </c>
      <c r="I550" s="39">
        <f>G550/Wages!D550</f>
        <v>1.5652173913043479</v>
      </c>
      <c r="J550" s="38">
        <v>36</v>
      </c>
      <c r="K550" s="38">
        <v>20</v>
      </c>
      <c r="L550" s="38"/>
      <c r="M550" s="39">
        <f>Prices!BP552*Wages!$C550</f>
        <v>16.703709677419358</v>
      </c>
      <c r="N550" s="39">
        <f>Prices!BP552*Wages!D550</f>
        <v>10.671814516129034</v>
      </c>
      <c r="O550" s="39">
        <f>Prices!$BP552*Wages!E550</f>
        <v>7.8878629032258072</v>
      </c>
      <c r="P550" s="39">
        <f>Prices!$BP552*F550</f>
        <v>24.127580645161292</v>
      </c>
      <c r="Q550" s="39">
        <f>(31.1*0.925/Prices!$BN552)*G550</f>
        <v>16.703709677419358</v>
      </c>
    </row>
    <row r="551" spans="1:17">
      <c r="A551" s="54">
        <f t="shared" si="28"/>
        <v>1801</v>
      </c>
      <c r="B551" s="36"/>
      <c r="C551" s="38">
        <v>36</v>
      </c>
      <c r="D551" s="38">
        <v>23</v>
      </c>
      <c r="E551" s="38">
        <v>17</v>
      </c>
      <c r="F551" s="38">
        <v>54</v>
      </c>
      <c r="G551" s="38">
        <v>36</v>
      </c>
      <c r="H551" s="39">
        <f>F551/Wages!C551</f>
        <v>1.5</v>
      </c>
      <c r="I551" s="39">
        <f>G551/Wages!D551</f>
        <v>1.5652173913043479</v>
      </c>
      <c r="J551" s="38">
        <v>36</v>
      </c>
      <c r="K551" s="38">
        <v>20</v>
      </c>
      <c r="L551" s="38"/>
      <c r="M551" s="39">
        <f>Prices!BP553*Wages!$C551</f>
        <v>16.703709677419358</v>
      </c>
      <c r="N551" s="39">
        <f>Prices!BP553*Wages!D551</f>
        <v>10.671814516129034</v>
      </c>
      <c r="O551" s="39">
        <f>Prices!$BP553*Wages!E551</f>
        <v>7.8878629032258072</v>
      </c>
      <c r="P551" s="39">
        <f>Prices!$BP553*F551</f>
        <v>25.055564516129035</v>
      </c>
      <c r="Q551" s="39">
        <f>(31.1*0.925/Prices!$BN553)*G551</f>
        <v>16.703709677419358</v>
      </c>
    </row>
    <row r="552" spans="1:17">
      <c r="A552" s="54">
        <f t="shared" si="28"/>
        <v>1802</v>
      </c>
      <c r="B552" s="36"/>
      <c r="C552" s="38">
        <v>36</v>
      </c>
      <c r="D552" s="38">
        <v>23</v>
      </c>
      <c r="E552" s="38">
        <v>19</v>
      </c>
      <c r="F552" s="38">
        <v>54</v>
      </c>
      <c r="G552" s="38">
        <v>36</v>
      </c>
      <c r="H552" s="39">
        <f>F552/Wages!C552</f>
        <v>1.5</v>
      </c>
      <c r="I552" s="39">
        <f>G552/Wages!D552</f>
        <v>1.5652173913043479</v>
      </c>
      <c r="J552" s="38">
        <v>36</v>
      </c>
      <c r="K552" s="38">
        <v>20</v>
      </c>
      <c r="L552" s="38"/>
      <c r="M552" s="39">
        <f>Prices!BP554*Wages!$C552</f>
        <v>16.703709677419358</v>
      </c>
      <c r="N552" s="39">
        <f>Prices!BP554*Wages!D552</f>
        <v>10.671814516129034</v>
      </c>
      <c r="O552" s="39">
        <f>Prices!$BP554*Wages!E552</f>
        <v>8.8158467741935489</v>
      </c>
      <c r="P552" s="39">
        <f>Prices!$BP554*F552</f>
        <v>25.055564516129035</v>
      </c>
      <c r="Q552" s="39">
        <f>(31.1*0.925/Prices!$BN554)*G552</f>
        <v>16.703709677419358</v>
      </c>
    </row>
    <row r="553" spans="1:17">
      <c r="A553" s="54">
        <f t="shared" si="28"/>
        <v>1803</v>
      </c>
      <c r="B553" s="36"/>
      <c r="C553" s="38">
        <v>39.5</v>
      </c>
      <c r="D553" s="38">
        <v>26</v>
      </c>
      <c r="E553" s="38">
        <v>19</v>
      </c>
      <c r="F553" s="38">
        <v>54</v>
      </c>
      <c r="G553" s="38">
        <v>36</v>
      </c>
      <c r="H553" s="39">
        <f>F553/Wages!C553</f>
        <v>1.3670886075949367</v>
      </c>
      <c r="I553" s="39">
        <f>G553/Wages!D553</f>
        <v>1.3846153846153846</v>
      </c>
      <c r="J553" s="38">
        <v>36</v>
      </c>
      <c r="K553" s="38">
        <v>20</v>
      </c>
      <c r="L553" s="38"/>
      <c r="M553" s="39">
        <f>Prices!BP555*Wages!$C553</f>
        <v>18.327681451612904</v>
      </c>
      <c r="N553" s="39">
        <f>Prices!BP555*Wages!D553</f>
        <v>12.063790322580646</v>
      </c>
      <c r="O553" s="39">
        <f>Prices!$BP555*Wages!E553</f>
        <v>8.8158467741935489</v>
      </c>
      <c r="P553" s="39">
        <f>Prices!$BP555*F553</f>
        <v>25.055564516129035</v>
      </c>
      <c r="Q553" s="39">
        <f>(31.1*0.925/Prices!$BN555)*G553</f>
        <v>16.703709677419358</v>
      </c>
    </row>
    <row r="554" spans="1:17">
      <c r="A554" s="54">
        <f t="shared" si="28"/>
        <v>1804</v>
      </c>
      <c r="B554" s="36"/>
      <c r="C554" s="38">
        <v>39.5</v>
      </c>
      <c r="D554" s="38">
        <v>26</v>
      </c>
      <c r="E554" s="38">
        <v>19</v>
      </c>
      <c r="F554" s="38">
        <v>56</v>
      </c>
      <c r="G554" s="38">
        <v>36</v>
      </c>
      <c r="H554" s="39">
        <f>F554/Wages!C554</f>
        <v>1.4177215189873418</v>
      </c>
      <c r="I554" s="39">
        <f>G554/Wages!D554</f>
        <v>1.3846153846153846</v>
      </c>
      <c r="J554" s="38">
        <v>36</v>
      </c>
      <c r="K554" s="38">
        <v>20</v>
      </c>
      <c r="L554" s="38"/>
      <c r="M554" s="39">
        <f>Prices!BP556*Wages!$C554</f>
        <v>18.327681451612904</v>
      </c>
      <c r="N554" s="39">
        <f>Prices!BP556*Wages!D554</f>
        <v>12.063790322580646</v>
      </c>
      <c r="O554" s="39">
        <f>Prices!$BP556*Wages!E554</f>
        <v>8.8158467741935489</v>
      </c>
      <c r="P554" s="39">
        <f>Prices!$BP556*F554</f>
        <v>25.983548387096778</v>
      </c>
      <c r="Q554" s="39">
        <f>(31.1*0.925/Prices!$BN556)*G554</f>
        <v>16.703709677419358</v>
      </c>
    </row>
    <row r="555" spans="1:17">
      <c r="A555" s="54">
        <f t="shared" si="28"/>
        <v>1805</v>
      </c>
      <c r="B555" s="36"/>
      <c r="C555" s="38">
        <v>39.5</v>
      </c>
      <c r="D555" s="38">
        <v>26</v>
      </c>
      <c r="E555" s="38">
        <v>19</v>
      </c>
      <c r="F555" s="38">
        <v>60</v>
      </c>
      <c r="G555" s="38">
        <v>38</v>
      </c>
      <c r="H555" s="39">
        <f>F555/Wages!C555</f>
        <v>1.518987341772152</v>
      </c>
      <c r="I555" s="39">
        <f>G555/Wages!D555</f>
        <v>1.4615384615384615</v>
      </c>
      <c r="J555" s="38">
        <v>36</v>
      </c>
      <c r="K555" s="38">
        <v>20</v>
      </c>
      <c r="L555" s="38"/>
      <c r="M555" s="39">
        <f>Prices!BP557*Wages!$C555</f>
        <v>18.327681451612904</v>
      </c>
      <c r="N555" s="39">
        <f>Prices!BP557*Wages!D555</f>
        <v>12.063790322580646</v>
      </c>
      <c r="O555" s="39">
        <f>Prices!$BP557*Wages!E555</f>
        <v>8.8158467741935489</v>
      </c>
      <c r="P555" s="39">
        <f>Prices!$BP557*F555</f>
        <v>27.839516129032262</v>
      </c>
      <c r="Q555" s="39">
        <f>(31.1*0.925/Prices!$BN557)*G555</f>
        <v>17.631693548387098</v>
      </c>
    </row>
    <row r="556" spans="1:17">
      <c r="A556" s="54">
        <f t="shared" si="28"/>
        <v>1806</v>
      </c>
      <c r="B556" s="36"/>
      <c r="C556" s="38">
        <v>39.5</v>
      </c>
      <c r="D556" s="38">
        <v>26</v>
      </c>
      <c r="E556" s="38">
        <v>19</v>
      </c>
      <c r="F556" s="38">
        <v>60</v>
      </c>
      <c r="G556" s="38">
        <v>39</v>
      </c>
      <c r="H556" s="39">
        <f>F556/Wages!C556</f>
        <v>1.518987341772152</v>
      </c>
      <c r="I556" s="39">
        <f>G556/Wages!D556</f>
        <v>1.5</v>
      </c>
      <c r="J556" s="38">
        <v>48</v>
      </c>
      <c r="K556" s="38">
        <v>32</v>
      </c>
      <c r="L556" s="38"/>
      <c r="M556" s="39">
        <f>Prices!BP558*Wages!$C556</f>
        <v>18.327681451612904</v>
      </c>
      <c r="N556" s="39">
        <f>Prices!BP558*Wages!D556</f>
        <v>12.063790322580646</v>
      </c>
      <c r="O556" s="39">
        <f>Prices!$BP558*Wages!E556</f>
        <v>8.8158467741935489</v>
      </c>
      <c r="P556" s="39">
        <f>Prices!$BP558*F556</f>
        <v>27.839516129032262</v>
      </c>
      <c r="Q556" s="39">
        <f>(31.1*0.925/Prices!$BN558)*G556</f>
        <v>18.09568548387097</v>
      </c>
    </row>
    <row r="557" spans="1:17">
      <c r="A557" s="54">
        <f t="shared" si="28"/>
        <v>1807</v>
      </c>
      <c r="B557" s="36"/>
      <c r="C557" s="38">
        <v>43</v>
      </c>
      <c r="D557" s="38">
        <v>29</v>
      </c>
      <c r="E557" s="38">
        <v>19</v>
      </c>
      <c r="F557" s="38">
        <v>60</v>
      </c>
      <c r="G557" s="38">
        <v>39</v>
      </c>
      <c r="H557" s="39">
        <f>F557/Wages!C557</f>
        <v>1.3953488372093024</v>
      </c>
      <c r="I557" s="39">
        <f>G557/Wages!D557</f>
        <v>1.3448275862068966</v>
      </c>
      <c r="J557" s="38">
        <v>48</v>
      </c>
      <c r="K557" s="38">
        <v>32</v>
      </c>
      <c r="L557" s="38"/>
      <c r="M557" s="39">
        <f>Prices!BP559*Wages!$C557</f>
        <v>19.951653225806453</v>
      </c>
      <c r="N557" s="39">
        <f>Prices!BP559*Wages!D557</f>
        <v>13.455766129032259</v>
      </c>
      <c r="O557" s="39">
        <f>Prices!$BP559*Wages!E557</f>
        <v>8.8158467741935489</v>
      </c>
      <c r="P557" s="39">
        <f>Prices!$BP559*F557</f>
        <v>27.839516129032262</v>
      </c>
      <c r="Q557" s="39">
        <f>(31.1*0.925/Prices!$BN559)*G557</f>
        <v>18.09568548387097</v>
      </c>
    </row>
    <row r="558" spans="1:17">
      <c r="A558" s="54">
        <f t="shared" si="28"/>
        <v>1808</v>
      </c>
      <c r="B558" s="36"/>
      <c r="C558" s="38">
        <v>43</v>
      </c>
      <c r="D558" s="38">
        <v>29</v>
      </c>
      <c r="E558" s="38">
        <v>19</v>
      </c>
      <c r="F558" s="38">
        <v>60</v>
      </c>
      <c r="G558" s="38">
        <v>36</v>
      </c>
      <c r="H558" s="39">
        <f>F558/Wages!C558</f>
        <v>1.3953488372093024</v>
      </c>
      <c r="I558" s="39">
        <f>G558/Wages!D558</f>
        <v>1.2413793103448276</v>
      </c>
      <c r="J558" s="38">
        <v>48</v>
      </c>
      <c r="K558" s="38">
        <v>32</v>
      </c>
      <c r="L558" s="38"/>
      <c r="M558" s="39">
        <f>Prices!BP560*Wages!$C558</f>
        <v>19.951653225806453</v>
      </c>
      <c r="N558" s="39">
        <f>Prices!BP560*Wages!D558</f>
        <v>13.455766129032259</v>
      </c>
      <c r="O558" s="39">
        <f>Prices!$BP560*Wages!E558</f>
        <v>8.8158467741935489</v>
      </c>
      <c r="P558" s="39">
        <f>Prices!$BP560*F558</f>
        <v>27.839516129032262</v>
      </c>
      <c r="Q558" s="39">
        <f>(31.1*0.925/Prices!$BN560)*G558</f>
        <v>16.703709677419358</v>
      </c>
    </row>
    <row r="559" spans="1:17">
      <c r="A559" s="54">
        <f t="shared" si="28"/>
        <v>1809</v>
      </c>
      <c r="B559" s="36"/>
      <c r="C559" s="38">
        <v>43</v>
      </c>
      <c r="D559" s="38">
        <v>29</v>
      </c>
      <c r="E559" s="38">
        <v>19</v>
      </c>
      <c r="F559" s="38">
        <v>66</v>
      </c>
      <c r="G559" s="38">
        <v>39</v>
      </c>
      <c r="H559" s="39">
        <f>F559/Wages!C559</f>
        <v>1.5348837209302326</v>
      </c>
      <c r="I559" s="39">
        <f>G559/Wages!D559</f>
        <v>1.3448275862068966</v>
      </c>
      <c r="J559" s="38">
        <v>48</v>
      </c>
      <c r="K559" s="38">
        <v>32</v>
      </c>
      <c r="L559" s="38"/>
      <c r="M559" s="39">
        <f>Prices!BP561*Wages!$C559</f>
        <v>19.951653225806453</v>
      </c>
      <c r="N559" s="39">
        <f>Prices!BP561*Wages!D559</f>
        <v>13.455766129032259</v>
      </c>
      <c r="O559" s="39">
        <f>Prices!$BP561*Wages!E559</f>
        <v>8.8158467741935489</v>
      </c>
      <c r="P559" s="39">
        <f>Prices!$BP561*F559</f>
        <v>30.623467741935489</v>
      </c>
      <c r="Q559" s="39">
        <f>(31.1*0.925/Prices!$BN561)*G559</f>
        <v>18.09568548387097</v>
      </c>
    </row>
    <row r="560" spans="1:17">
      <c r="A560" s="54">
        <f t="shared" si="28"/>
        <v>1810</v>
      </c>
      <c r="B560" s="36"/>
      <c r="C560" s="38">
        <v>48</v>
      </c>
      <c r="D560" s="38">
        <v>32</v>
      </c>
      <c r="E560" s="38">
        <v>19</v>
      </c>
      <c r="F560" s="38">
        <v>72</v>
      </c>
      <c r="G560" s="38">
        <v>42</v>
      </c>
      <c r="H560" s="39">
        <f>F560/Wages!C560</f>
        <v>1.5</v>
      </c>
      <c r="I560" s="39">
        <f>G560/Wages!D560</f>
        <v>1.3125</v>
      </c>
      <c r="J560" s="38">
        <v>48</v>
      </c>
      <c r="K560" s="38">
        <v>32</v>
      </c>
      <c r="L560" s="38"/>
      <c r="M560" s="39">
        <f>Prices!BP562*Wages!$C560</f>
        <v>22.271612903225808</v>
      </c>
      <c r="N560" s="39">
        <f>Prices!BP562*Wages!D560</f>
        <v>14.847741935483873</v>
      </c>
      <c r="O560" s="39">
        <f>Prices!$BP562*Wages!E560</f>
        <v>8.8158467741935489</v>
      </c>
      <c r="P560" s="39">
        <f>Prices!$BP562*F560</f>
        <v>33.407419354838716</v>
      </c>
      <c r="Q560" s="39">
        <f>(31.1*0.925/Prices!$BN562)*G560</f>
        <v>19.487661290322581</v>
      </c>
    </row>
    <row r="561" spans="1:17">
      <c r="A561" s="54">
        <f t="shared" si="28"/>
        <v>1811</v>
      </c>
      <c r="B561" s="36"/>
      <c r="C561" s="38">
        <v>48</v>
      </c>
      <c r="D561" s="38">
        <v>32</v>
      </c>
      <c r="E561" s="38">
        <v>19</v>
      </c>
      <c r="F561" s="38">
        <v>62</v>
      </c>
      <c r="G561" s="38">
        <v>42</v>
      </c>
      <c r="H561" s="39">
        <f>F561/Wages!C561</f>
        <v>1.2916666666666667</v>
      </c>
      <c r="I561" s="39">
        <f>G561/Wages!D561</f>
        <v>1.3125</v>
      </c>
      <c r="J561" s="38">
        <v>48</v>
      </c>
      <c r="K561" s="38">
        <v>32</v>
      </c>
      <c r="L561" s="38"/>
      <c r="M561" s="39">
        <f>Prices!BP563*Wages!$C561</f>
        <v>22.271612903225808</v>
      </c>
      <c r="N561" s="39">
        <f>Prices!BP563*Wages!D561</f>
        <v>14.847741935483873</v>
      </c>
      <c r="O561" s="39">
        <f>Prices!$BP563*Wages!E561</f>
        <v>8.8158467741935489</v>
      </c>
      <c r="P561" s="39">
        <f>Prices!$BP563*F561</f>
        <v>28.767500000000002</v>
      </c>
      <c r="Q561" s="39">
        <f>(31.1*0.925/Prices!$BN563)*G561</f>
        <v>19.487661290322581</v>
      </c>
    </row>
    <row r="562" spans="1:17">
      <c r="A562" s="54">
        <f t="shared" si="28"/>
        <v>1812</v>
      </c>
      <c r="B562" s="36"/>
      <c r="C562" s="38">
        <v>48</v>
      </c>
      <c r="D562" s="38">
        <v>32</v>
      </c>
      <c r="E562" s="38">
        <v>19</v>
      </c>
      <c r="F562" s="38">
        <v>72</v>
      </c>
      <c r="G562" s="38">
        <v>42</v>
      </c>
      <c r="H562" s="38">
        <f>F562/Wages!C562</f>
        <v>1.5</v>
      </c>
      <c r="I562" s="38">
        <f>G562/Wages!D562</f>
        <v>1.3125</v>
      </c>
      <c r="J562" s="38">
        <v>48</v>
      </c>
      <c r="K562" s="38">
        <v>32</v>
      </c>
      <c r="L562" s="38"/>
      <c r="M562" s="39">
        <f>Prices!BP564*Wages!$C562</f>
        <v>22.271612903225808</v>
      </c>
      <c r="N562" s="39">
        <f>Prices!BP564*Wages!D562</f>
        <v>14.847741935483873</v>
      </c>
      <c r="O562" s="39">
        <f>Prices!$BP564*Wages!E562</f>
        <v>8.8158467741935489</v>
      </c>
      <c r="P562" s="39">
        <f>Prices!$BP564*F562</f>
        <v>33.407419354838716</v>
      </c>
      <c r="Q562" s="39">
        <f>(31.1*0.925/Prices!$BN564)*G562</f>
        <v>19.487661290322581</v>
      </c>
    </row>
    <row r="563" spans="1:17">
      <c r="A563" s="54">
        <f t="shared" si="28"/>
        <v>1813</v>
      </c>
      <c r="B563" s="36"/>
      <c r="C563" s="38">
        <v>48</v>
      </c>
      <c r="D563" s="38">
        <v>32</v>
      </c>
      <c r="E563" s="38">
        <v>19</v>
      </c>
      <c r="F563" s="38">
        <v>72</v>
      </c>
      <c r="G563" s="38">
        <v>45</v>
      </c>
      <c r="H563" s="38">
        <f>F563/Wages!C563</f>
        <v>1.5</v>
      </c>
      <c r="I563" s="38">
        <f>G563/Wages!D563</f>
        <v>1.40625</v>
      </c>
      <c r="J563" s="38">
        <v>48</v>
      </c>
      <c r="K563" s="38">
        <v>32</v>
      </c>
      <c r="L563" s="38"/>
      <c r="M563" s="39">
        <f>Prices!BP565*Wages!$C563</f>
        <v>22.271612903225808</v>
      </c>
      <c r="N563" s="39">
        <f>Prices!BP565*Wages!D563</f>
        <v>14.847741935483873</v>
      </c>
      <c r="O563" s="39">
        <f>Prices!$BP565*Wages!E563</f>
        <v>8.8158467741935489</v>
      </c>
      <c r="P563" s="39">
        <f>Prices!$BP565*F563</f>
        <v>33.407419354838716</v>
      </c>
      <c r="Q563" s="39">
        <f>(31.1*0.925/Prices!$BN565)*G563</f>
        <v>20.879637096774196</v>
      </c>
    </row>
    <row r="564" spans="1:17">
      <c r="A564" s="54">
        <f t="shared" si="28"/>
        <v>1814</v>
      </c>
      <c r="B564" s="36"/>
      <c r="C564" s="38">
        <v>48</v>
      </c>
      <c r="D564" s="38">
        <v>32</v>
      </c>
      <c r="E564" s="38">
        <v>19</v>
      </c>
      <c r="F564" s="38">
        <v>72</v>
      </c>
      <c r="G564" s="38">
        <v>45</v>
      </c>
      <c r="H564" s="38">
        <f>F564/Wages!C564</f>
        <v>1.5</v>
      </c>
      <c r="I564" s="38">
        <f>G564/Wages!D564</f>
        <v>1.40625</v>
      </c>
      <c r="J564" s="38">
        <v>48</v>
      </c>
      <c r="K564" s="38">
        <v>32</v>
      </c>
      <c r="L564" s="38"/>
      <c r="M564" s="39">
        <f>Prices!BP566*Wages!$C564</f>
        <v>22.271612903225808</v>
      </c>
      <c r="N564" s="39">
        <f>Prices!BP566*Wages!D564</f>
        <v>14.847741935483873</v>
      </c>
      <c r="O564" s="39">
        <f>Prices!$BP566*Wages!E564</f>
        <v>8.8158467741935489</v>
      </c>
      <c r="P564" s="39">
        <f>Prices!$BP566*F564</f>
        <v>33.407419354838716</v>
      </c>
      <c r="Q564" s="39">
        <f>(31.1*0.925/Prices!$BN566)*G564</f>
        <v>20.879637096774196</v>
      </c>
    </row>
    <row r="565" spans="1:17">
      <c r="A565" s="54">
        <f t="shared" si="28"/>
        <v>1815</v>
      </c>
      <c r="B565" s="36"/>
      <c r="C565" s="38">
        <v>48</v>
      </c>
      <c r="D565" s="38">
        <v>32</v>
      </c>
      <c r="E565" s="38">
        <v>19</v>
      </c>
      <c r="F565" s="38">
        <v>66</v>
      </c>
      <c r="G565" s="38">
        <v>45</v>
      </c>
      <c r="H565" s="38">
        <f>F565/Wages!C565</f>
        <v>1.375</v>
      </c>
      <c r="I565" s="38">
        <f>G565/Wages!D565</f>
        <v>1.40625</v>
      </c>
      <c r="J565" s="38">
        <v>48</v>
      </c>
      <c r="K565" s="38">
        <v>32</v>
      </c>
      <c r="L565" s="38"/>
      <c r="M565" s="39">
        <f>Prices!BP567*Wages!$C565</f>
        <v>22.271612903225808</v>
      </c>
      <c r="N565" s="39">
        <f>Prices!BP567*Wages!D565</f>
        <v>14.847741935483873</v>
      </c>
      <c r="O565" s="39">
        <f>Prices!$BP567*Wages!E565</f>
        <v>8.8158467741935489</v>
      </c>
      <c r="P565" s="39">
        <f>Prices!$BP567*F565</f>
        <v>30.623467741935489</v>
      </c>
      <c r="Q565" s="39">
        <f>(31.1*0.925/Prices!$BN567)*G565</f>
        <v>20.879637096774196</v>
      </c>
    </row>
    <row r="566" spans="1:17">
      <c r="A566" s="54">
        <f t="shared" si="28"/>
        <v>1816</v>
      </c>
      <c r="B566" s="36"/>
      <c r="C566" s="38">
        <v>48</v>
      </c>
      <c r="D566" s="38">
        <v>32</v>
      </c>
      <c r="E566" s="38">
        <v>19</v>
      </c>
      <c r="F566" s="38">
        <v>66</v>
      </c>
      <c r="G566" s="38">
        <v>42</v>
      </c>
      <c r="H566" s="38">
        <f>F566/Wages!C566</f>
        <v>1.375</v>
      </c>
      <c r="I566" s="38">
        <f>G566/Wages!D566</f>
        <v>1.3125</v>
      </c>
      <c r="J566" s="38">
        <v>48</v>
      </c>
      <c r="K566" s="38">
        <v>32</v>
      </c>
      <c r="L566" s="38"/>
      <c r="M566" s="39">
        <f>Prices!BP568*Wages!$C566</f>
        <v>20.921818181818182</v>
      </c>
      <c r="N566" s="39">
        <f>Prices!BP568*Wages!D566</f>
        <v>13.947878787878789</v>
      </c>
      <c r="O566" s="39">
        <f>Prices!$BP568*Wages!E566</f>
        <v>8.2815530303030318</v>
      </c>
      <c r="P566" s="39">
        <f>Prices!$BP568*F566</f>
        <v>28.767500000000002</v>
      </c>
      <c r="Q566" s="39">
        <f>(31.1*0.925/Prices!$BN568)*G566</f>
        <v>18.306590909090911</v>
      </c>
    </row>
    <row r="567" spans="1:17">
      <c r="A567" s="54">
        <f t="shared" si="28"/>
        <v>1817</v>
      </c>
      <c r="B567" s="36"/>
      <c r="C567" s="38">
        <v>48</v>
      </c>
      <c r="D567" s="38">
        <v>32</v>
      </c>
      <c r="E567" s="38">
        <v>19</v>
      </c>
      <c r="F567" s="38">
        <v>66</v>
      </c>
      <c r="G567" s="38">
        <v>40</v>
      </c>
      <c r="H567" s="38">
        <f>F567/Wages!C567</f>
        <v>1.375</v>
      </c>
      <c r="I567" s="38">
        <f>G567/Wages!D567</f>
        <v>1.25</v>
      </c>
      <c r="J567" s="38">
        <v>48</v>
      </c>
      <c r="K567" s="38">
        <v>32</v>
      </c>
      <c r="L567" s="38"/>
      <c r="M567" s="39">
        <f>Prices!BP569*Wages!$C567</f>
        <v>21.745511811023622</v>
      </c>
      <c r="N567" s="39">
        <f>Prices!BP569*Wages!D567</f>
        <v>14.497007874015749</v>
      </c>
      <c r="O567" s="37"/>
      <c r="P567" s="39">
        <f>Prices!$BP569*F567</f>
        <v>29.900078740157483</v>
      </c>
      <c r="Q567" s="39">
        <f>(31.1*0.925/Prices!$BN569)*G567</f>
        <v>18.121259842519684</v>
      </c>
    </row>
    <row r="568" spans="1:17">
      <c r="A568" s="54">
        <f t="shared" si="28"/>
        <v>1818</v>
      </c>
      <c r="B568" s="36"/>
      <c r="C568" s="38">
        <v>48</v>
      </c>
      <c r="D568" s="38">
        <v>32</v>
      </c>
      <c r="E568" s="38">
        <v>19</v>
      </c>
      <c r="F568" s="38">
        <v>66</v>
      </c>
      <c r="G568" s="38">
        <v>42</v>
      </c>
      <c r="H568" s="38">
        <f>F568/Wages!C568</f>
        <v>1.375</v>
      </c>
      <c r="I568" s="38">
        <f>G568/Wages!D568</f>
        <v>1.3125</v>
      </c>
      <c r="J568" s="38">
        <v>48</v>
      </c>
      <c r="K568" s="38">
        <v>32</v>
      </c>
      <c r="L568" s="38"/>
      <c r="M568" s="39">
        <f>Prices!BP570*Wages!$C568</f>
        <v>21.113761467889908</v>
      </c>
      <c r="N568" s="39">
        <f>Prices!BP570*Wages!D568</f>
        <v>14.075840978593272</v>
      </c>
      <c r="O568" s="37"/>
      <c r="P568" s="39">
        <f>Prices!$BP570*F568</f>
        <v>29.031422018348621</v>
      </c>
      <c r="Q568" s="39">
        <f>(31.1*0.925/Prices!$BN570)*G568</f>
        <v>18.474541284403671</v>
      </c>
    </row>
    <row r="569" spans="1:17">
      <c r="A569" s="54">
        <f t="shared" si="28"/>
        <v>1819</v>
      </c>
      <c r="B569" s="36"/>
      <c r="C569" s="38">
        <v>48</v>
      </c>
      <c r="D569" s="38">
        <v>32</v>
      </c>
      <c r="E569" s="38">
        <v>19</v>
      </c>
      <c r="F569" s="38">
        <v>60</v>
      </c>
      <c r="G569" s="38">
        <v>36</v>
      </c>
      <c r="H569" s="38">
        <f>F569/Wages!C569</f>
        <v>1.25</v>
      </c>
      <c r="I569" s="38">
        <f>G569/Wages!D569</f>
        <v>1.125</v>
      </c>
      <c r="J569" s="38">
        <v>48</v>
      </c>
      <c r="K569" s="38">
        <v>32</v>
      </c>
      <c r="L569" s="38"/>
      <c r="M569" s="39">
        <f>Prices!BP571*Wages!$C569</f>
        <v>21.814218009478676</v>
      </c>
      <c r="N569" s="39">
        <f>Prices!BP571*Wages!D569</f>
        <v>14.542812006319117</v>
      </c>
      <c r="O569" s="37"/>
      <c r="P569" s="39">
        <f>Prices!$BP571*F569</f>
        <v>27.267772511848346</v>
      </c>
      <c r="Q569" s="39">
        <f>(31.1*0.925/Prices!$BN571)*G569</f>
        <v>16.360663507109006</v>
      </c>
    </row>
    <row r="570" spans="1:17">
      <c r="A570" s="54">
        <f t="shared" si="28"/>
        <v>1820</v>
      </c>
      <c r="B570" s="36"/>
      <c r="C570" s="38">
        <v>48</v>
      </c>
      <c r="D570" s="38">
        <v>32</v>
      </c>
      <c r="E570" s="38">
        <v>19</v>
      </c>
      <c r="F570" s="38">
        <v>60</v>
      </c>
      <c r="G570" s="38">
        <v>36</v>
      </c>
      <c r="H570" s="38">
        <f>F570/Wages!C570</f>
        <v>1.25</v>
      </c>
      <c r="I570" s="38">
        <f>G570/Wages!D570</f>
        <v>1.125</v>
      </c>
      <c r="J570" s="38">
        <v>48</v>
      </c>
      <c r="K570" s="38">
        <v>32</v>
      </c>
      <c r="L570" s="38"/>
      <c r="M570" s="39">
        <f>Prices!BP572*Wages!$C570</f>
        <v>22.842679900744415</v>
      </c>
      <c r="N570" s="39">
        <f>Prices!BP572*Wages!D570</f>
        <v>15.228453267162944</v>
      </c>
      <c r="O570" s="37"/>
      <c r="P570" s="39">
        <f>Prices!$BP572*F570</f>
        <v>28.553349875930522</v>
      </c>
      <c r="Q570" s="39">
        <f>(31.1*0.925/Prices!$BN572)*G570</f>
        <v>17.132009925558311</v>
      </c>
    </row>
    <row r="571" spans="1:17">
      <c r="A571" s="54">
        <f t="shared" si="28"/>
        <v>1821</v>
      </c>
      <c r="B571" s="36"/>
      <c r="C571" s="38">
        <v>48</v>
      </c>
      <c r="D571" s="38">
        <v>32</v>
      </c>
      <c r="E571" s="38">
        <v>19</v>
      </c>
      <c r="F571" s="38">
        <v>60</v>
      </c>
      <c r="G571" s="38">
        <v>36</v>
      </c>
      <c r="H571" s="38">
        <f>F571/Wages!C571</f>
        <v>1.25</v>
      </c>
      <c r="I571" s="38">
        <f>G571/Wages!D571</f>
        <v>1.125</v>
      </c>
      <c r="J571" s="38">
        <v>48</v>
      </c>
      <c r="K571" s="38">
        <v>32</v>
      </c>
      <c r="L571" s="38"/>
      <c r="M571" s="39">
        <f>Prices!BP573*Wages!$C571</f>
        <v>23.404067796610171</v>
      </c>
      <c r="N571" s="39">
        <f>Prices!BP573*Wages!D571</f>
        <v>15.60271186440678</v>
      </c>
      <c r="O571" s="37"/>
      <c r="P571" s="39">
        <f>Prices!$BP573*F571</f>
        <v>29.255084745762712</v>
      </c>
      <c r="Q571" s="39">
        <f>(31.1*0.925/Prices!$BN573)*G571</f>
        <v>17.553050847457627</v>
      </c>
    </row>
    <row r="572" spans="1:17">
      <c r="A572" s="54">
        <f t="shared" si="28"/>
        <v>1822</v>
      </c>
      <c r="B572" s="36"/>
      <c r="C572" s="38">
        <v>48</v>
      </c>
      <c r="D572" s="38">
        <v>32</v>
      </c>
      <c r="E572" s="38">
        <v>19</v>
      </c>
      <c r="F572" s="38">
        <v>60</v>
      </c>
      <c r="G572" s="38">
        <v>36</v>
      </c>
      <c r="H572" s="38">
        <f>F572/Wages!C572</f>
        <v>1.25</v>
      </c>
      <c r="I572" s="38">
        <f>G572/Wages!D572</f>
        <v>1.125</v>
      </c>
      <c r="J572" s="38">
        <v>48</v>
      </c>
      <c r="K572" s="38">
        <v>32</v>
      </c>
      <c r="L572" s="38"/>
      <c r="M572" s="39">
        <f>Prices!BP574*Wages!$C572</f>
        <v>23.256252631578949</v>
      </c>
      <c r="N572" s="39">
        <f>Prices!BP574*Wages!D572</f>
        <v>15.504168421052633</v>
      </c>
      <c r="O572" s="37"/>
      <c r="P572" s="39">
        <f>Prices!$BP574*F572</f>
        <v>29.070315789473685</v>
      </c>
      <c r="Q572" s="39">
        <f>(31.1*0.925/Prices!$BN574)*G572</f>
        <v>17.442189473684213</v>
      </c>
    </row>
    <row r="573" spans="1:17">
      <c r="A573" s="54">
        <f t="shared" si="28"/>
        <v>1823</v>
      </c>
      <c r="B573" s="36"/>
      <c r="C573" s="38">
        <v>48</v>
      </c>
      <c r="D573" s="38">
        <v>32</v>
      </c>
      <c r="E573" s="38">
        <v>19</v>
      </c>
      <c r="F573" s="38">
        <v>60</v>
      </c>
      <c r="G573" s="38">
        <v>36</v>
      </c>
      <c r="H573" s="38">
        <f>F573/Wages!C573</f>
        <v>1.25</v>
      </c>
      <c r="I573" s="38">
        <f>G573/Wages!D573</f>
        <v>1.125</v>
      </c>
      <c r="J573" s="38">
        <v>48</v>
      </c>
      <c r="K573" s="38">
        <v>32</v>
      </c>
      <c r="L573" s="38"/>
      <c r="M573" s="39">
        <f>Prices!BP575*Wages!$C573</f>
        <v>23.376333164042663</v>
      </c>
      <c r="N573" s="39">
        <f>Prices!BP575*Wages!D573</f>
        <v>15.584222109361775</v>
      </c>
      <c r="O573" s="37"/>
      <c r="P573" s="39">
        <f>Prices!$BP575*F573</f>
        <v>29.220416455053329</v>
      </c>
      <c r="Q573" s="39">
        <f>(31.1*0.925/Prices!$BN575)*G573</f>
        <v>17.532249873031997</v>
      </c>
    </row>
    <row r="574" spans="1:17">
      <c r="A574" s="54">
        <f t="shared" si="28"/>
        <v>1824</v>
      </c>
      <c r="B574" s="36"/>
      <c r="C574" s="38">
        <v>48</v>
      </c>
      <c r="D574" s="38">
        <v>32</v>
      </c>
      <c r="E574" s="38">
        <v>19</v>
      </c>
      <c r="F574" s="38">
        <v>60</v>
      </c>
      <c r="G574" s="38">
        <v>36</v>
      </c>
      <c r="H574" s="38">
        <f>F574/Wages!C574</f>
        <v>1.25</v>
      </c>
      <c r="I574" s="38">
        <f>G574/Wages!D574</f>
        <v>1.125</v>
      </c>
      <c r="J574" s="38">
        <v>48</v>
      </c>
      <c r="K574" s="38">
        <v>32</v>
      </c>
      <c r="L574" s="38"/>
      <c r="M574" s="39">
        <f>Prices!BP576*Wages!$C574</f>
        <v>23.129648241206031</v>
      </c>
      <c r="N574" s="39">
        <f>Prices!BP576*Wages!D574</f>
        <v>15.419765494137353</v>
      </c>
      <c r="O574" s="37"/>
      <c r="P574" s="39">
        <f>Prices!$BP576*F574</f>
        <v>28.912060301507537</v>
      </c>
      <c r="Q574" s="39">
        <f>(31.1*0.925/Prices!$BN576)*G574</f>
        <v>17.347236180904524</v>
      </c>
    </row>
    <row r="575" spans="1:17">
      <c r="A575" s="54">
        <f t="shared" si="28"/>
        <v>1825</v>
      </c>
      <c r="B575" s="36"/>
      <c r="C575" s="38">
        <v>48</v>
      </c>
      <c r="D575" s="38">
        <v>32</v>
      </c>
      <c r="E575" s="38">
        <v>19</v>
      </c>
      <c r="F575" s="38">
        <v>60</v>
      </c>
      <c r="G575" s="38">
        <v>36</v>
      </c>
      <c r="H575" s="38">
        <f>F575/Wages!C575</f>
        <v>1.25</v>
      </c>
      <c r="I575" s="38">
        <f>G575/Wages!D575</f>
        <v>1.125</v>
      </c>
      <c r="J575" s="38">
        <v>48</v>
      </c>
      <c r="K575" s="38">
        <v>36</v>
      </c>
      <c r="L575" s="38"/>
      <c r="M575" s="39">
        <f>Prices!BP577*Wages!$C575</f>
        <v>22.707449432659104</v>
      </c>
      <c r="N575" s="39">
        <f>Prices!BP577*Wages!D575</f>
        <v>15.138299621772735</v>
      </c>
      <c r="O575" s="37"/>
      <c r="P575" s="39">
        <f>Prices!$BP577*F575</f>
        <v>28.384311790823876</v>
      </c>
      <c r="Q575" s="39">
        <f>(31.1*0.925/Prices!$BN577)*G575</f>
        <v>17.030587074494328</v>
      </c>
    </row>
    <row r="576" spans="1:17">
      <c r="A576" s="54">
        <f t="shared" si="28"/>
        <v>1826</v>
      </c>
      <c r="B576" s="36"/>
      <c r="C576" s="38">
        <v>48</v>
      </c>
      <c r="D576" s="38">
        <v>32</v>
      </c>
      <c r="E576" s="38">
        <v>19</v>
      </c>
      <c r="F576" s="38">
        <v>60</v>
      </c>
      <c r="G576" s="38">
        <v>36</v>
      </c>
      <c r="H576" s="38">
        <f>F576/Wages!C576</f>
        <v>1.25</v>
      </c>
      <c r="I576" s="38">
        <f>G576/Wages!D576</f>
        <v>1.125</v>
      </c>
      <c r="J576" s="38">
        <v>48</v>
      </c>
      <c r="K576" s="38">
        <v>30</v>
      </c>
      <c r="L576" s="38"/>
      <c r="M576" s="39">
        <f>Prices!BP578*Wages!$C576</f>
        <v>23.110292887029289</v>
      </c>
      <c r="N576" s="39">
        <f>Prices!BP578*Wages!D576</f>
        <v>15.406861924686194</v>
      </c>
      <c r="O576" s="37"/>
      <c r="P576" s="39">
        <f>Prices!$BP578*F576</f>
        <v>28.887866108786614</v>
      </c>
      <c r="Q576" s="39">
        <f>(31.1*0.925/Prices!$BN578)*G576</f>
        <v>17.332719665271966</v>
      </c>
    </row>
    <row r="577" spans="1:17">
      <c r="A577" s="54">
        <f t="shared" si="28"/>
        <v>1827</v>
      </c>
      <c r="B577" s="36"/>
      <c r="C577" s="38">
        <v>48</v>
      </c>
      <c r="D577" s="38">
        <v>32</v>
      </c>
      <c r="E577" s="38">
        <v>19</v>
      </c>
      <c r="F577" s="38">
        <v>60</v>
      </c>
      <c r="G577" s="38">
        <v>36</v>
      </c>
      <c r="H577" s="38">
        <f>F577/Wages!C577</f>
        <v>1.25</v>
      </c>
      <c r="I577" s="38">
        <f>G577/Wages!D577</f>
        <v>1.125</v>
      </c>
      <c r="J577" s="38">
        <v>48</v>
      </c>
      <c r="K577" s="38">
        <v>30</v>
      </c>
      <c r="L577" s="38"/>
      <c r="M577" s="39">
        <f>Prices!BP579*Wages!$C577</f>
        <v>23.110292887029289</v>
      </c>
      <c r="N577" s="39">
        <f>Prices!BP579*Wages!D577</f>
        <v>15.406861924686194</v>
      </c>
      <c r="O577" s="37"/>
      <c r="P577" s="39">
        <f>Prices!$BP579*F577</f>
        <v>28.887866108786614</v>
      </c>
      <c r="Q577" s="39">
        <f>(31.1*0.925/Prices!$BN579)*G577</f>
        <v>17.332719665271966</v>
      </c>
    </row>
    <row r="578" spans="1:17">
      <c r="A578" s="54">
        <f t="shared" si="28"/>
        <v>1828</v>
      </c>
      <c r="B578" s="36"/>
      <c r="C578" s="38">
        <v>48</v>
      </c>
      <c r="D578" s="38">
        <v>32</v>
      </c>
      <c r="E578" s="38">
        <v>19</v>
      </c>
      <c r="F578" s="38">
        <v>60</v>
      </c>
      <c r="G578" s="38">
        <v>36</v>
      </c>
      <c r="H578" s="38">
        <f>F578/Wages!C578</f>
        <v>1.25</v>
      </c>
      <c r="I578" s="38">
        <f>G578/Wages!D578</f>
        <v>1.125</v>
      </c>
      <c r="J578" s="38">
        <v>48</v>
      </c>
      <c r="K578" s="38">
        <v>30</v>
      </c>
      <c r="L578" s="38"/>
      <c r="M578" s="39">
        <f>Prices!BP580*Wages!$C578</f>
        <v>23.110292887029289</v>
      </c>
      <c r="N578" s="39">
        <f>Prices!BP580*Wages!D578</f>
        <v>15.406861924686194</v>
      </c>
      <c r="O578" s="37"/>
      <c r="P578" s="39">
        <f>Prices!$BP580*F578</f>
        <v>28.887866108786614</v>
      </c>
      <c r="Q578" s="39">
        <f>(31.1*0.925/Prices!$BN580)*G578</f>
        <v>17.332719665271966</v>
      </c>
    </row>
    <row r="579" spans="1:17">
      <c r="A579" s="54">
        <f t="shared" si="28"/>
        <v>1829</v>
      </c>
      <c r="B579" s="36"/>
      <c r="C579" s="38">
        <v>48</v>
      </c>
      <c r="D579" s="38">
        <v>32</v>
      </c>
      <c r="E579" s="38">
        <v>19</v>
      </c>
      <c r="F579" s="38">
        <v>60</v>
      </c>
      <c r="G579" s="38">
        <v>36</v>
      </c>
      <c r="H579" s="38">
        <f>F579/Wages!C579</f>
        <v>1.25</v>
      </c>
      <c r="I579" s="38">
        <f>G579/Wages!D579</f>
        <v>1.125</v>
      </c>
      <c r="J579" s="38">
        <v>48</v>
      </c>
      <c r="K579" s="38">
        <v>30</v>
      </c>
      <c r="L579" s="38"/>
      <c r="M579" s="39">
        <f>Prices!BP581*Wages!$C579</f>
        <v>23.21910206826972</v>
      </c>
      <c r="N579" s="39">
        <f>Prices!BP581*Wages!D579</f>
        <v>15.479401378846479</v>
      </c>
      <c r="O579" s="37"/>
      <c r="P579" s="39">
        <f>Prices!$BP581*F579</f>
        <v>29.023877585337146</v>
      </c>
      <c r="Q579" s="39">
        <f>(31.1*0.925/Prices!$BN581)*G579</f>
        <v>17.41432655120229</v>
      </c>
    </row>
    <row r="580" spans="1:17">
      <c r="A580" s="54">
        <f t="shared" si="28"/>
        <v>1830</v>
      </c>
      <c r="B580" s="36"/>
      <c r="C580" s="38">
        <v>48</v>
      </c>
      <c r="D580" s="38">
        <v>32</v>
      </c>
      <c r="E580" s="38">
        <v>19</v>
      </c>
      <c r="F580" s="38">
        <v>60</v>
      </c>
      <c r="G580" s="38">
        <v>36</v>
      </c>
      <c r="H580" s="38">
        <f>F580/Wages!C580</f>
        <v>1.25</v>
      </c>
      <c r="I580" s="38">
        <f>G580/Wages!D580</f>
        <v>1.125</v>
      </c>
      <c r="J580" s="38">
        <v>48</v>
      </c>
      <c r="K580" s="38">
        <v>30</v>
      </c>
      <c r="L580" s="38"/>
      <c r="M580" s="39">
        <f>Prices!BP582*Wages!$C580</f>
        <v>23.305316455696204</v>
      </c>
      <c r="N580" s="39">
        <f>Prices!BP582*Wages!D580</f>
        <v>15.536877637130802</v>
      </c>
      <c r="O580" s="37"/>
      <c r="P580" s="39">
        <f>Prices!$BP582*F580</f>
        <v>29.131645569620254</v>
      </c>
      <c r="Q580" s="39">
        <f>(31.1*0.925/Prices!$BN582)*G580</f>
        <v>17.478987341772154</v>
      </c>
    </row>
    <row r="581" spans="1:17">
      <c r="A581" s="54">
        <f t="shared" si="28"/>
        <v>1831</v>
      </c>
      <c r="B581" s="36"/>
      <c r="C581" s="38">
        <v>48</v>
      </c>
      <c r="D581" s="38">
        <v>32</v>
      </c>
      <c r="E581" s="38">
        <v>19</v>
      </c>
      <c r="F581" s="38">
        <v>60</v>
      </c>
      <c r="G581" s="38">
        <v>36</v>
      </c>
      <c r="H581" s="38">
        <f>F581/Wages!C581</f>
        <v>1.25</v>
      </c>
      <c r="I581" s="38">
        <f>G581/Wages!D581</f>
        <v>1.125</v>
      </c>
      <c r="J581" s="38">
        <v>48</v>
      </c>
      <c r="K581" s="38">
        <v>30</v>
      </c>
      <c r="L581" s="38"/>
      <c r="M581" s="39">
        <f>Prices!BP583*Wages!$C581</f>
        <v>23.305316455696204</v>
      </c>
      <c r="N581" s="39">
        <f>Prices!BP583*Wages!D581</f>
        <v>15.536877637130802</v>
      </c>
      <c r="O581" s="37"/>
      <c r="P581" s="39">
        <f>Prices!$BP583*F581</f>
        <v>29.131645569620254</v>
      </c>
      <c r="Q581" s="39">
        <f>(31.1*0.925/Prices!$BN583)*G581</f>
        <v>17.478987341772154</v>
      </c>
    </row>
    <row r="582" spans="1:17">
      <c r="A582" s="54">
        <f t="shared" si="28"/>
        <v>1832</v>
      </c>
      <c r="B582" s="36"/>
      <c r="C582" s="38">
        <v>48</v>
      </c>
      <c r="D582" s="38">
        <v>32</v>
      </c>
      <c r="E582" s="38">
        <v>19</v>
      </c>
      <c r="F582" s="38">
        <v>60</v>
      </c>
      <c r="G582" s="38">
        <v>36</v>
      </c>
      <c r="H582" s="38">
        <f>F582/Wages!C582</f>
        <v>1.25</v>
      </c>
      <c r="I582" s="38">
        <f>G582/Wages!D582</f>
        <v>1.125</v>
      </c>
      <c r="J582" s="38">
        <v>48</v>
      </c>
      <c r="K582" s="38">
        <v>30</v>
      </c>
      <c r="L582" s="38"/>
      <c r="M582" s="39">
        <f>Prices!BP584*Wages!$C582</f>
        <v>23.305316455696204</v>
      </c>
      <c r="N582" s="39">
        <f>Prices!BP584*Wages!D582</f>
        <v>15.536877637130802</v>
      </c>
      <c r="O582" s="37"/>
      <c r="P582" s="39">
        <f>Prices!$BP584*F582</f>
        <v>29.131645569620254</v>
      </c>
      <c r="Q582" s="39">
        <f>(31.1*0.925/Prices!$BN584)*G582</f>
        <v>17.478987341772154</v>
      </c>
    </row>
    <row r="583" spans="1:17">
      <c r="A583" s="54">
        <f t="shared" si="28"/>
        <v>1833</v>
      </c>
      <c r="B583" s="36"/>
      <c r="C583" s="38">
        <v>48</v>
      </c>
      <c r="D583" s="38">
        <v>32</v>
      </c>
      <c r="E583" s="38">
        <v>19</v>
      </c>
      <c r="F583" s="38">
        <v>60</v>
      </c>
      <c r="G583" s="38">
        <v>36</v>
      </c>
      <c r="H583" s="38">
        <f>F583/Wages!C583</f>
        <v>1.25</v>
      </c>
      <c r="I583" s="38">
        <f>G583/Wages!D583</f>
        <v>1.125</v>
      </c>
      <c r="J583" s="38">
        <v>48</v>
      </c>
      <c r="K583" s="38">
        <v>30</v>
      </c>
      <c r="L583" s="38"/>
      <c r="M583" s="39">
        <f>Prices!BP585*Wages!$C583</f>
        <v>23.329926082365365</v>
      </c>
      <c r="N583" s="39">
        <f>Prices!BP585*Wages!D583</f>
        <v>15.553284054910243</v>
      </c>
      <c r="O583" s="39">
        <f>28.349523*Wages!E583/Prices!$BN585</f>
        <v>9.1005860527983113</v>
      </c>
      <c r="P583" s="39">
        <f>Prices!$BP585*F583</f>
        <v>29.162407602956705</v>
      </c>
      <c r="Q583" s="39">
        <f>(31.1*0.925/Prices!$BN585)*G583</f>
        <v>17.497444561774024</v>
      </c>
    </row>
    <row r="584" spans="1:17">
      <c r="A584" s="54">
        <f t="shared" si="28"/>
        <v>1834</v>
      </c>
      <c r="B584" s="36"/>
      <c r="C584" s="38">
        <v>48</v>
      </c>
      <c r="D584" s="38">
        <v>32</v>
      </c>
      <c r="E584" s="38">
        <v>19</v>
      </c>
      <c r="F584" s="38">
        <v>60</v>
      </c>
      <c r="G584" s="38">
        <v>36</v>
      </c>
      <c r="H584" s="38">
        <f>F584/Wages!C584</f>
        <v>1.25</v>
      </c>
      <c r="I584" s="38">
        <f>G584/Wages!D584</f>
        <v>1.125</v>
      </c>
      <c r="J584" s="38">
        <v>48</v>
      </c>
      <c r="K584" s="38">
        <v>30</v>
      </c>
      <c r="L584" s="38"/>
      <c r="M584" s="39">
        <f>Prices!BP586*Wages!$C584</f>
        <v>23.037997914494266</v>
      </c>
      <c r="N584" s="39">
        <f>Prices!BP586*Wages!D584</f>
        <v>15.358665276329511</v>
      </c>
      <c r="O584" s="39">
        <f>28.349523*Wages!E584/Prices!$BN586</f>
        <v>8.9867101063607926</v>
      </c>
      <c r="P584" s="39">
        <f>Prices!$BP586*F584</f>
        <v>28.797497393117833</v>
      </c>
      <c r="Q584" s="39">
        <f>(31.1*0.925/Prices!$BN586)*G584</f>
        <v>17.278498435870699</v>
      </c>
    </row>
    <row r="585" spans="1:17">
      <c r="A585" s="54">
        <f t="shared" si="28"/>
        <v>1835</v>
      </c>
      <c r="B585" s="36"/>
      <c r="C585" s="38">
        <v>48</v>
      </c>
      <c r="D585" s="38">
        <v>32</v>
      </c>
      <c r="E585" s="38">
        <v>19</v>
      </c>
      <c r="F585" s="38">
        <v>60</v>
      </c>
      <c r="G585" s="38">
        <v>36</v>
      </c>
      <c r="H585" s="38">
        <f>F585/Wages!C585</f>
        <v>1.25</v>
      </c>
      <c r="I585" s="38">
        <f>G585/Wages!D585</f>
        <v>1.125</v>
      </c>
      <c r="J585" s="38">
        <v>48</v>
      </c>
      <c r="K585" s="38">
        <v>30</v>
      </c>
      <c r="L585" s="38"/>
      <c r="M585" s="39">
        <f>Prices!BP587*Wages!$C585</f>
        <v>23.134492146596859</v>
      </c>
      <c r="N585" s="39">
        <f>Prices!BP587*Wages!D585</f>
        <v>15.422994764397906</v>
      </c>
      <c r="O585" s="39">
        <f>28.349523*Wages!E585/Prices!$BN587</f>
        <v>9.0243507769633506</v>
      </c>
      <c r="P585" s="39">
        <f>Prices!$BP587*F585</f>
        <v>28.918115183246073</v>
      </c>
      <c r="Q585" s="39">
        <f>(31.1*0.925/Prices!$BN587)*G585</f>
        <v>17.350869109947645</v>
      </c>
    </row>
    <row r="586" spans="1:17">
      <c r="A586" s="54">
        <f t="shared" ref="A586:A649" si="29">A585+1</f>
        <v>1836</v>
      </c>
      <c r="B586" s="36"/>
      <c r="C586" s="38">
        <v>48</v>
      </c>
      <c r="D586" s="38">
        <v>32</v>
      </c>
      <c r="E586" s="38">
        <v>19</v>
      </c>
      <c r="F586" s="38">
        <v>60</v>
      </c>
      <c r="G586" s="38">
        <v>36</v>
      </c>
      <c r="H586" s="38">
        <f>F586/Wages!C586</f>
        <v>1.25</v>
      </c>
      <c r="I586" s="38">
        <f>G586/Wages!D586</f>
        <v>1.125</v>
      </c>
      <c r="J586" s="38">
        <v>48</v>
      </c>
      <c r="K586" s="38">
        <v>30</v>
      </c>
      <c r="L586" s="38"/>
      <c r="M586" s="39">
        <f>Prices!BP588*Wages!$C586</f>
        <v>23.014000000000003</v>
      </c>
      <c r="N586" s="39">
        <f>Prices!BP588*Wages!D586</f>
        <v>15.342666666666668</v>
      </c>
      <c r="O586" s="39">
        <f>28.349523*Wages!E586/Prices!$BN588</f>
        <v>8.9773489499999997</v>
      </c>
      <c r="P586" s="39">
        <f>Prices!$BP588*F586</f>
        <v>28.767500000000002</v>
      </c>
      <c r="Q586" s="39">
        <f>(31.1*0.925/Prices!$BN588)*G586</f>
        <v>17.2605</v>
      </c>
    </row>
    <row r="587" spans="1:17">
      <c r="A587" s="54">
        <f t="shared" si="29"/>
        <v>1837</v>
      </c>
      <c r="B587" s="36"/>
      <c r="C587" s="38">
        <v>48</v>
      </c>
      <c r="D587" s="38">
        <v>32</v>
      </c>
      <c r="E587" s="38">
        <v>19</v>
      </c>
      <c r="F587" s="38">
        <v>60</v>
      </c>
      <c r="G587" s="38">
        <v>36</v>
      </c>
      <c r="H587" s="38">
        <f>F587/Wages!C587</f>
        <v>1.25</v>
      </c>
      <c r="I587" s="38">
        <f>G587/Wages!D587</f>
        <v>1.125</v>
      </c>
      <c r="J587" s="38">
        <v>48</v>
      </c>
      <c r="K587" s="38">
        <v>30</v>
      </c>
      <c r="L587" s="38"/>
      <c r="M587" s="39">
        <f>Prices!BP589*Wages!$C587</f>
        <v>23.18304302203568</v>
      </c>
      <c r="N587" s="39">
        <f>Prices!BP589*Wages!D587</f>
        <v>15.455362014690452</v>
      </c>
      <c r="O587" s="39">
        <f>28.349523*Wages!E587/Prices!$BN589</f>
        <v>9.0432896033578167</v>
      </c>
      <c r="P587" s="39">
        <f>Prices!$BP589*F587</f>
        <v>28.978803777544599</v>
      </c>
      <c r="Q587" s="39">
        <f>(31.1*0.925/Prices!$BN589)*G587</f>
        <v>17.387282266526761</v>
      </c>
    </row>
    <row r="588" spans="1:17">
      <c r="A588" s="54">
        <f t="shared" si="29"/>
        <v>1838</v>
      </c>
      <c r="B588" s="36"/>
      <c r="C588" s="38">
        <v>48</v>
      </c>
      <c r="D588" s="38">
        <v>32</v>
      </c>
      <c r="E588" s="38">
        <v>19</v>
      </c>
      <c r="F588" s="38">
        <v>60</v>
      </c>
      <c r="G588" s="38">
        <v>36</v>
      </c>
      <c r="H588" s="38">
        <f>F588/Wages!C588</f>
        <v>1.25</v>
      </c>
      <c r="I588" s="38">
        <f>G588/Wages!D588</f>
        <v>1.125</v>
      </c>
      <c r="J588" s="38">
        <v>48</v>
      </c>
      <c r="K588" s="38">
        <v>30</v>
      </c>
      <c r="L588" s="38"/>
      <c r="M588" s="39">
        <f>Prices!BP590*Wages!$C588</f>
        <v>23.207394957983194</v>
      </c>
      <c r="N588" s="39">
        <f>Prices!BP590*Wages!D588</f>
        <v>15.471596638655463</v>
      </c>
      <c r="O588" s="39">
        <f>28.349523*Wages!E588/Prices!$BN590</f>
        <v>9.0527888571428576</v>
      </c>
      <c r="P588" s="39">
        <f>Prices!$BP590*F588</f>
        <v>29.009243697478993</v>
      </c>
      <c r="Q588" s="39">
        <f>(31.1*0.925/Prices!$BN590)*G588</f>
        <v>17.405546218487395</v>
      </c>
    </row>
    <row r="589" spans="1:17">
      <c r="A589" s="54">
        <f t="shared" si="29"/>
        <v>1839</v>
      </c>
      <c r="B589" s="36"/>
      <c r="C589" s="38">
        <v>48</v>
      </c>
      <c r="D589" s="38">
        <v>32</v>
      </c>
      <c r="E589" s="38">
        <v>19</v>
      </c>
      <c r="F589" s="38">
        <v>60</v>
      </c>
      <c r="G589" s="38">
        <v>36</v>
      </c>
      <c r="H589" s="38">
        <f>F589/Wages!C589</f>
        <v>1.25</v>
      </c>
      <c r="I589" s="38">
        <f>G589/Wages!D589</f>
        <v>1.125</v>
      </c>
      <c r="J589" s="38">
        <v>48</v>
      </c>
      <c r="K589" s="38">
        <v>30</v>
      </c>
      <c r="L589" s="38"/>
      <c r="M589" s="39">
        <f>Prices!BP591*Wages!$C589</f>
        <v>22.871055900621119</v>
      </c>
      <c r="N589" s="39">
        <f>Prices!BP591*Wages!D589</f>
        <v>15.247370600414079</v>
      </c>
      <c r="O589" s="39">
        <f>28.349523*Wages!E589/Prices!$BN591</f>
        <v>8.92158901863354</v>
      </c>
      <c r="P589" s="39">
        <f>Prices!$BP591*F589</f>
        <v>28.588819875776398</v>
      </c>
      <c r="Q589" s="39">
        <f>(31.1*0.925/Prices!$BN591)*G589</f>
        <v>17.15329192546584</v>
      </c>
    </row>
    <row r="590" spans="1:17">
      <c r="A590" s="54">
        <f t="shared" si="29"/>
        <v>1840</v>
      </c>
      <c r="B590" s="36"/>
      <c r="C590" s="38">
        <v>48</v>
      </c>
      <c r="D590" s="38">
        <v>32</v>
      </c>
      <c r="E590" s="38">
        <v>19</v>
      </c>
      <c r="F590" s="38">
        <v>60</v>
      </c>
      <c r="G590" s="38">
        <v>36</v>
      </c>
      <c r="H590" s="38">
        <f>F590/Wages!C590</f>
        <v>1.25</v>
      </c>
      <c r="I590" s="38">
        <f>G590/Wages!D590</f>
        <v>1.125</v>
      </c>
      <c r="J590" s="38">
        <v>48</v>
      </c>
      <c r="K590" s="38">
        <v>30</v>
      </c>
      <c r="L590" s="38"/>
      <c r="M590" s="39">
        <f>Prices!BP592*Wages!$C590</f>
        <v>22.871055900621119</v>
      </c>
      <c r="N590" s="39">
        <f>Prices!BP592*Wages!D590</f>
        <v>15.247370600414079</v>
      </c>
      <c r="O590" s="39">
        <f>28.349523*Wages!E590/Prices!$BN592</f>
        <v>8.92158901863354</v>
      </c>
      <c r="P590" s="39">
        <f>Prices!$BP592*F590</f>
        <v>28.588819875776398</v>
      </c>
      <c r="Q590" s="39">
        <f>(31.1*0.925/Prices!$BN592)*G590</f>
        <v>17.15329192546584</v>
      </c>
    </row>
    <row r="591" spans="1:17">
      <c r="A591" s="54">
        <f t="shared" si="29"/>
        <v>1841</v>
      </c>
      <c r="B591" s="36"/>
      <c r="C591" s="38">
        <v>48</v>
      </c>
      <c r="D591" s="38">
        <v>32</v>
      </c>
      <c r="E591" s="38">
        <v>19</v>
      </c>
      <c r="F591" s="38">
        <v>60</v>
      </c>
      <c r="G591" s="38">
        <v>36</v>
      </c>
      <c r="H591" s="38">
        <f>F591/Wages!C591</f>
        <v>1.25</v>
      </c>
      <c r="I591" s="38">
        <f>G591/Wages!D591</f>
        <v>1.125</v>
      </c>
      <c r="J591" s="38">
        <v>48</v>
      </c>
      <c r="K591" s="38">
        <v>30</v>
      </c>
      <c r="L591" s="38"/>
      <c r="M591" s="39">
        <f>Prices!BP593*Wages!$C591</f>
        <v>22.990052029136319</v>
      </c>
      <c r="N591" s="39">
        <f>Prices!BP593*Wages!D591</f>
        <v>15.326701352757546</v>
      </c>
      <c r="O591" s="39">
        <f>28.349523*Wages!E591/Prices!$BN593</f>
        <v>8.968007275754422</v>
      </c>
      <c r="P591" s="39">
        <f>Prices!$BP593*F591</f>
        <v>28.737565036420399</v>
      </c>
      <c r="Q591" s="39">
        <f>(31.1*0.925/Prices!$BN593)*G591</f>
        <v>17.242539021852238</v>
      </c>
    </row>
    <row r="592" spans="1:17">
      <c r="A592" s="54">
        <f t="shared" si="29"/>
        <v>1842</v>
      </c>
      <c r="B592" s="36"/>
      <c r="C592" s="38">
        <v>48</v>
      </c>
      <c r="D592" s="38">
        <v>32</v>
      </c>
      <c r="E592" s="38">
        <v>19</v>
      </c>
      <c r="F592" s="38">
        <v>60</v>
      </c>
      <c r="G592" s="38">
        <v>36</v>
      </c>
      <c r="H592" s="38">
        <f>F592/Wages!C592</f>
        <v>1.25</v>
      </c>
      <c r="I592" s="38">
        <f>G592/Wages!D592</f>
        <v>1.125</v>
      </c>
      <c r="J592" s="38">
        <v>48</v>
      </c>
      <c r="K592" s="38">
        <v>30</v>
      </c>
      <c r="L592" s="38"/>
      <c r="M592" s="39">
        <f>Prices!BP594*Wages!$C592</f>
        <v>23.231798107255521</v>
      </c>
      <c r="N592" s="39">
        <f>Prices!BP594*Wages!D592</f>
        <v>15.487865404837015</v>
      </c>
      <c r="O592" s="39">
        <f>28.349523*Wages!E592/Prices!$BN594</f>
        <v>9.0623080883280753</v>
      </c>
      <c r="P592" s="39">
        <f>Prices!$BP594*F592</f>
        <v>29.039747634069403</v>
      </c>
      <c r="Q592" s="39">
        <f>(31.1*0.925/Prices!$BN594)*G592</f>
        <v>17.423848580441643</v>
      </c>
    </row>
    <row r="593" spans="1:17">
      <c r="A593" s="54">
        <f t="shared" si="29"/>
        <v>1843</v>
      </c>
      <c r="B593" s="36"/>
      <c r="C593" s="38">
        <v>48</v>
      </c>
      <c r="D593" s="38">
        <v>32</v>
      </c>
      <c r="E593" s="38">
        <v>19</v>
      </c>
      <c r="F593" s="38">
        <v>60</v>
      </c>
      <c r="G593" s="38">
        <v>36</v>
      </c>
      <c r="H593" s="38">
        <f>F593/Wages!C593</f>
        <v>1.25</v>
      </c>
      <c r="I593" s="38">
        <f>G593/Wages!D593</f>
        <v>1.125</v>
      </c>
      <c r="J593" s="38">
        <v>48</v>
      </c>
      <c r="K593" s="38">
        <v>30</v>
      </c>
      <c r="L593" s="38"/>
      <c r="M593" s="39">
        <f>Prices!BP595*Wages!$C593</f>
        <v>23.329926082365365</v>
      </c>
      <c r="N593" s="39">
        <f>Prices!BP595*Wages!D593</f>
        <v>15.553284054910243</v>
      </c>
      <c r="O593" s="39">
        <f>28.349523*Wages!E593/Prices!$BN595</f>
        <v>9.1005860527983113</v>
      </c>
      <c r="P593" s="39">
        <f>Prices!$BP595*F593</f>
        <v>29.162407602956705</v>
      </c>
      <c r="Q593" s="39">
        <f>(31.1*0.925/Prices!$BN595)*G593</f>
        <v>17.497444561774024</v>
      </c>
    </row>
    <row r="594" spans="1:17">
      <c r="A594" s="54">
        <f t="shared" si="29"/>
        <v>1844</v>
      </c>
      <c r="B594" s="36"/>
      <c r="C594" s="38">
        <v>48</v>
      </c>
      <c r="D594" s="38">
        <v>32</v>
      </c>
      <c r="E594" s="38">
        <v>19</v>
      </c>
      <c r="F594" s="38">
        <v>60</v>
      </c>
      <c r="G594" s="38">
        <v>36</v>
      </c>
      <c r="H594" s="38">
        <f>F594/Wages!C594</f>
        <v>1.25</v>
      </c>
      <c r="I594" s="38">
        <f>G594/Wages!D594</f>
        <v>1.125</v>
      </c>
      <c r="J594" s="38">
        <v>48</v>
      </c>
      <c r="K594" s="38">
        <v>30</v>
      </c>
      <c r="L594" s="38"/>
      <c r="M594" s="39">
        <f>Prices!BP596*Wages!$C594</f>
        <v>23.207394957983194</v>
      </c>
      <c r="N594" s="39">
        <f>Prices!BP596*Wages!D594</f>
        <v>15.471596638655463</v>
      </c>
      <c r="O594" s="39">
        <f>28.349523*Wages!E594/Prices!$BN596</f>
        <v>9.0527888571428576</v>
      </c>
      <c r="P594" s="39">
        <f>Prices!$BP596*F594</f>
        <v>29.009243697478993</v>
      </c>
      <c r="Q594" s="39">
        <f>(31.1*0.925/Prices!$BN596)*G594</f>
        <v>17.405546218487395</v>
      </c>
    </row>
    <row r="595" spans="1:17">
      <c r="A595" s="54">
        <f t="shared" si="29"/>
        <v>1845</v>
      </c>
      <c r="B595" s="36"/>
      <c r="C595" s="38">
        <v>48</v>
      </c>
      <c r="D595" s="38">
        <v>32</v>
      </c>
      <c r="E595" s="38">
        <v>19</v>
      </c>
      <c r="F595" s="38">
        <v>60</v>
      </c>
      <c r="G595" s="38">
        <v>36</v>
      </c>
      <c r="H595" s="38">
        <f>F595/Wages!C595</f>
        <v>1.25</v>
      </c>
      <c r="I595" s="38">
        <f>G595/Wages!D595</f>
        <v>1.125</v>
      </c>
      <c r="J595" s="38">
        <v>48</v>
      </c>
      <c r="K595" s="38">
        <v>30</v>
      </c>
      <c r="L595" s="38"/>
      <c r="M595" s="39">
        <f>Prices!BP597*Wages!$C595</f>
        <v>23.305316455696204</v>
      </c>
      <c r="N595" s="39">
        <f>Prices!BP597*Wages!D595</f>
        <v>15.536877637130802</v>
      </c>
      <c r="O595" s="39">
        <f>28.349523*Wages!E595/Prices!$BN597</f>
        <v>9.0909862784810134</v>
      </c>
      <c r="P595" s="39">
        <f>Prices!$BP597*F595</f>
        <v>29.131645569620254</v>
      </c>
      <c r="Q595" s="39">
        <f>(31.1*0.925/Prices!$BN597)*G595</f>
        <v>17.478987341772154</v>
      </c>
    </row>
    <row r="596" spans="1:17">
      <c r="A596" s="54">
        <f t="shared" si="29"/>
        <v>1846</v>
      </c>
      <c r="B596" s="36"/>
      <c r="C596" s="38">
        <v>48</v>
      </c>
      <c r="D596" s="38">
        <v>32</v>
      </c>
      <c r="E596" s="38">
        <v>19</v>
      </c>
      <c r="F596" s="38">
        <v>60</v>
      </c>
      <c r="G596" s="38">
        <v>36</v>
      </c>
      <c r="H596" s="38">
        <f>F596/Wages!C596</f>
        <v>1.25</v>
      </c>
      <c r="I596" s="38">
        <f>G596/Wages!D596</f>
        <v>1.125</v>
      </c>
      <c r="J596" s="38">
        <v>48</v>
      </c>
      <c r="K596" s="38">
        <v>30</v>
      </c>
      <c r="L596" s="38"/>
      <c r="M596" s="39">
        <f>Prices!BP598*Wages!$C596</f>
        <v>23.280758693361435</v>
      </c>
      <c r="N596" s="39">
        <f>Prices!BP598*Wages!D596</f>
        <v>15.520505795574289</v>
      </c>
      <c r="O596" s="39">
        <f>28.349523*Wages!E596/Prices!$BN598</f>
        <v>9.0814067355110648</v>
      </c>
      <c r="P596" s="39">
        <f>Prices!$BP598*F596</f>
        <v>29.100948366701793</v>
      </c>
      <c r="Q596" s="39">
        <f>(31.1*0.925/Prices!$BN598)*G596</f>
        <v>17.460569020021076</v>
      </c>
    </row>
    <row r="597" spans="1:17">
      <c r="A597" s="54">
        <f t="shared" si="29"/>
        <v>1847</v>
      </c>
      <c r="B597" s="36"/>
      <c r="C597" s="38">
        <v>49</v>
      </c>
      <c r="D597" s="38">
        <v>33</v>
      </c>
      <c r="E597" s="38">
        <v>19</v>
      </c>
      <c r="F597" s="38">
        <v>60</v>
      </c>
      <c r="G597" s="38">
        <v>36</v>
      </c>
      <c r="H597" s="39">
        <f>F597/Wages!C597</f>
        <v>1.2244897959183674</v>
      </c>
      <c r="I597" s="39">
        <f>G597/Wages!D597</f>
        <v>1.0909090909090908</v>
      </c>
      <c r="J597" s="38">
        <v>48</v>
      </c>
      <c r="K597" s="38">
        <v>30</v>
      </c>
      <c r="L597" s="38"/>
      <c r="M597" s="39">
        <f>Prices!BP599*Wages!$C597</f>
        <v>23.616460732984294</v>
      </c>
      <c r="N597" s="39">
        <f>Prices!BP599*Wages!D597</f>
        <v>15.904963350785341</v>
      </c>
      <c r="O597" s="39">
        <f>28.349523*Wages!E597/Prices!$BN599</f>
        <v>9.0243507769633506</v>
      </c>
      <c r="P597" s="39">
        <f>Prices!$BP599*F597</f>
        <v>28.918115183246073</v>
      </c>
      <c r="Q597" s="39">
        <f>(31.1*0.925/Prices!$BN599)*G597</f>
        <v>17.350869109947645</v>
      </c>
    </row>
    <row r="598" spans="1:17">
      <c r="A598" s="54">
        <f t="shared" si="29"/>
        <v>1848</v>
      </c>
      <c r="B598" s="36"/>
      <c r="C598" s="38">
        <v>49</v>
      </c>
      <c r="D598" s="38">
        <v>33</v>
      </c>
      <c r="E598" s="38">
        <v>19</v>
      </c>
      <c r="F598" s="38">
        <v>60</v>
      </c>
      <c r="G598" s="38">
        <v>36</v>
      </c>
      <c r="H598" s="39">
        <f>F598/Wages!C598</f>
        <v>1.2244897959183674</v>
      </c>
      <c r="I598" s="39">
        <f>G598/Wages!D598</f>
        <v>1.0909090909090908</v>
      </c>
      <c r="J598" s="38">
        <v>48</v>
      </c>
      <c r="K598" s="38">
        <v>30</v>
      </c>
      <c r="L598" s="38"/>
      <c r="M598" s="39">
        <f>Prices!BP600*Wages!$C598</f>
        <v>23.690882352941177</v>
      </c>
      <c r="N598" s="39">
        <f>Prices!BP600*Wages!D598</f>
        <v>15.955084033613446</v>
      </c>
      <c r="O598" s="39">
        <f>28.349523*Wages!E598/Prices!$BN600</f>
        <v>9.0527888571428576</v>
      </c>
      <c r="P598" s="39">
        <f>Prices!$BP600*F598</f>
        <v>29.009243697478993</v>
      </c>
      <c r="Q598" s="39">
        <f>(31.1*0.925/Prices!$BN600)*G598</f>
        <v>17.405546218487395</v>
      </c>
    </row>
    <row r="599" spans="1:17">
      <c r="A599" s="54">
        <f t="shared" si="29"/>
        <v>1849</v>
      </c>
      <c r="B599" s="36"/>
      <c r="C599" s="38">
        <v>49</v>
      </c>
      <c r="D599" s="38">
        <v>33</v>
      </c>
      <c r="E599" s="38">
        <v>19</v>
      </c>
      <c r="F599" s="38">
        <v>60</v>
      </c>
      <c r="G599" s="38">
        <v>36</v>
      </c>
      <c r="H599" s="39">
        <f>F599/Wages!C599</f>
        <v>1.2244897959183674</v>
      </c>
      <c r="I599" s="39">
        <f>G599/Wages!D599</f>
        <v>1.0909090909090908</v>
      </c>
      <c r="J599" s="38">
        <v>48</v>
      </c>
      <c r="K599" s="38">
        <v>30</v>
      </c>
      <c r="L599" s="38"/>
      <c r="M599" s="39">
        <f>Prices!BP601*Wages!$C599</f>
        <v>23.591757322175734</v>
      </c>
      <c r="N599" s="39">
        <f>Prices!BP601*Wages!D599</f>
        <v>15.888326359832638</v>
      </c>
      <c r="O599" s="39">
        <f>28.349523*Wages!E599/Prices!$BN601</f>
        <v>9.0149110794979084</v>
      </c>
      <c r="P599" s="39">
        <f>Prices!$BP601*F599</f>
        <v>28.887866108786614</v>
      </c>
      <c r="Q599" s="39">
        <f>(31.1*0.925/Prices!$BN601)*G599</f>
        <v>17.332719665271966</v>
      </c>
    </row>
    <row r="600" spans="1:17">
      <c r="A600" s="54">
        <f t="shared" si="29"/>
        <v>1850</v>
      </c>
      <c r="B600" s="36"/>
      <c r="C600" s="38">
        <v>49</v>
      </c>
      <c r="D600" s="38">
        <v>33</v>
      </c>
      <c r="E600" s="36"/>
      <c r="F600" s="38">
        <v>60</v>
      </c>
      <c r="G600" s="38">
        <v>36</v>
      </c>
      <c r="H600" s="39">
        <f>F600/Wages!C600</f>
        <v>1.2244897959183674</v>
      </c>
      <c r="I600" s="39">
        <f>G600/Wages!D600</f>
        <v>1.0909090909090908</v>
      </c>
      <c r="J600" s="38">
        <v>48</v>
      </c>
      <c r="K600" s="38">
        <v>30</v>
      </c>
      <c r="L600" s="38"/>
      <c r="M600" s="39">
        <f>Prices!BP602*Wages!$C600</f>
        <v>23.469011446409993</v>
      </c>
      <c r="N600" s="39">
        <f>Prices!BP602*Wages!D600</f>
        <v>15.805660770031219</v>
      </c>
      <c r="O600" s="37"/>
      <c r="P600" s="39">
        <f>Prices!$BP602*F600</f>
        <v>28.737565036420399</v>
      </c>
      <c r="Q600" s="39">
        <f>(31.1*0.925/Prices!$BN602)*G600</f>
        <v>17.242539021852238</v>
      </c>
    </row>
    <row r="601" spans="1:17">
      <c r="A601" s="54">
        <f t="shared" si="29"/>
        <v>1851</v>
      </c>
      <c r="B601" s="36"/>
      <c r="C601" s="38">
        <v>49</v>
      </c>
      <c r="D601" s="38">
        <v>33</v>
      </c>
      <c r="E601" s="36"/>
      <c r="F601" s="38">
        <v>60</v>
      </c>
      <c r="G601" s="38">
        <v>36</v>
      </c>
      <c r="H601" s="39">
        <f>F601/Wages!C601</f>
        <v>1.2244897959183674</v>
      </c>
      <c r="I601" s="39">
        <f>G601/Wages!D601</f>
        <v>1.0909090909090908</v>
      </c>
      <c r="J601" s="38">
        <v>48</v>
      </c>
      <c r="K601" s="38">
        <v>30</v>
      </c>
      <c r="L601" s="38"/>
      <c r="M601" s="39">
        <f>Prices!BP603*Wages!$C601</f>
        <v>23.108319672131149</v>
      </c>
      <c r="N601" s="39">
        <f>Prices!BP603*Wages!D601</f>
        <v>15.562745901639346</v>
      </c>
      <c r="O601" s="37"/>
      <c r="P601" s="39">
        <f>Prices!$BP603*F601</f>
        <v>28.295901639344265</v>
      </c>
      <c r="Q601" s="39">
        <f>(31.1*0.925/Prices!$BN603)*G601</f>
        <v>16.977540983606559</v>
      </c>
    </row>
    <row r="602" spans="1:17">
      <c r="A602" s="54">
        <f t="shared" si="29"/>
        <v>1852</v>
      </c>
      <c r="B602" s="36"/>
      <c r="C602" s="38">
        <v>49</v>
      </c>
      <c r="D602" s="38">
        <v>33</v>
      </c>
      <c r="E602" s="36"/>
      <c r="F602" s="38">
        <v>60</v>
      </c>
      <c r="G602" s="38">
        <v>36</v>
      </c>
      <c r="H602" s="39">
        <f>F602/Wages!C602</f>
        <v>1.2244897959183674</v>
      </c>
      <c r="I602" s="39">
        <f>G602/Wages!D602</f>
        <v>1.0909090909090908</v>
      </c>
      <c r="J602" s="38">
        <v>48</v>
      </c>
      <c r="K602" s="38">
        <v>30</v>
      </c>
      <c r="L602" s="38"/>
      <c r="M602" s="39">
        <f>Prices!BP604*Wages!$C602</f>
        <v>23.29929752066116</v>
      </c>
      <c r="N602" s="39">
        <f>Prices!BP604*Wages!D602</f>
        <v>15.691363636363638</v>
      </c>
      <c r="O602" s="37"/>
      <c r="P602" s="39">
        <f>Prices!$BP604*F602</f>
        <v>28.529752066115705</v>
      </c>
      <c r="Q602" s="39">
        <f>(31.1*0.925/Prices!$BN604)*G602</f>
        <v>17.117851239669424</v>
      </c>
    </row>
    <row r="603" spans="1:17">
      <c r="A603" s="54">
        <f t="shared" si="29"/>
        <v>1853</v>
      </c>
      <c r="B603" s="36"/>
      <c r="C603" s="38">
        <v>54</v>
      </c>
      <c r="D603" s="38">
        <v>34</v>
      </c>
      <c r="E603" s="36"/>
      <c r="F603" s="38">
        <v>66</v>
      </c>
      <c r="G603" s="38">
        <v>42</v>
      </c>
      <c r="H603" s="39">
        <f>F603/Wages!C603</f>
        <v>1.2222222222222223</v>
      </c>
      <c r="I603" s="39">
        <f>G603/Wages!D603</f>
        <v>1.2352941176470589</v>
      </c>
      <c r="J603" s="38">
        <v>48</v>
      </c>
      <c r="K603" s="38">
        <v>30</v>
      </c>
      <c r="L603" s="38"/>
      <c r="M603" s="39">
        <f>Prices!BP605*Wages!$C603</f>
        <v>25.259268292682926</v>
      </c>
      <c r="N603" s="39">
        <f>Prices!BP605*Wages!D603</f>
        <v>15.903983739837399</v>
      </c>
      <c r="O603" s="37"/>
      <c r="P603" s="39">
        <f>Prices!$BP605*F603</f>
        <v>30.872439024390246</v>
      </c>
      <c r="Q603" s="39">
        <f>(31.1*0.925/Prices!$BN605)*G603</f>
        <v>19.646097560975612</v>
      </c>
    </row>
    <row r="604" spans="1:17">
      <c r="A604" s="54">
        <f t="shared" si="29"/>
        <v>1854</v>
      </c>
      <c r="B604" s="36"/>
      <c r="C604" s="38">
        <v>54</v>
      </c>
      <c r="D604" s="38">
        <v>34</v>
      </c>
      <c r="E604" s="36"/>
      <c r="F604" s="38">
        <v>66</v>
      </c>
      <c r="G604" s="38">
        <v>42</v>
      </c>
      <c r="H604" s="39">
        <f>F604/Wages!C604</f>
        <v>1.2222222222222223</v>
      </c>
      <c r="I604" s="39">
        <f>G604/Wages!D604</f>
        <v>1.2352941176470589</v>
      </c>
      <c r="J604" s="38">
        <v>48</v>
      </c>
      <c r="K604" s="38">
        <v>30</v>
      </c>
      <c r="L604" s="38"/>
      <c r="M604" s="39">
        <f>Prices!BP606*Wages!$C604</f>
        <v>25.259268292682926</v>
      </c>
      <c r="N604" s="39">
        <f>Prices!BP606*Wages!D604</f>
        <v>15.903983739837399</v>
      </c>
      <c r="O604" s="37"/>
      <c r="P604" s="39">
        <f>Prices!$BP606*F604</f>
        <v>30.872439024390246</v>
      </c>
      <c r="Q604" s="39">
        <f>(31.1*0.925/Prices!$BN606)*G604</f>
        <v>19.646097560975612</v>
      </c>
    </row>
    <row r="605" spans="1:17">
      <c r="A605" s="54">
        <f t="shared" si="29"/>
        <v>1855</v>
      </c>
      <c r="B605" s="36"/>
      <c r="C605" s="38">
        <v>54</v>
      </c>
      <c r="D605" s="38">
        <v>34</v>
      </c>
      <c r="E605" s="36"/>
      <c r="F605" s="38">
        <v>66</v>
      </c>
      <c r="G605" s="38">
        <v>42</v>
      </c>
      <c r="H605" s="39">
        <f>F605/Wages!C605</f>
        <v>1.2222222222222223</v>
      </c>
      <c r="I605" s="39">
        <f>G605/Wages!D605</f>
        <v>1.2352941176470589</v>
      </c>
      <c r="J605" s="38">
        <v>48</v>
      </c>
      <c r="K605" s="38">
        <v>30</v>
      </c>
      <c r="L605" s="38"/>
      <c r="M605" s="39">
        <f>Prices!BP607*Wages!$C605</f>
        <v>25.336513761467891</v>
      </c>
      <c r="N605" s="39">
        <f>Prices!BP607*Wages!D605</f>
        <v>15.952619775739041</v>
      </c>
      <c r="O605" s="37"/>
      <c r="P605" s="39">
        <f>Prices!$BP607*F605</f>
        <v>30.966850152905199</v>
      </c>
      <c r="Q605" s="39">
        <f>(31.1*0.925/Prices!$BN607)*G605</f>
        <v>19.706177370030581</v>
      </c>
    </row>
    <row r="606" spans="1:17">
      <c r="A606" s="54">
        <f t="shared" si="29"/>
        <v>1856</v>
      </c>
      <c r="B606" s="36"/>
      <c r="C606" s="38">
        <v>54</v>
      </c>
      <c r="D606" s="38">
        <v>34</v>
      </c>
      <c r="E606" s="36"/>
      <c r="F606" s="38">
        <v>66</v>
      </c>
      <c r="G606" s="38">
        <v>42</v>
      </c>
      <c r="H606" s="39">
        <f>F606/Wages!C606</f>
        <v>1.2222222222222223</v>
      </c>
      <c r="I606" s="39">
        <f>G606/Wages!D606</f>
        <v>1.2352941176470589</v>
      </c>
      <c r="J606" s="38">
        <v>48</v>
      </c>
      <c r="K606" s="38">
        <v>30</v>
      </c>
      <c r="L606" s="38"/>
      <c r="M606" s="39">
        <f>Prices!BP608*Wages!$C606</f>
        <v>25.336513761467891</v>
      </c>
      <c r="N606" s="39">
        <f>Prices!BP608*Wages!D606</f>
        <v>15.952619775739041</v>
      </c>
      <c r="O606" s="37"/>
      <c r="P606" s="39">
        <f>Prices!$BP608*F606</f>
        <v>30.966850152905199</v>
      </c>
      <c r="Q606" s="39">
        <f>(31.1*0.925/Prices!$BN608)*G606</f>
        <v>19.706177370030581</v>
      </c>
    </row>
    <row r="607" spans="1:17">
      <c r="A607" s="54">
        <f t="shared" si="29"/>
        <v>1857</v>
      </c>
      <c r="B607" s="36"/>
      <c r="C607" s="38">
        <v>54</v>
      </c>
      <c r="D607" s="38">
        <v>34</v>
      </c>
      <c r="E607" s="36"/>
      <c r="F607" s="38">
        <v>66</v>
      </c>
      <c r="G607" s="38">
        <v>42</v>
      </c>
      <c r="H607" s="39">
        <f>F607/Wages!C607</f>
        <v>1.2222222222222223</v>
      </c>
      <c r="I607" s="39">
        <f>G607/Wages!D607</f>
        <v>1.2352941176470589</v>
      </c>
      <c r="J607" s="38">
        <v>48</v>
      </c>
      <c r="K607" s="38">
        <v>30</v>
      </c>
      <c r="L607" s="38"/>
      <c r="M607" s="39">
        <f>Prices!BP609*Wages!$C607</f>
        <v>25.157004048582998</v>
      </c>
      <c r="N607" s="39">
        <f>Prices!BP609*Wages!D607</f>
        <v>15.839595141700405</v>
      </c>
      <c r="O607" s="37"/>
      <c r="P607" s="39">
        <f>Prices!$BP609*F607</f>
        <v>30.747449392712554</v>
      </c>
      <c r="Q607" s="39">
        <f>(31.1*0.925/Prices!$BN609)*G607</f>
        <v>19.566558704453442</v>
      </c>
    </row>
    <row r="608" spans="1:17">
      <c r="A608" s="54">
        <f t="shared" si="29"/>
        <v>1858</v>
      </c>
      <c r="B608" s="36"/>
      <c r="C608" s="38">
        <v>54</v>
      </c>
      <c r="D608" s="38">
        <v>34</v>
      </c>
      <c r="E608" s="36"/>
      <c r="F608" s="38">
        <v>66</v>
      </c>
      <c r="G608" s="38">
        <v>42</v>
      </c>
      <c r="H608" s="39">
        <f>F608/Wages!C608</f>
        <v>1.2222222222222223</v>
      </c>
      <c r="I608" s="39">
        <f>G608/Wages!D608</f>
        <v>1.2352941176470589</v>
      </c>
      <c r="J608" s="38">
        <v>48</v>
      </c>
      <c r="K608" s="38">
        <v>30</v>
      </c>
      <c r="L608" s="38"/>
      <c r="M608" s="39">
        <f>Prices!BP610*Wages!$C608</f>
        <v>25.336513761467891</v>
      </c>
      <c r="N608" s="39">
        <f>Prices!BP610*Wages!D608</f>
        <v>15.952619775739041</v>
      </c>
      <c r="O608" s="37"/>
      <c r="P608" s="39">
        <f>Prices!$BP610*F608</f>
        <v>30.966850152905199</v>
      </c>
      <c r="Q608" s="39">
        <f>(31.1*0.925/Prices!$BN610)*G608</f>
        <v>19.706177370030581</v>
      </c>
    </row>
    <row r="609" spans="1:17">
      <c r="A609" s="54">
        <f t="shared" si="29"/>
        <v>1859</v>
      </c>
      <c r="B609" s="36"/>
      <c r="C609" s="38">
        <v>54</v>
      </c>
      <c r="D609" s="38">
        <v>34</v>
      </c>
      <c r="E609" s="36"/>
      <c r="F609" s="38">
        <v>66</v>
      </c>
      <c r="G609" s="38">
        <v>42</v>
      </c>
      <c r="H609" s="39">
        <f>F609/Wages!C609</f>
        <v>1.2222222222222223</v>
      </c>
      <c r="I609" s="39">
        <f>G609/Wages!D609</f>
        <v>1.2352941176470589</v>
      </c>
      <c r="J609" s="38">
        <v>48</v>
      </c>
      <c r="K609" s="38">
        <v>30</v>
      </c>
      <c r="L609" s="38"/>
      <c r="M609" s="39">
        <f>Prices!BP611*Wages!$C609</f>
        <v>25.03033232628399</v>
      </c>
      <c r="N609" s="39">
        <f>Prices!BP611*Wages!D609</f>
        <v>15.759838872104734</v>
      </c>
      <c r="O609" s="37"/>
      <c r="P609" s="39">
        <f>Prices!$BP611*F609</f>
        <v>30.59262839879154</v>
      </c>
      <c r="Q609" s="39">
        <f>(31.1*0.925/Prices!$BN611)*G609</f>
        <v>19.468036253776436</v>
      </c>
    </row>
    <row r="610" spans="1:17">
      <c r="A610" s="54">
        <f t="shared" si="29"/>
        <v>1860</v>
      </c>
      <c r="B610" s="36"/>
      <c r="C610" s="38">
        <v>54</v>
      </c>
      <c r="D610" s="38">
        <v>34</v>
      </c>
      <c r="E610" s="36"/>
      <c r="F610" s="38">
        <v>66</v>
      </c>
      <c r="G610" s="38">
        <v>42</v>
      </c>
      <c r="H610" s="39">
        <f>F610/Wages!C610</f>
        <v>1.2222222222222223</v>
      </c>
      <c r="I610" s="39">
        <f>G610/Wages!D610</f>
        <v>1.2352941176470589</v>
      </c>
      <c r="J610" s="38">
        <v>48</v>
      </c>
      <c r="K610" s="38">
        <v>30</v>
      </c>
      <c r="L610" s="38"/>
      <c r="M610" s="39">
        <f>Prices!BP612*Wages!$C610</f>
        <v>25.182492401215807</v>
      </c>
      <c r="N610" s="39">
        <f>Prices!BP612*Wages!D610</f>
        <v>15.85564336372847</v>
      </c>
      <c r="O610" s="37"/>
      <c r="P610" s="39">
        <f>Prices!$BP612*F610</f>
        <v>30.778601823708208</v>
      </c>
      <c r="Q610" s="39">
        <f>(31.1*0.925/Prices!$BN612)*G610</f>
        <v>19.586382978723407</v>
      </c>
    </row>
    <row r="611" spans="1:17">
      <c r="A611" s="54">
        <f t="shared" si="29"/>
        <v>1861</v>
      </c>
      <c r="B611" s="36"/>
      <c r="C611" s="38">
        <v>56</v>
      </c>
      <c r="D611" s="38">
        <v>34</v>
      </c>
      <c r="E611" s="36"/>
      <c r="F611" s="39">
        <f>Wages!C611*H$610</f>
        <v>68.444444444444457</v>
      </c>
      <c r="G611" s="38">
        <f>Wages!D611*I$610</f>
        <v>42</v>
      </c>
      <c r="H611" s="39">
        <f>F611/Wages!C611</f>
        <v>1.2222222222222225</v>
      </c>
      <c r="I611" s="39">
        <f>G611/Wages!D611</f>
        <v>1.2352941176470589</v>
      </c>
      <c r="J611" s="38">
        <v>48</v>
      </c>
      <c r="K611" s="38">
        <v>30</v>
      </c>
      <c r="L611" s="38"/>
      <c r="M611" s="39">
        <f>Prices!BP613*Wages!$C611</f>
        <v>26.490935251798565</v>
      </c>
      <c r="N611" s="39">
        <f>Prices!BP613*Wages!D611</f>
        <v>16.083782117163413</v>
      </c>
      <c r="O611" s="37"/>
      <c r="P611" s="39">
        <f>Prices!$BP613*F611</f>
        <v>32.377809752198253</v>
      </c>
      <c r="Q611" s="39">
        <f>(31.1*0.925/Prices!$BN613)*G611</f>
        <v>19.868201438848924</v>
      </c>
    </row>
    <row r="612" spans="1:17">
      <c r="A612" s="54">
        <f t="shared" si="29"/>
        <v>1862</v>
      </c>
      <c r="B612" s="36"/>
      <c r="C612" s="38">
        <v>56</v>
      </c>
      <c r="D612" s="38">
        <v>34</v>
      </c>
      <c r="E612" s="36"/>
      <c r="F612" s="39">
        <f>Wages!C612*H$610</f>
        <v>68.444444444444457</v>
      </c>
      <c r="G612" s="38">
        <f>Wages!D612*I$610</f>
        <v>42</v>
      </c>
      <c r="H612" s="39">
        <f>F612/Wages!C612</f>
        <v>1.2222222222222225</v>
      </c>
      <c r="I612" s="39">
        <f>G612/Wages!D612</f>
        <v>1.2352941176470589</v>
      </c>
      <c r="J612" s="38">
        <v>48</v>
      </c>
      <c r="K612" s="38">
        <v>30</v>
      </c>
      <c r="L612" s="38"/>
      <c r="M612" s="39">
        <f>Prices!BP614*Wages!$C612</f>
        <v>26.221444557477113</v>
      </c>
      <c r="N612" s="39">
        <f>Prices!BP614*Wages!D612</f>
        <v>15.920162767039676</v>
      </c>
      <c r="O612" s="37"/>
      <c r="P612" s="39">
        <f>Prices!$BP614*F612</f>
        <v>32.048432236916476</v>
      </c>
      <c r="Q612" s="39">
        <f>(31.1*0.925/Prices!$BN614)*G612</f>
        <v>19.666083418107835</v>
      </c>
    </row>
    <row r="613" spans="1:17">
      <c r="A613" s="54">
        <f t="shared" si="29"/>
        <v>1863</v>
      </c>
      <c r="B613" s="36"/>
      <c r="C613" s="38">
        <v>56</v>
      </c>
      <c r="D613" s="38">
        <v>34</v>
      </c>
      <c r="E613" s="36"/>
      <c r="F613" s="39">
        <f>Wages!C613*H$610</f>
        <v>68.444444444444457</v>
      </c>
      <c r="G613" s="38">
        <f>Wages!D613*I$610</f>
        <v>42</v>
      </c>
      <c r="H613" s="39">
        <f>F613/Wages!C613</f>
        <v>1.2222222222222225</v>
      </c>
      <c r="I613" s="39">
        <f>G613/Wages!D613</f>
        <v>1.2352941176470589</v>
      </c>
      <c r="J613" s="38">
        <v>48</v>
      </c>
      <c r="K613" s="38">
        <v>30</v>
      </c>
      <c r="L613" s="38"/>
      <c r="M613" s="39">
        <f>Prices!BP615*Wages!$C613</f>
        <v>26.248146639511202</v>
      </c>
      <c r="N613" s="39">
        <f>Prices!BP615*Wages!D613</f>
        <v>15.936374745417515</v>
      </c>
      <c r="O613" s="37"/>
      <c r="P613" s="39">
        <f>Prices!$BP615*F613</f>
        <v>32.081068114958143</v>
      </c>
      <c r="Q613" s="39">
        <f>(31.1*0.925/Prices!$BN615)*G613</f>
        <v>19.6861099796334</v>
      </c>
    </row>
    <row r="614" spans="1:17">
      <c r="A614" s="54">
        <f t="shared" si="29"/>
        <v>1864</v>
      </c>
      <c r="B614" s="36"/>
      <c r="C614" s="38">
        <v>56</v>
      </c>
      <c r="D614" s="38">
        <v>34</v>
      </c>
      <c r="E614" s="36"/>
      <c r="F614" s="39">
        <f>Wages!C614*H$610</f>
        <v>68.444444444444457</v>
      </c>
      <c r="G614" s="38">
        <f>Wages!D614*I$610</f>
        <v>42</v>
      </c>
      <c r="H614" s="39">
        <f>F614/Wages!C614</f>
        <v>1.2222222222222225</v>
      </c>
      <c r="I614" s="39">
        <f>G614/Wages!D614</f>
        <v>1.2352941176470589</v>
      </c>
      <c r="J614" s="38">
        <v>48</v>
      </c>
      <c r="K614" s="38">
        <v>30</v>
      </c>
      <c r="L614" s="38"/>
      <c r="M614" s="39">
        <f>Prices!BP616*Wages!$C614</f>
        <v>26.248146639511202</v>
      </c>
      <c r="N614" s="39">
        <f>Prices!BP616*Wages!D614</f>
        <v>15.936374745417515</v>
      </c>
      <c r="O614" s="37"/>
      <c r="P614" s="39">
        <f>Prices!$BP616*F614</f>
        <v>32.081068114958143</v>
      </c>
      <c r="Q614" s="39">
        <f>(31.1*0.925/Prices!$BN616)*G614</f>
        <v>19.6861099796334</v>
      </c>
    </row>
    <row r="615" spans="1:17">
      <c r="A615" s="54">
        <f t="shared" si="29"/>
        <v>1865</v>
      </c>
      <c r="B615" s="36"/>
      <c r="C615" s="38">
        <v>60</v>
      </c>
      <c r="D615" s="38">
        <v>34</v>
      </c>
      <c r="E615" s="36"/>
      <c r="F615" s="39">
        <f>Wages!C615*H$610</f>
        <v>73.333333333333343</v>
      </c>
      <c r="G615" s="38">
        <f>Wages!D615*I$610</f>
        <v>42</v>
      </c>
      <c r="H615" s="39">
        <f>F615/Wages!C615</f>
        <v>1.2222222222222223</v>
      </c>
      <c r="I615" s="39">
        <f>G615/Wages!D615</f>
        <v>1.2352941176470589</v>
      </c>
      <c r="J615" s="38">
        <v>48</v>
      </c>
      <c r="K615" s="38">
        <v>30</v>
      </c>
      <c r="L615" s="38"/>
      <c r="M615" s="39">
        <f>Prices!BP617*Wages!$C615</f>
        <v>28.266939611054251</v>
      </c>
      <c r="N615" s="39">
        <f>Prices!BP617*Wages!D615</f>
        <v>16.017932446264076</v>
      </c>
      <c r="O615" s="37"/>
      <c r="P615" s="39">
        <f>Prices!$BP617*F615</f>
        <v>34.548481746844089</v>
      </c>
      <c r="Q615" s="39">
        <f>(31.1*0.925/Prices!$BN617)*G615</f>
        <v>19.786857727737974</v>
      </c>
    </row>
    <row r="616" spans="1:17">
      <c r="A616" s="54">
        <f t="shared" si="29"/>
        <v>1866</v>
      </c>
      <c r="B616" s="36"/>
      <c r="C616" s="38">
        <v>64</v>
      </c>
      <c r="D616" s="38">
        <v>36</v>
      </c>
      <c r="E616" s="36"/>
      <c r="F616" s="39">
        <f>Wages!C616*H$610</f>
        <v>78.222222222222229</v>
      </c>
      <c r="G616" s="39">
        <f>Wages!D616*I$610</f>
        <v>44.470588235294116</v>
      </c>
      <c r="H616" s="39">
        <f>F616/Wages!C616</f>
        <v>1.2222222222222223</v>
      </c>
      <c r="I616" s="39">
        <f>G616/Wages!D616</f>
        <v>1.2352941176470589</v>
      </c>
      <c r="J616" s="38">
        <v>48</v>
      </c>
      <c r="K616" s="38">
        <v>30</v>
      </c>
      <c r="L616" s="38"/>
      <c r="M616" s="39">
        <f>Prices!BP618*Wages!$C616</f>
        <v>30.120572597137016</v>
      </c>
      <c r="N616" s="39">
        <f>Prices!BP618*Wages!D616</f>
        <v>16.942822085889571</v>
      </c>
      <c r="O616" s="37"/>
      <c r="P616" s="39">
        <f>Prices!$BP618*F616</f>
        <v>36.814033174278578</v>
      </c>
      <c r="Q616" s="39">
        <f>(31.1*0.925/Prices!$BN618)*G616</f>
        <v>20.929368459040059</v>
      </c>
    </row>
    <row r="617" spans="1:17">
      <c r="A617" s="54">
        <f t="shared" si="29"/>
        <v>1867</v>
      </c>
      <c r="B617" s="36"/>
      <c r="C617" s="38">
        <v>64</v>
      </c>
      <c r="D617" s="38">
        <v>38</v>
      </c>
      <c r="E617" s="36"/>
      <c r="F617" s="39">
        <f>Wages!C617*H$610</f>
        <v>78.222222222222229</v>
      </c>
      <c r="G617" s="39">
        <f>Wages!D617*I$610</f>
        <v>46.941176470588239</v>
      </c>
      <c r="H617" s="39">
        <f>F617/Wages!C617</f>
        <v>1.2222222222222223</v>
      </c>
      <c r="I617" s="39">
        <f>G617/Wages!D617</f>
        <v>1.2352941176470589</v>
      </c>
      <c r="J617" s="38">
        <v>48</v>
      </c>
      <c r="K617" s="38">
        <v>30</v>
      </c>
      <c r="L617" s="38"/>
      <c r="M617" s="39">
        <f>Prices!BP619*Wages!$C617</f>
        <v>30.400330237358101</v>
      </c>
      <c r="N617" s="39">
        <f>Prices!BP619*Wages!D617</f>
        <v>18.050196078431373</v>
      </c>
      <c r="O617" s="37"/>
      <c r="P617" s="39">
        <f>Prices!$BP619*F617</f>
        <v>37.155959178993236</v>
      </c>
      <c r="Q617" s="39">
        <f>(31.1*0.925/Prices!$BN619)*G617</f>
        <v>22.297301038062287</v>
      </c>
    </row>
    <row r="618" spans="1:17">
      <c r="A618" s="54">
        <f t="shared" si="29"/>
        <v>1868</v>
      </c>
      <c r="B618" s="36"/>
      <c r="C618" s="38">
        <v>64</v>
      </c>
      <c r="D618" s="38">
        <v>38</v>
      </c>
      <c r="E618" s="36"/>
      <c r="F618" s="39">
        <f>Wages!C618*H$610</f>
        <v>78.222222222222229</v>
      </c>
      <c r="G618" s="39">
        <f>Wages!D618*I$610</f>
        <v>46.941176470588239</v>
      </c>
      <c r="H618" s="39">
        <f>F618/Wages!C618</f>
        <v>1.2222222222222223</v>
      </c>
      <c r="I618" s="39">
        <f>G618/Wages!D618</f>
        <v>1.2352941176470589</v>
      </c>
      <c r="J618" s="38">
        <v>48</v>
      </c>
      <c r="K618" s="38">
        <v>30</v>
      </c>
      <c r="L618" s="38"/>
      <c r="M618" s="39">
        <f>Prices!BP620*Wages!$C618</f>
        <v>30.431735537190086</v>
      </c>
      <c r="N618" s="39">
        <f>Prices!BP620*Wages!D618</f>
        <v>18.068842975206614</v>
      </c>
      <c r="O618" s="37"/>
      <c r="P618" s="39">
        <f>Prices!$BP620*F618</f>
        <v>37.194343434343445</v>
      </c>
      <c r="Q618" s="39">
        <f>(31.1*0.925/Prices!$BN620)*G618</f>
        <v>22.320335439961113</v>
      </c>
    </row>
    <row r="619" spans="1:17">
      <c r="A619" s="54">
        <f t="shared" si="29"/>
        <v>1869</v>
      </c>
      <c r="B619" s="36"/>
      <c r="C619" s="38">
        <v>64</v>
      </c>
      <c r="D619" s="38">
        <v>38</v>
      </c>
      <c r="E619" s="36"/>
      <c r="F619" s="39">
        <f>Wages!C619*H$610</f>
        <v>78.222222222222229</v>
      </c>
      <c r="G619" s="39">
        <f>Wages!D619*I$610</f>
        <v>46.941176470588239</v>
      </c>
      <c r="H619" s="39">
        <f>F619/Wages!C619</f>
        <v>1.2222222222222223</v>
      </c>
      <c r="I619" s="39">
        <f>G619/Wages!D619</f>
        <v>1.2352941176470589</v>
      </c>
      <c r="J619" s="38">
        <v>54</v>
      </c>
      <c r="K619" s="38">
        <v>33</v>
      </c>
      <c r="L619" s="38"/>
      <c r="M619" s="39">
        <f>Prices!BP621*Wages!$C619</f>
        <v>30.463205791106517</v>
      </c>
      <c r="N619" s="39">
        <f>Prices!BP621*Wages!D619</f>
        <v>18.087528438469494</v>
      </c>
      <c r="O619" s="37"/>
      <c r="P619" s="39">
        <f>Prices!$BP621*F619</f>
        <v>37.232807078019079</v>
      </c>
      <c r="Q619" s="39">
        <f>(31.1*0.925/Prices!$BN621)*G619</f>
        <v>22.343417482815259</v>
      </c>
    </row>
    <row r="620" spans="1:17">
      <c r="A620" s="54">
        <f t="shared" si="29"/>
        <v>1870</v>
      </c>
      <c r="B620" s="36"/>
      <c r="C620" s="38">
        <v>64</v>
      </c>
      <c r="D620" s="38">
        <v>38</v>
      </c>
      <c r="E620" s="36"/>
      <c r="F620" s="39">
        <f>Wages!C620*H$610</f>
        <v>78.222222222222229</v>
      </c>
      <c r="G620" s="39">
        <f>Wages!D620*I$610</f>
        <v>46.941176470588239</v>
      </c>
      <c r="H620" s="39">
        <f>F620/Wages!C620</f>
        <v>1.2222222222222223</v>
      </c>
      <c r="I620" s="39">
        <f>G620/Wages!D620</f>
        <v>1.2352941176470589</v>
      </c>
      <c r="J620" s="38">
        <v>54</v>
      </c>
      <c r="K620" s="38">
        <v>33</v>
      </c>
      <c r="L620" s="38"/>
      <c r="M620" s="39">
        <f>Prices!BP622*Wages!$C620</f>
        <v>30.400330237358101</v>
      </c>
      <c r="N620" s="39">
        <f>Prices!BP622*Wages!D620</f>
        <v>18.050196078431373</v>
      </c>
      <c r="O620" s="37"/>
      <c r="P620" s="39">
        <f>Prices!$BP622*F620</f>
        <v>37.155959178993236</v>
      </c>
      <c r="Q620" s="39">
        <f>(31.1*0.925/Prices!$BN622)*G620</f>
        <v>22.297301038062287</v>
      </c>
    </row>
    <row r="621" spans="1:17">
      <c r="A621" s="54">
        <f t="shared" si="29"/>
        <v>1871</v>
      </c>
      <c r="B621" s="36"/>
      <c r="C621" s="38">
        <v>64</v>
      </c>
      <c r="D621" s="38">
        <v>38</v>
      </c>
      <c r="E621" s="36"/>
      <c r="F621" s="39">
        <f>Wages!C621*H$610</f>
        <v>78.222222222222229</v>
      </c>
      <c r="G621" s="39">
        <f>Wages!D621*I$610</f>
        <v>46.941176470588239</v>
      </c>
      <c r="H621" s="39">
        <f>F621/Wages!C621</f>
        <v>1.2222222222222223</v>
      </c>
      <c r="I621" s="39">
        <f>G621/Wages!D621</f>
        <v>1.2352941176470589</v>
      </c>
      <c r="J621" s="38">
        <v>54</v>
      </c>
      <c r="K621" s="38">
        <v>33</v>
      </c>
      <c r="L621" s="38"/>
      <c r="M621" s="39">
        <f>Prices!BP623*Wages!$C621</f>
        <v>30.431735537190086</v>
      </c>
      <c r="N621" s="39">
        <f>Prices!BP623*Wages!D621</f>
        <v>18.068842975206614</v>
      </c>
      <c r="O621" s="37"/>
      <c r="P621" s="39">
        <f>Prices!$BP623*F621</f>
        <v>37.194343434343445</v>
      </c>
      <c r="Q621" s="39">
        <f>(31.1*0.925/Prices!$BN623)*G621</f>
        <v>22.320335439961113</v>
      </c>
    </row>
    <row r="622" spans="1:17">
      <c r="A622" s="54">
        <f t="shared" si="29"/>
        <v>1872</v>
      </c>
      <c r="B622" s="36"/>
      <c r="C622" s="38">
        <v>68</v>
      </c>
      <c r="D622" s="38">
        <v>42</v>
      </c>
      <c r="E622" s="36"/>
      <c r="F622" s="39">
        <f>Wages!C622*H$610</f>
        <v>83.111111111111114</v>
      </c>
      <c r="G622" s="39">
        <f>Wages!D622*I$610</f>
        <v>51.882352941176471</v>
      </c>
      <c r="H622" s="39">
        <f>F622/Wages!C622</f>
        <v>1.2222222222222223</v>
      </c>
      <c r="I622" s="39">
        <f>G622/Wages!D622</f>
        <v>1.2352941176470589</v>
      </c>
      <c r="J622" s="38">
        <v>54</v>
      </c>
      <c r="K622" s="38">
        <v>33</v>
      </c>
      <c r="L622" s="38"/>
      <c r="M622" s="39">
        <f>Prices!BP624*Wages!$C622</f>
        <v>32.434238341968914</v>
      </c>
      <c r="N622" s="39">
        <f>Prices!BP624*Wages!D622</f>
        <v>20.032911917098446</v>
      </c>
      <c r="O622" s="37"/>
      <c r="P622" s="39">
        <f>Prices!$BP624*F622</f>
        <v>39.641846862406453</v>
      </c>
      <c r="Q622" s="39">
        <f>(31.1*0.925/Prices!$BN624)*G622</f>
        <v>24.746538250533376</v>
      </c>
    </row>
    <row r="623" spans="1:17">
      <c r="A623" s="54">
        <f t="shared" si="29"/>
        <v>1873</v>
      </c>
      <c r="B623" s="36"/>
      <c r="C623" s="38">
        <v>72</v>
      </c>
      <c r="D623" s="38">
        <v>46</v>
      </c>
      <c r="E623" s="36"/>
      <c r="F623" s="38">
        <f>Wages!C623*H$610</f>
        <v>88</v>
      </c>
      <c r="G623" s="39">
        <f>Wages!D623*I$610</f>
        <v>56.82352941176471</v>
      </c>
      <c r="H623" s="39">
        <f>F623/Wages!C623</f>
        <v>1.2222222222222223</v>
      </c>
      <c r="I623" s="39">
        <f>G623/Wages!D623</f>
        <v>1.2352941176470589</v>
      </c>
      <c r="J623" s="39">
        <v>65.833333333333329</v>
      </c>
      <c r="K623" s="39">
        <v>43.166666666666664</v>
      </c>
      <c r="L623" s="38"/>
      <c r="M623" s="39">
        <f>Prices!BP625*Wages!$C623</f>
        <v>34.957974683544307</v>
      </c>
      <c r="N623" s="39">
        <f>Prices!BP625*Wages!D623</f>
        <v>22.334261603375527</v>
      </c>
      <c r="O623" s="37"/>
      <c r="P623" s="39">
        <f>Prices!$BP625*F623</f>
        <v>42.726413502109708</v>
      </c>
      <c r="Q623" s="39">
        <f>(31.1*0.925/Prices!$BN625)*G623</f>
        <v>27.589381980640361</v>
      </c>
    </row>
    <row r="624" spans="1:17">
      <c r="A624" s="54">
        <f t="shared" si="29"/>
        <v>1874</v>
      </c>
      <c r="B624" s="36"/>
      <c r="C624" s="38">
        <v>72</v>
      </c>
      <c r="D624" s="38">
        <v>46</v>
      </c>
      <c r="E624" s="36"/>
      <c r="F624" s="38">
        <f>Wages!C624*H$610</f>
        <v>88</v>
      </c>
      <c r="G624" s="39">
        <f>Wages!D624*I$610</f>
        <v>56.82352941176471</v>
      </c>
      <c r="H624" s="39">
        <f>F624/Wages!C624</f>
        <v>1.2222222222222223</v>
      </c>
      <c r="I624" s="39">
        <f>G624/Wages!D624</f>
        <v>1.2352941176470589</v>
      </c>
      <c r="J624" s="39">
        <v>65.833333333333329</v>
      </c>
      <c r="K624" s="39">
        <v>43.166666666666664</v>
      </c>
      <c r="L624" s="38"/>
      <c r="M624" s="39">
        <f>Prices!BP626*Wages!$C624</f>
        <v>35.520000000000003</v>
      </c>
      <c r="N624" s="39">
        <f>Prices!BP626*Wages!D624</f>
        <v>22.693333333333335</v>
      </c>
      <c r="O624" s="37"/>
      <c r="P624" s="39">
        <f>Prices!$BP626*F624</f>
        <v>43.413333333333334</v>
      </c>
      <c r="Q624" s="39">
        <f>(31.1*0.925/Prices!$BN626)*G624</f>
        <v>28.03294117647059</v>
      </c>
    </row>
    <row r="625" spans="1:17">
      <c r="A625" s="54">
        <f t="shared" si="29"/>
        <v>1875</v>
      </c>
      <c r="B625" s="36"/>
      <c r="C625" s="38">
        <v>72</v>
      </c>
      <c r="D625" s="38">
        <v>46</v>
      </c>
      <c r="E625" s="36"/>
      <c r="F625" s="38">
        <f>Wages!C625*H$610</f>
        <v>88</v>
      </c>
      <c r="G625" s="39">
        <f>Wages!D625*I$610</f>
        <v>56.82352941176471</v>
      </c>
      <c r="H625" s="39">
        <f>F625/Wages!C625</f>
        <v>1.2222222222222223</v>
      </c>
      <c r="I625" s="39">
        <f>G625/Wages!D625</f>
        <v>1.2352941176470589</v>
      </c>
      <c r="J625" s="39">
        <v>65.833333333333329</v>
      </c>
      <c r="K625" s="39">
        <v>43.166666666666664</v>
      </c>
      <c r="L625" s="38"/>
      <c r="M625" s="39">
        <f>Prices!BP627*Wages!$C625</f>
        <v>36.417758241758243</v>
      </c>
      <c r="N625" s="39">
        <f>Prices!BP627*Wages!D625</f>
        <v>23.266901098901101</v>
      </c>
      <c r="O625" s="37"/>
      <c r="P625" s="39">
        <f>Prices!$BP627*F625</f>
        <v>44.510593406593408</v>
      </c>
      <c r="Q625" s="39">
        <f>(31.1*0.925/Prices!$BN627)*G625</f>
        <v>28.741466063348419</v>
      </c>
    </row>
    <row r="626" spans="1:17">
      <c r="A626" s="54">
        <f t="shared" si="29"/>
        <v>1876</v>
      </c>
      <c r="B626" s="36"/>
      <c r="C626" s="38">
        <v>72</v>
      </c>
      <c r="D626" s="38">
        <v>46</v>
      </c>
      <c r="E626" s="36"/>
      <c r="F626" s="38">
        <f>Wages!C626*H$610</f>
        <v>88</v>
      </c>
      <c r="G626" s="39">
        <f>Wages!D626*I$610</f>
        <v>56.82352941176471</v>
      </c>
      <c r="H626" s="39">
        <f>F626/Wages!C626</f>
        <v>1.2222222222222223</v>
      </c>
      <c r="I626" s="39">
        <f>G626/Wages!D626</f>
        <v>1.2352941176470589</v>
      </c>
      <c r="J626" s="39">
        <v>65.833333333333329</v>
      </c>
      <c r="K626" s="39">
        <v>43.166666666666664</v>
      </c>
      <c r="L626" s="38"/>
      <c r="M626" s="39">
        <f>Prices!BP628*Wages!$C626</f>
        <v>39.265592417061612</v>
      </c>
      <c r="N626" s="39">
        <f>Prices!BP628*Wages!D626</f>
        <v>25.086350710900476</v>
      </c>
      <c r="O626" s="37"/>
      <c r="P626" s="39">
        <f>Prices!$BP628*F626</f>
        <v>47.991279620853085</v>
      </c>
      <c r="Q626" s="39">
        <f>(31.1*0.925/Prices!$BN628)*G626</f>
        <v>30.98902146640647</v>
      </c>
    </row>
    <row r="627" spans="1:17">
      <c r="A627" s="54">
        <f t="shared" si="29"/>
        <v>1877</v>
      </c>
      <c r="B627" s="36"/>
      <c r="C627" s="38">
        <v>72</v>
      </c>
      <c r="D627" s="38">
        <v>46</v>
      </c>
      <c r="E627" s="36"/>
      <c r="F627" s="38">
        <f>Wages!C627*H$610</f>
        <v>88</v>
      </c>
      <c r="G627" s="39">
        <f>Wages!D627*I$610</f>
        <v>56.82352941176471</v>
      </c>
      <c r="H627" s="39">
        <f>F627/Wages!C627</f>
        <v>1.2222222222222223</v>
      </c>
      <c r="I627" s="39">
        <f>G627/Wages!D627</f>
        <v>1.2352941176470589</v>
      </c>
      <c r="J627" s="39">
        <v>65.833333333333329</v>
      </c>
      <c r="K627" s="39">
        <v>43.166666666666664</v>
      </c>
      <c r="L627" s="38"/>
      <c r="M627" s="39">
        <f>Prices!BP629*Wages!$C627</f>
        <v>37.788095781071839</v>
      </c>
      <c r="N627" s="39">
        <f>Prices!BP629*Wages!D627</f>
        <v>24.142394526795897</v>
      </c>
      <c r="O627" s="37"/>
      <c r="P627" s="39">
        <f>Prices!$BP629*F627</f>
        <v>46.185450399087799</v>
      </c>
      <c r="Q627" s="39">
        <f>(31.1*0.925/Prices!$BN629)*G627</f>
        <v>29.822957944865522</v>
      </c>
    </row>
    <row r="628" spans="1:17">
      <c r="A628" s="54">
        <f t="shared" si="29"/>
        <v>1878</v>
      </c>
      <c r="B628" s="36"/>
      <c r="C628" s="38">
        <v>72</v>
      </c>
      <c r="D628" s="38">
        <v>46</v>
      </c>
      <c r="E628" s="36"/>
      <c r="F628" s="38">
        <f>Wages!C628*H$610</f>
        <v>88</v>
      </c>
      <c r="G628" s="39">
        <f>Wages!D628*I$610</f>
        <v>56.82352941176471</v>
      </c>
      <c r="H628" s="39">
        <f>F628/Wages!C628</f>
        <v>1.2222222222222223</v>
      </c>
      <c r="I628" s="39">
        <f>G628/Wages!D628</f>
        <v>1.2352941176470589</v>
      </c>
      <c r="J628" s="39">
        <v>65.833333333333329</v>
      </c>
      <c r="K628" s="39">
        <v>43.166666666666664</v>
      </c>
      <c r="L628" s="38"/>
      <c r="M628" s="39">
        <f>Prices!BP630*Wages!$C628</f>
        <v>39.405659928656362</v>
      </c>
      <c r="N628" s="39">
        <f>Prices!BP630*Wages!D628</f>
        <v>25.175838287752679</v>
      </c>
      <c r="O628" s="37"/>
      <c r="P628" s="39">
        <f>Prices!$BP630*F628</f>
        <v>48.162473246135562</v>
      </c>
      <c r="Q628" s="39">
        <f>(31.1*0.925/Prices!$BN630)*G628</f>
        <v>31.099564943694489</v>
      </c>
    </row>
    <row r="629" spans="1:17">
      <c r="A629" s="54">
        <f t="shared" si="29"/>
        <v>1879</v>
      </c>
      <c r="B629" s="36"/>
      <c r="C629" s="38">
        <v>72</v>
      </c>
      <c r="D629" s="38">
        <v>46</v>
      </c>
      <c r="E629" s="36"/>
      <c r="F629" s="38">
        <f>Wages!C629*H$610</f>
        <v>88</v>
      </c>
      <c r="G629" s="39">
        <f>Wages!D629*I$610</f>
        <v>56.82352941176471</v>
      </c>
      <c r="H629" s="39">
        <f>F629/Wages!C629</f>
        <v>1.2222222222222223</v>
      </c>
      <c r="I629" s="39">
        <f>G629/Wages!D629</f>
        <v>1.2352941176470589</v>
      </c>
      <c r="J629" s="39">
        <v>65.833333333333329</v>
      </c>
      <c r="K629" s="39">
        <v>43.166666666666664</v>
      </c>
      <c r="L629" s="38"/>
      <c r="M629" s="39">
        <f>Prices!BP631*Wages!$C629</f>
        <v>40.414829268292685</v>
      </c>
      <c r="N629" s="39">
        <f>Prices!BP631*Wages!D629</f>
        <v>25.82058536585366</v>
      </c>
      <c r="O629" s="37"/>
      <c r="P629" s="39">
        <f>Prices!$BP631*F629</f>
        <v>49.395902439024397</v>
      </c>
      <c r="Q629" s="39">
        <f>(31.1*0.925/Prices!$BN631)*G629</f>
        <v>31.896017216642761</v>
      </c>
    </row>
    <row r="630" spans="1:17">
      <c r="A630" s="54">
        <f t="shared" si="29"/>
        <v>1880</v>
      </c>
      <c r="B630" s="36"/>
      <c r="C630" s="38">
        <v>72</v>
      </c>
      <c r="D630" s="38">
        <v>46</v>
      </c>
      <c r="E630" s="36"/>
      <c r="F630" s="38">
        <f>Wages!C630*H$610</f>
        <v>88</v>
      </c>
      <c r="G630" s="39">
        <f>Wages!D630*I$610</f>
        <v>56.82352941176471</v>
      </c>
      <c r="H630" s="39">
        <f>F630/Wages!C630</f>
        <v>1.2222222222222223</v>
      </c>
      <c r="I630" s="39">
        <f>G630/Wages!D630</f>
        <v>1.2352941176470589</v>
      </c>
      <c r="J630" s="39">
        <v>65.833333333333329</v>
      </c>
      <c r="K630" s="39">
        <v>43.166666666666664</v>
      </c>
      <c r="L630" s="38"/>
      <c r="M630" s="39">
        <f>Prices!BP632*Wages!$C630</f>
        <v>39.641339712918658</v>
      </c>
      <c r="N630" s="39">
        <f>Prices!BP632*Wages!D630</f>
        <v>25.326411483253587</v>
      </c>
      <c r="O630" s="37"/>
      <c r="P630" s="39">
        <f>Prices!$BP632*F630</f>
        <v>48.450526315789475</v>
      </c>
      <c r="Q630" s="39">
        <f>(31.1*0.925/Prices!$BN632)*G630</f>
        <v>31.285567126372083</v>
      </c>
    </row>
    <row r="631" spans="1:17">
      <c r="A631" s="54">
        <f t="shared" si="29"/>
        <v>1881</v>
      </c>
      <c r="B631" s="36"/>
      <c r="C631" s="38">
        <v>72</v>
      </c>
      <c r="D631" s="38">
        <v>46</v>
      </c>
      <c r="E631" s="36"/>
      <c r="F631" s="38">
        <f>Wages!C631*H$610</f>
        <v>88</v>
      </c>
      <c r="G631" s="39">
        <f>Wages!D631*I$610</f>
        <v>56.82352941176471</v>
      </c>
      <c r="H631" s="39">
        <f>F631/Wages!C631</f>
        <v>1.2222222222222223</v>
      </c>
      <c r="I631" s="39">
        <f>G631/Wages!D631</f>
        <v>1.2352941176470589</v>
      </c>
      <c r="J631" s="39">
        <v>65.833333333333329</v>
      </c>
      <c r="K631" s="39">
        <v>43.166666666666664</v>
      </c>
      <c r="L631" s="38"/>
      <c r="M631" s="39">
        <f>Prices!BP633*Wages!$C631</f>
        <v>40.072744860943168</v>
      </c>
      <c r="N631" s="39">
        <f>Prices!BP633*Wages!D631</f>
        <v>25.602031438935914</v>
      </c>
      <c r="O631" s="37"/>
      <c r="P631" s="39">
        <f>Prices!$BP633*F631</f>
        <v>48.977799274486095</v>
      </c>
      <c r="Q631" s="39">
        <f>(31.1*0.925/Prices!$BN633)*G631</f>
        <v>31.626038836332601</v>
      </c>
    </row>
    <row r="632" spans="1:17">
      <c r="A632" s="54">
        <f t="shared" si="29"/>
        <v>1882</v>
      </c>
      <c r="B632" s="36"/>
      <c r="C632" s="38">
        <v>72</v>
      </c>
      <c r="D632" s="38">
        <v>46</v>
      </c>
      <c r="E632" s="36"/>
      <c r="F632" s="38">
        <f>Wages!C632*H$610</f>
        <v>88</v>
      </c>
      <c r="G632" s="39">
        <f>Wages!D632*I$610</f>
        <v>56.82352941176471</v>
      </c>
      <c r="H632" s="39">
        <f>F632/Wages!C632</f>
        <v>1.2222222222222223</v>
      </c>
      <c r="I632" s="39">
        <f>G632/Wages!D632</f>
        <v>1.2352941176470589</v>
      </c>
      <c r="J632" s="39">
        <v>65.833333333333329</v>
      </c>
      <c r="K632" s="39">
        <v>43.166666666666664</v>
      </c>
      <c r="L632" s="38"/>
      <c r="M632" s="39">
        <f>Prices!BP634*Wages!$C632</f>
        <v>40.121259079903147</v>
      </c>
      <c r="N632" s="39">
        <f>Prices!BP634*Wages!D632</f>
        <v>25.633026634382567</v>
      </c>
      <c r="O632" s="37"/>
      <c r="P632" s="39">
        <f>Prices!$BP634*F632</f>
        <v>49.037094430992738</v>
      </c>
      <c r="Q632" s="39">
        <f>(31.1*0.925/Prices!$BN634)*G632</f>
        <v>31.664327018943176</v>
      </c>
    </row>
    <row r="633" spans="1:17">
      <c r="A633" s="54">
        <f t="shared" si="29"/>
        <v>1883</v>
      </c>
      <c r="B633" s="36"/>
      <c r="C633" s="38">
        <v>72</v>
      </c>
      <c r="D633" s="38">
        <v>48</v>
      </c>
      <c r="E633" s="36"/>
      <c r="F633" s="38">
        <f>Wages!C633*H$610</f>
        <v>88</v>
      </c>
      <c r="G633" s="39">
        <f>Wages!D633*I$610</f>
        <v>59.294117647058826</v>
      </c>
      <c r="H633" s="39">
        <f>F633/Wages!C633</f>
        <v>1.2222222222222223</v>
      </c>
      <c r="I633" s="39">
        <f>G633/Wages!D633</f>
        <v>1.2352941176470589</v>
      </c>
      <c r="J633" s="39">
        <v>65.833333333333329</v>
      </c>
      <c r="K633" s="39">
        <v>43.166666666666664</v>
      </c>
      <c r="L633" s="38"/>
      <c r="M633" s="39">
        <f>Prices!BP635*Wages!$C633</f>
        <v>40.964351050679852</v>
      </c>
      <c r="N633" s="39">
        <f>Prices!BP635*Wages!D633</f>
        <v>27.309567367119904</v>
      </c>
      <c r="O633" s="37"/>
      <c r="P633" s="39">
        <f>Prices!$BP635*F633</f>
        <v>50.06754017305316</v>
      </c>
      <c r="Q633" s="39">
        <f>(31.1*0.925/Prices!$BN635)*G633</f>
        <v>33.735347924089297</v>
      </c>
    </row>
    <row r="634" spans="1:17">
      <c r="A634" s="54">
        <f t="shared" si="29"/>
        <v>1884</v>
      </c>
      <c r="B634" s="36"/>
      <c r="C634" s="38">
        <v>72</v>
      </c>
      <c r="D634" s="38">
        <v>48</v>
      </c>
      <c r="E634" s="36"/>
      <c r="F634" s="38">
        <f>Wages!C634*H$610</f>
        <v>88</v>
      </c>
      <c r="G634" s="39">
        <f>Wages!D634*I$610</f>
        <v>59.294117647058826</v>
      </c>
      <c r="H634" s="39">
        <f>F634/Wages!C634</f>
        <v>1.2222222222222223</v>
      </c>
      <c r="I634" s="39">
        <f>G634/Wages!D634</f>
        <v>1.2352941176470589</v>
      </c>
      <c r="J634" s="39">
        <v>65.833333333333329</v>
      </c>
      <c r="K634" s="39">
        <v>43.166666666666664</v>
      </c>
      <c r="L634" s="38"/>
      <c r="M634" s="39">
        <f>Prices!BP636*Wages!$C634</f>
        <v>40.913777777777781</v>
      </c>
      <c r="N634" s="39">
        <f>Prices!BP636*Wages!D634</f>
        <v>27.275851851851854</v>
      </c>
      <c r="O634" s="37"/>
      <c r="P634" s="39">
        <f>Prices!$BP636*F634</f>
        <v>50.00572839506173</v>
      </c>
      <c r="Q634" s="39">
        <f>(31.1*0.925/Prices!$BN636)*G634</f>
        <v>33.693699346405232</v>
      </c>
    </row>
    <row r="635" spans="1:17">
      <c r="A635" s="54">
        <f t="shared" si="29"/>
        <v>1885</v>
      </c>
      <c r="B635" s="36"/>
      <c r="C635" s="38">
        <v>72</v>
      </c>
      <c r="D635" s="38">
        <v>48</v>
      </c>
      <c r="E635" s="36"/>
      <c r="F635" s="38">
        <f>Wages!C635*H$610</f>
        <v>88</v>
      </c>
      <c r="G635" s="39">
        <f>Wages!D635*I$610</f>
        <v>59.294117647058826</v>
      </c>
      <c r="H635" s="39">
        <f>F635/Wages!C635</f>
        <v>1.2222222222222223</v>
      </c>
      <c r="I635" s="39">
        <f>G635/Wages!D635</f>
        <v>1.2352941176470589</v>
      </c>
      <c r="J635" s="39">
        <v>65.833333333333329</v>
      </c>
      <c r="K635" s="39">
        <v>43.166666666666664</v>
      </c>
      <c r="L635" s="38"/>
      <c r="M635" s="39">
        <f>Prices!BP637*Wages!$C635</f>
        <v>42.651428571428575</v>
      </c>
      <c r="N635" s="39">
        <f>Prices!BP637*Wages!D635</f>
        <v>28.434285714285718</v>
      </c>
      <c r="O635" s="37"/>
      <c r="P635" s="39">
        <f>Prices!$BP637*F635</f>
        <v>52.129523809523818</v>
      </c>
      <c r="Q635" s="39">
        <f>(31.1*0.925/Prices!$BN637)*G635</f>
        <v>35.124705882352949</v>
      </c>
    </row>
    <row r="636" spans="1:17">
      <c r="A636" s="54">
        <f t="shared" si="29"/>
        <v>1886</v>
      </c>
      <c r="B636" s="36"/>
      <c r="C636" s="38">
        <v>72</v>
      </c>
      <c r="D636" s="38">
        <v>48</v>
      </c>
      <c r="E636" s="36"/>
      <c r="F636" s="38">
        <f>Wages!C636*H$610</f>
        <v>88</v>
      </c>
      <c r="G636" s="39">
        <f>Wages!D636*I$610</f>
        <v>59.294117647058826</v>
      </c>
      <c r="H636" s="39">
        <f>F636/Wages!C636</f>
        <v>1.2222222222222223</v>
      </c>
      <c r="I636" s="39">
        <f>G636/Wages!D636</f>
        <v>1.2352941176470589</v>
      </c>
      <c r="J636" s="39">
        <v>65.833333333333329</v>
      </c>
      <c r="K636" s="39">
        <v>43.166666666666664</v>
      </c>
      <c r="L636" s="38"/>
      <c r="M636" s="39">
        <f>Prices!BP638*Wages!$C636</f>
        <v>45.647603305785125</v>
      </c>
      <c r="N636" s="39">
        <f>Prices!BP638*Wages!D636</f>
        <v>30.431735537190082</v>
      </c>
      <c r="O636" s="37"/>
      <c r="P636" s="39">
        <f>Prices!$BP638*F636</f>
        <v>55.791515151515149</v>
      </c>
      <c r="Q636" s="39">
        <f>(31.1*0.925/Prices!$BN638)*G636</f>
        <v>37.592143898881865</v>
      </c>
    </row>
    <row r="637" spans="1:17">
      <c r="A637" s="54">
        <f t="shared" si="29"/>
        <v>1887</v>
      </c>
      <c r="B637" s="36"/>
      <c r="C637" s="38">
        <v>72</v>
      </c>
      <c r="D637" s="38">
        <v>46</v>
      </c>
      <c r="E637" s="36"/>
      <c r="F637" s="38">
        <f>Wages!C637*H$610</f>
        <v>88</v>
      </c>
      <c r="G637" s="39">
        <f>Wages!D637*I$610</f>
        <v>56.82352941176471</v>
      </c>
      <c r="H637" s="39">
        <f>F637/Wages!C637</f>
        <v>1.2222222222222223</v>
      </c>
      <c r="I637" s="39">
        <f>G637/Wages!D637</f>
        <v>1.2352941176470589</v>
      </c>
      <c r="J637" s="39">
        <v>65.833333333333329</v>
      </c>
      <c r="K637" s="39">
        <v>43.166666666666664</v>
      </c>
      <c r="L637" s="38"/>
      <c r="M637" s="39">
        <f>Prices!BP639*Wages!$C637</f>
        <v>46.34987412587413</v>
      </c>
      <c r="N637" s="39">
        <f>Prices!BP639*Wages!D637</f>
        <v>29.612419580419584</v>
      </c>
      <c r="O637" s="37"/>
      <c r="P637" s="39">
        <f>Prices!$BP639*F637</f>
        <v>56.649846153846156</v>
      </c>
      <c r="Q637" s="39">
        <f>(31.1*0.925/Prices!$BN639)*G637</f>
        <v>36.580047716988901</v>
      </c>
    </row>
    <row r="638" spans="1:17">
      <c r="A638" s="54">
        <f t="shared" si="29"/>
        <v>1888</v>
      </c>
      <c r="B638" s="36"/>
      <c r="C638" s="38">
        <v>72</v>
      </c>
      <c r="D638" s="38">
        <v>48</v>
      </c>
      <c r="E638" s="36"/>
      <c r="F638" s="38">
        <f>Wages!C638*H$610</f>
        <v>88</v>
      </c>
      <c r="G638" s="39">
        <f>Wages!D638*I$610</f>
        <v>59.294117647058826</v>
      </c>
      <c r="H638" s="39">
        <f>F638/Wages!C638</f>
        <v>1.2222222222222223</v>
      </c>
      <c r="I638" s="39">
        <f>G638/Wages!D638</f>
        <v>1.2352941176470589</v>
      </c>
      <c r="J638" s="39">
        <v>65.833333333333329</v>
      </c>
      <c r="K638" s="39">
        <v>43.166666666666664</v>
      </c>
      <c r="L638" s="38"/>
      <c r="M638" s="39">
        <f>Prices!BP640*Wages!$C638</f>
        <v>48.309271137026236</v>
      </c>
      <c r="N638" s="39">
        <f>Prices!BP640*Wages!D638</f>
        <v>32.206180758017496</v>
      </c>
      <c r="O638" s="37"/>
      <c r="P638" s="39">
        <f>Prices!$BP640*F638</f>
        <v>59.044664723032071</v>
      </c>
      <c r="Q638" s="39">
        <f>(31.1*0.925/Prices!$BN640)*G638</f>
        <v>39.784105642256904</v>
      </c>
    </row>
    <row r="639" spans="1:17">
      <c r="A639" s="54">
        <f t="shared" si="29"/>
        <v>1889</v>
      </c>
      <c r="B639" s="36"/>
      <c r="C639" s="38">
        <v>72</v>
      </c>
      <c r="D639" s="38">
        <v>48</v>
      </c>
      <c r="E639" s="36"/>
      <c r="F639" s="38">
        <f>Wages!C639*H$610</f>
        <v>88</v>
      </c>
      <c r="G639" s="39">
        <f>Wages!D639*I$610</f>
        <v>59.294117647058826</v>
      </c>
      <c r="H639" s="39">
        <f>F639/Wages!C639</f>
        <v>1.2222222222222223</v>
      </c>
      <c r="I639" s="39">
        <f>G639/Wages!D639</f>
        <v>1.2352941176470589</v>
      </c>
      <c r="J639" s="39">
        <v>65.833333333333329</v>
      </c>
      <c r="K639" s="39">
        <v>43.166666666666664</v>
      </c>
      <c r="L639" s="38"/>
      <c r="M639" s="39">
        <f>Prices!BP641*Wages!$C639</f>
        <v>48.521464128843341</v>
      </c>
      <c r="N639" s="39">
        <f>Prices!BP641*Wages!D639</f>
        <v>32.347642752562223</v>
      </c>
      <c r="O639" s="37"/>
      <c r="P639" s="39">
        <f>Prices!$BP641*F639</f>
        <v>59.304011713030746</v>
      </c>
      <c r="Q639" s="39">
        <f>(31.1*0.925/Prices!$BN641)*G639</f>
        <v>39.958852811988635</v>
      </c>
    </row>
    <row r="640" spans="1:17">
      <c r="A640" s="54">
        <f t="shared" si="29"/>
        <v>1890</v>
      </c>
      <c r="B640" s="36"/>
      <c r="C640" s="38">
        <v>72</v>
      </c>
      <c r="D640" s="38">
        <v>48</v>
      </c>
      <c r="E640" s="36"/>
      <c r="F640" s="38">
        <f>Wages!C640*H$610</f>
        <v>88</v>
      </c>
      <c r="G640" s="39">
        <f>Wages!D640*I$610</f>
        <v>59.294117647058826</v>
      </c>
      <c r="H640" s="39">
        <f>F640/Wages!C640</f>
        <v>1.2222222222222223</v>
      </c>
      <c r="I640" s="39">
        <f>G640/Wages!D640</f>
        <v>1.2352941176470589</v>
      </c>
      <c r="J640" s="39">
        <v>65.833333333333329</v>
      </c>
      <c r="K640" s="39">
        <v>43.166666666666664</v>
      </c>
      <c r="L640" s="38"/>
      <c r="M640" s="39">
        <f>Prices!BP642*Wages!$C640</f>
        <v>43.377172774869116</v>
      </c>
      <c r="N640" s="39">
        <f>Prices!BP642*Wages!D640</f>
        <v>28.918115183246076</v>
      </c>
      <c r="O640" s="37"/>
      <c r="P640" s="39">
        <f>Prices!$BP642*F640</f>
        <v>53.016544502617805</v>
      </c>
      <c r="Q640" s="39">
        <f>(31.1*0.925/Prices!$BN642)*G640</f>
        <v>35.722377579303981</v>
      </c>
    </row>
    <row r="641" spans="1:17">
      <c r="A641" s="54">
        <f t="shared" si="29"/>
        <v>1891</v>
      </c>
      <c r="B641" s="36"/>
      <c r="C641" s="38">
        <v>72</v>
      </c>
      <c r="D641" s="38">
        <v>48</v>
      </c>
      <c r="E641" s="36"/>
      <c r="F641" s="38">
        <f>Wages!C641*H$610</f>
        <v>88</v>
      </c>
      <c r="G641" s="39">
        <f>Wages!D641*I$610</f>
        <v>59.294117647058826</v>
      </c>
      <c r="H641" s="39">
        <f>F641/Wages!C641</f>
        <v>1.2222222222222223</v>
      </c>
      <c r="I641" s="39">
        <f>G641/Wages!D641</f>
        <v>1.2352941176470589</v>
      </c>
      <c r="J641" s="39">
        <v>65.833333333333329</v>
      </c>
      <c r="K641" s="39">
        <v>43.166666666666664</v>
      </c>
      <c r="L641" s="38"/>
      <c r="M641" s="39">
        <f>Prices!BP643*Wages!$C641</f>
        <v>45.964160887656035</v>
      </c>
      <c r="N641" s="39">
        <f>Prices!BP643*Wages!D641</f>
        <v>30.642773925104024</v>
      </c>
      <c r="O641" s="37"/>
      <c r="P641" s="39">
        <f>Prices!$BP643*F641</f>
        <v>56.178418862690712</v>
      </c>
      <c r="Q641" s="39">
        <f>(31.1*0.925/Prices!$BN643)*G641</f>
        <v>37.852838378069677</v>
      </c>
    </row>
    <row r="642" spans="1:17">
      <c r="A642" s="54">
        <f t="shared" si="29"/>
        <v>1892</v>
      </c>
      <c r="B642" s="36"/>
      <c r="C642" s="38">
        <v>72</v>
      </c>
      <c r="D642" s="38">
        <v>48</v>
      </c>
      <c r="E642" s="36"/>
      <c r="F642" s="38">
        <f>Wages!C642*H$610</f>
        <v>88</v>
      </c>
      <c r="G642" s="39">
        <f>Wages!D642*I$610</f>
        <v>59.294117647058826</v>
      </c>
      <c r="H642" s="39">
        <f>F642/Wages!C642</f>
        <v>1.2222222222222223</v>
      </c>
      <c r="I642" s="39">
        <f>G642/Wages!D642</f>
        <v>1.2352941176470589</v>
      </c>
      <c r="J642" s="39">
        <v>65.833333333333329</v>
      </c>
      <c r="K642" s="39">
        <v>43.166666666666664</v>
      </c>
      <c r="L642" s="38"/>
      <c r="M642" s="39">
        <f>Prices!BP644*Wages!$C642</f>
        <v>52.107169811320759</v>
      </c>
      <c r="N642" s="39">
        <f>Prices!BP644*Wages!D642</f>
        <v>34.738113207547173</v>
      </c>
      <c r="O642" s="37"/>
      <c r="P642" s="39">
        <f>Prices!$BP644*F642</f>
        <v>63.686540880503152</v>
      </c>
      <c r="Q642" s="39">
        <f>(31.1*0.925/Prices!$BN644)*G642</f>
        <v>42.911786903440628</v>
      </c>
    </row>
    <row r="643" spans="1:17">
      <c r="A643" s="54">
        <f t="shared" si="29"/>
        <v>1893</v>
      </c>
      <c r="B643" s="36"/>
      <c r="C643" s="38">
        <v>75</v>
      </c>
      <c r="D643" s="38">
        <v>48</v>
      </c>
      <c r="E643" s="36"/>
      <c r="F643" s="39">
        <f>Wages!C643*H$610</f>
        <v>91.666666666666671</v>
      </c>
      <c r="G643" s="39">
        <f>Wages!D643*I$610</f>
        <v>59.294117647058826</v>
      </c>
      <c r="H643" s="39">
        <f>F643/Wages!C643</f>
        <v>1.2222222222222223</v>
      </c>
      <c r="I643" s="39">
        <f>G643/Wages!D643</f>
        <v>1.2352941176470589</v>
      </c>
      <c r="J643" s="39">
        <v>65.833333333333329</v>
      </c>
      <c r="K643" s="39">
        <v>43.166666666666664</v>
      </c>
      <c r="L643" s="38"/>
      <c r="M643" s="39">
        <f>Prices!BP645*Wages!$C643</f>
        <v>60.099233983286915</v>
      </c>
      <c r="N643" s="39">
        <f>Prices!BP645*Wages!D643</f>
        <v>38.463509749303626</v>
      </c>
      <c r="O643" s="37"/>
      <c r="P643" s="39">
        <f>Prices!$BP645*F643</f>
        <v>73.454619312906232</v>
      </c>
      <c r="Q643" s="39">
        <f>(31.1*0.925/Prices!$BN645)*G643</f>
        <v>47.513747337375072</v>
      </c>
    </row>
    <row r="644" spans="1:17">
      <c r="A644" s="54">
        <f t="shared" si="29"/>
        <v>1894</v>
      </c>
      <c r="B644" s="36"/>
      <c r="C644" s="38">
        <v>75</v>
      </c>
      <c r="D644" s="38">
        <v>50</v>
      </c>
      <c r="E644" s="36"/>
      <c r="F644" s="39">
        <f>Wages!C644*H$610</f>
        <v>91.666666666666671</v>
      </c>
      <c r="G644" s="39">
        <f>Wages!D644*I$610</f>
        <v>61.764705882352942</v>
      </c>
      <c r="H644" s="39">
        <f>F644/Wages!C644</f>
        <v>1.2222222222222223</v>
      </c>
      <c r="I644" s="39">
        <f>G644/Wages!D644</f>
        <v>1.2352941176470589</v>
      </c>
      <c r="J644" s="39">
        <v>65.833333333333329</v>
      </c>
      <c r="K644" s="38">
        <v>46.5</v>
      </c>
      <c r="L644" s="38"/>
      <c r="M644" s="39">
        <f>Prices!BP646*Wages!$C644</f>
        <v>74.559395248380127</v>
      </c>
      <c r="N644" s="39">
        <f>Prices!BP646*Wages!D644</f>
        <v>49.706263498920087</v>
      </c>
      <c r="O644" s="37"/>
      <c r="P644" s="39">
        <f>Prices!$BP646*F644</f>
        <v>91.128149748020164</v>
      </c>
      <c r="Q644" s="39">
        <f>(31.1*0.925/Prices!$BN646)*G644</f>
        <v>61.4018549104307</v>
      </c>
    </row>
    <row r="645" spans="1:17">
      <c r="A645" s="54">
        <f t="shared" si="29"/>
        <v>1895</v>
      </c>
      <c r="B645" s="36"/>
      <c r="C645" s="38">
        <v>75</v>
      </c>
      <c r="D645" s="38">
        <v>50</v>
      </c>
      <c r="E645" s="36"/>
      <c r="F645" s="39">
        <f>Wages!C645*H$610</f>
        <v>91.666666666666671</v>
      </c>
      <c r="G645" s="39">
        <f>Wages!D645*I$610</f>
        <v>61.764705882352942</v>
      </c>
      <c r="H645" s="39">
        <f>F645/Wages!C645</f>
        <v>1.2222222222222223</v>
      </c>
      <c r="I645" s="39">
        <f>G645/Wages!D645</f>
        <v>1.2352941176470589</v>
      </c>
      <c r="J645" s="39">
        <v>65.833333333333329</v>
      </c>
      <c r="K645" s="38">
        <v>46.5</v>
      </c>
      <c r="L645" s="38"/>
      <c r="M645" s="39">
        <f>Prices!BP647*Wages!$C645</f>
        <v>72.371069182389945</v>
      </c>
      <c r="N645" s="39">
        <f>Prices!BP647*Wages!D645</f>
        <v>48.247379454926623</v>
      </c>
      <c r="O645" s="37"/>
      <c r="P645" s="39">
        <f>Prices!$BP647*F645</f>
        <v>88.453529000698822</v>
      </c>
      <c r="Q645" s="39">
        <f>(31.1*0.925/Prices!$BN647)*G645</f>
        <v>59.599704032556417</v>
      </c>
    </row>
    <row r="646" spans="1:17">
      <c r="A646" s="54">
        <f t="shared" si="29"/>
        <v>1896</v>
      </c>
      <c r="B646" s="36"/>
      <c r="C646" s="38">
        <v>75</v>
      </c>
      <c r="D646" s="38">
        <v>50</v>
      </c>
      <c r="E646" s="36"/>
      <c r="F646" s="39">
        <f>Wages!C646*H$610</f>
        <v>91.666666666666671</v>
      </c>
      <c r="G646" s="39">
        <f>Wages!D646*I$610</f>
        <v>61.764705882352942</v>
      </c>
      <c r="H646" s="39">
        <f>F646/Wages!C646</f>
        <v>1.2222222222222223</v>
      </c>
      <c r="I646" s="39">
        <f>G646/Wages!D646</f>
        <v>1.2352941176470589</v>
      </c>
      <c r="J646" s="39">
        <v>65.833333333333329</v>
      </c>
      <c r="K646" s="38">
        <v>46.5</v>
      </c>
      <c r="L646" s="38"/>
      <c r="M646" s="39">
        <f>Prices!BP648*Wages!$C646</f>
        <v>70.022312373225162</v>
      </c>
      <c r="N646" s="39">
        <f>Prices!BP648*Wages!D646</f>
        <v>46.681541582150103</v>
      </c>
      <c r="O646" s="37"/>
      <c r="P646" s="39">
        <f>Prices!$BP648*F646</f>
        <v>85.582826233941859</v>
      </c>
      <c r="Q646" s="39">
        <f>(31.1*0.925/Prices!$BN648)*G646</f>
        <v>57.665433719126604</v>
      </c>
    </row>
    <row r="647" spans="1:17">
      <c r="A647" s="54">
        <f t="shared" si="29"/>
        <v>1897</v>
      </c>
      <c r="B647" s="36"/>
      <c r="C647" s="38">
        <v>75</v>
      </c>
      <c r="D647" s="38">
        <v>50</v>
      </c>
      <c r="E647" s="36"/>
      <c r="F647" s="39">
        <f>Wages!C647*H$610</f>
        <v>91.666666666666671</v>
      </c>
      <c r="G647" s="39">
        <f>Wages!D647*I$610</f>
        <v>61.764705882352942</v>
      </c>
      <c r="H647" s="39">
        <f>F647/Wages!C647</f>
        <v>1.2222222222222223</v>
      </c>
      <c r="I647" s="39">
        <f>G647/Wages!D647</f>
        <v>1.2352941176470589</v>
      </c>
      <c r="J647" s="39">
        <v>68.166666666666671</v>
      </c>
      <c r="K647" s="38">
        <v>46.5</v>
      </c>
      <c r="L647" s="38"/>
      <c r="M647" s="39">
        <f>Prices!BP649*Wages!$C647</f>
        <v>78.278911564625858</v>
      </c>
      <c r="N647" s="39">
        <f>Prices!BP649*Wages!D647</f>
        <v>52.185941043083908</v>
      </c>
      <c r="O647" s="37"/>
      <c r="P647" s="39">
        <f>Prices!$BP649*F647</f>
        <v>95.67422524565383</v>
      </c>
      <c r="Q647" s="39">
        <f>(31.1*0.925/Prices!$BN649)*G647</f>
        <v>64.464985994397765</v>
      </c>
    </row>
    <row r="648" spans="1:17">
      <c r="A648" s="54">
        <f t="shared" si="29"/>
        <v>1898</v>
      </c>
      <c r="B648" s="36"/>
      <c r="C648" s="38">
        <v>75</v>
      </c>
      <c r="D648" s="38">
        <v>50</v>
      </c>
      <c r="E648" s="36"/>
      <c r="F648" s="39">
        <f>Wages!C648*H$610</f>
        <v>91.666666666666671</v>
      </c>
      <c r="G648" s="39">
        <f>Wages!D648*I$610</f>
        <v>61.764705882352942</v>
      </c>
      <c r="H648" s="39">
        <f>F648/Wages!C648</f>
        <v>1.2222222222222223</v>
      </c>
      <c r="I648" s="39">
        <f>G648/Wages!D648</f>
        <v>1.2352941176470589</v>
      </c>
      <c r="J648" s="39">
        <v>68.166666666666671</v>
      </c>
      <c r="K648" s="38">
        <v>46.5</v>
      </c>
      <c r="L648" s="38"/>
      <c r="M648" s="39">
        <f>Prices!BP650*Wages!$C648</f>
        <v>80.09512761020882</v>
      </c>
      <c r="N648" s="39">
        <f>Prices!BP650*Wages!D648</f>
        <v>53.396751740139216</v>
      </c>
      <c r="O648" s="37"/>
      <c r="P648" s="39">
        <f>Prices!$BP650*F648</f>
        <v>97.894044856921894</v>
      </c>
      <c r="Q648" s="39">
        <f>(31.1*0.925/Prices!$BN650)*G648</f>
        <v>65.960693326054326</v>
      </c>
    </row>
    <row r="649" spans="1:17">
      <c r="A649" s="54">
        <f t="shared" si="29"/>
        <v>1899</v>
      </c>
      <c r="B649" s="36"/>
      <c r="C649" s="38">
        <v>80</v>
      </c>
      <c r="D649" s="38">
        <v>50</v>
      </c>
      <c r="E649" s="36"/>
      <c r="F649" s="39">
        <f>Wages!C649*H$610</f>
        <v>97.777777777777786</v>
      </c>
      <c r="G649" s="39">
        <f>Wages!D649*I$610</f>
        <v>61.764705882352942</v>
      </c>
      <c r="H649" s="39">
        <f>F649/Wages!C649</f>
        <v>1.2222222222222223</v>
      </c>
      <c r="I649" s="39">
        <f>G649/Wages!D649</f>
        <v>1.2352941176470589</v>
      </c>
      <c r="J649" s="39">
        <v>68.166666666666671</v>
      </c>
      <c r="K649" s="38">
        <v>46.5</v>
      </c>
      <c r="L649" s="38"/>
      <c r="M649" s="39">
        <f>Prices!BP651*Wages!$C649</f>
        <v>83.877904328018232</v>
      </c>
      <c r="N649" s="39">
        <f>Prices!BP651*Wages!D649</f>
        <v>52.423690205011397</v>
      </c>
      <c r="O649" s="37"/>
      <c r="P649" s="39">
        <f>Prices!$BP651*F649</f>
        <v>102.5174386231334</v>
      </c>
      <c r="Q649" s="39">
        <f>(31.1*0.925/Prices!$BN651)*G649</f>
        <v>64.758676135602315</v>
      </c>
    </row>
    <row r="650" spans="1:17">
      <c r="A650" s="54">
        <f t="shared" ref="A650:A704" si="30">A649+1</f>
        <v>1900</v>
      </c>
      <c r="B650" s="36"/>
      <c r="C650" s="38">
        <v>80</v>
      </c>
      <c r="D650" s="38">
        <v>50</v>
      </c>
      <c r="E650" s="36"/>
      <c r="F650" s="39">
        <f>Wages!C650*H$610</f>
        <v>97.777777777777786</v>
      </c>
      <c r="G650" s="39">
        <f>Wages!D650*I$610</f>
        <v>61.764705882352942</v>
      </c>
      <c r="H650" s="39">
        <f>F650/Wages!C650</f>
        <v>1.2222222222222223</v>
      </c>
      <c r="I650" s="39">
        <f>G650/Wages!D650</f>
        <v>1.2352941176470589</v>
      </c>
      <c r="J650" s="39">
        <v>68.166666666666671</v>
      </c>
      <c r="K650" s="38">
        <v>46.5</v>
      </c>
      <c r="L650" s="38"/>
      <c r="M650" s="39">
        <f>Prices!BP652*Wages!$C650</f>
        <v>81.285651214128038</v>
      </c>
      <c r="N650" s="39">
        <f>Prices!BP652*Wages!D650</f>
        <v>50.803532008830018</v>
      </c>
      <c r="O650" s="37"/>
      <c r="P650" s="39">
        <f>Prices!$BP652*F650</f>
        <v>99.349129261712051</v>
      </c>
      <c r="Q650" s="39">
        <f>(31.1*0.925/Prices!$BN652)*G650</f>
        <v>62.757304246201791</v>
      </c>
    </row>
    <row r="651" spans="1:17">
      <c r="A651" s="54">
        <f t="shared" si="30"/>
        <v>1901</v>
      </c>
      <c r="B651" s="36"/>
      <c r="C651" s="38">
        <v>80</v>
      </c>
      <c r="D651" s="38">
        <v>50</v>
      </c>
      <c r="E651" s="36"/>
      <c r="F651" s="39">
        <f>Wages!C651*H$610</f>
        <v>97.777777777777786</v>
      </c>
      <c r="G651" s="39">
        <f>Wages!D651*I$610</f>
        <v>61.764705882352942</v>
      </c>
      <c r="H651" s="39">
        <f>F651/Wages!C651</f>
        <v>1.2222222222222223</v>
      </c>
      <c r="I651" s="39">
        <f>G651/Wages!D651</f>
        <v>1.2352941176470589</v>
      </c>
      <c r="J651" s="39">
        <v>68.166666666666671</v>
      </c>
      <c r="K651" s="38">
        <v>46.5</v>
      </c>
      <c r="L651" s="38"/>
      <c r="M651" s="39">
        <f>Prices!BP653*Wages!$C651</f>
        <v>84.649195402298858</v>
      </c>
      <c r="N651" s="39">
        <f>Prices!BP653*Wages!D651</f>
        <v>52.905747126436786</v>
      </c>
      <c r="O651" s="37"/>
      <c r="P651" s="39">
        <f>Prices!$BP653*F651</f>
        <v>103.46012771392084</v>
      </c>
      <c r="Q651" s="39">
        <f>(31.1*0.925/Prices!$BN653)*G651</f>
        <v>65.354158215010145</v>
      </c>
    </row>
    <row r="652" spans="1:17">
      <c r="A652" s="54">
        <f t="shared" si="30"/>
        <v>1902</v>
      </c>
      <c r="B652" s="36"/>
      <c r="C652" s="38">
        <v>80</v>
      </c>
      <c r="D652" s="38">
        <v>50</v>
      </c>
      <c r="E652" s="36"/>
      <c r="F652" s="39">
        <f>Wages!C652*H$610</f>
        <v>97.777777777777786</v>
      </c>
      <c r="G652" s="39">
        <f>Wages!D652*I$610</f>
        <v>61.764705882352942</v>
      </c>
      <c r="H652" s="39">
        <f>F652/Wages!C652</f>
        <v>1.2222222222222223</v>
      </c>
      <c r="I652" s="39">
        <f>G652/Wages!D652</f>
        <v>1.2352941176470589</v>
      </c>
      <c r="J652" s="39">
        <v>68.166666666666671</v>
      </c>
      <c r="K652" s="38">
        <v>46.5</v>
      </c>
      <c r="L652" s="38"/>
      <c r="M652" s="39">
        <f>Prices!BP654*Wages!$C652</f>
        <v>95.642597402597417</v>
      </c>
      <c r="N652" s="39">
        <f>Prices!BP654*Wages!D652</f>
        <v>59.776623376623384</v>
      </c>
      <c r="O652" s="37"/>
      <c r="P652" s="39">
        <f>Prices!$BP654*F652</f>
        <v>116.89650793650796</v>
      </c>
      <c r="Q652" s="39">
        <f>(31.1*0.925/Prices!$BN654)*G652</f>
        <v>73.84171122994654</v>
      </c>
    </row>
    <row r="653" spans="1:17">
      <c r="A653" s="54">
        <f t="shared" si="30"/>
        <v>1903</v>
      </c>
      <c r="B653" s="36"/>
      <c r="C653" s="38">
        <v>80</v>
      </c>
      <c r="D653" s="38">
        <v>50</v>
      </c>
      <c r="E653" s="36"/>
      <c r="F653" s="39">
        <f>Wages!C653*H$610</f>
        <v>97.777777777777786</v>
      </c>
      <c r="G653" s="39">
        <f>Wages!D653*I$610</f>
        <v>61.764705882352942</v>
      </c>
      <c r="H653" s="39">
        <f>F653/Wages!C653</f>
        <v>1.2222222222222223</v>
      </c>
      <c r="I653" s="39">
        <f>G653/Wages!D653</f>
        <v>1.2352941176470589</v>
      </c>
      <c r="J653" s="39">
        <v>68.166666666666671</v>
      </c>
      <c r="K653" s="38">
        <v>46.5</v>
      </c>
      <c r="L653" s="38"/>
      <c r="M653" s="39">
        <f>Prices!BP655*Wages!$C653</f>
        <v>92.985858585858594</v>
      </c>
      <c r="N653" s="39">
        <f>Prices!BP655*Wages!D653</f>
        <v>58.116161616161619</v>
      </c>
      <c r="O653" s="37"/>
      <c r="P653" s="39">
        <f>Prices!$BP655*F653</f>
        <v>113.6493827160494</v>
      </c>
      <c r="Q653" s="39">
        <f>(31.1*0.925/Prices!$BN655)*G653</f>
        <v>71.790552584670237</v>
      </c>
    </row>
    <row r="654" spans="1:17">
      <c r="A654" s="54">
        <f t="shared" si="30"/>
        <v>1904</v>
      </c>
      <c r="B654" s="36"/>
      <c r="C654" s="38">
        <v>80</v>
      </c>
      <c r="D654" s="38">
        <v>50</v>
      </c>
      <c r="E654" s="36"/>
      <c r="F654" s="39">
        <f>Wages!C654*H$610</f>
        <v>97.777777777777786</v>
      </c>
      <c r="G654" s="39">
        <f>Wages!D654*I$610</f>
        <v>61.764705882352942</v>
      </c>
      <c r="H654" s="39">
        <f>F654/Wages!C654</f>
        <v>1.2222222222222223</v>
      </c>
      <c r="I654" s="39">
        <f>G654/Wages!D654</f>
        <v>1.2352941176470589</v>
      </c>
      <c r="J654" s="39">
        <v>68.166666666666671</v>
      </c>
      <c r="K654" s="38">
        <v>46.5</v>
      </c>
      <c r="L654" s="38"/>
      <c r="M654" s="39">
        <f>Prices!BP656*Wages!$C654</f>
        <v>87.153609467455624</v>
      </c>
      <c r="N654" s="39">
        <f>Prices!BP656*Wages!D654</f>
        <v>54.471005917159765</v>
      </c>
      <c r="O654" s="37"/>
      <c r="P654" s="39">
        <f>Prices!$BP656*F654</f>
        <v>106.52107823800132</v>
      </c>
      <c r="Q654" s="39">
        <f>(31.1*0.925/Prices!$BN656)*G654</f>
        <v>67.287713191785599</v>
      </c>
    </row>
    <row r="655" spans="1:17">
      <c r="A655" s="54">
        <f t="shared" si="30"/>
        <v>1905</v>
      </c>
      <c r="B655" s="36"/>
      <c r="C655" s="38">
        <v>80</v>
      </c>
      <c r="D655" s="38">
        <v>50</v>
      </c>
      <c r="E655" s="36"/>
      <c r="F655" s="39">
        <f>Wages!C655*H$610</f>
        <v>97.777777777777786</v>
      </c>
      <c r="G655" s="39">
        <f>Wages!D655*I$610</f>
        <v>61.764705882352942</v>
      </c>
      <c r="H655" s="39">
        <f>F655/Wages!C655</f>
        <v>1.2222222222222223</v>
      </c>
      <c r="I655" s="39">
        <f>G655/Wages!D655</f>
        <v>1.2352941176470589</v>
      </c>
      <c r="J655" s="39">
        <v>68.166666666666671</v>
      </c>
      <c r="K655" s="38">
        <v>46.5</v>
      </c>
      <c r="L655" s="38"/>
      <c r="M655" s="39">
        <f>Prices!BP657*Wages!$C655</f>
        <v>82.654096520763204</v>
      </c>
      <c r="N655" s="39">
        <f>Prices!BP657*Wages!D655</f>
        <v>51.658810325476999</v>
      </c>
      <c r="O655" s="37"/>
      <c r="P655" s="39">
        <f>Prices!$BP657*F655</f>
        <v>101.02167352537725</v>
      </c>
      <c r="Q655" s="39">
        <f>(31.1*0.925/Prices!$BN657)*G655</f>
        <v>63.813824519706884</v>
      </c>
    </row>
    <row r="656" spans="1:17">
      <c r="A656" s="54">
        <f t="shared" si="30"/>
        <v>1906</v>
      </c>
      <c r="B656" s="36"/>
      <c r="C656" s="38">
        <v>80</v>
      </c>
      <c r="D656" s="38">
        <v>55</v>
      </c>
      <c r="E656" s="36"/>
      <c r="F656" s="39">
        <f>Wages!C656*H$610</f>
        <v>97.777777777777786</v>
      </c>
      <c r="G656" s="39">
        <f>Wages!D656*I$610</f>
        <v>67.941176470588232</v>
      </c>
      <c r="H656" s="39">
        <f>F656/Wages!C656</f>
        <v>1.2222222222222223</v>
      </c>
      <c r="I656" s="39">
        <f>G656/Wages!D656</f>
        <v>1.2352941176470587</v>
      </c>
      <c r="J656" s="39">
        <v>68.166666666666671</v>
      </c>
      <c r="K656" s="38">
        <v>46.5</v>
      </c>
      <c r="L656" s="38"/>
      <c r="M656" s="39">
        <f>Prices!BP658*Wages!$C656</f>
        <v>74.539271255060726</v>
      </c>
      <c r="N656" s="39">
        <f>Prices!BP658*Wages!D656</f>
        <v>51.245748987854256</v>
      </c>
      <c r="O656" s="37"/>
      <c r="P656" s="39">
        <f>Prices!$BP658*F656</f>
        <v>91.103553756185349</v>
      </c>
      <c r="Q656" s="39">
        <f>(31.1*0.925/Prices!$BN658)*G656</f>
        <v>63.303572279114078</v>
      </c>
    </row>
    <row r="657" spans="1:17">
      <c r="A657" s="54">
        <f t="shared" si="30"/>
        <v>1907</v>
      </c>
      <c r="B657" s="36"/>
      <c r="C657" s="38">
        <v>80</v>
      </c>
      <c r="D657" s="38">
        <v>55</v>
      </c>
      <c r="E657" s="36"/>
      <c r="F657" s="39">
        <f>Wages!C657*H$610</f>
        <v>97.777777777777786</v>
      </c>
      <c r="G657" s="39">
        <f>Wages!D657*I$610</f>
        <v>67.941176470588232</v>
      </c>
      <c r="H657" s="39">
        <f>F657/Wages!C657</f>
        <v>1.2222222222222223</v>
      </c>
      <c r="I657" s="39">
        <f>G657/Wages!D657</f>
        <v>1.2352941176470587</v>
      </c>
      <c r="J657" s="39">
        <v>68.166666666666671</v>
      </c>
      <c r="K657" s="38">
        <v>46.5</v>
      </c>
      <c r="L657" s="38"/>
      <c r="M657" s="39">
        <f>Prices!BP659*Wages!$C657</f>
        <v>76.236853002070404</v>
      </c>
      <c r="N657" s="39">
        <f>Prices!BP659*Wages!D657</f>
        <v>52.412836438923399</v>
      </c>
      <c r="O657" s="37"/>
      <c r="P657" s="39">
        <f>Prices!$BP659*F657</f>
        <v>93.178375891419378</v>
      </c>
      <c r="Q657" s="39">
        <f>(31.1*0.925/Prices!$BN659)*G657</f>
        <v>64.745268542199483</v>
      </c>
    </row>
    <row r="658" spans="1:17">
      <c r="A658" s="54">
        <f t="shared" si="30"/>
        <v>1908</v>
      </c>
      <c r="B658" s="36"/>
      <c r="C658" s="38">
        <v>80</v>
      </c>
      <c r="D658" s="38">
        <v>55</v>
      </c>
      <c r="E658" s="36"/>
      <c r="F658" s="39">
        <f>Wages!C658*H$610</f>
        <v>97.777777777777786</v>
      </c>
      <c r="G658" s="39">
        <f>Wages!D658*I$610</f>
        <v>67.941176470588232</v>
      </c>
      <c r="H658" s="39">
        <f>F658/Wages!C658</f>
        <v>1.2222222222222223</v>
      </c>
      <c r="I658" s="39">
        <f>G658/Wages!D658</f>
        <v>1.2352941176470587</v>
      </c>
      <c r="J658" s="39">
        <v>68.166666666666671</v>
      </c>
      <c r="K658" s="38">
        <v>46.5</v>
      </c>
      <c r="L658" s="38"/>
      <c r="M658" s="39">
        <f>Prices!BP660*Wages!$C658</f>
        <v>94.295518565941109</v>
      </c>
      <c r="N658" s="39">
        <f>Prices!BP660*Wages!D658</f>
        <v>64.828169014084509</v>
      </c>
      <c r="O658" s="37"/>
      <c r="P658" s="39">
        <f>Prices!$BP660*F658</f>
        <v>115.25007824726137</v>
      </c>
      <c r="Q658" s="39">
        <f>(31.1*0.925/Prices!$BN660)*G658</f>
        <v>80.081855840927929</v>
      </c>
    </row>
    <row r="659" spans="1:17">
      <c r="A659" s="54">
        <f t="shared" si="30"/>
        <v>1909</v>
      </c>
      <c r="B659" s="36"/>
      <c r="C659" s="38">
        <v>80</v>
      </c>
      <c r="D659" s="38">
        <v>55</v>
      </c>
      <c r="E659" s="36"/>
      <c r="F659" s="39">
        <f>Wages!C659*H$610</f>
        <v>97.777777777777786</v>
      </c>
      <c r="G659" s="39">
        <f>Wages!D659*I$610</f>
        <v>67.941176470588232</v>
      </c>
      <c r="H659" s="39">
        <f>F659/Wages!C659</f>
        <v>1.2222222222222223</v>
      </c>
      <c r="I659" s="39">
        <f>G659/Wages!D659</f>
        <v>1.2352941176470587</v>
      </c>
      <c r="J659" s="39">
        <v>68.166666666666671</v>
      </c>
      <c r="K659" s="38">
        <v>46.5</v>
      </c>
      <c r="L659" s="38"/>
      <c r="M659" s="39">
        <f>Prices!BP661*Wages!$C659</f>
        <v>97.02872200263505</v>
      </c>
      <c r="N659" s="39">
        <f>Prices!BP661*Wages!D659</f>
        <v>66.707246376811597</v>
      </c>
      <c r="O659" s="37"/>
      <c r="P659" s="39">
        <f>Prices!$BP661*F659</f>
        <v>118.59066022544285</v>
      </c>
      <c r="Q659" s="39">
        <f>(31.1*0.925/Prices!$BN661)*G659</f>
        <v>82.403069053708435</v>
      </c>
    </row>
    <row r="660" spans="1:17">
      <c r="A660" s="54">
        <f t="shared" si="30"/>
        <v>1910</v>
      </c>
      <c r="B660" s="36"/>
      <c r="C660" s="38">
        <v>80</v>
      </c>
      <c r="D660" s="38">
        <v>55</v>
      </c>
      <c r="E660" s="36"/>
      <c r="F660" s="39">
        <f>Wages!C660*H$610</f>
        <v>97.777777777777786</v>
      </c>
      <c r="G660" s="39">
        <f>Wages!D660*I$610</f>
        <v>67.941176470588232</v>
      </c>
      <c r="H660" s="39">
        <f>F660/Wages!C660</f>
        <v>1.2222222222222223</v>
      </c>
      <c r="I660" s="39">
        <f>G660/Wages!D660</f>
        <v>1.2352941176470587</v>
      </c>
      <c r="J660" s="39">
        <v>68.166666666666671</v>
      </c>
      <c r="K660" s="38">
        <v>46.5</v>
      </c>
      <c r="L660" s="38"/>
      <c r="M660" s="39">
        <f>Prices!BP662*Wages!$C660</f>
        <v>93.339416983523464</v>
      </c>
      <c r="N660" s="39">
        <f>Prices!BP662*Wages!D660</f>
        <v>64.170849176172382</v>
      </c>
      <c r="O660" s="37"/>
      <c r="P660" s="39">
        <f>Prices!$BP662*F660</f>
        <v>114.08150964652869</v>
      </c>
      <c r="Q660" s="39">
        <f>(31.1*0.925/Prices!$BN662)*G660</f>
        <v>79.269872511742349</v>
      </c>
    </row>
    <row r="661" spans="1:17">
      <c r="A661" s="54">
        <f t="shared" si="30"/>
        <v>1911</v>
      </c>
      <c r="B661" s="36"/>
      <c r="C661" s="38">
        <v>80</v>
      </c>
      <c r="D661" s="38">
        <v>55</v>
      </c>
      <c r="E661" s="36"/>
      <c r="F661" s="39">
        <f>Wages!C661*H$610</f>
        <v>97.777777777777786</v>
      </c>
      <c r="G661" s="39">
        <f>Wages!D661*I$610</f>
        <v>67.941176470588232</v>
      </c>
      <c r="H661" s="39">
        <f>F661/Wages!C661</f>
        <v>1.2222222222222223</v>
      </c>
      <c r="I661" s="39">
        <f>G661/Wages!D661</f>
        <v>1.2352941176470587</v>
      </c>
      <c r="J661" s="39">
        <v>68.166666666666671</v>
      </c>
      <c r="K661" s="38">
        <v>46.5</v>
      </c>
      <c r="L661" s="38"/>
      <c r="M661" s="39">
        <f>Prices!BP663*Wages!$C661</f>
        <v>93.576620076238882</v>
      </c>
      <c r="N661" s="39">
        <f>Prices!BP663*Wages!D661</f>
        <v>64.333926302414227</v>
      </c>
      <c r="O661" s="37"/>
      <c r="P661" s="39">
        <f>Prices!$BP663*F661</f>
        <v>114.37142453762532</v>
      </c>
      <c r="Q661" s="39">
        <f>(31.1*0.925/Prices!$BN663)*G661</f>
        <v>79.471320726511692</v>
      </c>
    </row>
    <row r="662" spans="1:17">
      <c r="A662" s="54">
        <f t="shared" si="30"/>
        <v>1912</v>
      </c>
      <c r="B662" s="36"/>
      <c r="C662" s="38">
        <v>80</v>
      </c>
      <c r="D662" s="38">
        <v>55</v>
      </c>
      <c r="E662" s="36"/>
      <c r="F662" s="39">
        <f>Wages!C662*H$610</f>
        <v>97.777777777777786</v>
      </c>
      <c r="G662" s="39">
        <f>Wages!D662*I$610</f>
        <v>67.941176470588232</v>
      </c>
      <c r="H662" s="39">
        <f>F662/Wages!C662</f>
        <v>1.2222222222222223</v>
      </c>
      <c r="I662" s="39">
        <f>G662/Wages!D662</f>
        <v>1.2352941176470587</v>
      </c>
      <c r="J662" s="39">
        <v>68.166666666666671</v>
      </c>
      <c r="K662" s="38">
        <v>46.5</v>
      </c>
      <c r="L662" s="38"/>
      <c r="M662" s="39">
        <f>Prices!BP664*Wages!$C662</f>
        <v>82.009799554565717</v>
      </c>
      <c r="N662" s="39">
        <f>Prices!BP664*Wages!D662</f>
        <v>56.381737193763925</v>
      </c>
      <c r="O662" s="37"/>
      <c r="P662" s="39">
        <f>Prices!$BP664*F662</f>
        <v>100.23419945558032</v>
      </c>
      <c r="Q662" s="39">
        <f>(31.1*0.925/Prices!$BN664)*G662</f>
        <v>69.648028298178957</v>
      </c>
    </row>
    <row r="663" spans="1:17">
      <c r="A663" s="54">
        <f t="shared" si="30"/>
        <v>1913</v>
      </c>
      <c r="B663" s="36"/>
      <c r="C663" s="38">
        <v>80</v>
      </c>
      <c r="D663" s="38">
        <v>60</v>
      </c>
      <c r="E663" s="36"/>
      <c r="F663" s="39">
        <f>Wages!C663*H$610</f>
        <v>97.777777777777786</v>
      </c>
      <c r="G663" s="39">
        <f>Wages!D663*I$610</f>
        <v>74.117647058823536</v>
      </c>
      <c r="H663" s="39">
        <f>F663/Wages!C663</f>
        <v>1.2222222222222223</v>
      </c>
      <c r="I663" s="39">
        <f>G663/Wages!D663</f>
        <v>1.2352941176470589</v>
      </c>
      <c r="J663" s="39">
        <v>68.166666666666671</v>
      </c>
      <c r="K663" s="38">
        <v>46.5</v>
      </c>
      <c r="L663" s="38"/>
      <c r="M663" s="39">
        <f>Prices!BP665*Wages!$C663</f>
        <v>83.497505668934252</v>
      </c>
      <c r="N663" s="39">
        <f>Prices!BP665*Wages!D663</f>
        <v>62.623129251700689</v>
      </c>
      <c r="O663" s="37"/>
      <c r="P663" s="39">
        <f>Prices!$BP665*F663</f>
        <v>102.05250692869743</v>
      </c>
      <c r="Q663" s="39">
        <f>(31.1*0.925/Prices!$BN665)*G663</f>
        <v>77.35798319327732</v>
      </c>
    </row>
    <row r="664" spans="1:17">
      <c r="A664" s="54">
        <f t="shared" si="30"/>
        <v>1914</v>
      </c>
      <c r="B664" s="36"/>
      <c r="C664" s="38">
        <v>85</v>
      </c>
      <c r="D664" s="38">
        <v>60</v>
      </c>
      <c r="E664" s="36"/>
      <c r="F664" s="39">
        <f>Wages!C664*H$610</f>
        <v>103.8888888888889</v>
      </c>
      <c r="G664" s="39">
        <f>Wages!D664*I$610</f>
        <v>74.117647058823536</v>
      </c>
      <c r="H664" s="36"/>
      <c r="I664" s="36"/>
      <c r="J664" s="36"/>
      <c r="K664" s="36"/>
      <c r="L664" s="36"/>
      <c r="M664" s="36"/>
      <c r="N664" s="36"/>
      <c r="O664" s="36"/>
      <c r="P664" s="36"/>
      <c r="Q664" s="36"/>
    </row>
    <row r="665" spans="1:17">
      <c r="A665" s="54">
        <f t="shared" si="30"/>
        <v>1915</v>
      </c>
      <c r="B665" s="36"/>
      <c r="C665" s="38">
        <v>90</v>
      </c>
      <c r="D665" s="38">
        <v>65</v>
      </c>
      <c r="E665" s="36"/>
      <c r="F665" s="39">
        <f>Wages!C665*H$610</f>
        <v>110.00000000000001</v>
      </c>
      <c r="G665" s="39">
        <f>Wages!D665*I$610</f>
        <v>80.294117647058826</v>
      </c>
      <c r="H665" s="36"/>
      <c r="I665" s="36"/>
      <c r="J665" s="36"/>
      <c r="K665" s="36"/>
      <c r="L665" s="36"/>
      <c r="M665" s="36"/>
      <c r="N665" s="36"/>
      <c r="O665" s="36"/>
      <c r="P665" s="36"/>
      <c r="Q665" s="36"/>
    </row>
    <row r="666" spans="1:17">
      <c r="A666" s="54">
        <f t="shared" si="30"/>
        <v>1916</v>
      </c>
      <c r="B666" s="36"/>
      <c r="C666" s="38">
        <v>93</v>
      </c>
      <c r="D666" s="38">
        <v>73</v>
      </c>
      <c r="E666" s="36"/>
      <c r="F666" s="39">
        <f>Wages!C666*H$610</f>
        <v>113.66666666666667</v>
      </c>
      <c r="G666" s="39">
        <f>Wages!D666*I$610</f>
        <v>90.176470588235304</v>
      </c>
      <c r="H666" s="36"/>
      <c r="I666" s="36"/>
      <c r="J666" s="36"/>
      <c r="K666" s="36"/>
      <c r="L666" s="36"/>
      <c r="M666" s="36"/>
      <c r="N666" s="36"/>
      <c r="O666" s="36"/>
      <c r="P666" s="36"/>
      <c r="Q666" s="36"/>
    </row>
    <row r="667" spans="1:17">
      <c r="A667" s="54">
        <f t="shared" si="30"/>
        <v>1917</v>
      </c>
      <c r="B667" s="36"/>
      <c r="C667" s="38">
        <v>103</v>
      </c>
      <c r="D667" s="38">
        <v>83</v>
      </c>
      <c r="E667" s="36"/>
      <c r="F667" s="39">
        <f>Wages!C667*H$610</f>
        <v>125.8888888888889</v>
      </c>
      <c r="G667" s="39">
        <f>Wages!D667*I$610</f>
        <v>102.52941176470588</v>
      </c>
      <c r="H667" s="36"/>
      <c r="I667" s="36"/>
      <c r="J667" s="36"/>
      <c r="K667" s="36"/>
      <c r="L667" s="36"/>
      <c r="M667" s="36"/>
      <c r="N667" s="36"/>
      <c r="O667" s="36"/>
      <c r="P667" s="36"/>
      <c r="Q667" s="36"/>
    </row>
    <row r="668" spans="1:17">
      <c r="A668" s="54">
        <f t="shared" si="30"/>
        <v>1918</v>
      </c>
      <c r="B668" s="36"/>
      <c r="C668" s="38">
        <v>120</v>
      </c>
      <c r="D668" s="38">
        <v>95</v>
      </c>
      <c r="E668" s="36"/>
      <c r="F668" s="39">
        <f>Wages!C668*H$610</f>
        <v>146.66666666666669</v>
      </c>
      <c r="G668" s="39">
        <f>Wages!D668*I$610</f>
        <v>117.35294117647059</v>
      </c>
      <c r="H668" s="36"/>
      <c r="I668" s="36"/>
      <c r="J668" s="36"/>
      <c r="K668" s="36"/>
      <c r="L668" s="36"/>
      <c r="M668" s="36"/>
      <c r="N668" s="36"/>
      <c r="O668" s="36"/>
      <c r="P668" s="36"/>
      <c r="Q668" s="36"/>
    </row>
    <row r="669" spans="1:17">
      <c r="A669" s="54">
        <f t="shared" si="30"/>
        <v>1919</v>
      </c>
      <c r="B669" s="36"/>
      <c r="C669" s="38">
        <v>170</v>
      </c>
      <c r="D669" s="38">
        <v>140</v>
      </c>
      <c r="E669" s="36"/>
      <c r="F669" s="39">
        <f>Wages!C669*H$610</f>
        <v>207.7777777777778</v>
      </c>
      <c r="G669" s="39">
        <f>Wages!D669*I$610</f>
        <v>172.94117647058823</v>
      </c>
      <c r="H669" s="36"/>
      <c r="I669" s="36"/>
      <c r="J669" s="36"/>
      <c r="K669" s="36"/>
      <c r="L669" s="36"/>
      <c r="M669" s="36"/>
      <c r="N669" s="36"/>
      <c r="O669" s="36"/>
      <c r="P669" s="36"/>
      <c r="Q669" s="36"/>
    </row>
    <row r="670" spans="1:17">
      <c r="A670" s="54">
        <f t="shared" si="30"/>
        <v>1920</v>
      </c>
      <c r="B670" s="36"/>
      <c r="C670" s="38">
        <v>240</v>
      </c>
      <c r="D670" s="38">
        <v>210</v>
      </c>
      <c r="E670" s="36"/>
      <c r="F670" s="39">
        <f>Wages!C670*H$610</f>
        <v>293.33333333333337</v>
      </c>
      <c r="G670" s="39">
        <f>Wages!D670*I$610</f>
        <v>259.41176470588238</v>
      </c>
      <c r="H670" s="36"/>
      <c r="I670" s="36"/>
      <c r="J670" s="36"/>
      <c r="K670" s="36"/>
      <c r="L670" s="36"/>
      <c r="M670" s="36"/>
      <c r="N670" s="36"/>
      <c r="O670" s="36"/>
      <c r="P670" s="36"/>
      <c r="Q670" s="36"/>
    </row>
    <row r="671" spans="1:17">
      <c r="A671" s="54">
        <f t="shared" si="30"/>
        <v>1921</v>
      </c>
      <c r="B671" s="36"/>
      <c r="C671" s="38">
        <v>205</v>
      </c>
      <c r="D671" s="38">
        <v>165</v>
      </c>
      <c r="E671" s="36"/>
      <c r="F671" s="39">
        <f>Wages!C671*H$610</f>
        <v>250.55555555555557</v>
      </c>
      <c r="G671" s="39">
        <f>Wages!D671*I$610</f>
        <v>203.82352941176472</v>
      </c>
      <c r="H671" s="36"/>
      <c r="I671" s="36"/>
      <c r="J671" s="36"/>
      <c r="K671" s="36"/>
      <c r="L671" s="36"/>
      <c r="M671" s="36"/>
      <c r="N671" s="36"/>
      <c r="O671" s="36"/>
      <c r="P671" s="36"/>
      <c r="Q671" s="36"/>
    </row>
    <row r="672" spans="1:17">
      <c r="A672" s="54">
        <f t="shared" si="30"/>
        <v>1922</v>
      </c>
      <c r="B672" s="36"/>
      <c r="C672" s="38">
        <v>165</v>
      </c>
      <c r="D672" s="38">
        <v>125</v>
      </c>
      <c r="E672" s="36"/>
      <c r="F672" s="39">
        <f>Wages!C672*H$610</f>
        <v>201.66666666666669</v>
      </c>
      <c r="G672" s="39">
        <f>Wages!D672*I$610</f>
        <v>154.41176470588235</v>
      </c>
      <c r="H672" s="36"/>
      <c r="I672" s="36"/>
      <c r="J672" s="36"/>
      <c r="K672" s="36"/>
      <c r="L672" s="36"/>
      <c r="M672" s="36"/>
      <c r="N672" s="36"/>
      <c r="O672" s="36"/>
      <c r="P672" s="36"/>
      <c r="Q672" s="36"/>
    </row>
    <row r="673" spans="1:17">
      <c r="A673" s="54">
        <f t="shared" si="30"/>
        <v>1923</v>
      </c>
      <c r="B673" s="36"/>
      <c r="C673" s="38">
        <v>165</v>
      </c>
      <c r="D673" s="38">
        <v>125</v>
      </c>
      <c r="E673" s="36"/>
      <c r="F673" s="39">
        <f>Wages!C673*H$610</f>
        <v>201.66666666666669</v>
      </c>
      <c r="G673" s="39">
        <f>Wages!D673*I$610</f>
        <v>154.41176470588235</v>
      </c>
      <c r="H673" s="36"/>
      <c r="I673" s="36"/>
      <c r="J673" s="36"/>
      <c r="K673" s="36"/>
      <c r="L673" s="36"/>
      <c r="M673" s="36"/>
      <c r="N673" s="36"/>
      <c r="O673" s="36"/>
      <c r="P673" s="36"/>
      <c r="Q673" s="36"/>
    </row>
    <row r="674" spans="1:17">
      <c r="A674" s="54">
        <f t="shared" si="30"/>
        <v>1924</v>
      </c>
      <c r="B674" s="36"/>
      <c r="C674" s="38">
        <v>180</v>
      </c>
      <c r="D674" s="38">
        <v>138</v>
      </c>
      <c r="E674" s="36"/>
      <c r="F674" s="39">
        <f>Wages!C674*H$610</f>
        <v>220.00000000000003</v>
      </c>
      <c r="G674" s="39">
        <f>Wages!D674*I$610</f>
        <v>170.47058823529412</v>
      </c>
      <c r="H674" s="36"/>
      <c r="I674" s="36"/>
      <c r="J674" s="36"/>
      <c r="K674" s="36"/>
      <c r="L674" s="36"/>
      <c r="M674" s="36"/>
      <c r="N674" s="36"/>
      <c r="O674" s="36"/>
      <c r="P674" s="36"/>
      <c r="Q674" s="36"/>
    </row>
    <row r="675" spans="1:17">
      <c r="A675" s="54">
        <f t="shared" si="30"/>
        <v>1925</v>
      </c>
      <c r="B675" s="36"/>
      <c r="C675" s="38">
        <v>180</v>
      </c>
      <c r="D675" s="38">
        <v>138</v>
      </c>
      <c r="E675" s="36"/>
      <c r="F675" s="39">
        <f>Wages!C675*H$610</f>
        <v>220.00000000000003</v>
      </c>
      <c r="G675" s="39">
        <f>Wages!D675*I$610</f>
        <v>170.47058823529412</v>
      </c>
      <c r="H675" s="36"/>
      <c r="I675" s="36"/>
      <c r="J675" s="36"/>
      <c r="K675" s="36"/>
      <c r="L675" s="36"/>
      <c r="M675" s="36"/>
      <c r="N675" s="36"/>
      <c r="O675" s="36"/>
      <c r="P675" s="36"/>
      <c r="Q675" s="36"/>
    </row>
    <row r="676" spans="1:17">
      <c r="A676" s="54">
        <f t="shared" si="30"/>
        <v>1926</v>
      </c>
      <c r="B676" s="36"/>
      <c r="C676" s="38">
        <v>180</v>
      </c>
      <c r="D676" s="38">
        <v>138</v>
      </c>
      <c r="E676" s="36"/>
      <c r="F676" s="39">
        <f>Wages!C676*H$610</f>
        <v>220.00000000000003</v>
      </c>
      <c r="G676" s="39">
        <f>Wages!D676*I$610</f>
        <v>170.47058823529412</v>
      </c>
      <c r="H676" s="36"/>
      <c r="I676" s="36"/>
      <c r="J676" s="36"/>
      <c r="K676" s="36"/>
      <c r="L676" s="36"/>
      <c r="M676" s="36"/>
      <c r="N676" s="36"/>
      <c r="O676" s="36"/>
      <c r="P676" s="36"/>
      <c r="Q676" s="36"/>
    </row>
    <row r="677" spans="1:17">
      <c r="A677" s="54">
        <f t="shared" si="30"/>
        <v>1927</v>
      </c>
      <c r="B677" s="36"/>
      <c r="C677" s="38">
        <v>180</v>
      </c>
      <c r="D677" s="38">
        <v>138</v>
      </c>
      <c r="E677" s="36"/>
      <c r="F677" s="39">
        <f>Wages!C677*H$610</f>
        <v>220.00000000000003</v>
      </c>
      <c r="G677" s="39">
        <f>Wages!D677*I$610</f>
        <v>170.47058823529412</v>
      </c>
      <c r="H677" s="36"/>
      <c r="I677" s="36"/>
      <c r="J677" s="36"/>
      <c r="K677" s="36"/>
      <c r="L677" s="36"/>
      <c r="M677" s="36"/>
      <c r="N677" s="36"/>
      <c r="O677" s="36"/>
      <c r="P677" s="36"/>
      <c r="Q677" s="36"/>
    </row>
    <row r="678" spans="1:17">
      <c r="A678" s="54">
        <f t="shared" si="30"/>
        <v>1928</v>
      </c>
      <c r="B678" s="36"/>
      <c r="C678" s="38">
        <v>180</v>
      </c>
      <c r="D678" s="38">
        <v>138</v>
      </c>
      <c r="E678" s="36"/>
      <c r="F678" s="39">
        <f>Wages!C678*H$610</f>
        <v>220.00000000000003</v>
      </c>
      <c r="G678" s="39">
        <f>Wages!D678*I$610</f>
        <v>170.47058823529412</v>
      </c>
      <c r="H678" s="36"/>
      <c r="I678" s="36"/>
      <c r="J678" s="36"/>
      <c r="K678" s="36"/>
      <c r="L678" s="36"/>
      <c r="M678" s="36"/>
      <c r="N678" s="36"/>
      <c r="O678" s="36"/>
      <c r="P678" s="36"/>
      <c r="Q678" s="36"/>
    </row>
    <row r="679" spans="1:17">
      <c r="A679" s="54">
        <f t="shared" si="30"/>
        <v>1929</v>
      </c>
      <c r="B679" s="36"/>
      <c r="C679" s="38">
        <v>180</v>
      </c>
      <c r="D679" s="38">
        <v>138</v>
      </c>
      <c r="E679" s="36"/>
      <c r="F679" s="39">
        <f>Wages!C679*H$610</f>
        <v>220.00000000000003</v>
      </c>
      <c r="G679" s="39">
        <f>Wages!D679*I$610</f>
        <v>170.47058823529412</v>
      </c>
      <c r="H679" s="36"/>
      <c r="I679" s="36"/>
      <c r="J679" s="36"/>
      <c r="K679" s="36"/>
      <c r="L679" s="36"/>
      <c r="M679" s="36"/>
      <c r="N679" s="36"/>
      <c r="O679" s="36"/>
      <c r="P679" s="36"/>
      <c r="Q679" s="36"/>
    </row>
    <row r="680" spans="1:17">
      <c r="A680" s="54">
        <f t="shared" si="30"/>
        <v>1930</v>
      </c>
      <c r="B680" s="36"/>
      <c r="C680" s="38">
        <v>175</v>
      </c>
      <c r="D680" s="38">
        <v>133</v>
      </c>
      <c r="E680" s="36"/>
      <c r="F680" s="39">
        <f>Wages!C680*H$610</f>
        <v>213.88888888888891</v>
      </c>
      <c r="G680" s="39">
        <f>Wages!D680*I$610</f>
        <v>164.29411764705884</v>
      </c>
      <c r="H680" s="36"/>
      <c r="I680" s="36"/>
      <c r="J680" s="36"/>
      <c r="K680" s="36"/>
      <c r="L680" s="36"/>
      <c r="M680" s="36"/>
      <c r="N680" s="36"/>
      <c r="O680" s="36"/>
      <c r="P680" s="36"/>
      <c r="Q680" s="36"/>
    </row>
    <row r="681" spans="1:17">
      <c r="A681" s="54">
        <f t="shared" si="30"/>
        <v>1931</v>
      </c>
      <c r="B681" s="36"/>
      <c r="C681" s="38">
        <v>170</v>
      </c>
      <c r="D681" s="38">
        <v>128</v>
      </c>
      <c r="E681" s="36"/>
      <c r="F681" s="39">
        <f>Wages!C681*H$610</f>
        <v>207.7777777777778</v>
      </c>
      <c r="G681" s="39">
        <f>Wages!D681*I$610</f>
        <v>158.11764705882354</v>
      </c>
      <c r="H681" s="36"/>
      <c r="I681" s="36"/>
      <c r="J681" s="36"/>
      <c r="K681" s="36"/>
      <c r="L681" s="36"/>
      <c r="M681" s="36"/>
      <c r="N681" s="36"/>
      <c r="O681" s="36"/>
      <c r="P681" s="36"/>
      <c r="Q681" s="36"/>
    </row>
    <row r="682" spans="1:17">
      <c r="A682" s="54">
        <f t="shared" si="30"/>
        <v>1932</v>
      </c>
      <c r="B682" s="36"/>
      <c r="C682" s="38">
        <v>170</v>
      </c>
      <c r="D682" s="38">
        <v>128</v>
      </c>
      <c r="E682" s="36"/>
      <c r="F682" s="39">
        <f>Wages!C682*H$610</f>
        <v>207.7777777777778</v>
      </c>
      <c r="G682" s="39">
        <f>Wages!D682*I$610</f>
        <v>158.11764705882354</v>
      </c>
      <c r="H682" s="36"/>
      <c r="I682" s="36"/>
      <c r="J682" s="36"/>
      <c r="K682" s="36"/>
      <c r="L682" s="36"/>
      <c r="M682" s="36"/>
      <c r="N682" s="36"/>
      <c r="O682" s="36"/>
      <c r="P682" s="36"/>
      <c r="Q682" s="36"/>
    </row>
    <row r="683" spans="1:17">
      <c r="A683" s="54">
        <f t="shared" si="30"/>
        <v>1933</v>
      </c>
      <c r="B683" s="36"/>
      <c r="C683" s="38">
        <v>165</v>
      </c>
      <c r="D683" s="38">
        <v>125</v>
      </c>
      <c r="E683" s="36"/>
      <c r="F683" s="39">
        <f>Wages!C683*H$610</f>
        <v>201.66666666666669</v>
      </c>
      <c r="G683" s="39">
        <f>Wages!D683*I$610</f>
        <v>154.41176470588235</v>
      </c>
      <c r="H683" s="36"/>
      <c r="I683" s="36"/>
      <c r="J683" s="36"/>
      <c r="K683" s="36"/>
      <c r="L683" s="36"/>
      <c r="M683" s="36"/>
      <c r="N683" s="36"/>
      <c r="O683" s="36"/>
      <c r="P683" s="36"/>
      <c r="Q683" s="36"/>
    </row>
    <row r="684" spans="1:17">
      <c r="A684" s="54">
        <f t="shared" si="30"/>
        <v>1934</v>
      </c>
      <c r="B684" s="36"/>
      <c r="C684" s="38">
        <v>165</v>
      </c>
      <c r="D684" s="38">
        <v>125</v>
      </c>
      <c r="E684" s="36"/>
      <c r="F684" s="39">
        <f>Wages!C684*H$610</f>
        <v>201.66666666666669</v>
      </c>
      <c r="G684" s="39">
        <f>Wages!D684*I$610</f>
        <v>154.41176470588235</v>
      </c>
      <c r="H684" s="36"/>
      <c r="I684" s="36"/>
      <c r="J684" s="36"/>
      <c r="K684" s="36"/>
      <c r="L684" s="36"/>
      <c r="M684" s="36"/>
      <c r="N684" s="36"/>
      <c r="O684" s="36"/>
      <c r="P684" s="36"/>
      <c r="Q684" s="36"/>
    </row>
    <row r="685" spans="1:17">
      <c r="A685" s="54">
        <f t="shared" si="30"/>
        <v>1935</v>
      </c>
      <c r="B685" s="36"/>
      <c r="C685" s="38">
        <v>175</v>
      </c>
      <c r="D685" s="38">
        <v>133</v>
      </c>
      <c r="E685" s="36"/>
      <c r="F685" s="39">
        <f>Wages!C685*H$610</f>
        <v>213.88888888888891</v>
      </c>
      <c r="G685" s="39">
        <f>Wages!D685*I$610</f>
        <v>164.29411764705884</v>
      </c>
      <c r="H685" s="36"/>
      <c r="I685" s="36"/>
      <c r="J685" s="36"/>
      <c r="K685" s="36"/>
      <c r="L685" s="36"/>
      <c r="M685" s="36"/>
      <c r="N685" s="36"/>
      <c r="O685" s="36"/>
      <c r="P685" s="36"/>
      <c r="Q685" s="36"/>
    </row>
    <row r="686" spans="1:17">
      <c r="A686" s="54">
        <f t="shared" si="30"/>
        <v>1936</v>
      </c>
      <c r="B686" s="36"/>
      <c r="C686" s="38">
        <v>180</v>
      </c>
      <c r="D686" s="38">
        <v>135</v>
      </c>
      <c r="E686" s="36"/>
      <c r="F686" s="39">
        <f>Wages!C686*H$610</f>
        <v>220.00000000000003</v>
      </c>
      <c r="G686" s="39">
        <f>Wages!D686*I$610</f>
        <v>166.76470588235296</v>
      </c>
      <c r="H686" s="36"/>
      <c r="I686" s="36"/>
      <c r="J686" s="36"/>
      <c r="K686" s="36"/>
      <c r="L686" s="36"/>
      <c r="M686" s="36"/>
      <c r="N686" s="36"/>
      <c r="O686" s="36"/>
      <c r="P686" s="36"/>
      <c r="Q686" s="36"/>
    </row>
    <row r="687" spans="1:17">
      <c r="A687" s="54">
        <f t="shared" si="30"/>
        <v>1937</v>
      </c>
      <c r="B687" s="36"/>
      <c r="C687" s="38">
        <v>185</v>
      </c>
      <c r="D687" s="38">
        <v>140</v>
      </c>
      <c r="E687" s="36"/>
      <c r="F687" s="39">
        <f>Wages!C687*H$610</f>
        <v>226.11111111111114</v>
      </c>
      <c r="G687" s="39">
        <f>Wages!D687*I$610</f>
        <v>172.94117647058823</v>
      </c>
      <c r="H687" s="36"/>
      <c r="I687" s="36"/>
      <c r="J687" s="36"/>
      <c r="K687" s="36"/>
      <c r="L687" s="36"/>
      <c r="M687" s="36"/>
      <c r="N687" s="36"/>
      <c r="O687" s="36"/>
      <c r="P687" s="36"/>
      <c r="Q687" s="36"/>
    </row>
    <row r="688" spans="1:17">
      <c r="A688" s="54">
        <f t="shared" si="30"/>
        <v>1938</v>
      </c>
      <c r="B688" s="36"/>
      <c r="C688" s="38">
        <v>190</v>
      </c>
      <c r="D688" s="38">
        <v>143</v>
      </c>
      <c r="E688" s="36"/>
      <c r="F688" s="39">
        <f>Wages!C688*H$610</f>
        <v>232.22222222222223</v>
      </c>
      <c r="G688" s="39">
        <f>Wages!D688*I$610</f>
        <v>176.64705882352942</v>
      </c>
      <c r="H688" s="36"/>
      <c r="I688" s="36"/>
      <c r="J688" s="36"/>
      <c r="K688" s="36"/>
      <c r="L688" s="36"/>
      <c r="M688" s="36"/>
      <c r="N688" s="36"/>
      <c r="O688" s="36"/>
      <c r="P688" s="36"/>
      <c r="Q688" s="36"/>
    </row>
    <row r="689" spans="1:17">
      <c r="A689" s="54">
        <f t="shared" si="30"/>
        <v>1939</v>
      </c>
      <c r="B689" s="36"/>
      <c r="C689" s="38">
        <v>195</v>
      </c>
      <c r="D689" s="38">
        <v>148</v>
      </c>
      <c r="E689" s="36"/>
      <c r="F689" s="39">
        <f>Wages!C689*H$610</f>
        <v>238.33333333333334</v>
      </c>
      <c r="G689" s="39">
        <f>Wages!D689*I$610</f>
        <v>182.82352941176472</v>
      </c>
      <c r="H689" s="36"/>
      <c r="I689" s="36"/>
      <c r="J689" s="36"/>
      <c r="K689" s="36"/>
      <c r="L689" s="36"/>
      <c r="M689" s="36"/>
      <c r="N689" s="36"/>
      <c r="O689" s="36"/>
      <c r="P689" s="36"/>
      <c r="Q689" s="36"/>
    </row>
    <row r="690" spans="1:17">
      <c r="A690" s="54">
        <f t="shared" si="30"/>
        <v>1940</v>
      </c>
      <c r="B690" s="36"/>
      <c r="C690" s="38">
        <v>210</v>
      </c>
      <c r="D690" s="38">
        <v>163</v>
      </c>
      <c r="E690" s="36"/>
      <c r="F690" s="39">
        <f>Wages!C690*H$610</f>
        <v>256.66666666666669</v>
      </c>
      <c r="G690" s="39">
        <f>Wages!D690*I$610</f>
        <v>201.35294117647061</v>
      </c>
      <c r="H690" s="36"/>
      <c r="I690" s="36"/>
      <c r="J690" s="36"/>
      <c r="K690" s="36"/>
      <c r="L690" s="36"/>
      <c r="M690" s="36"/>
      <c r="N690" s="36"/>
      <c r="O690" s="36"/>
      <c r="P690" s="36"/>
      <c r="Q690" s="36"/>
    </row>
    <row r="691" spans="1:17">
      <c r="A691" s="54">
        <f t="shared" si="30"/>
        <v>1941</v>
      </c>
      <c r="B691" s="36"/>
      <c r="C691" s="38">
        <v>220</v>
      </c>
      <c r="D691" s="38">
        <v>173</v>
      </c>
      <c r="E691" s="36"/>
      <c r="F691" s="39">
        <f>Wages!C691*H$610</f>
        <v>268.88888888888891</v>
      </c>
      <c r="G691" s="39">
        <f>Wages!D691*I$610</f>
        <v>213.70588235294119</v>
      </c>
      <c r="H691" s="36"/>
      <c r="I691" s="36"/>
      <c r="J691" s="36"/>
      <c r="K691" s="36"/>
      <c r="L691" s="36"/>
      <c r="M691" s="36"/>
      <c r="N691" s="36"/>
      <c r="O691" s="36"/>
      <c r="P691" s="36"/>
      <c r="Q691" s="36"/>
    </row>
    <row r="692" spans="1:17">
      <c r="A692" s="54">
        <f t="shared" si="30"/>
        <v>1942</v>
      </c>
      <c r="B692" s="36"/>
      <c r="C692" s="38">
        <v>225</v>
      </c>
      <c r="D692" s="38">
        <v>178</v>
      </c>
      <c r="E692" s="36"/>
      <c r="F692" s="39">
        <f>Wages!C692*H$610</f>
        <v>275</v>
      </c>
      <c r="G692" s="39">
        <f>Wages!D692*I$610</f>
        <v>219.88235294117649</v>
      </c>
      <c r="H692" s="36"/>
      <c r="I692" s="36"/>
      <c r="J692" s="36"/>
      <c r="K692" s="36"/>
      <c r="L692" s="36"/>
      <c r="M692" s="36"/>
      <c r="N692" s="36"/>
      <c r="O692" s="36"/>
      <c r="P692" s="36"/>
      <c r="Q692" s="36"/>
    </row>
    <row r="693" spans="1:17">
      <c r="A693" s="54">
        <f t="shared" si="30"/>
        <v>1943</v>
      </c>
      <c r="B693" s="36"/>
      <c r="C693" s="38">
        <v>235</v>
      </c>
      <c r="D693" s="38">
        <v>185</v>
      </c>
      <c r="E693" s="36"/>
      <c r="F693" s="39">
        <f>Wages!C693*H$610</f>
        <v>287.22222222222223</v>
      </c>
      <c r="G693" s="39">
        <f>Wages!D693*I$610</f>
        <v>228.52941176470588</v>
      </c>
      <c r="H693" s="36"/>
      <c r="I693" s="36"/>
      <c r="J693" s="36"/>
      <c r="K693" s="36"/>
      <c r="L693" s="36"/>
      <c r="M693" s="36"/>
      <c r="N693" s="36"/>
      <c r="O693" s="36"/>
      <c r="P693" s="36"/>
      <c r="Q693" s="36"/>
    </row>
    <row r="694" spans="1:17">
      <c r="A694" s="54">
        <f t="shared" si="30"/>
        <v>1944</v>
      </c>
      <c r="B694" s="36"/>
      <c r="C694" s="38">
        <v>245</v>
      </c>
      <c r="D694" s="38">
        <v>193</v>
      </c>
      <c r="E694" s="36"/>
      <c r="F694" s="39">
        <f>Wages!C694*H$610</f>
        <v>299.44444444444446</v>
      </c>
      <c r="G694" s="39">
        <f>Wages!D694*I$610</f>
        <v>238.41176470588238</v>
      </c>
      <c r="H694" s="36"/>
      <c r="I694" s="36"/>
      <c r="J694" s="36"/>
      <c r="K694" s="36"/>
      <c r="L694" s="36"/>
      <c r="M694" s="36"/>
      <c r="N694" s="36"/>
      <c r="O694" s="36"/>
      <c r="P694" s="36"/>
      <c r="Q694" s="36"/>
    </row>
    <row r="695" spans="1:17">
      <c r="A695" s="54">
        <f t="shared" si="30"/>
        <v>1945</v>
      </c>
      <c r="B695" s="36"/>
      <c r="C695" s="38">
        <v>255</v>
      </c>
      <c r="D695" s="38">
        <v>205</v>
      </c>
      <c r="E695" s="36"/>
      <c r="F695" s="39">
        <f>Wages!C695*H$610</f>
        <v>311.66666666666669</v>
      </c>
      <c r="G695" s="39">
        <f>Wages!D695*I$610</f>
        <v>253.23529411764707</v>
      </c>
      <c r="H695" s="36"/>
      <c r="I695" s="36"/>
      <c r="J695" s="36"/>
      <c r="K695" s="36"/>
      <c r="L695" s="36"/>
      <c r="M695" s="36"/>
      <c r="N695" s="36"/>
      <c r="O695" s="36"/>
      <c r="P695" s="36"/>
      <c r="Q695" s="36"/>
    </row>
    <row r="696" spans="1:17">
      <c r="A696" s="54">
        <f t="shared" si="30"/>
        <v>1946</v>
      </c>
      <c r="B696" s="36"/>
      <c r="C696" s="38">
        <v>295</v>
      </c>
      <c r="D696" s="38">
        <v>238</v>
      </c>
      <c r="E696" s="36"/>
      <c r="F696" s="39">
        <f>Wages!C696*H$610</f>
        <v>360.5555555555556</v>
      </c>
      <c r="G696" s="39">
        <f>Wages!D696*I$610</f>
        <v>294</v>
      </c>
      <c r="H696" s="36"/>
      <c r="I696" s="36"/>
      <c r="J696" s="36"/>
      <c r="K696" s="36"/>
      <c r="L696" s="36"/>
      <c r="M696" s="36"/>
      <c r="N696" s="36"/>
      <c r="O696" s="36"/>
      <c r="P696" s="36"/>
      <c r="Q696" s="36"/>
    </row>
    <row r="697" spans="1:17">
      <c r="A697" s="54">
        <f t="shared" si="30"/>
        <v>1947</v>
      </c>
      <c r="B697" s="36"/>
      <c r="C697" s="38">
        <v>325</v>
      </c>
      <c r="D697" s="38">
        <v>260</v>
      </c>
      <c r="E697" s="36"/>
      <c r="F697" s="39">
        <f>Wages!C697*H$610</f>
        <v>397.22222222222223</v>
      </c>
      <c r="G697" s="39">
        <f>Wages!D697*I$610</f>
        <v>321.1764705882353</v>
      </c>
      <c r="H697" s="36"/>
      <c r="I697" s="36"/>
      <c r="J697" s="36"/>
      <c r="K697" s="36"/>
      <c r="L697" s="36"/>
      <c r="M697" s="36"/>
      <c r="N697" s="36"/>
      <c r="O697" s="36"/>
      <c r="P697" s="36"/>
      <c r="Q697" s="36"/>
    </row>
    <row r="698" spans="1:17">
      <c r="A698" s="54">
        <f t="shared" si="30"/>
        <v>1948</v>
      </c>
      <c r="B698" s="36"/>
      <c r="C698" s="38">
        <v>330</v>
      </c>
      <c r="D698" s="38">
        <v>265</v>
      </c>
      <c r="E698" s="36"/>
      <c r="F698" s="39">
        <f>Wages!C698*H$610</f>
        <v>403.33333333333337</v>
      </c>
      <c r="G698" s="39">
        <f>Wages!D698*I$610</f>
        <v>327.35294117647061</v>
      </c>
      <c r="H698" s="36"/>
      <c r="I698" s="36"/>
      <c r="J698" s="36"/>
      <c r="K698" s="36"/>
      <c r="L698" s="36"/>
      <c r="M698" s="36"/>
      <c r="N698" s="36"/>
      <c r="O698" s="36"/>
      <c r="P698" s="36"/>
      <c r="Q698" s="36"/>
    </row>
    <row r="699" spans="1:17">
      <c r="A699" s="54">
        <f t="shared" si="30"/>
        <v>1949</v>
      </c>
      <c r="B699" s="36"/>
      <c r="C699" s="38">
        <v>335</v>
      </c>
      <c r="D699" s="38">
        <v>275</v>
      </c>
      <c r="E699" s="36"/>
      <c r="F699" s="39">
        <f>Wages!C699*H$610</f>
        <v>409.44444444444446</v>
      </c>
      <c r="G699" s="39">
        <f>Wages!D699*I$610</f>
        <v>339.70588235294122</v>
      </c>
      <c r="H699" s="36"/>
      <c r="I699" s="36"/>
      <c r="J699" s="36"/>
      <c r="K699" s="36"/>
      <c r="L699" s="36"/>
      <c r="M699" s="36"/>
      <c r="N699" s="36"/>
      <c r="O699" s="36"/>
      <c r="P699" s="36"/>
      <c r="Q699" s="36"/>
    </row>
    <row r="700" spans="1:17">
      <c r="A700" s="54">
        <f t="shared" si="30"/>
        <v>1950</v>
      </c>
      <c r="B700" s="36"/>
      <c r="C700" s="38">
        <v>340</v>
      </c>
      <c r="D700" s="38">
        <v>285</v>
      </c>
      <c r="E700" s="36"/>
      <c r="F700" s="39">
        <f>Wages!C700*H$610</f>
        <v>415.5555555555556</v>
      </c>
      <c r="G700" s="39">
        <f>Wages!D700*I$610</f>
        <v>352.05882352941177</v>
      </c>
      <c r="H700" s="36"/>
      <c r="I700" s="36"/>
      <c r="J700" s="36"/>
      <c r="K700" s="36"/>
      <c r="L700" s="36"/>
      <c r="M700" s="36"/>
      <c r="N700" s="36"/>
      <c r="O700" s="36"/>
      <c r="P700" s="36"/>
      <c r="Q700" s="36"/>
    </row>
    <row r="701" spans="1:17">
      <c r="A701" s="54">
        <f t="shared" si="30"/>
        <v>1951</v>
      </c>
      <c r="B701" s="36"/>
      <c r="C701" s="38">
        <v>370</v>
      </c>
      <c r="D701" s="38">
        <v>315</v>
      </c>
      <c r="E701" s="36"/>
      <c r="F701" s="39">
        <f>Wages!C701*H$610</f>
        <v>452.22222222222229</v>
      </c>
      <c r="G701" s="39">
        <f>Wages!D701*I$610</f>
        <v>389.11764705882354</v>
      </c>
      <c r="H701" s="36"/>
      <c r="I701" s="36"/>
      <c r="J701" s="36"/>
      <c r="K701" s="36"/>
      <c r="L701" s="36"/>
      <c r="M701" s="36"/>
      <c r="N701" s="36"/>
      <c r="O701" s="36"/>
      <c r="P701" s="36"/>
      <c r="Q701" s="36"/>
    </row>
    <row r="702" spans="1:17">
      <c r="A702" s="54">
        <f t="shared" si="30"/>
        <v>1952</v>
      </c>
      <c r="B702" s="36"/>
      <c r="C702" s="38">
        <v>400</v>
      </c>
      <c r="D702" s="38">
        <v>345</v>
      </c>
      <c r="E702" s="36"/>
      <c r="F702" s="39">
        <f>Wages!C702*H$610</f>
        <v>488.88888888888891</v>
      </c>
      <c r="G702" s="39">
        <f>Wages!D702*I$610</f>
        <v>426.1764705882353</v>
      </c>
      <c r="H702" s="36"/>
      <c r="I702" s="36"/>
      <c r="J702" s="36"/>
      <c r="K702" s="36"/>
      <c r="L702" s="36"/>
      <c r="M702" s="36"/>
      <c r="N702" s="36"/>
      <c r="O702" s="36"/>
      <c r="P702" s="36"/>
      <c r="Q702" s="36"/>
    </row>
    <row r="703" spans="1:17">
      <c r="A703" s="54">
        <f t="shared" si="30"/>
        <v>1953</v>
      </c>
      <c r="B703" s="36"/>
      <c r="C703" s="38">
        <v>420</v>
      </c>
      <c r="D703" s="38">
        <v>365</v>
      </c>
      <c r="E703" s="36"/>
      <c r="F703" s="39">
        <f>Wages!C703*H$610</f>
        <v>513.33333333333337</v>
      </c>
      <c r="G703" s="39">
        <f>Wages!D703*I$610</f>
        <v>450.88235294117646</v>
      </c>
      <c r="H703" s="36"/>
      <c r="I703" s="36"/>
      <c r="J703" s="36"/>
      <c r="K703" s="36"/>
      <c r="L703" s="36"/>
      <c r="M703" s="36"/>
      <c r="N703" s="36"/>
      <c r="O703" s="36"/>
      <c r="P703" s="36"/>
      <c r="Q703" s="36"/>
    </row>
    <row r="704" spans="1:17">
      <c r="A704" s="54">
        <f t="shared" si="30"/>
        <v>1954</v>
      </c>
      <c r="B704" s="36"/>
      <c r="C704" s="38">
        <v>445</v>
      </c>
      <c r="D704" s="38">
        <v>390</v>
      </c>
      <c r="E704" s="36"/>
      <c r="F704" s="39">
        <f>Wages!C704*H$610</f>
        <v>543.88888888888891</v>
      </c>
      <c r="G704" s="39">
        <f>Wages!D704*I$610</f>
        <v>481.76470588235298</v>
      </c>
      <c r="H704" s="36"/>
      <c r="I704" s="36"/>
      <c r="J704" s="36"/>
      <c r="K704" s="36"/>
      <c r="L704" s="36"/>
      <c r="M704" s="36"/>
      <c r="N704" s="36"/>
      <c r="O704" s="36"/>
      <c r="P704" s="36"/>
      <c r="Q704" s="36"/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2"/>
  <sheetViews>
    <sheetView workbookViewId="0"/>
  </sheetViews>
  <sheetFormatPr baseColWidth="10" defaultColWidth="8.83203125" defaultRowHeight="12" x14ac:dyDescent="0"/>
  <cols>
    <col min="1" max="1" width="6.1640625" customWidth="1"/>
    <col min="2" max="2" width="10" customWidth="1"/>
    <col min="3" max="3" width="12.5" customWidth="1"/>
    <col min="4" max="4" width="10.6640625" customWidth="1"/>
    <col min="5" max="5" width="13.5" customWidth="1"/>
    <col min="6" max="6" width="4.83203125" customWidth="1"/>
  </cols>
  <sheetData>
    <row r="1" spans="1:14" s="72" customFormat="1" ht="15" customHeight="1">
      <c r="A1" s="77" t="s">
        <v>250</v>
      </c>
      <c r="D1" s="71" t="s">
        <v>222</v>
      </c>
    </row>
    <row r="2" spans="1:14" s="72" customFormat="1" ht="15" customHeight="1">
      <c r="A2" s="71"/>
    </row>
    <row r="3" spans="1:14" s="72" customFormat="1" ht="15" customHeight="1">
      <c r="C3" s="73" t="s">
        <v>54</v>
      </c>
      <c r="D3" s="73"/>
      <c r="E3" s="73"/>
      <c r="F3" s="74"/>
    </row>
    <row r="4" spans="1:14" s="72" customFormat="1" ht="15" customHeight="1">
      <c r="F4" s="75"/>
      <c r="G4" s="76" t="s">
        <v>249</v>
      </c>
      <c r="H4" s="75"/>
      <c r="I4" s="75"/>
      <c r="J4" s="75"/>
    </row>
    <row r="5" spans="1:14" ht="12.75" customHeight="1">
      <c r="A5" s="1"/>
      <c r="B5" s="5" t="s">
        <v>9</v>
      </c>
      <c r="C5" s="6" t="s">
        <v>47</v>
      </c>
      <c r="D5" s="6" t="s">
        <v>47</v>
      </c>
      <c r="E5" s="6" t="s">
        <v>47</v>
      </c>
      <c r="F5" s="7"/>
      <c r="G5" s="7"/>
      <c r="H5" s="7"/>
      <c r="I5" s="4"/>
      <c r="J5" s="4"/>
    </row>
    <row r="6" spans="1:14" ht="40">
      <c r="B6" s="46" t="s">
        <v>10</v>
      </c>
      <c r="C6" s="47" t="s">
        <v>13</v>
      </c>
      <c r="D6" s="47" t="s">
        <v>14</v>
      </c>
      <c r="E6" s="47" t="s">
        <v>15</v>
      </c>
      <c r="F6" s="4"/>
      <c r="G6" s="4"/>
      <c r="H6" s="4"/>
      <c r="I6" s="4"/>
      <c r="J6" s="4"/>
    </row>
    <row r="7" spans="1:14">
      <c r="B7" s="5" t="s">
        <v>11</v>
      </c>
      <c r="C7" s="6"/>
      <c r="D7" s="6"/>
      <c r="E7" s="6"/>
    </row>
    <row r="8" spans="1:14">
      <c r="A8" s="2" t="s">
        <v>12</v>
      </c>
      <c r="B8" s="36"/>
      <c r="C8" s="36"/>
      <c r="D8" s="36"/>
      <c r="E8" s="37"/>
    </row>
    <row r="9" spans="1:14">
      <c r="A9" s="42">
        <v>1259</v>
      </c>
      <c r="B9" s="36"/>
      <c r="C9" s="38">
        <v>21.3</v>
      </c>
      <c r="D9" s="36"/>
      <c r="E9" s="39">
        <f>(31.1*0.925/$C9)</f>
        <v>1.3505868544600939</v>
      </c>
      <c r="G9" s="8" t="s">
        <v>16</v>
      </c>
      <c r="H9" s="9"/>
      <c r="I9" s="9"/>
      <c r="J9" s="9"/>
      <c r="K9" s="9"/>
      <c r="L9" s="9"/>
      <c r="M9" s="9"/>
      <c r="N9" s="10"/>
    </row>
    <row r="10" spans="1:14">
      <c r="A10" s="42">
        <f t="shared" ref="A10:A73" si="0">A9+1</f>
        <v>1260</v>
      </c>
      <c r="B10" s="36"/>
      <c r="C10" s="38">
        <v>21.3</v>
      </c>
      <c r="D10" s="36"/>
      <c r="E10" s="39">
        <f t="shared" ref="E10:E73" si="1">(31.1*0.925/$C10)</f>
        <v>1.3505868544600939</v>
      </c>
      <c r="G10" s="13"/>
      <c r="H10" s="11"/>
      <c r="I10" s="11"/>
      <c r="J10" s="11"/>
      <c r="K10" s="11"/>
      <c r="L10" s="11"/>
      <c r="M10" s="11"/>
      <c r="N10" s="12"/>
    </row>
    <row r="11" spans="1:14">
      <c r="A11" s="42">
        <f t="shared" si="0"/>
        <v>1261</v>
      </c>
      <c r="B11" s="36"/>
      <c r="C11" s="38">
        <v>21.3</v>
      </c>
      <c r="D11" s="36"/>
      <c r="E11" s="39">
        <f t="shared" si="1"/>
        <v>1.3505868544600939</v>
      </c>
      <c r="G11" s="13" t="s">
        <v>17</v>
      </c>
      <c r="H11" s="14" t="s">
        <v>20</v>
      </c>
      <c r="I11" s="15"/>
      <c r="J11" s="15"/>
      <c r="K11" s="15"/>
      <c r="L11" s="15"/>
      <c r="M11" s="15"/>
      <c r="N11" s="16"/>
    </row>
    <row r="12" spans="1:14">
      <c r="A12" s="42">
        <f t="shared" si="0"/>
        <v>1262</v>
      </c>
      <c r="B12" s="36"/>
      <c r="C12" s="38">
        <v>21.3</v>
      </c>
      <c r="D12" s="36"/>
      <c r="E12" s="39">
        <f t="shared" si="1"/>
        <v>1.3505868544600939</v>
      </c>
      <c r="G12" s="13"/>
      <c r="H12" s="19" t="s">
        <v>21</v>
      </c>
      <c r="I12" s="20" t="s">
        <v>22</v>
      </c>
      <c r="J12" s="20"/>
      <c r="K12" s="20"/>
      <c r="L12" s="20"/>
      <c r="M12" s="11"/>
      <c r="N12" s="12"/>
    </row>
    <row r="13" spans="1:14">
      <c r="A13" s="42">
        <f t="shared" si="0"/>
        <v>1263</v>
      </c>
      <c r="B13" s="36"/>
      <c r="C13" s="38">
        <v>21.3</v>
      </c>
      <c r="D13" s="36"/>
      <c r="E13" s="39">
        <f t="shared" si="1"/>
        <v>1.3505868544600939</v>
      </c>
      <c r="G13" s="18"/>
      <c r="H13" s="19"/>
      <c r="I13" s="20" t="s">
        <v>23</v>
      </c>
      <c r="J13" s="20"/>
      <c r="K13" s="20"/>
      <c r="L13" s="20"/>
      <c r="M13" s="15"/>
      <c r="N13" s="16"/>
    </row>
    <row r="14" spans="1:14">
      <c r="A14" s="42">
        <f t="shared" si="0"/>
        <v>1264</v>
      </c>
      <c r="B14" s="36"/>
      <c r="C14" s="38">
        <v>21.3</v>
      </c>
      <c r="D14" s="36"/>
      <c r="E14" s="39">
        <f t="shared" si="1"/>
        <v>1.3505868544600939</v>
      </c>
      <c r="G14" s="13"/>
      <c r="H14" s="23" t="s">
        <v>24</v>
      </c>
      <c r="I14" s="24" t="s">
        <v>25</v>
      </c>
      <c r="J14" s="24"/>
      <c r="K14" s="24"/>
      <c r="L14" s="24"/>
      <c r="M14" s="20"/>
      <c r="N14" s="21"/>
    </row>
    <row r="15" spans="1:14">
      <c r="A15" s="42">
        <f t="shared" si="0"/>
        <v>1265</v>
      </c>
      <c r="B15" s="36"/>
      <c r="C15" s="38">
        <v>21.3</v>
      </c>
      <c r="D15" s="36"/>
      <c r="E15" s="39">
        <f t="shared" si="1"/>
        <v>1.3505868544600939</v>
      </c>
      <c r="G15" s="13"/>
      <c r="H15" s="23"/>
      <c r="I15" s="17" t="s">
        <v>26</v>
      </c>
      <c r="J15" s="17"/>
      <c r="K15" s="17"/>
      <c r="L15" s="17"/>
      <c r="M15" s="20"/>
      <c r="N15" s="21"/>
    </row>
    <row r="16" spans="1:14">
      <c r="A16" s="42">
        <f t="shared" si="0"/>
        <v>1266</v>
      </c>
      <c r="B16" s="36"/>
      <c r="C16" s="38">
        <v>21.3</v>
      </c>
      <c r="D16" s="36"/>
      <c r="E16" s="39">
        <f t="shared" si="1"/>
        <v>1.3505868544600939</v>
      </c>
      <c r="G16" s="13"/>
      <c r="H16" s="23" t="s">
        <v>27</v>
      </c>
      <c r="I16" s="17" t="s">
        <v>28</v>
      </c>
      <c r="J16" s="17"/>
      <c r="K16" s="17"/>
      <c r="L16" s="17"/>
      <c r="M16" s="24"/>
      <c r="N16" s="25"/>
    </row>
    <row r="17" spans="1:14">
      <c r="A17" s="42">
        <f t="shared" si="0"/>
        <v>1267</v>
      </c>
      <c r="B17" s="36"/>
      <c r="C17" s="38">
        <v>21.3</v>
      </c>
      <c r="D17" s="36"/>
      <c r="E17" s="39">
        <f t="shared" si="1"/>
        <v>1.3505868544600939</v>
      </c>
      <c r="G17" s="13"/>
      <c r="H17" s="23" t="s">
        <v>29</v>
      </c>
      <c r="I17" s="17" t="s">
        <v>30</v>
      </c>
      <c r="J17" s="17"/>
      <c r="K17" s="17"/>
      <c r="L17" s="17"/>
      <c r="M17" s="17"/>
      <c r="N17" s="26"/>
    </row>
    <row r="18" spans="1:14">
      <c r="A18" s="42">
        <f t="shared" si="0"/>
        <v>1268</v>
      </c>
      <c r="B18" s="36"/>
      <c r="C18" s="38">
        <v>21.3</v>
      </c>
      <c r="D18" s="36"/>
      <c r="E18" s="39">
        <f t="shared" si="1"/>
        <v>1.3505868544600939</v>
      </c>
      <c r="G18" s="13"/>
      <c r="H18" s="23" t="s">
        <v>31</v>
      </c>
      <c r="I18" s="17" t="s">
        <v>32</v>
      </c>
      <c r="J18" s="17"/>
      <c r="K18" s="17"/>
      <c r="L18" s="17"/>
      <c r="M18" s="17"/>
      <c r="N18" s="26"/>
    </row>
    <row r="19" spans="1:14">
      <c r="A19" s="42">
        <f t="shared" si="0"/>
        <v>1269</v>
      </c>
      <c r="B19" s="36"/>
      <c r="C19" s="38">
        <v>21.3</v>
      </c>
      <c r="D19" s="36"/>
      <c r="E19" s="39">
        <f t="shared" si="1"/>
        <v>1.3505868544600939</v>
      </c>
      <c r="G19" s="13" t="s">
        <v>18</v>
      </c>
      <c r="H19" s="27" t="s">
        <v>61</v>
      </c>
      <c r="I19" s="27"/>
      <c r="J19" s="27"/>
      <c r="K19" s="27"/>
      <c r="L19" s="27"/>
      <c r="M19" s="17"/>
      <c r="N19" s="26"/>
    </row>
    <row r="20" spans="1:14">
      <c r="A20" s="42">
        <f t="shared" si="0"/>
        <v>1270</v>
      </c>
      <c r="B20" s="36"/>
      <c r="C20" s="38">
        <v>21.3</v>
      </c>
      <c r="D20" s="36"/>
      <c r="E20" s="39">
        <f t="shared" si="1"/>
        <v>1.3505868544600939</v>
      </c>
      <c r="G20" s="13"/>
      <c r="H20" s="27" t="s">
        <v>60</v>
      </c>
      <c r="I20" s="27"/>
      <c r="J20" s="27"/>
      <c r="K20" s="27"/>
      <c r="L20" s="27"/>
      <c r="M20" s="17"/>
      <c r="N20" s="26"/>
    </row>
    <row r="21" spans="1:14">
      <c r="A21" s="42">
        <f t="shared" si="0"/>
        <v>1271</v>
      </c>
      <c r="B21" s="36"/>
      <c r="C21" s="38">
        <v>21.3</v>
      </c>
      <c r="D21" s="36"/>
      <c r="E21" s="39">
        <f t="shared" si="1"/>
        <v>1.3505868544600939</v>
      </c>
      <c r="G21" s="13" t="s">
        <v>19</v>
      </c>
      <c r="H21" s="14" t="s">
        <v>247</v>
      </c>
      <c r="I21" s="31"/>
      <c r="J21" s="31"/>
      <c r="K21" s="31"/>
      <c r="L21" s="31"/>
      <c r="M21" s="31"/>
      <c r="N21" s="61"/>
    </row>
    <row r="22" spans="1:14">
      <c r="A22" s="42">
        <f t="shared" si="0"/>
        <v>1272</v>
      </c>
      <c r="B22" s="36"/>
      <c r="C22" s="38">
        <v>21.3</v>
      </c>
      <c r="D22" s="36"/>
      <c r="E22" s="39">
        <f t="shared" si="1"/>
        <v>1.3505868544600939</v>
      </c>
      <c r="G22" s="13" t="s">
        <v>33</v>
      </c>
      <c r="H22" s="14" t="s">
        <v>63</v>
      </c>
      <c r="I22" s="31"/>
      <c r="J22" s="31"/>
      <c r="K22" s="31"/>
      <c r="L22" s="31"/>
      <c r="M22" s="31"/>
      <c r="N22" s="61"/>
    </row>
    <row r="23" spans="1:14">
      <c r="A23" s="42">
        <f t="shared" si="0"/>
        <v>1273</v>
      </c>
      <c r="B23" s="36"/>
      <c r="C23" s="38">
        <v>21.3</v>
      </c>
      <c r="D23" s="36"/>
      <c r="E23" s="39">
        <f t="shared" si="1"/>
        <v>1.3505868544600939</v>
      </c>
      <c r="G23" s="13"/>
      <c r="H23" s="31" t="s">
        <v>62</v>
      </c>
      <c r="I23" s="31"/>
      <c r="J23" s="27"/>
      <c r="K23" s="27"/>
      <c r="L23" s="27"/>
      <c r="M23" s="27"/>
      <c r="N23" s="28"/>
    </row>
    <row r="24" spans="1:14">
      <c r="A24" s="42">
        <f t="shared" si="0"/>
        <v>1274</v>
      </c>
      <c r="B24" s="36"/>
      <c r="C24" s="38">
        <v>21.3</v>
      </c>
      <c r="D24" s="36"/>
      <c r="E24" s="39">
        <f t="shared" si="1"/>
        <v>1.3505868544600939</v>
      </c>
      <c r="G24" s="32" t="s">
        <v>34</v>
      </c>
      <c r="H24" s="31" t="s">
        <v>65</v>
      </c>
      <c r="I24" s="31"/>
      <c r="J24" s="31"/>
      <c r="K24" s="31"/>
      <c r="L24" s="31"/>
      <c r="M24" s="27"/>
      <c r="N24" s="28"/>
    </row>
    <row r="25" spans="1:14">
      <c r="A25" s="42">
        <f t="shared" si="0"/>
        <v>1275</v>
      </c>
      <c r="B25" s="36"/>
      <c r="C25" s="38">
        <v>21.3</v>
      </c>
      <c r="D25" s="36"/>
      <c r="E25" s="39">
        <f t="shared" si="1"/>
        <v>1.3505868544600939</v>
      </c>
      <c r="G25" s="32"/>
      <c r="H25" s="31" t="s">
        <v>64</v>
      </c>
      <c r="I25" s="31"/>
      <c r="J25" s="31"/>
      <c r="K25" s="31"/>
      <c r="L25" s="31"/>
      <c r="M25" s="27"/>
      <c r="N25" s="28"/>
    </row>
    <row r="26" spans="1:14">
      <c r="A26" s="42">
        <f t="shared" si="0"/>
        <v>1276</v>
      </c>
      <c r="B26" s="36"/>
      <c r="C26" s="38">
        <v>21.6</v>
      </c>
      <c r="D26" s="36"/>
      <c r="E26" s="39">
        <f t="shared" si="1"/>
        <v>1.3318287037037038</v>
      </c>
      <c r="G26" s="32" t="s">
        <v>35</v>
      </c>
      <c r="H26" s="31" t="s">
        <v>227</v>
      </c>
      <c r="I26" s="31"/>
      <c r="J26" s="31"/>
      <c r="K26" s="31"/>
      <c r="L26" s="31"/>
      <c r="M26" s="31"/>
      <c r="N26" s="61"/>
    </row>
    <row r="27" spans="1:14">
      <c r="A27" s="42">
        <f t="shared" si="0"/>
        <v>1277</v>
      </c>
      <c r="B27" s="36"/>
      <c r="C27" s="38">
        <v>21.6</v>
      </c>
      <c r="D27" s="36"/>
      <c r="E27" s="39">
        <f t="shared" si="1"/>
        <v>1.3318287037037038</v>
      </c>
      <c r="G27" s="13" t="s">
        <v>36</v>
      </c>
      <c r="H27" s="31" t="s">
        <v>66</v>
      </c>
      <c r="I27" s="31"/>
      <c r="J27" s="27"/>
      <c r="K27" s="27"/>
      <c r="L27" s="27"/>
      <c r="M27" s="27"/>
      <c r="N27" s="28"/>
    </row>
    <row r="28" spans="1:14">
      <c r="A28" s="42">
        <f t="shared" si="0"/>
        <v>1278</v>
      </c>
      <c r="B28" s="36"/>
      <c r="C28" s="38">
        <v>21.6</v>
      </c>
      <c r="D28" s="36"/>
      <c r="E28" s="39">
        <f t="shared" si="1"/>
        <v>1.3318287037037038</v>
      </c>
      <c r="G28" s="32" t="s">
        <v>67</v>
      </c>
      <c r="H28" s="31" t="s">
        <v>68</v>
      </c>
      <c r="I28" s="31"/>
      <c r="J28" s="27"/>
      <c r="K28" s="27"/>
      <c r="L28" s="27"/>
      <c r="M28" s="27"/>
      <c r="N28" s="28"/>
    </row>
    <row r="29" spans="1:14">
      <c r="A29" s="42">
        <f t="shared" si="0"/>
        <v>1279</v>
      </c>
      <c r="B29" s="36"/>
      <c r="C29" s="38">
        <v>21.6</v>
      </c>
      <c r="D29" s="36"/>
      <c r="E29" s="39">
        <f t="shared" si="1"/>
        <v>1.3318287037037038</v>
      </c>
      <c r="G29" s="13" t="s">
        <v>69</v>
      </c>
      <c r="H29" s="31" t="s">
        <v>70</v>
      </c>
      <c r="I29" s="31"/>
      <c r="J29" s="27"/>
      <c r="K29" s="27"/>
      <c r="L29" s="27"/>
      <c r="M29" s="27"/>
      <c r="N29" s="28"/>
    </row>
    <row r="30" spans="1:14">
      <c r="A30" s="42">
        <f t="shared" si="0"/>
        <v>1280</v>
      </c>
      <c r="B30" s="36"/>
      <c r="C30" s="38">
        <v>21.6</v>
      </c>
      <c r="D30" s="36"/>
      <c r="E30" s="39">
        <f t="shared" si="1"/>
        <v>1.3318287037037038</v>
      </c>
      <c r="G30" s="13"/>
      <c r="H30" s="63" t="s">
        <v>71</v>
      </c>
      <c r="I30" s="31"/>
      <c r="J30" s="27"/>
      <c r="K30" s="27"/>
      <c r="L30" s="27"/>
      <c r="M30" s="27"/>
      <c r="N30" s="28"/>
    </row>
    <row r="31" spans="1:14">
      <c r="A31" s="42">
        <f t="shared" si="0"/>
        <v>1281</v>
      </c>
      <c r="B31" s="36"/>
      <c r="C31" s="38">
        <v>21.6</v>
      </c>
      <c r="D31" s="36"/>
      <c r="E31" s="39">
        <f t="shared" si="1"/>
        <v>1.3318287037037038</v>
      </c>
      <c r="G31" s="13" t="s">
        <v>72</v>
      </c>
      <c r="H31" s="31" t="s">
        <v>73</v>
      </c>
      <c r="I31" s="31"/>
      <c r="J31" s="27"/>
      <c r="K31" s="27"/>
      <c r="L31" s="27"/>
      <c r="M31" s="27"/>
      <c r="N31" s="28"/>
    </row>
    <row r="32" spans="1:14">
      <c r="A32" s="42">
        <f t="shared" si="0"/>
        <v>1282</v>
      </c>
      <c r="B32" s="36"/>
      <c r="C32" s="38">
        <v>21.6</v>
      </c>
      <c r="D32" s="36"/>
      <c r="E32" s="39">
        <f t="shared" si="1"/>
        <v>1.3318287037037038</v>
      </c>
      <c r="G32" s="13"/>
      <c r="H32" s="48" t="s">
        <v>74</v>
      </c>
      <c r="I32" s="27"/>
      <c r="J32" s="27"/>
      <c r="K32" s="27"/>
      <c r="L32" s="27"/>
      <c r="M32" s="27"/>
      <c r="N32" s="28"/>
    </row>
    <row r="33" spans="1:14">
      <c r="A33" s="42">
        <f t="shared" si="0"/>
        <v>1283</v>
      </c>
      <c r="B33" s="36"/>
      <c r="C33" s="38">
        <v>21.6</v>
      </c>
      <c r="D33" s="36"/>
      <c r="E33" s="39">
        <f t="shared" si="1"/>
        <v>1.3318287037037038</v>
      </c>
      <c r="G33" s="13" t="s">
        <v>75</v>
      </c>
      <c r="H33" s="27" t="s">
        <v>76</v>
      </c>
      <c r="I33" s="27"/>
      <c r="J33" s="27"/>
      <c r="K33" s="27"/>
      <c r="L33" s="27"/>
      <c r="M33" s="27"/>
      <c r="N33" s="28"/>
    </row>
    <row r="34" spans="1:14">
      <c r="A34" s="42">
        <f t="shared" si="0"/>
        <v>1284</v>
      </c>
      <c r="B34" s="36"/>
      <c r="C34" s="38">
        <v>21.6</v>
      </c>
      <c r="D34" s="36"/>
      <c r="E34" s="39">
        <f t="shared" si="1"/>
        <v>1.3318287037037038</v>
      </c>
      <c r="G34" s="13"/>
      <c r="H34" s="27" t="s">
        <v>77</v>
      </c>
      <c r="I34" s="27"/>
      <c r="J34" s="27"/>
      <c r="K34" s="27"/>
      <c r="L34" s="27"/>
      <c r="M34" s="27"/>
      <c r="N34" s="28"/>
    </row>
    <row r="35" spans="1:14">
      <c r="A35" s="42">
        <f t="shared" si="0"/>
        <v>1285</v>
      </c>
      <c r="B35" s="36"/>
      <c r="C35" s="38">
        <v>21.6</v>
      </c>
      <c r="D35" s="36"/>
      <c r="E35" s="39">
        <f t="shared" si="1"/>
        <v>1.3318287037037038</v>
      </c>
      <c r="G35" s="13" t="s">
        <v>78</v>
      </c>
      <c r="H35" s="27" t="s">
        <v>79</v>
      </c>
      <c r="I35" s="27"/>
      <c r="J35" s="27"/>
      <c r="K35" s="27"/>
      <c r="L35" s="27"/>
      <c r="M35" s="27"/>
      <c r="N35" s="28"/>
    </row>
    <row r="36" spans="1:14">
      <c r="A36" s="42">
        <f t="shared" si="0"/>
        <v>1286</v>
      </c>
      <c r="B36" s="36"/>
      <c r="C36" s="38">
        <v>21.6</v>
      </c>
      <c r="D36" s="36"/>
      <c r="E36" s="39">
        <f t="shared" si="1"/>
        <v>1.3318287037037038</v>
      </c>
      <c r="G36" s="13"/>
      <c r="H36" s="27" t="s">
        <v>81</v>
      </c>
      <c r="I36" s="27"/>
      <c r="J36" s="27"/>
      <c r="K36" s="27"/>
      <c r="L36" s="27"/>
      <c r="M36" s="27"/>
      <c r="N36" s="28"/>
    </row>
    <row r="37" spans="1:14">
      <c r="A37" s="42">
        <f t="shared" si="0"/>
        <v>1287</v>
      </c>
      <c r="B37" s="36"/>
      <c r="C37" s="38">
        <v>21.6</v>
      </c>
      <c r="D37" s="36"/>
      <c r="E37" s="39">
        <f t="shared" si="1"/>
        <v>1.3318287037037038</v>
      </c>
      <c r="G37" s="22"/>
      <c r="H37" s="27" t="s">
        <v>80</v>
      </c>
      <c r="I37" s="27"/>
      <c r="J37" s="27"/>
      <c r="K37" s="27"/>
      <c r="L37" s="27"/>
      <c r="M37" s="27"/>
      <c r="N37" s="28"/>
    </row>
    <row r="38" spans="1:14">
      <c r="A38" s="42">
        <f t="shared" si="0"/>
        <v>1288</v>
      </c>
      <c r="B38" s="36"/>
      <c r="C38" s="38">
        <v>21.6</v>
      </c>
      <c r="D38" s="36"/>
      <c r="E38" s="39">
        <f t="shared" si="1"/>
        <v>1.3318287037037038</v>
      </c>
      <c r="G38" s="13" t="s">
        <v>132</v>
      </c>
      <c r="H38" s="31" t="s">
        <v>235</v>
      </c>
      <c r="I38" s="31"/>
      <c r="J38" s="31"/>
      <c r="K38" s="31"/>
      <c r="L38" s="31"/>
      <c r="M38" s="31"/>
      <c r="N38" s="28"/>
    </row>
    <row r="39" spans="1:14">
      <c r="A39" s="42">
        <f t="shared" si="0"/>
        <v>1289</v>
      </c>
      <c r="B39" s="36"/>
      <c r="C39" s="38">
        <v>21.6</v>
      </c>
      <c r="D39" s="36"/>
      <c r="E39" s="39">
        <f t="shared" si="1"/>
        <v>1.3318287037037038</v>
      </c>
      <c r="G39" s="13" t="s">
        <v>239</v>
      </c>
      <c r="H39" s="31" t="s">
        <v>240</v>
      </c>
      <c r="I39" s="31"/>
      <c r="J39" s="31"/>
      <c r="K39" s="31"/>
      <c r="L39" s="27"/>
      <c r="M39" s="27"/>
      <c r="N39" s="28"/>
    </row>
    <row r="40" spans="1:14">
      <c r="A40" s="42">
        <f t="shared" si="0"/>
        <v>1290</v>
      </c>
      <c r="B40" s="36"/>
      <c r="C40" s="38">
        <v>21.6</v>
      </c>
      <c r="D40" s="36"/>
      <c r="E40" s="39">
        <f t="shared" si="1"/>
        <v>1.3318287037037038</v>
      </c>
      <c r="G40" s="13" t="s">
        <v>241</v>
      </c>
      <c r="H40" s="27" t="s">
        <v>242</v>
      </c>
      <c r="I40" s="27"/>
      <c r="J40" s="27"/>
      <c r="K40" s="27"/>
      <c r="L40" s="27"/>
      <c r="M40" s="27"/>
      <c r="N40" s="28"/>
    </row>
    <row r="41" spans="1:14">
      <c r="A41" s="42">
        <f t="shared" si="0"/>
        <v>1291</v>
      </c>
      <c r="B41" s="36"/>
      <c r="C41" s="38">
        <v>21.6</v>
      </c>
      <c r="D41" s="36"/>
      <c r="E41" s="39">
        <f t="shared" si="1"/>
        <v>1.3318287037037038</v>
      </c>
      <c r="G41" s="13"/>
      <c r="H41" s="48" t="s">
        <v>243</v>
      </c>
      <c r="I41" s="27"/>
      <c r="J41" s="27"/>
      <c r="K41" s="27"/>
      <c r="L41" s="27"/>
      <c r="M41" s="27"/>
      <c r="N41" s="28"/>
    </row>
    <row r="42" spans="1:14">
      <c r="A42" s="42">
        <f t="shared" si="0"/>
        <v>1292</v>
      </c>
      <c r="B42" s="36"/>
      <c r="C42" s="38">
        <v>21.6</v>
      </c>
      <c r="D42" s="36"/>
      <c r="E42" s="39">
        <f t="shared" si="1"/>
        <v>1.3318287037037038</v>
      </c>
      <c r="G42" s="13" t="s">
        <v>244</v>
      </c>
      <c r="H42" s="27" t="s">
        <v>245</v>
      </c>
      <c r="I42" s="27"/>
      <c r="J42" s="27"/>
      <c r="K42" s="27"/>
      <c r="L42" s="27"/>
      <c r="M42" s="27"/>
      <c r="N42" s="28"/>
    </row>
    <row r="43" spans="1:14">
      <c r="A43" s="42">
        <f t="shared" si="0"/>
        <v>1293</v>
      </c>
      <c r="B43" s="36"/>
      <c r="C43" s="38">
        <v>21.6</v>
      </c>
      <c r="D43" s="36"/>
      <c r="E43" s="39">
        <f t="shared" si="1"/>
        <v>1.3318287037037038</v>
      </c>
      <c r="G43" s="13"/>
      <c r="H43" s="27" t="s">
        <v>246</v>
      </c>
      <c r="I43" s="27"/>
      <c r="J43" s="27"/>
      <c r="K43" s="27"/>
      <c r="L43" s="27"/>
      <c r="M43" s="27"/>
      <c r="N43" s="28"/>
    </row>
    <row r="44" spans="1:14">
      <c r="A44" s="42">
        <f t="shared" si="0"/>
        <v>1294</v>
      </c>
      <c r="B44" s="36"/>
      <c r="C44" s="38">
        <v>21.6</v>
      </c>
      <c r="D44" s="36"/>
      <c r="E44" s="39">
        <f t="shared" si="1"/>
        <v>1.3318287037037038</v>
      </c>
      <c r="G44" s="69"/>
      <c r="H44" s="68"/>
      <c r="I44" s="68"/>
      <c r="J44" s="68"/>
      <c r="K44" s="68"/>
      <c r="L44" s="68"/>
      <c r="M44" s="68"/>
      <c r="N44" s="49"/>
    </row>
    <row r="45" spans="1:14">
      <c r="A45" s="42">
        <f t="shared" si="0"/>
        <v>1295</v>
      </c>
      <c r="B45" s="36"/>
      <c r="C45" s="38">
        <v>21.6</v>
      </c>
      <c r="D45" s="36"/>
      <c r="E45" s="39">
        <f t="shared" si="1"/>
        <v>1.3318287037037038</v>
      </c>
    </row>
    <row r="46" spans="1:14">
      <c r="A46" s="42">
        <f t="shared" si="0"/>
        <v>1296</v>
      </c>
      <c r="B46" s="36"/>
      <c r="C46" s="38">
        <v>21.6</v>
      </c>
      <c r="D46" s="36"/>
      <c r="E46" s="39">
        <f t="shared" si="1"/>
        <v>1.3318287037037038</v>
      </c>
    </row>
    <row r="47" spans="1:14">
      <c r="A47" s="42">
        <f t="shared" si="0"/>
        <v>1297</v>
      </c>
      <c r="B47" s="36"/>
      <c r="C47" s="38">
        <v>21.6</v>
      </c>
      <c r="D47" s="36"/>
      <c r="E47" s="39">
        <f t="shared" si="1"/>
        <v>1.3318287037037038</v>
      </c>
      <c r="G47" s="29" t="s">
        <v>37</v>
      </c>
      <c r="H47" s="9"/>
      <c r="I47" s="9"/>
      <c r="J47" s="9"/>
      <c r="K47" s="9"/>
      <c r="L47" s="9"/>
      <c r="M47" s="9"/>
      <c r="N47" s="10"/>
    </row>
    <row r="48" spans="1:14">
      <c r="A48" s="42">
        <f t="shared" si="0"/>
        <v>1298</v>
      </c>
      <c r="B48" s="36"/>
      <c r="C48" s="38">
        <v>21.6</v>
      </c>
      <c r="D48" s="36"/>
      <c r="E48" s="39">
        <f t="shared" si="1"/>
        <v>1.3318287037037038</v>
      </c>
      <c r="G48" s="13"/>
      <c r="H48" s="11"/>
      <c r="I48" s="11"/>
      <c r="J48" s="11"/>
      <c r="K48" s="11"/>
      <c r="L48" s="11"/>
      <c r="M48" s="11"/>
      <c r="N48" s="12"/>
    </row>
    <row r="49" spans="1:14">
      <c r="A49" s="42">
        <f t="shared" si="0"/>
        <v>1299</v>
      </c>
      <c r="B49" s="36"/>
      <c r="C49" s="38">
        <v>21.6</v>
      </c>
      <c r="D49" s="36"/>
      <c r="E49" s="39">
        <f t="shared" si="1"/>
        <v>1.3318287037037038</v>
      </c>
      <c r="G49" s="13" t="s">
        <v>38</v>
      </c>
      <c r="H49" s="60" t="s">
        <v>101</v>
      </c>
      <c r="I49" s="31"/>
      <c r="J49" s="14"/>
      <c r="K49" s="15"/>
      <c r="L49" s="15"/>
      <c r="M49" s="15"/>
      <c r="N49" s="16"/>
    </row>
    <row r="50" spans="1:14">
      <c r="A50" s="42">
        <f t="shared" si="0"/>
        <v>1300</v>
      </c>
      <c r="B50" s="36"/>
      <c r="C50" s="38">
        <v>21.6</v>
      </c>
      <c r="D50" s="36"/>
      <c r="E50" s="39">
        <f t="shared" si="1"/>
        <v>1.3318287037037038</v>
      </c>
      <c r="G50" s="13"/>
      <c r="H50" s="60" t="s">
        <v>102</v>
      </c>
      <c r="I50" s="31"/>
      <c r="J50" s="31"/>
      <c r="K50" s="15"/>
      <c r="L50" s="15"/>
      <c r="M50" s="15"/>
      <c r="N50" s="16"/>
    </row>
    <row r="51" spans="1:14">
      <c r="A51" s="42">
        <f t="shared" si="0"/>
        <v>1301</v>
      </c>
      <c r="B51" s="36"/>
      <c r="C51" s="38">
        <v>21.6</v>
      </c>
      <c r="D51" s="36"/>
      <c r="E51" s="39">
        <f t="shared" si="1"/>
        <v>1.3318287037037038</v>
      </c>
      <c r="G51" s="13"/>
      <c r="H51" s="60" t="s">
        <v>103</v>
      </c>
      <c r="I51" s="31"/>
      <c r="J51" s="31"/>
      <c r="K51" s="31"/>
      <c r="L51" s="31"/>
      <c r="M51" s="31"/>
      <c r="N51" s="61"/>
    </row>
    <row r="52" spans="1:14">
      <c r="A52" s="42">
        <f t="shared" si="0"/>
        <v>1302</v>
      </c>
      <c r="B52" s="36"/>
      <c r="C52" s="38">
        <v>21.6</v>
      </c>
      <c r="D52" s="36"/>
      <c r="E52" s="39">
        <f t="shared" si="1"/>
        <v>1.3318287037037038</v>
      </c>
      <c r="G52" s="13" t="s">
        <v>39</v>
      </c>
      <c r="H52" s="30" t="s">
        <v>106</v>
      </c>
      <c r="I52" s="27"/>
      <c r="J52" s="17"/>
      <c r="K52" s="17"/>
      <c r="L52" s="30"/>
      <c r="M52" s="17"/>
      <c r="N52" s="16"/>
    </row>
    <row r="53" spans="1:14">
      <c r="A53" s="42">
        <f t="shared" si="0"/>
        <v>1303</v>
      </c>
      <c r="B53" s="36"/>
      <c r="C53" s="38">
        <v>21.6</v>
      </c>
      <c r="D53" s="36"/>
      <c r="E53" s="39">
        <f t="shared" si="1"/>
        <v>1.3318287037037038</v>
      </c>
      <c r="G53" s="32"/>
      <c r="H53" s="17" t="s">
        <v>107</v>
      </c>
      <c r="I53" s="27"/>
      <c r="J53" s="17"/>
      <c r="K53" s="30"/>
      <c r="L53" s="30"/>
      <c r="M53" s="17"/>
      <c r="N53" s="16"/>
    </row>
    <row r="54" spans="1:14">
      <c r="A54" s="42">
        <f t="shared" si="0"/>
        <v>1304</v>
      </c>
      <c r="B54" s="36"/>
      <c r="C54" s="38">
        <v>21.6</v>
      </c>
      <c r="D54" s="36"/>
      <c r="E54" s="39">
        <f t="shared" si="1"/>
        <v>1.3318287037037038</v>
      </c>
      <c r="G54" s="13" t="s">
        <v>108</v>
      </c>
      <c r="H54" s="17" t="s">
        <v>110</v>
      </c>
      <c r="I54" s="31"/>
      <c r="J54" s="15"/>
      <c r="K54" s="15"/>
      <c r="L54" s="15"/>
      <c r="M54" s="15"/>
      <c r="N54" s="16"/>
    </row>
    <row r="55" spans="1:14">
      <c r="A55" s="42">
        <f t="shared" si="0"/>
        <v>1305</v>
      </c>
      <c r="B55" s="36"/>
      <c r="C55" s="38">
        <v>21.6</v>
      </c>
      <c r="D55" s="36"/>
      <c r="E55" s="39">
        <f t="shared" si="1"/>
        <v>1.3318287037037038</v>
      </c>
      <c r="G55" s="13" t="s">
        <v>40</v>
      </c>
      <c r="H55" s="24" t="s">
        <v>44</v>
      </c>
      <c r="I55" s="33"/>
      <c r="J55" s="17"/>
      <c r="K55" s="17"/>
      <c r="L55" s="30"/>
      <c r="M55" s="17"/>
      <c r="N55" s="16"/>
    </row>
    <row r="56" spans="1:14">
      <c r="A56" s="42">
        <f t="shared" si="0"/>
        <v>1306</v>
      </c>
      <c r="B56" s="36"/>
      <c r="C56" s="38">
        <v>21.6</v>
      </c>
      <c r="D56" s="36"/>
      <c r="E56" s="39">
        <f t="shared" si="1"/>
        <v>1.3318287037037038</v>
      </c>
      <c r="G56" s="13"/>
      <c r="H56" s="17" t="s">
        <v>45</v>
      </c>
      <c r="I56" s="33"/>
      <c r="J56" s="17"/>
      <c r="K56" s="30"/>
      <c r="L56" s="30"/>
      <c r="M56" s="17"/>
      <c r="N56" s="16"/>
    </row>
    <row r="57" spans="1:14">
      <c r="A57" s="42">
        <f t="shared" si="0"/>
        <v>1307</v>
      </c>
      <c r="B57" s="36"/>
      <c r="C57" s="38">
        <v>21.6</v>
      </c>
      <c r="D57" s="36"/>
      <c r="E57" s="39">
        <f t="shared" si="1"/>
        <v>1.3318287037037038</v>
      </c>
      <c r="G57" s="32"/>
      <c r="H57" s="17" t="s">
        <v>46</v>
      </c>
      <c r="I57" s="31"/>
      <c r="J57" s="15"/>
      <c r="K57" s="15"/>
      <c r="L57" s="15"/>
      <c r="M57" s="15"/>
      <c r="N57" s="16"/>
    </row>
    <row r="58" spans="1:14">
      <c r="A58" s="42">
        <f t="shared" si="0"/>
        <v>1308</v>
      </c>
      <c r="B58" s="36"/>
      <c r="C58" s="38">
        <v>21.6</v>
      </c>
      <c r="D58" s="36"/>
      <c r="E58" s="39">
        <f t="shared" si="1"/>
        <v>1.3318287037037038</v>
      </c>
      <c r="G58" s="32" t="s">
        <v>41</v>
      </c>
      <c r="H58" s="17" t="s">
        <v>223</v>
      </c>
      <c r="I58" s="31"/>
      <c r="J58" s="15"/>
      <c r="K58" s="15"/>
      <c r="L58" s="15"/>
      <c r="M58" s="15"/>
      <c r="N58" s="16"/>
    </row>
    <row r="59" spans="1:14">
      <c r="A59" s="42">
        <f t="shared" si="0"/>
        <v>1309</v>
      </c>
      <c r="B59" s="36"/>
      <c r="C59" s="38">
        <v>21.6</v>
      </c>
      <c r="D59" s="36"/>
      <c r="E59" s="39">
        <f t="shared" si="1"/>
        <v>1.3318287037037038</v>
      </c>
      <c r="G59" s="13" t="s">
        <v>42</v>
      </c>
      <c r="H59" s="24" t="s">
        <v>204</v>
      </c>
      <c r="I59" s="27"/>
      <c r="J59" s="17"/>
      <c r="K59" s="17"/>
      <c r="L59" s="30"/>
      <c r="M59" s="17"/>
      <c r="N59" s="16"/>
    </row>
    <row r="60" spans="1:14">
      <c r="A60" s="42">
        <f t="shared" si="0"/>
        <v>1310</v>
      </c>
      <c r="B60" s="36"/>
      <c r="C60" s="38">
        <v>21.6</v>
      </c>
      <c r="D60" s="36"/>
      <c r="E60" s="39">
        <f t="shared" si="1"/>
        <v>1.3318287037037038</v>
      </c>
      <c r="G60" s="13" t="s">
        <v>43</v>
      </c>
      <c r="H60" s="17" t="s">
        <v>209</v>
      </c>
      <c r="I60" s="27"/>
      <c r="J60" s="17"/>
      <c r="K60" s="30"/>
      <c r="L60" s="30"/>
      <c r="M60" s="17"/>
      <c r="N60" s="16"/>
    </row>
    <row r="61" spans="1:14">
      <c r="A61" s="42">
        <f t="shared" si="0"/>
        <v>1311</v>
      </c>
      <c r="B61" s="36"/>
      <c r="C61" s="38">
        <v>21.6</v>
      </c>
      <c r="D61" s="36"/>
      <c r="E61" s="39">
        <f t="shared" si="1"/>
        <v>1.3318287037037038</v>
      </c>
      <c r="G61" s="13" t="s">
        <v>248</v>
      </c>
      <c r="H61" s="17" t="s">
        <v>228</v>
      </c>
      <c r="I61" s="31"/>
      <c r="J61" s="15"/>
      <c r="K61" s="15"/>
      <c r="L61" s="15"/>
      <c r="M61" s="15"/>
      <c r="N61" s="16"/>
    </row>
    <row r="62" spans="1:14">
      <c r="A62" s="42">
        <f t="shared" si="0"/>
        <v>1312</v>
      </c>
      <c r="B62" s="36"/>
      <c r="C62" s="38">
        <v>21.6</v>
      </c>
      <c r="D62" s="36"/>
      <c r="E62" s="39">
        <f t="shared" si="1"/>
        <v>1.3318287037037038</v>
      </c>
      <c r="G62" s="13"/>
      <c r="H62" s="62" t="s">
        <v>229</v>
      </c>
      <c r="I62" s="34"/>
      <c r="J62" s="34"/>
      <c r="K62" s="34"/>
      <c r="L62" s="34"/>
      <c r="M62" s="34"/>
      <c r="N62" s="64"/>
    </row>
    <row r="63" spans="1:14">
      <c r="A63" s="42">
        <f t="shared" si="0"/>
        <v>1313</v>
      </c>
      <c r="B63" s="36"/>
      <c r="C63" s="38">
        <v>21.6</v>
      </c>
      <c r="D63" s="36"/>
      <c r="E63" s="39">
        <f t="shared" si="1"/>
        <v>1.3318287037037038</v>
      </c>
      <c r="G63" s="13"/>
      <c r="H63" s="24" t="s">
        <v>230</v>
      </c>
      <c r="I63" s="23"/>
      <c r="J63" s="23"/>
      <c r="K63" s="23"/>
      <c r="L63" s="23"/>
      <c r="M63" s="23"/>
      <c r="N63" s="65"/>
    </row>
    <row r="64" spans="1:14">
      <c r="A64" s="42">
        <f t="shared" si="0"/>
        <v>1314</v>
      </c>
      <c r="B64" s="36"/>
      <c r="C64" s="38">
        <v>21.6</v>
      </c>
      <c r="D64" s="36"/>
      <c r="E64" s="39">
        <f t="shared" si="1"/>
        <v>1.3318287037037038</v>
      </c>
      <c r="G64" s="66"/>
      <c r="H64" s="67"/>
      <c r="I64" s="68"/>
      <c r="J64" s="68"/>
      <c r="K64" s="68"/>
      <c r="L64" s="68"/>
      <c r="M64" s="68"/>
      <c r="N64" s="49"/>
    </row>
    <row r="65" spans="1:5">
      <c r="A65" s="42">
        <f t="shared" si="0"/>
        <v>1315</v>
      </c>
      <c r="B65" s="36"/>
      <c r="C65" s="38">
        <v>21.6</v>
      </c>
      <c r="D65" s="36"/>
      <c r="E65" s="39">
        <f t="shared" si="1"/>
        <v>1.3318287037037038</v>
      </c>
    </row>
    <row r="66" spans="1:5">
      <c r="A66" s="42">
        <f t="shared" si="0"/>
        <v>1316</v>
      </c>
      <c r="B66" s="36"/>
      <c r="C66" s="38">
        <v>21.6</v>
      </c>
      <c r="D66" s="36"/>
      <c r="E66" s="39">
        <f t="shared" si="1"/>
        <v>1.3318287037037038</v>
      </c>
    </row>
    <row r="67" spans="1:5">
      <c r="A67" s="42">
        <f t="shared" si="0"/>
        <v>1317</v>
      </c>
      <c r="B67" s="36"/>
      <c r="C67" s="38">
        <v>21.6</v>
      </c>
      <c r="D67" s="36"/>
      <c r="E67" s="39">
        <f t="shared" si="1"/>
        <v>1.3318287037037038</v>
      </c>
    </row>
    <row r="68" spans="1:5">
      <c r="A68" s="42">
        <f t="shared" si="0"/>
        <v>1318</v>
      </c>
      <c r="B68" s="36"/>
      <c r="C68" s="38">
        <v>21.6</v>
      </c>
      <c r="D68" s="36"/>
      <c r="E68" s="39">
        <f t="shared" si="1"/>
        <v>1.3318287037037038</v>
      </c>
    </row>
    <row r="69" spans="1:5">
      <c r="A69" s="42">
        <f t="shared" si="0"/>
        <v>1319</v>
      </c>
      <c r="B69" s="36"/>
      <c r="C69" s="38">
        <v>21.6</v>
      </c>
      <c r="D69" s="36"/>
      <c r="E69" s="39">
        <f t="shared" si="1"/>
        <v>1.3318287037037038</v>
      </c>
    </row>
    <row r="70" spans="1:5">
      <c r="A70" s="42">
        <f t="shared" si="0"/>
        <v>1320</v>
      </c>
      <c r="B70" s="36"/>
      <c r="C70" s="38">
        <v>21.6</v>
      </c>
      <c r="D70" s="36"/>
      <c r="E70" s="39">
        <f t="shared" si="1"/>
        <v>1.3318287037037038</v>
      </c>
    </row>
    <row r="71" spans="1:5">
      <c r="A71" s="42">
        <f t="shared" si="0"/>
        <v>1321</v>
      </c>
      <c r="B71" s="36"/>
      <c r="C71" s="38">
        <v>21.6</v>
      </c>
      <c r="D71" s="36"/>
      <c r="E71" s="39">
        <f t="shared" si="1"/>
        <v>1.3318287037037038</v>
      </c>
    </row>
    <row r="72" spans="1:5">
      <c r="A72" s="42">
        <f t="shared" si="0"/>
        <v>1322</v>
      </c>
      <c r="B72" s="36"/>
      <c r="C72" s="38">
        <v>21.6</v>
      </c>
      <c r="D72" s="36"/>
      <c r="E72" s="39">
        <f t="shared" si="1"/>
        <v>1.3318287037037038</v>
      </c>
    </row>
    <row r="73" spans="1:5">
      <c r="A73" s="42">
        <f t="shared" si="0"/>
        <v>1323</v>
      </c>
      <c r="B73" s="36"/>
      <c r="C73" s="38">
        <v>21.6</v>
      </c>
      <c r="D73" s="36"/>
      <c r="E73" s="39">
        <f t="shared" si="1"/>
        <v>1.3318287037037038</v>
      </c>
    </row>
    <row r="74" spans="1:5">
      <c r="A74" s="42">
        <f t="shared" ref="A74:A137" si="2">A73+1</f>
        <v>1324</v>
      </c>
      <c r="B74" s="36"/>
      <c r="C74" s="38">
        <v>21.6</v>
      </c>
      <c r="D74" s="36"/>
      <c r="E74" s="39">
        <f t="shared" ref="E74:E137" si="3">(31.1*0.925/$C74)</f>
        <v>1.3318287037037038</v>
      </c>
    </row>
    <row r="75" spans="1:5">
      <c r="A75" s="42">
        <f t="shared" si="2"/>
        <v>1325</v>
      </c>
      <c r="B75" s="36"/>
      <c r="C75" s="38">
        <v>21.6</v>
      </c>
      <c r="D75" s="36"/>
      <c r="E75" s="39">
        <f t="shared" si="3"/>
        <v>1.3318287037037038</v>
      </c>
    </row>
    <row r="76" spans="1:5">
      <c r="A76" s="42">
        <f t="shared" si="2"/>
        <v>1326</v>
      </c>
      <c r="B76" s="36"/>
      <c r="C76" s="38">
        <v>21.6</v>
      </c>
      <c r="D76" s="36"/>
      <c r="E76" s="39">
        <f t="shared" si="3"/>
        <v>1.3318287037037038</v>
      </c>
    </row>
    <row r="77" spans="1:5">
      <c r="A77" s="42">
        <f t="shared" si="2"/>
        <v>1327</v>
      </c>
      <c r="B77" s="36"/>
      <c r="C77" s="38">
        <v>21.6</v>
      </c>
      <c r="D77" s="36"/>
      <c r="E77" s="39">
        <f t="shared" si="3"/>
        <v>1.3318287037037038</v>
      </c>
    </row>
    <row r="78" spans="1:5">
      <c r="A78" s="42">
        <f t="shared" si="2"/>
        <v>1328</v>
      </c>
      <c r="B78" s="36"/>
      <c r="C78" s="38">
        <v>21.6</v>
      </c>
      <c r="D78" s="36"/>
      <c r="E78" s="39">
        <f t="shared" si="3"/>
        <v>1.3318287037037038</v>
      </c>
    </row>
    <row r="79" spans="1:5">
      <c r="A79" s="42">
        <f t="shared" si="2"/>
        <v>1329</v>
      </c>
      <c r="B79" s="36"/>
      <c r="C79" s="38">
        <v>21.6</v>
      </c>
      <c r="D79" s="36"/>
      <c r="E79" s="39">
        <f t="shared" si="3"/>
        <v>1.3318287037037038</v>
      </c>
    </row>
    <row r="80" spans="1:5">
      <c r="A80" s="42">
        <f t="shared" si="2"/>
        <v>1330</v>
      </c>
      <c r="B80" s="36"/>
      <c r="C80" s="38">
        <v>21.6</v>
      </c>
      <c r="D80" s="36"/>
      <c r="E80" s="39">
        <f t="shared" si="3"/>
        <v>1.3318287037037038</v>
      </c>
    </row>
    <row r="81" spans="1:5">
      <c r="A81" s="42">
        <f t="shared" si="2"/>
        <v>1331</v>
      </c>
      <c r="B81" s="36"/>
      <c r="C81" s="38">
        <v>21.6</v>
      </c>
      <c r="D81" s="36"/>
      <c r="E81" s="39">
        <f t="shared" si="3"/>
        <v>1.3318287037037038</v>
      </c>
    </row>
    <row r="82" spans="1:5">
      <c r="A82" s="42">
        <f t="shared" si="2"/>
        <v>1332</v>
      </c>
      <c r="B82" s="36"/>
      <c r="C82" s="38">
        <v>21.6</v>
      </c>
      <c r="D82" s="36"/>
      <c r="E82" s="39">
        <f t="shared" si="3"/>
        <v>1.3318287037037038</v>
      </c>
    </row>
    <row r="83" spans="1:5">
      <c r="A83" s="42">
        <f t="shared" si="2"/>
        <v>1333</v>
      </c>
      <c r="B83" s="36"/>
      <c r="C83" s="38">
        <v>21.6</v>
      </c>
      <c r="D83" s="36"/>
      <c r="E83" s="39">
        <f t="shared" si="3"/>
        <v>1.3318287037037038</v>
      </c>
    </row>
    <row r="84" spans="1:5">
      <c r="A84" s="42">
        <f t="shared" si="2"/>
        <v>1334</v>
      </c>
      <c r="B84" s="36"/>
      <c r="C84" s="38">
        <v>21.6</v>
      </c>
      <c r="D84" s="36"/>
      <c r="E84" s="39">
        <f t="shared" si="3"/>
        <v>1.3318287037037038</v>
      </c>
    </row>
    <row r="85" spans="1:5">
      <c r="A85" s="42">
        <f t="shared" si="2"/>
        <v>1335</v>
      </c>
      <c r="B85" s="36"/>
      <c r="C85" s="38">
        <v>21.6</v>
      </c>
      <c r="D85" s="36"/>
      <c r="E85" s="39">
        <f t="shared" si="3"/>
        <v>1.3318287037037038</v>
      </c>
    </row>
    <row r="86" spans="1:5">
      <c r="A86" s="42">
        <f t="shared" si="2"/>
        <v>1336</v>
      </c>
      <c r="B86" s="36"/>
      <c r="C86" s="38">
        <v>21.6</v>
      </c>
      <c r="D86" s="36"/>
      <c r="E86" s="39">
        <f t="shared" si="3"/>
        <v>1.3318287037037038</v>
      </c>
    </row>
    <row r="87" spans="1:5">
      <c r="A87" s="42">
        <f t="shared" si="2"/>
        <v>1337</v>
      </c>
      <c r="B87" s="36"/>
      <c r="C87" s="38">
        <v>21.6</v>
      </c>
      <c r="D87" s="36"/>
      <c r="E87" s="39">
        <f t="shared" si="3"/>
        <v>1.3318287037037038</v>
      </c>
    </row>
    <row r="88" spans="1:5">
      <c r="A88" s="42">
        <f t="shared" si="2"/>
        <v>1338</v>
      </c>
      <c r="B88" s="36"/>
      <c r="C88" s="38">
        <v>21.6</v>
      </c>
      <c r="D88" s="36"/>
      <c r="E88" s="39">
        <f t="shared" si="3"/>
        <v>1.3318287037037038</v>
      </c>
    </row>
    <row r="89" spans="1:5">
      <c r="A89" s="42">
        <f t="shared" si="2"/>
        <v>1339</v>
      </c>
      <c r="B89" s="36"/>
      <c r="C89" s="38">
        <v>21.6</v>
      </c>
      <c r="D89" s="36"/>
      <c r="E89" s="39">
        <f t="shared" si="3"/>
        <v>1.3318287037037038</v>
      </c>
    </row>
    <row r="90" spans="1:5">
      <c r="A90" s="42">
        <f t="shared" si="2"/>
        <v>1340</v>
      </c>
      <c r="B90" s="36"/>
      <c r="C90" s="38">
        <v>21.6</v>
      </c>
      <c r="D90" s="36"/>
      <c r="E90" s="39">
        <f t="shared" si="3"/>
        <v>1.3318287037037038</v>
      </c>
    </row>
    <row r="91" spans="1:5">
      <c r="A91" s="42">
        <f t="shared" si="2"/>
        <v>1341</v>
      </c>
      <c r="B91" s="36"/>
      <c r="C91" s="38">
        <v>21.6</v>
      </c>
      <c r="D91" s="36"/>
      <c r="E91" s="39">
        <f t="shared" si="3"/>
        <v>1.3318287037037038</v>
      </c>
    </row>
    <row r="92" spans="1:5">
      <c r="A92" s="42">
        <f t="shared" si="2"/>
        <v>1342</v>
      </c>
      <c r="B92" s="36"/>
      <c r="C92" s="38">
        <v>21.6</v>
      </c>
      <c r="D92" s="36"/>
      <c r="E92" s="39">
        <f t="shared" si="3"/>
        <v>1.3318287037037038</v>
      </c>
    </row>
    <row r="93" spans="1:5">
      <c r="A93" s="42">
        <f t="shared" si="2"/>
        <v>1343</v>
      </c>
      <c r="B93" s="36"/>
      <c r="C93" s="38">
        <v>22.6</v>
      </c>
      <c r="D93" s="36"/>
      <c r="E93" s="39">
        <f t="shared" si="3"/>
        <v>1.2728982300884957</v>
      </c>
    </row>
    <row r="94" spans="1:5">
      <c r="A94" s="42">
        <f t="shared" si="2"/>
        <v>1344</v>
      </c>
      <c r="B94" s="36"/>
      <c r="C94" s="38">
        <v>23.6</v>
      </c>
      <c r="D94" s="36"/>
      <c r="E94" s="39">
        <f t="shared" si="3"/>
        <v>1.2189618644067797</v>
      </c>
    </row>
    <row r="95" spans="1:5">
      <c r="A95" s="42">
        <f t="shared" si="2"/>
        <v>1345</v>
      </c>
      <c r="B95" s="36"/>
      <c r="C95" s="38">
        <v>23.8</v>
      </c>
      <c r="D95" s="36"/>
      <c r="E95" s="39">
        <f t="shared" si="3"/>
        <v>1.2087184873949581</v>
      </c>
    </row>
    <row r="96" spans="1:5">
      <c r="A96" s="42">
        <f t="shared" si="2"/>
        <v>1346</v>
      </c>
      <c r="B96" s="36"/>
      <c r="C96" s="38">
        <v>24</v>
      </c>
      <c r="D96" s="36"/>
      <c r="E96" s="39">
        <f t="shared" si="3"/>
        <v>1.1986458333333334</v>
      </c>
    </row>
    <row r="97" spans="1:5">
      <c r="A97" s="42">
        <f t="shared" si="2"/>
        <v>1347</v>
      </c>
      <c r="B97" s="36"/>
      <c r="C97" s="38">
        <v>24</v>
      </c>
      <c r="D97" s="36"/>
      <c r="E97" s="39">
        <f t="shared" si="3"/>
        <v>1.1986458333333334</v>
      </c>
    </row>
    <row r="98" spans="1:5">
      <c r="A98" s="42">
        <f t="shared" si="2"/>
        <v>1348</v>
      </c>
      <c r="B98" s="36"/>
      <c r="C98" s="38">
        <v>24</v>
      </c>
      <c r="D98" s="36"/>
      <c r="E98" s="39">
        <f t="shared" si="3"/>
        <v>1.1986458333333334</v>
      </c>
    </row>
    <row r="99" spans="1:5">
      <c r="A99" s="42">
        <f t="shared" si="2"/>
        <v>1349</v>
      </c>
      <c r="B99" s="36"/>
      <c r="C99" s="38">
        <v>24</v>
      </c>
      <c r="D99" s="36"/>
      <c r="E99" s="39">
        <f t="shared" si="3"/>
        <v>1.1986458333333334</v>
      </c>
    </row>
    <row r="100" spans="1:5">
      <c r="A100" s="42">
        <f t="shared" si="2"/>
        <v>1350</v>
      </c>
      <c r="B100" s="36"/>
      <c r="C100" s="38">
        <v>24</v>
      </c>
      <c r="D100" s="36"/>
      <c r="E100" s="39">
        <f t="shared" si="3"/>
        <v>1.1986458333333334</v>
      </c>
    </row>
    <row r="101" spans="1:5">
      <c r="A101" s="42">
        <f t="shared" si="2"/>
        <v>1351</v>
      </c>
      <c r="B101" s="36"/>
      <c r="C101" s="38">
        <v>26.7</v>
      </c>
      <c r="D101" s="36"/>
      <c r="E101" s="39">
        <f t="shared" si="3"/>
        <v>1.077434456928839</v>
      </c>
    </row>
    <row r="102" spans="1:5">
      <c r="A102" s="42">
        <f t="shared" si="2"/>
        <v>1352</v>
      </c>
      <c r="B102" s="36"/>
      <c r="C102" s="38">
        <v>26.7</v>
      </c>
      <c r="D102" s="36"/>
      <c r="E102" s="39">
        <f t="shared" si="3"/>
        <v>1.077434456928839</v>
      </c>
    </row>
    <row r="103" spans="1:5">
      <c r="A103" s="42">
        <f t="shared" si="2"/>
        <v>1353</v>
      </c>
      <c r="B103" s="36"/>
      <c r="C103" s="38">
        <v>26.7</v>
      </c>
      <c r="D103" s="36"/>
      <c r="E103" s="39">
        <f t="shared" si="3"/>
        <v>1.077434456928839</v>
      </c>
    </row>
    <row r="104" spans="1:5">
      <c r="A104" s="42">
        <f t="shared" si="2"/>
        <v>1354</v>
      </c>
      <c r="B104" s="36"/>
      <c r="C104" s="38">
        <v>26.7</v>
      </c>
      <c r="D104" s="36"/>
      <c r="E104" s="39">
        <f t="shared" si="3"/>
        <v>1.077434456928839</v>
      </c>
    </row>
    <row r="105" spans="1:5">
      <c r="A105" s="42">
        <f t="shared" si="2"/>
        <v>1355</v>
      </c>
      <c r="B105" s="36"/>
      <c r="C105" s="38">
        <v>26.7</v>
      </c>
      <c r="D105" s="36"/>
      <c r="E105" s="39">
        <f t="shared" si="3"/>
        <v>1.077434456928839</v>
      </c>
    </row>
    <row r="106" spans="1:5">
      <c r="A106" s="42">
        <f t="shared" si="2"/>
        <v>1356</v>
      </c>
      <c r="B106" s="36"/>
      <c r="C106" s="38">
        <v>26.7</v>
      </c>
      <c r="D106" s="36"/>
      <c r="E106" s="39">
        <f t="shared" si="3"/>
        <v>1.077434456928839</v>
      </c>
    </row>
    <row r="107" spans="1:5">
      <c r="A107" s="42">
        <f t="shared" si="2"/>
        <v>1357</v>
      </c>
      <c r="B107" s="36"/>
      <c r="C107" s="38">
        <v>26.7</v>
      </c>
      <c r="D107" s="36"/>
      <c r="E107" s="39">
        <f t="shared" si="3"/>
        <v>1.077434456928839</v>
      </c>
    </row>
    <row r="108" spans="1:5">
      <c r="A108" s="42">
        <f t="shared" si="2"/>
        <v>1358</v>
      </c>
      <c r="B108" s="36"/>
      <c r="C108" s="38">
        <v>26.7</v>
      </c>
      <c r="D108" s="36"/>
      <c r="E108" s="39">
        <f t="shared" si="3"/>
        <v>1.077434456928839</v>
      </c>
    </row>
    <row r="109" spans="1:5">
      <c r="A109" s="42">
        <f t="shared" si="2"/>
        <v>1359</v>
      </c>
      <c r="B109" s="36"/>
      <c r="C109" s="38">
        <v>26.7</v>
      </c>
      <c r="D109" s="36"/>
      <c r="E109" s="39">
        <f t="shared" si="3"/>
        <v>1.077434456928839</v>
      </c>
    </row>
    <row r="110" spans="1:5">
      <c r="A110" s="42">
        <f t="shared" si="2"/>
        <v>1360</v>
      </c>
      <c r="B110" s="36"/>
      <c r="C110" s="38">
        <v>26.7</v>
      </c>
      <c r="D110" s="36"/>
      <c r="E110" s="39">
        <f t="shared" si="3"/>
        <v>1.077434456928839</v>
      </c>
    </row>
    <row r="111" spans="1:5">
      <c r="A111" s="42">
        <f t="shared" si="2"/>
        <v>1361</v>
      </c>
      <c r="B111" s="36"/>
      <c r="C111" s="38">
        <v>26.7</v>
      </c>
      <c r="D111" s="36"/>
      <c r="E111" s="39">
        <f t="shared" si="3"/>
        <v>1.077434456928839</v>
      </c>
    </row>
    <row r="112" spans="1:5">
      <c r="A112" s="42">
        <f t="shared" si="2"/>
        <v>1362</v>
      </c>
      <c r="B112" s="36"/>
      <c r="C112" s="38">
        <v>26.7</v>
      </c>
      <c r="D112" s="36"/>
      <c r="E112" s="39">
        <f t="shared" si="3"/>
        <v>1.077434456928839</v>
      </c>
    </row>
    <row r="113" spans="1:5">
      <c r="A113" s="42">
        <f t="shared" si="2"/>
        <v>1363</v>
      </c>
      <c r="B113" s="36"/>
      <c r="C113" s="38">
        <v>26.7</v>
      </c>
      <c r="D113" s="36"/>
      <c r="E113" s="39">
        <f t="shared" si="3"/>
        <v>1.077434456928839</v>
      </c>
    </row>
    <row r="114" spans="1:5">
      <c r="A114" s="42">
        <f t="shared" si="2"/>
        <v>1364</v>
      </c>
      <c r="B114" s="36"/>
      <c r="C114" s="38">
        <v>26.7</v>
      </c>
      <c r="D114" s="36"/>
      <c r="E114" s="39">
        <f t="shared" si="3"/>
        <v>1.077434456928839</v>
      </c>
    </row>
    <row r="115" spans="1:5">
      <c r="A115" s="42">
        <f t="shared" si="2"/>
        <v>1365</v>
      </c>
      <c r="B115" s="36"/>
      <c r="C115" s="38">
        <v>26.7</v>
      </c>
      <c r="D115" s="36"/>
      <c r="E115" s="39">
        <f t="shared" si="3"/>
        <v>1.077434456928839</v>
      </c>
    </row>
    <row r="116" spans="1:5">
      <c r="A116" s="42">
        <f t="shared" si="2"/>
        <v>1366</v>
      </c>
      <c r="B116" s="36"/>
      <c r="C116" s="38">
        <v>26.7</v>
      </c>
      <c r="D116" s="36"/>
      <c r="E116" s="39">
        <f t="shared" si="3"/>
        <v>1.077434456928839</v>
      </c>
    </row>
    <row r="117" spans="1:5">
      <c r="A117" s="42">
        <f t="shared" si="2"/>
        <v>1367</v>
      </c>
      <c r="B117" s="36"/>
      <c r="C117" s="38">
        <v>26.7</v>
      </c>
      <c r="D117" s="36"/>
      <c r="E117" s="39">
        <f t="shared" si="3"/>
        <v>1.077434456928839</v>
      </c>
    </row>
    <row r="118" spans="1:5">
      <c r="A118" s="42">
        <f t="shared" si="2"/>
        <v>1368</v>
      </c>
      <c r="B118" s="36"/>
      <c r="C118" s="38">
        <v>26.7</v>
      </c>
      <c r="D118" s="36"/>
      <c r="E118" s="39">
        <f t="shared" si="3"/>
        <v>1.077434456928839</v>
      </c>
    </row>
    <row r="119" spans="1:5">
      <c r="A119" s="42">
        <f t="shared" si="2"/>
        <v>1369</v>
      </c>
      <c r="B119" s="36"/>
      <c r="C119" s="38">
        <v>26.7</v>
      </c>
      <c r="D119" s="36"/>
      <c r="E119" s="39">
        <f t="shared" si="3"/>
        <v>1.077434456928839</v>
      </c>
    </row>
    <row r="120" spans="1:5">
      <c r="A120" s="42">
        <f t="shared" si="2"/>
        <v>1370</v>
      </c>
      <c r="B120" s="36"/>
      <c r="C120" s="38">
        <v>26.7</v>
      </c>
      <c r="D120" s="36"/>
      <c r="E120" s="39">
        <f t="shared" si="3"/>
        <v>1.077434456928839</v>
      </c>
    </row>
    <row r="121" spans="1:5">
      <c r="A121" s="42">
        <f t="shared" si="2"/>
        <v>1371</v>
      </c>
      <c r="B121" s="36"/>
      <c r="C121" s="38">
        <v>26.7</v>
      </c>
      <c r="D121" s="36"/>
      <c r="E121" s="39">
        <f t="shared" si="3"/>
        <v>1.077434456928839</v>
      </c>
    </row>
    <row r="122" spans="1:5">
      <c r="A122" s="42">
        <f t="shared" si="2"/>
        <v>1372</v>
      </c>
      <c r="B122" s="36"/>
      <c r="C122" s="38">
        <v>26.7</v>
      </c>
      <c r="D122" s="36"/>
      <c r="E122" s="39">
        <f t="shared" si="3"/>
        <v>1.077434456928839</v>
      </c>
    </row>
    <row r="123" spans="1:5">
      <c r="A123" s="42">
        <f t="shared" si="2"/>
        <v>1373</v>
      </c>
      <c r="B123" s="36"/>
      <c r="C123" s="38">
        <v>26.7</v>
      </c>
      <c r="D123" s="36"/>
      <c r="E123" s="39">
        <f t="shared" si="3"/>
        <v>1.077434456928839</v>
      </c>
    </row>
    <row r="124" spans="1:5">
      <c r="A124" s="42">
        <f t="shared" si="2"/>
        <v>1374</v>
      </c>
      <c r="B124" s="36"/>
      <c r="C124" s="38">
        <v>26.7</v>
      </c>
      <c r="D124" s="36"/>
      <c r="E124" s="39">
        <f t="shared" si="3"/>
        <v>1.077434456928839</v>
      </c>
    </row>
    <row r="125" spans="1:5">
      <c r="A125" s="42">
        <f t="shared" si="2"/>
        <v>1375</v>
      </c>
      <c r="B125" s="36"/>
      <c r="C125" s="38">
        <v>26.7</v>
      </c>
      <c r="D125" s="36"/>
      <c r="E125" s="39">
        <f t="shared" si="3"/>
        <v>1.077434456928839</v>
      </c>
    </row>
    <row r="126" spans="1:5">
      <c r="A126" s="42">
        <f t="shared" si="2"/>
        <v>1376</v>
      </c>
      <c r="B126" s="36"/>
      <c r="C126" s="38">
        <v>26.7</v>
      </c>
      <c r="D126" s="36"/>
      <c r="E126" s="39">
        <f t="shared" si="3"/>
        <v>1.077434456928839</v>
      </c>
    </row>
    <row r="127" spans="1:5">
      <c r="A127" s="42">
        <f t="shared" si="2"/>
        <v>1377</v>
      </c>
      <c r="B127" s="36"/>
      <c r="C127" s="38">
        <v>26.7</v>
      </c>
      <c r="D127" s="36"/>
      <c r="E127" s="39">
        <f t="shared" si="3"/>
        <v>1.077434456928839</v>
      </c>
    </row>
    <row r="128" spans="1:5">
      <c r="A128" s="42">
        <f t="shared" si="2"/>
        <v>1378</v>
      </c>
      <c r="B128" s="36"/>
      <c r="C128" s="38">
        <v>26.7</v>
      </c>
      <c r="D128" s="36"/>
      <c r="E128" s="39">
        <f t="shared" si="3"/>
        <v>1.077434456928839</v>
      </c>
    </row>
    <row r="129" spans="1:5">
      <c r="A129" s="42">
        <f t="shared" si="2"/>
        <v>1379</v>
      </c>
      <c r="B129" s="36"/>
      <c r="C129" s="38">
        <v>26.7</v>
      </c>
      <c r="D129" s="36"/>
      <c r="E129" s="39">
        <f t="shared" si="3"/>
        <v>1.077434456928839</v>
      </c>
    </row>
    <row r="130" spans="1:5">
      <c r="A130" s="42">
        <f t="shared" si="2"/>
        <v>1380</v>
      </c>
      <c r="B130" s="36"/>
      <c r="C130" s="38">
        <v>26.7</v>
      </c>
      <c r="D130" s="36"/>
      <c r="E130" s="39">
        <f t="shared" si="3"/>
        <v>1.077434456928839</v>
      </c>
    </row>
    <row r="131" spans="1:5">
      <c r="A131" s="42">
        <f t="shared" si="2"/>
        <v>1381</v>
      </c>
      <c r="B131" s="36"/>
      <c r="C131" s="38">
        <v>26.7</v>
      </c>
      <c r="D131" s="36"/>
      <c r="E131" s="39">
        <f t="shared" si="3"/>
        <v>1.077434456928839</v>
      </c>
    </row>
    <row r="132" spans="1:5">
      <c r="A132" s="42">
        <f t="shared" si="2"/>
        <v>1382</v>
      </c>
      <c r="B132" s="36"/>
      <c r="C132" s="38">
        <v>26.7</v>
      </c>
      <c r="D132" s="36"/>
      <c r="E132" s="39">
        <f t="shared" si="3"/>
        <v>1.077434456928839</v>
      </c>
    </row>
    <row r="133" spans="1:5">
      <c r="A133" s="42">
        <f t="shared" si="2"/>
        <v>1383</v>
      </c>
      <c r="B133" s="36"/>
      <c r="C133" s="38">
        <v>26.7</v>
      </c>
      <c r="D133" s="36"/>
      <c r="E133" s="39">
        <f t="shared" si="3"/>
        <v>1.077434456928839</v>
      </c>
    </row>
    <row r="134" spans="1:5">
      <c r="A134" s="42">
        <f t="shared" si="2"/>
        <v>1384</v>
      </c>
      <c r="B134" s="36"/>
      <c r="C134" s="38">
        <v>26.7</v>
      </c>
      <c r="D134" s="36"/>
      <c r="E134" s="39">
        <f t="shared" si="3"/>
        <v>1.077434456928839</v>
      </c>
    </row>
    <row r="135" spans="1:5">
      <c r="A135" s="42">
        <f t="shared" si="2"/>
        <v>1385</v>
      </c>
      <c r="B135" s="36"/>
      <c r="C135" s="38">
        <v>26.7</v>
      </c>
      <c r="D135" s="36"/>
      <c r="E135" s="39">
        <f t="shared" si="3"/>
        <v>1.077434456928839</v>
      </c>
    </row>
    <row r="136" spans="1:5">
      <c r="A136" s="42">
        <f t="shared" si="2"/>
        <v>1386</v>
      </c>
      <c r="B136" s="36"/>
      <c r="C136" s="38">
        <v>26.7</v>
      </c>
      <c r="D136" s="36"/>
      <c r="E136" s="39">
        <f t="shared" si="3"/>
        <v>1.077434456928839</v>
      </c>
    </row>
    <row r="137" spans="1:5">
      <c r="A137" s="42">
        <f t="shared" si="2"/>
        <v>1387</v>
      </c>
      <c r="B137" s="36"/>
      <c r="C137" s="38">
        <v>26.7</v>
      </c>
      <c r="D137" s="36"/>
      <c r="E137" s="39">
        <f t="shared" si="3"/>
        <v>1.077434456928839</v>
      </c>
    </row>
    <row r="138" spans="1:5">
      <c r="A138" s="42">
        <f t="shared" ref="A138:A201" si="4">A137+1</f>
        <v>1388</v>
      </c>
      <c r="B138" s="36"/>
      <c r="C138" s="38">
        <v>26.7</v>
      </c>
      <c r="D138" s="36"/>
      <c r="E138" s="39">
        <f t="shared" ref="E138:E201" si="5">(31.1*0.925/$C138)</f>
        <v>1.077434456928839</v>
      </c>
    </row>
    <row r="139" spans="1:5">
      <c r="A139" s="42">
        <f t="shared" si="4"/>
        <v>1389</v>
      </c>
      <c r="B139" s="36"/>
      <c r="C139" s="38">
        <v>26.7</v>
      </c>
      <c r="D139" s="36"/>
      <c r="E139" s="39">
        <f t="shared" si="5"/>
        <v>1.077434456928839</v>
      </c>
    </row>
    <row r="140" spans="1:5">
      <c r="A140" s="42">
        <f t="shared" si="4"/>
        <v>1390</v>
      </c>
      <c r="B140" s="36"/>
      <c r="C140" s="38">
        <v>26.7</v>
      </c>
      <c r="D140" s="36"/>
      <c r="E140" s="39">
        <f t="shared" si="5"/>
        <v>1.077434456928839</v>
      </c>
    </row>
    <row r="141" spans="1:5">
      <c r="A141" s="42">
        <f t="shared" si="4"/>
        <v>1391</v>
      </c>
      <c r="B141" s="36"/>
      <c r="C141" s="38">
        <v>26.7</v>
      </c>
      <c r="D141" s="36"/>
      <c r="E141" s="39">
        <f t="shared" si="5"/>
        <v>1.077434456928839</v>
      </c>
    </row>
    <row r="142" spans="1:5">
      <c r="A142" s="42">
        <f t="shared" si="4"/>
        <v>1392</v>
      </c>
      <c r="B142" s="36"/>
      <c r="C142" s="38">
        <v>26.7</v>
      </c>
      <c r="D142" s="36"/>
      <c r="E142" s="39">
        <f t="shared" si="5"/>
        <v>1.077434456928839</v>
      </c>
    </row>
    <row r="143" spans="1:5">
      <c r="A143" s="42">
        <f t="shared" si="4"/>
        <v>1393</v>
      </c>
      <c r="B143" s="36"/>
      <c r="C143" s="38">
        <v>26.7</v>
      </c>
      <c r="D143" s="36"/>
      <c r="E143" s="39">
        <f t="shared" si="5"/>
        <v>1.077434456928839</v>
      </c>
    </row>
    <row r="144" spans="1:5">
      <c r="A144" s="42">
        <f t="shared" si="4"/>
        <v>1394</v>
      </c>
      <c r="B144" s="36"/>
      <c r="C144" s="38">
        <v>26.7</v>
      </c>
      <c r="D144" s="36"/>
      <c r="E144" s="39">
        <f t="shared" si="5"/>
        <v>1.077434456928839</v>
      </c>
    </row>
    <row r="145" spans="1:5">
      <c r="A145" s="42">
        <f t="shared" si="4"/>
        <v>1395</v>
      </c>
      <c r="B145" s="36"/>
      <c r="C145" s="38">
        <v>26.7</v>
      </c>
      <c r="D145" s="36"/>
      <c r="E145" s="39">
        <f t="shared" si="5"/>
        <v>1.077434456928839</v>
      </c>
    </row>
    <row r="146" spans="1:5">
      <c r="A146" s="42">
        <f t="shared" si="4"/>
        <v>1396</v>
      </c>
      <c r="B146" s="36"/>
      <c r="C146" s="38">
        <v>26.7</v>
      </c>
      <c r="D146" s="36"/>
      <c r="E146" s="39">
        <f t="shared" si="5"/>
        <v>1.077434456928839</v>
      </c>
    </row>
    <row r="147" spans="1:5">
      <c r="A147" s="42">
        <f t="shared" si="4"/>
        <v>1397</v>
      </c>
      <c r="B147" s="36"/>
      <c r="C147" s="38">
        <v>26.7</v>
      </c>
      <c r="D147" s="36"/>
      <c r="E147" s="39">
        <f t="shared" si="5"/>
        <v>1.077434456928839</v>
      </c>
    </row>
    <row r="148" spans="1:5">
      <c r="A148" s="42">
        <f t="shared" si="4"/>
        <v>1398</v>
      </c>
      <c r="B148" s="36"/>
      <c r="C148" s="38">
        <v>26.7</v>
      </c>
      <c r="D148" s="36"/>
      <c r="E148" s="39">
        <f t="shared" si="5"/>
        <v>1.077434456928839</v>
      </c>
    </row>
    <row r="149" spans="1:5">
      <c r="A149" s="42">
        <f t="shared" si="4"/>
        <v>1399</v>
      </c>
      <c r="B149" s="36"/>
      <c r="C149" s="38">
        <v>26.7</v>
      </c>
      <c r="D149" s="36"/>
      <c r="E149" s="39">
        <f t="shared" si="5"/>
        <v>1.077434456928839</v>
      </c>
    </row>
    <row r="150" spans="1:5">
      <c r="A150" s="42">
        <f t="shared" si="4"/>
        <v>1400</v>
      </c>
      <c r="B150" s="36"/>
      <c r="C150" s="38">
        <v>26.7</v>
      </c>
      <c r="D150" s="36"/>
      <c r="E150" s="39">
        <f t="shared" si="5"/>
        <v>1.077434456928839</v>
      </c>
    </row>
    <row r="151" spans="1:5">
      <c r="A151" s="42">
        <f t="shared" si="4"/>
        <v>1401</v>
      </c>
      <c r="B151" s="36"/>
      <c r="C151" s="38">
        <v>26.7</v>
      </c>
      <c r="D151" s="36"/>
      <c r="E151" s="39">
        <f t="shared" si="5"/>
        <v>1.077434456928839</v>
      </c>
    </row>
    <row r="152" spans="1:5">
      <c r="A152" s="42">
        <f t="shared" si="4"/>
        <v>1402</v>
      </c>
      <c r="B152" s="36"/>
      <c r="C152" s="38">
        <v>26.7</v>
      </c>
      <c r="D152" s="36"/>
      <c r="E152" s="39">
        <f t="shared" si="5"/>
        <v>1.077434456928839</v>
      </c>
    </row>
    <row r="153" spans="1:5">
      <c r="A153" s="42">
        <f t="shared" si="4"/>
        <v>1403</v>
      </c>
      <c r="B153" s="36"/>
      <c r="C153" s="38">
        <v>26.7</v>
      </c>
      <c r="D153" s="36"/>
      <c r="E153" s="39">
        <f t="shared" si="5"/>
        <v>1.077434456928839</v>
      </c>
    </row>
    <row r="154" spans="1:5">
      <c r="A154" s="42">
        <f t="shared" si="4"/>
        <v>1404</v>
      </c>
      <c r="B154" s="36"/>
      <c r="C154" s="38">
        <v>26.7</v>
      </c>
      <c r="D154" s="36"/>
      <c r="E154" s="39">
        <f t="shared" si="5"/>
        <v>1.077434456928839</v>
      </c>
    </row>
    <row r="155" spans="1:5">
      <c r="A155" s="42">
        <f t="shared" si="4"/>
        <v>1405</v>
      </c>
      <c r="B155" s="36"/>
      <c r="C155" s="38">
        <v>26.7</v>
      </c>
      <c r="D155" s="36"/>
      <c r="E155" s="39">
        <f t="shared" si="5"/>
        <v>1.077434456928839</v>
      </c>
    </row>
    <row r="156" spans="1:5">
      <c r="A156" s="42">
        <f t="shared" si="4"/>
        <v>1406</v>
      </c>
      <c r="B156" s="36"/>
      <c r="C156" s="38">
        <v>26.7</v>
      </c>
      <c r="D156" s="36"/>
      <c r="E156" s="39">
        <f t="shared" si="5"/>
        <v>1.077434456928839</v>
      </c>
    </row>
    <row r="157" spans="1:5">
      <c r="A157" s="42">
        <f t="shared" si="4"/>
        <v>1407</v>
      </c>
      <c r="B157" s="36"/>
      <c r="C157" s="38">
        <v>26.7</v>
      </c>
      <c r="D157" s="36"/>
      <c r="E157" s="39">
        <f t="shared" si="5"/>
        <v>1.077434456928839</v>
      </c>
    </row>
    <row r="158" spans="1:5">
      <c r="A158" s="42">
        <f t="shared" si="4"/>
        <v>1408</v>
      </c>
      <c r="B158" s="36"/>
      <c r="C158" s="38">
        <v>26.7</v>
      </c>
      <c r="D158" s="36"/>
      <c r="E158" s="39">
        <f t="shared" si="5"/>
        <v>1.077434456928839</v>
      </c>
    </row>
    <row r="159" spans="1:5">
      <c r="A159" s="42">
        <f t="shared" si="4"/>
        <v>1409</v>
      </c>
      <c r="B159" s="36"/>
      <c r="C159" s="38">
        <v>26.7</v>
      </c>
      <c r="D159" s="36"/>
      <c r="E159" s="39">
        <f t="shared" si="5"/>
        <v>1.077434456928839</v>
      </c>
    </row>
    <row r="160" spans="1:5">
      <c r="A160" s="42">
        <f t="shared" si="4"/>
        <v>1410</v>
      </c>
      <c r="B160" s="36"/>
      <c r="C160" s="38">
        <v>26.7</v>
      </c>
      <c r="D160" s="36"/>
      <c r="E160" s="39">
        <f t="shared" si="5"/>
        <v>1.077434456928839</v>
      </c>
    </row>
    <row r="161" spans="1:5">
      <c r="A161" s="42">
        <f t="shared" si="4"/>
        <v>1411</v>
      </c>
      <c r="B161" s="36"/>
      <c r="C161" s="38">
        <v>26.7</v>
      </c>
      <c r="D161" s="36"/>
      <c r="E161" s="39">
        <f t="shared" si="5"/>
        <v>1.077434456928839</v>
      </c>
    </row>
    <row r="162" spans="1:5">
      <c r="A162" s="42">
        <f t="shared" si="4"/>
        <v>1412</v>
      </c>
      <c r="B162" s="36"/>
      <c r="C162" s="38">
        <v>32</v>
      </c>
      <c r="D162" s="36"/>
      <c r="E162" s="39">
        <f t="shared" si="5"/>
        <v>0.89898437500000006</v>
      </c>
    </row>
    <row r="163" spans="1:5">
      <c r="A163" s="42">
        <f t="shared" si="4"/>
        <v>1413</v>
      </c>
      <c r="B163" s="36"/>
      <c r="C163" s="38">
        <v>32</v>
      </c>
      <c r="D163" s="36"/>
      <c r="E163" s="39">
        <f t="shared" si="5"/>
        <v>0.89898437500000006</v>
      </c>
    </row>
    <row r="164" spans="1:5">
      <c r="A164" s="42">
        <f t="shared" si="4"/>
        <v>1414</v>
      </c>
      <c r="B164" s="36"/>
      <c r="C164" s="38">
        <v>32</v>
      </c>
      <c r="D164" s="36"/>
      <c r="E164" s="39">
        <f t="shared" si="5"/>
        <v>0.89898437500000006</v>
      </c>
    </row>
    <row r="165" spans="1:5">
      <c r="A165" s="42">
        <f t="shared" si="4"/>
        <v>1415</v>
      </c>
      <c r="B165" s="36"/>
      <c r="C165" s="38">
        <v>32</v>
      </c>
      <c r="D165" s="36"/>
      <c r="E165" s="39">
        <f t="shared" si="5"/>
        <v>0.89898437500000006</v>
      </c>
    </row>
    <row r="166" spans="1:5">
      <c r="A166" s="42">
        <f t="shared" si="4"/>
        <v>1416</v>
      </c>
      <c r="B166" s="36"/>
      <c r="C166" s="38">
        <v>32</v>
      </c>
      <c r="D166" s="36"/>
      <c r="E166" s="39">
        <f t="shared" si="5"/>
        <v>0.89898437500000006</v>
      </c>
    </row>
    <row r="167" spans="1:5">
      <c r="A167" s="42">
        <f t="shared" si="4"/>
        <v>1417</v>
      </c>
      <c r="B167" s="36"/>
      <c r="C167" s="38">
        <v>32</v>
      </c>
      <c r="D167" s="36"/>
      <c r="E167" s="39">
        <f t="shared" si="5"/>
        <v>0.89898437500000006</v>
      </c>
    </row>
    <row r="168" spans="1:5">
      <c r="A168" s="42">
        <f t="shared" si="4"/>
        <v>1418</v>
      </c>
      <c r="B168" s="36"/>
      <c r="C168" s="38">
        <v>32</v>
      </c>
      <c r="D168" s="36"/>
      <c r="E168" s="39">
        <f t="shared" si="5"/>
        <v>0.89898437500000006</v>
      </c>
    </row>
    <row r="169" spans="1:5">
      <c r="A169" s="42">
        <f t="shared" si="4"/>
        <v>1419</v>
      </c>
      <c r="B169" s="36"/>
      <c r="C169" s="38">
        <v>32</v>
      </c>
      <c r="D169" s="36"/>
      <c r="E169" s="39">
        <f t="shared" si="5"/>
        <v>0.89898437500000006</v>
      </c>
    </row>
    <row r="170" spans="1:5">
      <c r="A170" s="42">
        <f t="shared" si="4"/>
        <v>1420</v>
      </c>
      <c r="B170" s="36"/>
      <c r="C170" s="38">
        <v>32</v>
      </c>
      <c r="D170" s="36"/>
      <c r="E170" s="39">
        <f t="shared" si="5"/>
        <v>0.89898437500000006</v>
      </c>
    </row>
    <row r="171" spans="1:5">
      <c r="A171" s="42">
        <f t="shared" si="4"/>
        <v>1421</v>
      </c>
      <c r="B171" s="36"/>
      <c r="C171" s="38">
        <v>32</v>
      </c>
      <c r="D171" s="36"/>
      <c r="E171" s="39">
        <f t="shared" si="5"/>
        <v>0.89898437500000006</v>
      </c>
    </row>
    <row r="172" spans="1:5">
      <c r="A172" s="42">
        <f t="shared" si="4"/>
        <v>1422</v>
      </c>
      <c r="B172" s="36"/>
      <c r="C172" s="38">
        <v>32</v>
      </c>
      <c r="D172" s="36"/>
      <c r="E172" s="39">
        <f t="shared" si="5"/>
        <v>0.89898437500000006</v>
      </c>
    </row>
    <row r="173" spans="1:5">
      <c r="A173" s="42">
        <f t="shared" si="4"/>
        <v>1423</v>
      </c>
      <c r="B173" s="36"/>
      <c r="C173" s="38">
        <v>32</v>
      </c>
      <c r="D173" s="36"/>
      <c r="E173" s="39">
        <f t="shared" si="5"/>
        <v>0.89898437500000006</v>
      </c>
    </row>
    <row r="174" spans="1:5">
      <c r="A174" s="42">
        <f t="shared" si="4"/>
        <v>1424</v>
      </c>
      <c r="B174" s="36"/>
      <c r="C174" s="38">
        <v>32</v>
      </c>
      <c r="D174" s="36"/>
      <c r="E174" s="39">
        <f t="shared" si="5"/>
        <v>0.89898437500000006</v>
      </c>
    </row>
    <row r="175" spans="1:5">
      <c r="A175" s="42">
        <f t="shared" si="4"/>
        <v>1425</v>
      </c>
      <c r="B175" s="36"/>
      <c r="C175" s="38">
        <v>32</v>
      </c>
      <c r="D175" s="36"/>
      <c r="E175" s="39">
        <f t="shared" si="5"/>
        <v>0.89898437500000006</v>
      </c>
    </row>
    <row r="176" spans="1:5">
      <c r="A176" s="42">
        <f t="shared" si="4"/>
        <v>1426</v>
      </c>
      <c r="B176" s="36"/>
      <c r="C176" s="38">
        <v>32</v>
      </c>
      <c r="D176" s="36"/>
      <c r="E176" s="39">
        <f t="shared" si="5"/>
        <v>0.89898437500000006</v>
      </c>
    </row>
    <row r="177" spans="1:5">
      <c r="A177" s="42">
        <f t="shared" si="4"/>
        <v>1427</v>
      </c>
      <c r="B177" s="36"/>
      <c r="C177" s="38">
        <v>32</v>
      </c>
      <c r="D177" s="36"/>
      <c r="E177" s="39">
        <f t="shared" si="5"/>
        <v>0.89898437500000006</v>
      </c>
    </row>
    <row r="178" spans="1:5">
      <c r="A178" s="42">
        <f t="shared" si="4"/>
        <v>1428</v>
      </c>
      <c r="B178" s="36"/>
      <c r="C178" s="38">
        <v>32</v>
      </c>
      <c r="D178" s="36"/>
      <c r="E178" s="39">
        <f t="shared" si="5"/>
        <v>0.89898437500000006</v>
      </c>
    </row>
    <row r="179" spans="1:5">
      <c r="A179" s="42">
        <f t="shared" si="4"/>
        <v>1429</v>
      </c>
      <c r="B179" s="36"/>
      <c r="C179" s="38">
        <v>32</v>
      </c>
      <c r="D179" s="36"/>
      <c r="E179" s="39">
        <f t="shared" si="5"/>
        <v>0.89898437500000006</v>
      </c>
    </row>
    <row r="180" spans="1:5">
      <c r="A180" s="42">
        <f t="shared" si="4"/>
        <v>1430</v>
      </c>
      <c r="B180" s="36"/>
      <c r="C180" s="38">
        <v>32</v>
      </c>
      <c r="D180" s="36"/>
      <c r="E180" s="39">
        <f t="shared" si="5"/>
        <v>0.89898437500000006</v>
      </c>
    </row>
    <row r="181" spans="1:5">
      <c r="A181" s="42">
        <f t="shared" si="4"/>
        <v>1431</v>
      </c>
      <c r="B181" s="36"/>
      <c r="C181" s="38">
        <v>32</v>
      </c>
      <c r="D181" s="36"/>
      <c r="E181" s="39">
        <f t="shared" si="5"/>
        <v>0.89898437500000006</v>
      </c>
    </row>
    <row r="182" spans="1:5">
      <c r="A182" s="42">
        <f t="shared" si="4"/>
        <v>1432</v>
      </c>
      <c r="B182" s="36"/>
      <c r="C182" s="38">
        <v>32</v>
      </c>
      <c r="D182" s="36"/>
      <c r="E182" s="39">
        <f t="shared" si="5"/>
        <v>0.89898437500000006</v>
      </c>
    </row>
    <row r="183" spans="1:5">
      <c r="A183" s="42">
        <f t="shared" si="4"/>
        <v>1433</v>
      </c>
      <c r="B183" s="36"/>
      <c r="C183" s="38">
        <v>32</v>
      </c>
      <c r="D183" s="36"/>
      <c r="E183" s="39">
        <f t="shared" si="5"/>
        <v>0.89898437500000006</v>
      </c>
    </row>
    <row r="184" spans="1:5">
      <c r="A184" s="42">
        <f t="shared" si="4"/>
        <v>1434</v>
      </c>
      <c r="B184" s="36"/>
      <c r="C184" s="38">
        <v>32</v>
      </c>
      <c r="D184" s="36"/>
      <c r="E184" s="39">
        <f t="shared" si="5"/>
        <v>0.89898437500000006</v>
      </c>
    </row>
    <row r="185" spans="1:5">
      <c r="A185" s="42">
        <f t="shared" si="4"/>
        <v>1435</v>
      </c>
      <c r="B185" s="36"/>
      <c r="C185" s="38">
        <v>32</v>
      </c>
      <c r="D185" s="36"/>
      <c r="E185" s="39">
        <f t="shared" si="5"/>
        <v>0.89898437500000006</v>
      </c>
    </row>
    <row r="186" spans="1:5">
      <c r="A186" s="42">
        <f t="shared" si="4"/>
        <v>1436</v>
      </c>
      <c r="B186" s="36"/>
      <c r="C186" s="38">
        <v>32</v>
      </c>
      <c r="D186" s="36"/>
      <c r="E186" s="39">
        <f t="shared" si="5"/>
        <v>0.89898437500000006</v>
      </c>
    </row>
    <row r="187" spans="1:5">
      <c r="A187" s="42">
        <f t="shared" si="4"/>
        <v>1437</v>
      </c>
      <c r="B187" s="36"/>
      <c r="C187" s="38">
        <v>32</v>
      </c>
      <c r="D187" s="36"/>
      <c r="E187" s="39">
        <f t="shared" si="5"/>
        <v>0.89898437500000006</v>
      </c>
    </row>
    <row r="188" spans="1:5">
      <c r="A188" s="42">
        <f t="shared" si="4"/>
        <v>1438</v>
      </c>
      <c r="B188" s="36"/>
      <c r="C188" s="38">
        <v>32</v>
      </c>
      <c r="D188" s="36"/>
      <c r="E188" s="39">
        <f t="shared" si="5"/>
        <v>0.89898437500000006</v>
      </c>
    </row>
    <row r="189" spans="1:5">
      <c r="A189" s="42">
        <f t="shared" si="4"/>
        <v>1439</v>
      </c>
      <c r="B189" s="36"/>
      <c r="C189" s="38">
        <v>32</v>
      </c>
      <c r="D189" s="36"/>
      <c r="E189" s="39">
        <f t="shared" si="5"/>
        <v>0.89898437500000006</v>
      </c>
    </row>
    <row r="190" spans="1:5">
      <c r="A190" s="42">
        <f t="shared" si="4"/>
        <v>1440</v>
      </c>
      <c r="B190" s="36"/>
      <c r="C190" s="38">
        <v>32</v>
      </c>
      <c r="D190" s="36"/>
      <c r="E190" s="39">
        <f t="shared" si="5"/>
        <v>0.89898437500000006</v>
      </c>
    </row>
    <row r="191" spans="1:5">
      <c r="A191" s="42">
        <f t="shared" si="4"/>
        <v>1441</v>
      </c>
      <c r="B191" s="36"/>
      <c r="C191" s="38">
        <v>32</v>
      </c>
      <c r="D191" s="36"/>
      <c r="E191" s="39">
        <f t="shared" si="5"/>
        <v>0.89898437500000006</v>
      </c>
    </row>
    <row r="192" spans="1:5">
      <c r="A192" s="42">
        <f t="shared" si="4"/>
        <v>1442</v>
      </c>
      <c r="B192" s="36"/>
      <c r="C192" s="38">
        <v>32</v>
      </c>
      <c r="D192" s="36"/>
      <c r="E192" s="39">
        <f t="shared" si="5"/>
        <v>0.89898437500000006</v>
      </c>
    </row>
    <row r="193" spans="1:5">
      <c r="A193" s="42">
        <f t="shared" si="4"/>
        <v>1443</v>
      </c>
      <c r="B193" s="36"/>
      <c r="C193" s="38">
        <v>32</v>
      </c>
      <c r="D193" s="36"/>
      <c r="E193" s="39">
        <f t="shared" si="5"/>
        <v>0.89898437500000006</v>
      </c>
    </row>
    <row r="194" spans="1:5">
      <c r="A194" s="42">
        <f t="shared" si="4"/>
        <v>1444</v>
      </c>
      <c r="B194" s="36"/>
      <c r="C194" s="38">
        <v>32</v>
      </c>
      <c r="D194" s="36"/>
      <c r="E194" s="39">
        <f t="shared" si="5"/>
        <v>0.89898437500000006</v>
      </c>
    </row>
    <row r="195" spans="1:5">
      <c r="A195" s="42">
        <f t="shared" si="4"/>
        <v>1445</v>
      </c>
      <c r="B195" s="36"/>
      <c r="C195" s="38">
        <v>32</v>
      </c>
      <c r="D195" s="36"/>
      <c r="E195" s="39">
        <f t="shared" si="5"/>
        <v>0.89898437500000006</v>
      </c>
    </row>
    <row r="196" spans="1:5">
      <c r="A196" s="42">
        <f t="shared" si="4"/>
        <v>1446</v>
      </c>
      <c r="B196" s="36"/>
      <c r="C196" s="38">
        <v>32</v>
      </c>
      <c r="D196" s="36"/>
      <c r="E196" s="39">
        <f t="shared" si="5"/>
        <v>0.89898437500000006</v>
      </c>
    </row>
    <row r="197" spans="1:5">
      <c r="A197" s="42">
        <f t="shared" si="4"/>
        <v>1447</v>
      </c>
      <c r="B197" s="36"/>
      <c r="C197" s="38">
        <v>32</v>
      </c>
      <c r="D197" s="36"/>
      <c r="E197" s="39">
        <f t="shared" si="5"/>
        <v>0.89898437500000006</v>
      </c>
    </row>
    <row r="198" spans="1:5">
      <c r="A198" s="42">
        <f t="shared" si="4"/>
        <v>1448</v>
      </c>
      <c r="B198" s="36"/>
      <c r="C198" s="38">
        <v>32</v>
      </c>
      <c r="D198" s="36"/>
      <c r="E198" s="39">
        <f t="shared" si="5"/>
        <v>0.89898437500000006</v>
      </c>
    </row>
    <row r="199" spans="1:5">
      <c r="A199" s="42">
        <f t="shared" si="4"/>
        <v>1449</v>
      </c>
      <c r="B199" s="36"/>
      <c r="C199" s="38">
        <v>32</v>
      </c>
      <c r="D199" s="36"/>
      <c r="E199" s="39">
        <f t="shared" si="5"/>
        <v>0.89898437500000006</v>
      </c>
    </row>
    <row r="200" spans="1:5">
      <c r="A200" s="42">
        <f t="shared" si="4"/>
        <v>1450</v>
      </c>
      <c r="B200" s="36"/>
      <c r="C200" s="38">
        <v>32</v>
      </c>
      <c r="D200" s="36"/>
      <c r="E200" s="39">
        <f t="shared" si="5"/>
        <v>0.89898437500000006</v>
      </c>
    </row>
    <row r="201" spans="1:5">
      <c r="A201" s="42">
        <f t="shared" si="4"/>
        <v>1451</v>
      </c>
      <c r="B201" s="36"/>
      <c r="C201" s="38">
        <v>32</v>
      </c>
      <c r="D201" s="36"/>
      <c r="E201" s="39">
        <f t="shared" si="5"/>
        <v>0.89898437500000006</v>
      </c>
    </row>
    <row r="202" spans="1:5">
      <c r="A202" s="42">
        <f t="shared" ref="A202:A265" si="6">A201+1</f>
        <v>1452</v>
      </c>
      <c r="B202" s="36"/>
      <c r="C202" s="38">
        <v>32</v>
      </c>
      <c r="D202" s="36"/>
      <c r="E202" s="39">
        <f t="shared" ref="E202:E265" si="7">(31.1*0.925/$C202)</f>
        <v>0.89898437500000006</v>
      </c>
    </row>
    <row r="203" spans="1:5">
      <c r="A203" s="42">
        <f t="shared" si="6"/>
        <v>1453</v>
      </c>
      <c r="B203" s="36"/>
      <c r="C203" s="38">
        <v>32</v>
      </c>
      <c r="D203" s="36"/>
      <c r="E203" s="39">
        <f t="shared" si="7"/>
        <v>0.89898437500000006</v>
      </c>
    </row>
    <row r="204" spans="1:5">
      <c r="A204" s="42">
        <f t="shared" si="6"/>
        <v>1454</v>
      </c>
      <c r="B204" s="36"/>
      <c r="C204" s="38">
        <v>32</v>
      </c>
      <c r="D204" s="36"/>
      <c r="E204" s="39">
        <f t="shared" si="7"/>
        <v>0.89898437500000006</v>
      </c>
    </row>
    <row r="205" spans="1:5">
      <c r="A205" s="42">
        <f t="shared" si="6"/>
        <v>1455</v>
      </c>
      <c r="B205" s="36"/>
      <c r="C205" s="38">
        <v>32</v>
      </c>
      <c r="D205" s="36"/>
      <c r="E205" s="39">
        <f t="shared" si="7"/>
        <v>0.89898437500000006</v>
      </c>
    </row>
    <row r="206" spans="1:5">
      <c r="A206" s="42">
        <f t="shared" si="6"/>
        <v>1456</v>
      </c>
      <c r="B206" s="36"/>
      <c r="C206" s="38">
        <v>32</v>
      </c>
      <c r="D206" s="36"/>
      <c r="E206" s="39">
        <f t="shared" si="7"/>
        <v>0.89898437500000006</v>
      </c>
    </row>
    <row r="207" spans="1:5">
      <c r="A207" s="42">
        <f t="shared" si="6"/>
        <v>1457</v>
      </c>
      <c r="B207" s="36"/>
      <c r="C207" s="38">
        <v>32</v>
      </c>
      <c r="D207" s="36"/>
      <c r="E207" s="39">
        <f t="shared" si="7"/>
        <v>0.89898437500000006</v>
      </c>
    </row>
    <row r="208" spans="1:5">
      <c r="A208" s="42">
        <f t="shared" si="6"/>
        <v>1458</v>
      </c>
      <c r="B208" s="36"/>
      <c r="C208" s="38">
        <v>32</v>
      </c>
      <c r="D208" s="36"/>
      <c r="E208" s="39">
        <f t="shared" si="7"/>
        <v>0.89898437500000006</v>
      </c>
    </row>
    <row r="209" spans="1:5">
      <c r="A209" s="42">
        <f t="shared" si="6"/>
        <v>1459</v>
      </c>
      <c r="B209" s="36"/>
      <c r="C209" s="38">
        <v>32</v>
      </c>
      <c r="D209" s="36"/>
      <c r="E209" s="39">
        <f t="shared" si="7"/>
        <v>0.89898437500000006</v>
      </c>
    </row>
    <row r="210" spans="1:5">
      <c r="A210" s="42">
        <f t="shared" si="6"/>
        <v>1460</v>
      </c>
      <c r="B210" s="36"/>
      <c r="C210" s="38">
        <v>32</v>
      </c>
      <c r="D210" s="36"/>
      <c r="E210" s="39">
        <f t="shared" si="7"/>
        <v>0.89898437500000006</v>
      </c>
    </row>
    <row r="211" spans="1:5">
      <c r="A211" s="42">
        <f t="shared" si="6"/>
        <v>1461</v>
      </c>
      <c r="B211" s="36"/>
      <c r="C211" s="38">
        <v>32</v>
      </c>
      <c r="D211" s="36"/>
      <c r="E211" s="39">
        <f t="shared" si="7"/>
        <v>0.89898437500000006</v>
      </c>
    </row>
    <row r="212" spans="1:5">
      <c r="A212" s="42">
        <f t="shared" si="6"/>
        <v>1462</v>
      </c>
      <c r="B212" s="36"/>
      <c r="C212" s="38">
        <v>32</v>
      </c>
      <c r="D212" s="36"/>
      <c r="E212" s="39">
        <f t="shared" si="7"/>
        <v>0.89898437500000006</v>
      </c>
    </row>
    <row r="213" spans="1:5">
      <c r="A213" s="42">
        <f t="shared" si="6"/>
        <v>1463</v>
      </c>
      <c r="B213" s="36"/>
      <c r="C213" s="38">
        <v>32</v>
      </c>
      <c r="D213" s="36"/>
      <c r="E213" s="39">
        <f t="shared" si="7"/>
        <v>0.89898437500000006</v>
      </c>
    </row>
    <row r="214" spans="1:5">
      <c r="A214" s="42">
        <f t="shared" si="6"/>
        <v>1464</v>
      </c>
      <c r="B214" s="36"/>
      <c r="C214" s="38">
        <v>40</v>
      </c>
      <c r="D214" s="36"/>
      <c r="E214" s="39">
        <f t="shared" si="7"/>
        <v>0.71918750000000009</v>
      </c>
    </row>
    <row r="215" spans="1:5">
      <c r="A215" s="42">
        <f t="shared" si="6"/>
        <v>1465</v>
      </c>
      <c r="B215" s="36"/>
      <c r="C215" s="38">
        <v>40</v>
      </c>
      <c r="D215" s="36"/>
      <c r="E215" s="39">
        <f t="shared" si="7"/>
        <v>0.71918750000000009</v>
      </c>
    </row>
    <row r="216" spans="1:5">
      <c r="A216" s="42">
        <f t="shared" si="6"/>
        <v>1466</v>
      </c>
      <c r="B216" s="36"/>
      <c r="C216" s="38">
        <v>40</v>
      </c>
      <c r="D216" s="36"/>
      <c r="E216" s="39">
        <f t="shared" si="7"/>
        <v>0.71918750000000009</v>
      </c>
    </row>
    <row r="217" spans="1:5">
      <c r="A217" s="42">
        <f t="shared" si="6"/>
        <v>1467</v>
      </c>
      <c r="B217" s="36"/>
      <c r="C217" s="38">
        <v>40</v>
      </c>
      <c r="D217" s="36"/>
      <c r="E217" s="39">
        <f t="shared" si="7"/>
        <v>0.71918750000000009</v>
      </c>
    </row>
    <row r="218" spans="1:5">
      <c r="A218" s="42">
        <f t="shared" si="6"/>
        <v>1468</v>
      </c>
      <c r="B218" s="36"/>
      <c r="C218" s="38">
        <v>40</v>
      </c>
      <c r="D218" s="36"/>
      <c r="E218" s="39">
        <f t="shared" si="7"/>
        <v>0.71918750000000009</v>
      </c>
    </row>
    <row r="219" spans="1:5">
      <c r="A219" s="42">
        <f t="shared" si="6"/>
        <v>1469</v>
      </c>
      <c r="B219" s="36"/>
      <c r="C219" s="38">
        <v>40</v>
      </c>
      <c r="D219" s="36"/>
      <c r="E219" s="39">
        <f t="shared" si="7"/>
        <v>0.71918750000000009</v>
      </c>
    </row>
    <row r="220" spans="1:5">
      <c r="A220" s="42">
        <f t="shared" si="6"/>
        <v>1470</v>
      </c>
      <c r="B220" s="36"/>
      <c r="C220" s="38">
        <v>40</v>
      </c>
      <c r="D220" s="36"/>
      <c r="E220" s="39">
        <f t="shared" si="7"/>
        <v>0.71918750000000009</v>
      </c>
    </row>
    <row r="221" spans="1:5">
      <c r="A221" s="42">
        <f t="shared" si="6"/>
        <v>1471</v>
      </c>
      <c r="B221" s="36"/>
      <c r="C221" s="38">
        <v>40</v>
      </c>
      <c r="D221" s="36"/>
      <c r="E221" s="39">
        <f t="shared" si="7"/>
        <v>0.71918750000000009</v>
      </c>
    </row>
    <row r="222" spans="1:5">
      <c r="A222" s="42">
        <f t="shared" si="6"/>
        <v>1472</v>
      </c>
      <c r="B222" s="36"/>
      <c r="C222" s="38">
        <v>40</v>
      </c>
      <c r="D222" s="36"/>
      <c r="E222" s="39">
        <f t="shared" si="7"/>
        <v>0.71918750000000009</v>
      </c>
    </row>
    <row r="223" spans="1:5">
      <c r="A223" s="42">
        <f t="shared" si="6"/>
        <v>1473</v>
      </c>
      <c r="B223" s="36"/>
      <c r="C223" s="38">
        <v>40</v>
      </c>
      <c r="D223" s="36"/>
      <c r="E223" s="39">
        <f t="shared" si="7"/>
        <v>0.71918750000000009</v>
      </c>
    </row>
    <row r="224" spans="1:5">
      <c r="A224" s="42">
        <f t="shared" si="6"/>
        <v>1474</v>
      </c>
      <c r="B224" s="36"/>
      <c r="C224" s="38">
        <v>40</v>
      </c>
      <c r="D224" s="36"/>
      <c r="E224" s="39">
        <f t="shared" si="7"/>
        <v>0.71918750000000009</v>
      </c>
    </row>
    <row r="225" spans="1:5">
      <c r="A225" s="42">
        <f t="shared" si="6"/>
        <v>1475</v>
      </c>
      <c r="B225" s="36"/>
      <c r="C225" s="38">
        <v>40</v>
      </c>
      <c r="D225" s="36"/>
      <c r="E225" s="39">
        <f t="shared" si="7"/>
        <v>0.71918750000000009</v>
      </c>
    </row>
    <row r="226" spans="1:5">
      <c r="A226" s="42">
        <f t="shared" si="6"/>
        <v>1476</v>
      </c>
      <c r="B226" s="36"/>
      <c r="C226" s="38">
        <v>40</v>
      </c>
      <c r="D226" s="36"/>
      <c r="E226" s="39">
        <f t="shared" si="7"/>
        <v>0.71918750000000009</v>
      </c>
    </row>
    <row r="227" spans="1:5">
      <c r="A227" s="42">
        <f t="shared" si="6"/>
        <v>1477</v>
      </c>
      <c r="B227" s="36"/>
      <c r="C227" s="38">
        <v>40</v>
      </c>
      <c r="D227" s="36"/>
      <c r="E227" s="39">
        <f t="shared" si="7"/>
        <v>0.71918750000000009</v>
      </c>
    </row>
    <row r="228" spans="1:5">
      <c r="A228" s="42">
        <f t="shared" si="6"/>
        <v>1478</v>
      </c>
      <c r="B228" s="36"/>
      <c r="C228" s="38">
        <v>40</v>
      </c>
      <c r="D228" s="36"/>
      <c r="E228" s="39">
        <f t="shared" si="7"/>
        <v>0.71918750000000009</v>
      </c>
    </row>
    <row r="229" spans="1:5">
      <c r="A229" s="42">
        <f t="shared" si="6"/>
        <v>1479</v>
      </c>
      <c r="B229" s="36"/>
      <c r="C229" s="38">
        <v>40</v>
      </c>
      <c r="D229" s="36"/>
      <c r="E229" s="39">
        <f t="shared" si="7"/>
        <v>0.71918750000000009</v>
      </c>
    </row>
    <row r="230" spans="1:5">
      <c r="A230" s="42">
        <f t="shared" si="6"/>
        <v>1480</v>
      </c>
      <c r="B230" s="36"/>
      <c r="C230" s="38">
        <v>40</v>
      </c>
      <c r="D230" s="36"/>
      <c r="E230" s="39">
        <f t="shared" si="7"/>
        <v>0.71918750000000009</v>
      </c>
    </row>
    <row r="231" spans="1:5">
      <c r="A231" s="42">
        <f t="shared" si="6"/>
        <v>1481</v>
      </c>
      <c r="B231" s="36"/>
      <c r="C231" s="38">
        <v>40</v>
      </c>
      <c r="D231" s="36"/>
      <c r="E231" s="39">
        <f t="shared" si="7"/>
        <v>0.71918750000000009</v>
      </c>
    </row>
    <row r="232" spans="1:5">
      <c r="A232" s="42">
        <f t="shared" si="6"/>
        <v>1482</v>
      </c>
      <c r="B232" s="36"/>
      <c r="C232" s="38">
        <v>40</v>
      </c>
      <c r="D232" s="36"/>
      <c r="E232" s="39">
        <f t="shared" si="7"/>
        <v>0.71918750000000009</v>
      </c>
    </row>
    <row r="233" spans="1:5">
      <c r="A233" s="42">
        <f t="shared" si="6"/>
        <v>1483</v>
      </c>
      <c r="B233" s="36"/>
      <c r="C233" s="38">
        <v>40</v>
      </c>
      <c r="D233" s="36"/>
      <c r="E233" s="39">
        <f t="shared" si="7"/>
        <v>0.71918750000000009</v>
      </c>
    </row>
    <row r="234" spans="1:5">
      <c r="A234" s="42">
        <f t="shared" si="6"/>
        <v>1484</v>
      </c>
      <c r="B234" s="36"/>
      <c r="C234" s="38">
        <v>40</v>
      </c>
      <c r="D234" s="36"/>
      <c r="E234" s="39">
        <f t="shared" si="7"/>
        <v>0.71918750000000009</v>
      </c>
    </row>
    <row r="235" spans="1:5">
      <c r="A235" s="42">
        <f t="shared" si="6"/>
        <v>1485</v>
      </c>
      <c r="B235" s="36"/>
      <c r="C235" s="38">
        <v>40</v>
      </c>
      <c r="D235" s="36"/>
      <c r="E235" s="39">
        <f t="shared" si="7"/>
        <v>0.71918750000000009</v>
      </c>
    </row>
    <row r="236" spans="1:5">
      <c r="A236" s="42">
        <f t="shared" si="6"/>
        <v>1486</v>
      </c>
      <c r="B236" s="36"/>
      <c r="C236" s="38">
        <v>40</v>
      </c>
      <c r="D236" s="36"/>
      <c r="E236" s="39">
        <f t="shared" si="7"/>
        <v>0.71918750000000009</v>
      </c>
    </row>
    <row r="237" spans="1:5">
      <c r="A237" s="42">
        <f t="shared" si="6"/>
        <v>1487</v>
      </c>
      <c r="B237" s="36"/>
      <c r="C237" s="38">
        <v>40</v>
      </c>
      <c r="D237" s="36"/>
      <c r="E237" s="39">
        <f t="shared" si="7"/>
        <v>0.71918750000000009</v>
      </c>
    </row>
    <row r="238" spans="1:5">
      <c r="A238" s="42">
        <f t="shared" si="6"/>
        <v>1488</v>
      </c>
      <c r="B238" s="36"/>
      <c r="C238" s="38">
        <v>40</v>
      </c>
      <c r="D238" s="36"/>
      <c r="E238" s="39">
        <f t="shared" si="7"/>
        <v>0.71918750000000009</v>
      </c>
    </row>
    <row r="239" spans="1:5">
      <c r="A239" s="42">
        <f t="shared" si="6"/>
        <v>1489</v>
      </c>
      <c r="B239" s="36"/>
      <c r="C239" s="38">
        <v>40</v>
      </c>
      <c r="D239" s="36"/>
      <c r="E239" s="39">
        <f t="shared" si="7"/>
        <v>0.71918750000000009</v>
      </c>
    </row>
    <row r="240" spans="1:5">
      <c r="A240" s="42">
        <f t="shared" si="6"/>
        <v>1490</v>
      </c>
      <c r="B240" s="36"/>
      <c r="C240" s="38">
        <v>40</v>
      </c>
      <c r="D240" s="36"/>
      <c r="E240" s="39">
        <f t="shared" si="7"/>
        <v>0.71918750000000009</v>
      </c>
    </row>
    <row r="241" spans="1:5">
      <c r="A241" s="42">
        <f t="shared" si="6"/>
        <v>1491</v>
      </c>
      <c r="B241" s="36"/>
      <c r="C241" s="38">
        <v>40</v>
      </c>
      <c r="D241" s="36"/>
      <c r="E241" s="39">
        <f t="shared" si="7"/>
        <v>0.71918750000000009</v>
      </c>
    </row>
    <row r="242" spans="1:5">
      <c r="A242" s="42">
        <f t="shared" si="6"/>
        <v>1492</v>
      </c>
      <c r="B242" s="36"/>
      <c r="C242" s="38">
        <v>40</v>
      </c>
      <c r="D242" s="36"/>
      <c r="E242" s="39">
        <f t="shared" si="7"/>
        <v>0.71918750000000009</v>
      </c>
    </row>
    <row r="243" spans="1:5">
      <c r="A243" s="42">
        <f t="shared" si="6"/>
        <v>1493</v>
      </c>
      <c r="B243" s="36"/>
      <c r="C243" s="38">
        <v>40</v>
      </c>
      <c r="D243" s="36"/>
      <c r="E243" s="39">
        <f t="shared" si="7"/>
        <v>0.71918750000000009</v>
      </c>
    </row>
    <row r="244" spans="1:5">
      <c r="A244" s="42">
        <f t="shared" si="6"/>
        <v>1494</v>
      </c>
      <c r="B244" s="36"/>
      <c r="C244" s="38">
        <v>40</v>
      </c>
      <c r="D244" s="36"/>
      <c r="E244" s="39">
        <f t="shared" si="7"/>
        <v>0.71918750000000009</v>
      </c>
    </row>
    <row r="245" spans="1:5">
      <c r="A245" s="42">
        <f t="shared" si="6"/>
        <v>1495</v>
      </c>
      <c r="B245" s="36"/>
      <c r="C245" s="38">
        <v>40</v>
      </c>
      <c r="D245" s="36"/>
      <c r="E245" s="39">
        <f t="shared" si="7"/>
        <v>0.71918750000000009</v>
      </c>
    </row>
    <row r="246" spans="1:5">
      <c r="A246" s="42">
        <f t="shared" si="6"/>
        <v>1496</v>
      </c>
      <c r="B246" s="36"/>
      <c r="C246" s="38">
        <v>40</v>
      </c>
      <c r="D246" s="36"/>
      <c r="E246" s="39">
        <f t="shared" si="7"/>
        <v>0.71918750000000009</v>
      </c>
    </row>
    <row r="247" spans="1:5">
      <c r="A247" s="42">
        <f t="shared" si="6"/>
        <v>1497</v>
      </c>
      <c r="B247" s="36"/>
      <c r="C247" s="38">
        <v>40</v>
      </c>
      <c r="D247" s="36"/>
      <c r="E247" s="39">
        <f t="shared" si="7"/>
        <v>0.71918750000000009</v>
      </c>
    </row>
    <row r="248" spans="1:5">
      <c r="A248" s="42">
        <f t="shared" si="6"/>
        <v>1498</v>
      </c>
      <c r="B248" s="36"/>
      <c r="C248" s="38">
        <v>40</v>
      </c>
      <c r="D248" s="36"/>
      <c r="E248" s="39">
        <f t="shared" si="7"/>
        <v>0.71918750000000009</v>
      </c>
    </row>
    <row r="249" spans="1:5">
      <c r="A249" s="42">
        <f t="shared" si="6"/>
        <v>1499</v>
      </c>
      <c r="B249" s="36"/>
      <c r="C249" s="38">
        <v>40</v>
      </c>
      <c r="D249" s="36"/>
      <c r="E249" s="39">
        <f t="shared" si="7"/>
        <v>0.71918750000000009</v>
      </c>
    </row>
    <row r="250" spans="1:5">
      <c r="A250" s="42">
        <f t="shared" si="6"/>
        <v>1500</v>
      </c>
      <c r="B250" s="36"/>
      <c r="C250" s="38">
        <v>40</v>
      </c>
      <c r="D250" s="36"/>
      <c r="E250" s="39">
        <f t="shared" si="7"/>
        <v>0.71918750000000009</v>
      </c>
    </row>
    <row r="251" spans="1:5">
      <c r="A251" s="42">
        <f t="shared" si="6"/>
        <v>1501</v>
      </c>
      <c r="B251" s="36"/>
      <c r="C251" s="38">
        <v>40</v>
      </c>
      <c r="D251" s="36"/>
      <c r="E251" s="39">
        <f t="shared" si="7"/>
        <v>0.71918750000000009</v>
      </c>
    </row>
    <row r="252" spans="1:5">
      <c r="A252" s="42">
        <f t="shared" si="6"/>
        <v>1502</v>
      </c>
      <c r="B252" s="36"/>
      <c r="C252" s="38">
        <v>40</v>
      </c>
      <c r="D252" s="36"/>
      <c r="E252" s="39">
        <f t="shared" si="7"/>
        <v>0.71918750000000009</v>
      </c>
    </row>
    <row r="253" spans="1:5">
      <c r="A253" s="42">
        <f t="shared" si="6"/>
        <v>1503</v>
      </c>
      <c r="B253" s="36"/>
      <c r="C253" s="38">
        <v>40</v>
      </c>
      <c r="D253" s="36"/>
      <c r="E253" s="39">
        <f t="shared" si="7"/>
        <v>0.71918750000000009</v>
      </c>
    </row>
    <row r="254" spans="1:5">
      <c r="A254" s="42">
        <f t="shared" si="6"/>
        <v>1504</v>
      </c>
      <c r="B254" s="36"/>
      <c r="C254" s="38">
        <v>40</v>
      </c>
      <c r="D254" s="36"/>
      <c r="E254" s="39">
        <f t="shared" si="7"/>
        <v>0.71918750000000009</v>
      </c>
    </row>
    <row r="255" spans="1:5">
      <c r="A255" s="42">
        <f t="shared" si="6"/>
        <v>1505</v>
      </c>
      <c r="B255" s="36"/>
      <c r="C255" s="38">
        <v>40</v>
      </c>
      <c r="D255" s="36"/>
      <c r="E255" s="39">
        <f t="shared" si="7"/>
        <v>0.71918750000000009</v>
      </c>
    </row>
    <row r="256" spans="1:5">
      <c r="A256" s="42">
        <f t="shared" si="6"/>
        <v>1506</v>
      </c>
      <c r="B256" s="36"/>
      <c r="C256" s="38">
        <v>40</v>
      </c>
      <c r="D256" s="36"/>
      <c r="E256" s="39">
        <f t="shared" si="7"/>
        <v>0.71918750000000009</v>
      </c>
    </row>
    <row r="257" spans="1:5">
      <c r="A257" s="42">
        <f t="shared" si="6"/>
        <v>1507</v>
      </c>
      <c r="B257" s="36"/>
      <c r="C257" s="38">
        <v>40</v>
      </c>
      <c r="D257" s="36"/>
      <c r="E257" s="39">
        <f t="shared" si="7"/>
        <v>0.71918750000000009</v>
      </c>
    </row>
    <row r="258" spans="1:5">
      <c r="A258" s="42">
        <f t="shared" si="6"/>
        <v>1508</v>
      </c>
      <c r="B258" s="36"/>
      <c r="C258" s="38">
        <v>40</v>
      </c>
      <c r="D258" s="36"/>
      <c r="E258" s="39">
        <f t="shared" si="7"/>
        <v>0.71918750000000009</v>
      </c>
    </row>
    <row r="259" spans="1:5">
      <c r="A259" s="42">
        <f t="shared" si="6"/>
        <v>1509</v>
      </c>
      <c r="B259" s="36"/>
      <c r="C259" s="38">
        <v>40</v>
      </c>
      <c r="D259" s="36"/>
      <c r="E259" s="39">
        <f t="shared" si="7"/>
        <v>0.71918750000000009</v>
      </c>
    </row>
    <row r="260" spans="1:5">
      <c r="A260" s="42">
        <f t="shared" si="6"/>
        <v>1510</v>
      </c>
      <c r="B260" s="36"/>
      <c r="C260" s="38">
        <v>40</v>
      </c>
      <c r="D260" s="36"/>
      <c r="E260" s="39">
        <f t="shared" si="7"/>
        <v>0.71918750000000009</v>
      </c>
    </row>
    <row r="261" spans="1:5">
      <c r="A261" s="42">
        <f t="shared" si="6"/>
        <v>1511</v>
      </c>
      <c r="B261" s="36"/>
      <c r="C261" s="38">
        <v>40</v>
      </c>
      <c r="D261" s="36"/>
      <c r="E261" s="39">
        <f t="shared" si="7"/>
        <v>0.71918750000000009</v>
      </c>
    </row>
    <row r="262" spans="1:5">
      <c r="A262" s="42">
        <f t="shared" si="6"/>
        <v>1512</v>
      </c>
      <c r="B262" s="36"/>
      <c r="C262" s="38">
        <v>40</v>
      </c>
      <c r="D262" s="36"/>
      <c r="E262" s="39">
        <f t="shared" si="7"/>
        <v>0.71918750000000009</v>
      </c>
    </row>
    <row r="263" spans="1:5">
      <c r="A263" s="42">
        <f t="shared" si="6"/>
        <v>1513</v>
      </c>
      <c r="B263" s="36"/>
      <c r="C263" s="38">
        <v>40</v>
      </c>
      <c r="D263" s="36"/>
      <c r="E263" s="39">
        <f t="shared" si="7"/>
        <v>0.71918750000000009</v>
      </c>
    </row>
    <row r="264" spans="1:5">
      <c r="A264" s="42">
        <f t="shared" si="6"/>
        <v>1514</v>
      </c>
      <c r="B264" s="36"/>
      <c r="C264" s="38">
        <v>40</v>
      </c>
      <c r="D264" s="36"/>
      <c r="E264" s="39">
        <f t="shared" si="7"/>
        <v>0.71918750000000009</v>
      </c>
    </row>
    <row r="265" spans="1:5">
      <c r="A265" s="42">
        <f t="shared" si="6"/>
        <v>1515</v>
      </c>
      <c r="B265" s="36"/>
      <c r="C265" s="38">
        <v>40</v>
      </c>
      <c r="D265" s="36"/>
      <c r="E265" s="39">
        <f t="shared" si="7"/>
        <v>0.71918750000000009</v>
      </c>
    </row>
    <row r="266" spans="1:5">
      <c r="A266" s="42">
        <f t="shared" ref="A266:A329" si="8">A265+1</f>
        <v>1516</v>
      </c>
      <c r="B266" s="36"/>
      <c r="C266" s="38">
        <v>40</v>
      </c>
      <c r="D266" s="36"/>
      <c r="E266" s="39">
        <f t="shared" ref="E266:E329" si="9">(31.1*0.925/$C266)</f>
        <v>0.71918750000000009</v>
      </c>
    </row>
    <row r="267" spans="1:5">
      <c r="A267" s="42">
        <f t="shared" si="8"/>
        <v>1517</v>
      </c>
      <c r="B267" s="36"/>
      <c r="C267" s="38">
        <v>40</v>
      </c>
      <c r="D267" s="36"/>
      <c r="E267" s="39">
        <f t="shared" si="9"/>
        <v>0.71918750000000009</v>
      </c>
    </row>
    <row r="268" spans="1:5">
      <c r="A268" s="42">
        <f t="shared" si="8"/>
        <v>1518</v>
      </c>
      <c r="B268" s="36"/>
      <c r="C268" s="38">
        <v>40</v>
      </c>
      <c r="D268" s="36"/>
      <c r="E268" s="39">
        <f t="shared" si="9"/>
        <v>0.71918750000000009</v>
      </c>
    </row>
    <row r="269" spans="1:5">
      <c r="A269" s="42">
        <f t="shared" si="8"/>
        <v>1519</v>
      </c>
      <c r="B269" s="36"/>
      <c r="C269" s="38">
        <v>40</v>
      </c>
      <c r="D269" s="36"/>
      <c r="E269" s="39">
        <f t="shared" si="9"/>
        <v>0.71918750000000009</v>
      </c>
    </row>
    <row r="270" spans="1:5">
      <c r="A270" s="42">
        <f t="shared" si="8"/>
        <v>1520</v>
      </c>
      <c r="B270" s="36"/>
      <c r="C270" s="38">
        <v>40</v>
      </c>
      <c r="D270" s="36"/>
      <c r="E270" s="39">
        <f t="shared" si="9"/>
        <v>0.71918750000000009</v>
      </c>
    </row>
    <row r="271" spans="1:5">
      <c r="A271" s="42">
        <f t="shared" si="8"/>
        <v>1521</v>
      </c>
      <c r="B271" s="36"/>
      <c r="C271" s="38">
        <v>40</v>
      </c>
      <c r="D271" s="36"/>
      <c r="E271" s="39">
        <f t="shared" si="9"/>
        <v>0.71918750000000009</v>
      </c>
    </row>
    <row r="272" spans="1:5">
      <c r="A272" s="42">
        <f t="shared" si="8"/>
        <v>1522</v>
      </c>
      <c r="B272" s="36"/>
      <c r="C272" s="38">
        <v>40</v>
      </c>
      <c r="D272" s="36"/>
      <c r="E272" s="39">
        <f t="shared" si="9"/>
        <v>0.71918750000000009</v>
      </c>
    </row>
    <row r="273" spans="1:5">
      <c r="A273" s="42">
        <f t="shared" si="8"/>
        <v>1523</v>
      </c>
      <c r="B273" s="36"/>
      <c r="C273" s="38">
        <v>40</v>
      </c>
      <c r="D273" s="36"/>
      <c r="E273" s="39">
        <f t="shared" si="9"/>
        <v>0.71918750000000009</v>
      </c>
    </row>
    <row r="274" spans="1:5">
      <c r="A274" s="42">
        <f t="shared" si="8"/>
        <v>1524</v>
      </c>
      <c r="B274" s="36"/>
      <c r="C274" s="38">
        <v>40</v>
      </c>
      <c r="D274" s="36"/>
      <c r="E274" s="39">
        <f t="shared" si="9"/>
        <v>0.71918750000000009</v>
      </c>
    </row>
    <row r="275" spans="1:5">
      <c r="A275" s="42">
        <f t="shared" si="8"/>
        <v>1525</v>
      </c>
      <c r="B275" s="36"/>
      <c r="C275" s="38">
        <v>40</v>
      </c>
      <c r="D275" s="36"/>
      <c r="E275" s="39">
        <f t="shared" si="9"/>
        <v>0.71918750000000009</v>
      </c>
    </row>
    <row r="276" spans="1:5">
      <c r="A276" s="42">
        <f t="shared" si="8"/>
        <v>1526</v>
      </c>
      <c r="B276" s="36"/>
      <c r="C276" s="38">
        <v>45</v>
      </c>
      <c r="D276" s="36"/>
      <c r="E276" s="39">
        <f t="shared" si="9"/>
        <v>0.63927777777777783</v>
      </c>
    </row>
    <row r="277" spans="1:5">
      <c r="A277" s="42">
        <f t="shared" si="8"/>
        <v>1527</v>
      </c>
      <c r="B277" s="36"/>
      <c r="C277" s="38">
        <v>45</v>
      </c>
      <c r="D277" s="36"/>
      <c r="E277" s="39">
        <f t="shared" si="9"/>
        <v>0.63927777777777783</v>
      </c>
    </row>
    <row r="278" spans="1:5">
      <c r="A278" s="42">
        <f t="shared" si="8"/>
        <v>1528</v>
      </c>
      <c r="B278" s="36"/>
      <c r="C278" s="38">
        <v>45</v>
      </c>
      <c r="D278" s="36"/>
      <c r="E278" s="39">
        <f t="shared" si="9"/>
        <v>0.63927777777777783</v>
      </c>
    </row>
    <row r="279" spans="1:5">
      <c r="A279" s="42">
        <f t="shared" si="8"/>
        <v>1529</v>
      </c>
      <c r="B279" s="36"/>
      <c r="C279" s="38">
        <v>45</v>
      </c>
      <c r="D279" s="36"/>
      <c r="E279" s="39">
        <f t="shared" si="9"/>
        <v>0.63927777777777783</v>
      </c>
    </row>
    <row r="280" spans="1:5">
      <c r="A280" s="42">
        <f t="shared" si="8"/>
        <v>1530</v>
      </c>
      <c r="B280" s="36"/>
      <c r="C280" s="38">
        <v>45</v>
      </c>
      <c r="D280" s="36"/>
      <c r="E280" s="39">
        <f t="shared" si="9"/>
        <v>0.63927777777777783</v>
      </c>
    </row>
    <row r="281" spans="1:5">
      <c r="A281" s="42">
        <f t="shared" si="8"/>
        <v>1531</v>
      </c>
      <c r="B281" s="36"/>
      <c r="C281" s="38">
        <v>45</v>
      </c>
      <c r="D281" s="36"/>
      <c r="E281" s="39">
        <f t="shared" si="9"/>
        <v>0.63927777777777783</v>
      </c>
    </row>
    <row r="282" spans="1:5">
      <c r="A282" s="42">
        <f t="shared" si="8"/>
        <v>1532</v>
      </c>
      <c r="B282" s="36"/>
      <c r="C282" s="38">
        <v>45</v>
      </c>
      <c r="D282" s="36"/>
      <c r="E282" s="39">
        <f t="shared" si="9"/>
        <v>0.63927777777777783</v>
      </c>
    </row>
    <row r="283" spans="1:5">
      <c r="A283" s="42">
        <f t="shared" si="8"/>
        <v>1533</v>
      </c>
      <c r="B283" s="36"/>
      <c r="C283" s="38">
        <v>45</v>
      </c>
      <c r="D283" s="36"/>
      <c r="E283" s="39">
        <f t="shared" si="9"/>
        <v>0.63927777777777783</v>
      </c>
    </row>
    <row r="284" spans="1:5">
      <c r="A284" s="42">
        <f t="shared" si="8"/>
        <v>1534</v>
      </c>
      <c r="B284" s="36"/>
      <c r="C284" s="38">
        <v>45</v>
      </c>
      <c r="D284" s="36"/>
      <c r="E284" s="39">
        <f t="shared" si="9"/>
        <v>0.63927777777777783</v>
      </c>
    </row>
    <row r="285" spans="1:5">
      <c r="A285" s="42">
        <f t="shared" si="8"/>
        <v>1535</v>
      </c>
      <c r="B285" s="36"/>
      <c r="C285" s="38">
        <v>45</v>
      </c>
      <c r="D285" s="36"/>
      <c r="E285" s="39">
        <f t="shared" si="9"/>
        <v>0.63927777777777783</v>
      </c>
    </row>
    <row r="286" spans="1:5">
      <c r="A286" s="42">
        <f t="shared" si="8"/>
        <v>1536</v>
      </c>
      <c r="B286" s="36"/>
      <c r="C286" s="38">
        <v>45</v>
      </c>
      <c r="D286" s="36"/>
      <c r="E286" s="39">
        <f t="shared" si="9"/>
        <v>0.63927777777777783</v>
      </c>
    </row>
    <row r="287" spans="1:5">
      <c r="A287" s="42">
        <f t="shared" si="8"/>
        <v>1537</v>
      </c>
      <c r="B287" s="36"/>
      <c r="C287" s="38">
        <v>45</v>
      </c>
      <c r="D287" s="36"/>
      <c r="E287" s="39">
        <f t="shared" si="9"/>
        <v>0.63927777777777783</v>
      </c>
    </row>
    <row r="288" spans="1:5">
      <c r="A288" s="42">
        <f t="shared" si="8"/>
        <v>1538</v>
      </c>
      <c r="B288" s="36"/>
      <c r="C288" s="38">
        <v>45</v>
      </c>
      <c r="D288" s="36"/>
      <c r="E288" s="39">
        <f t="shared" si="9"/>
        <v>0.63927777777777783</v>
      </c>
    </row>
    <row r="289" spans="1:5">
      <c r="A289" s="42">
        <f t="shared" si="8"/>
        <v>1539</v>
      </c>
      <c r="B289" s="36"/>
      <c r="C289" s="38">
        <v>45</v>
      </c>
      <c r="D289" s="36"/>
      <c r="E289" s="39">
        <f t="shared" si="9"/>
        <v>0.63927777777777783</v>
      </c>
    </row>
    <row r="290" spans="1:5">
      <c r="A290" s="42">
        <f t="shared" si="8"/>
        <v>1540</v>
      </c>
      <c r="B290" s="36"/>
      <c r="C290" s="38">
        <v>45</v>
      </c>
      <c r="D290" s="36"/>
      <c r="E290" s="39">
        <f t="shared" si="9"/>
        <v>0.63927777777777783</v>
      </c>
    </row>
    <row r="291" spans="1:5">
      <c r="A291" s="42">
        <f t="shared" si="8"/>
        <v>1541</v>
      </c>
      <c r="B291" s="36"/>
      <c r="C291" s="38">
        <v>45</v>
      </c>
      <c r="D291" s="36"/>
      <c r="E291" s="39">
        <f t="shared" si="9"/>
        <v>0.63927777777777783</v>
      </c>
    </row>
    <row r="292" spans="1:5">
      <c r="A292" s="42">
        <f t="shared" si="8"/>
        <v>1542</v>
      </c>
      <c r="B292" s="36"/>
      <c r="C292" s="38">
        <v>64.2</v>
      </c>
      <c r="D292" s="36"/>
      <c r="E292" s="39">
        <f t="shared" si="9"/>
        <v>0.44809190031152651</v>
      </c>
    </row>
    <row r="293" spans="1:5">
      <c r="A293" s="42">
        <f t="shared" si="8"/>
        <v>1543</v>
      </c>
      <c r="B293" s="36"/>
      <c r="C293" s="38">
        <v>64.2</v>
      </c>
      <c r="D293" s="36"/>
      <c r="E293" s="39">
        <f t="shared" si="9"/>
        <v>0.44809190031152651</v>
      </c>
    </row>
    <row r="294" spans="1:5">
      <c r="A294" s="42">
        <f t="shared" si="8"/>
        <v>1544</v>
      </c>
      <c r="B294" s="36"/>
      <c r="C294" s="38">
        <v>59.2</v>
      </c>
      <c r="D294" s="36"/>
      <c r="E294" s="39">
        <f t="shared" si="9"/>
        <v>0.48593750000000002</v>
      </c>
    </row>
    <row r="295" spans="1:5">
      <c r="A295" s="42">
        <f t="shared" si="8"/>
        <v>1545</v>
      </c>
      <c r="B295" s="36"/>
      <c r="C295" s="38">
        <v>88.8</v>
      </c>
      <c r="D295" s="36"/>
      <c r="E295" s="39">
        <f t="shared" si="9"/>
        <v>0.32395833333333335</v>
      </c>
    </row>
    <row r="296" spans="1:5">
      <c r="A296" s="42">
        <f t="shared" si="8"/>
        <v>1546</v>
      </c>
      <c r="B296" s="36"/>
      <c r="C296" s="38">
        <v>133.19999999999999</v>
      </c>
      <c r="D296" s="36"/>
      <c r="E296" s="39">
        <f t="shared" si="9"/>
        <v>0.21597222222222226</v>
      </c>
    </row>
    <row r="297" spans="1:5">
      <c r="A297" s="42">
        <f t="shared" si="8"/>
        <v>1547</v>
      </c>
      <c r="B297" s="36"/>
      <c r="C297" s="38">
        <v>133.19999999999999</v>
      </c>
      <c r="D297" s="36"/>
      <c r="E297" s="39">
        <f t="shared" si="9"/>
        <v>0.21597222222222226</v>
      </c>
    </row>
    <row r="298" spans="1:5">
      <c r="A298" s="42">
        <f t="shared" si="8"/>
        <v>1548</v>
      </c>
      <c r="B298" s="36"/>
      <c r="C298" s="38">
        <v>133.19999999999999</v>
      </c>
      <c r="D298" s="36"/>
      <c r="E298" s="39">
        <f t="shared" si="9"/>
        <v>0.21597222222222226</v>
      </c>
    </row>
    <row r="299" spans="1:5">
      <c r="A299" s="42">
        <f t="shared" si="8"/>
        <v>1549</v>
      </c>
      <c r="B299" s="36"/>
      <c r="C299" s="38">
        <v>133.19999999999999</v>
      </c>
      <c r="D299" s="36"/>
      <c r="E299" s="39">
        <f t="shared" si="9"/>
        <v>0.21597222222222226</v>
      </c>
    </row>
    <row r="300" spans="1:5">
      <c r="A300" s="42">
        <f t="shared" si="8"/>
        <v>1550</v>
      </c>
      <c r="B300" s="36"/>
      <c r="C300" s="38">
        <v>133.19999999999999</v>
      </c>
      <c r="D300" s="36"/>
      <c r="E300" s="39">
        <f t="shared" si="9"/>
        <v>0.21597222222222226</v>
      </c>
    </row>
    <row r="301" spans="1:5">
      <c r="A301" s="42">
        <f t="shared" si="8"/>
        <v>1551</v>
      </c>
      <c r="B301" s="36"/>
      <c r="C301" s="38">
        <v>266.39999999999998</v>
      </c>
      <c r="D301" s="36"/>
      <c r="E301" s="39">
        <f t="shared" si="9"/>
        <v>0.10798611111111113</v>
      </c>
    </row>
    <row r="302" spans="1:5">
      <c r="A302" s="42">
        <f t="shared" si="8"/>
        <v>1552</v>
      </c>
      <c r="B302" s="36"/>
      <c r="C302" s="38">
        <v>60.1</v>
      </c>
      <c r="D302" s="36"/>
      <c r="E302" s="39">
        <f t="shared" si="9"/>
        <v>0.47866056572379367</v>
      </c>
    </row>
    <row r="303" spans="1:5">
      <c r="A303" s="42">
        <f t="shared" si="8"/>
        <v>1553</v>
      </c>
      <c r="B303" s="36"/>
      <c r="C303" s="38">
        <v>60.5</v>
      </c>
      <c r="D303" s="36"/>
      <c r="E303" s="39">
        <f t="shared" si="9"/>
        <v>0.47549586776859509</v>
      </c>
    </row>
    <row r="304" spans="1:5">
      <c r="A304" s="42">
        <f t="shared" si="8"/>
        <v>1554</v>
      </c>
      <c r="B304" s="36"/>
      <c r="C304" s="38">
        <v>60.5</v>
      </c>
      <c r="D304" s="36"/>
      <c r="E304" s="39">
        <f t="shared" si="9"/>
        <v>0.47549586776859509</v>
      </c>
    </row>
    <row r="305" spans="1:5">
      <c r="A305" s="42">
        <f t="shared" si="8"/>
        <v>1555</v>
      </c>
      <c r="B305" s="36"/>
      <c r="C305" s="38">
        <v>60.5</v>
      </c>
      <c r="D305" s="36"/>
      <c r="E305" s="39">
        <f t="shared" si="9"/>
        <v>0.47549586776859509</v>
      </c>
    </row>
    <row r="306" spans="1:5">
      <c r="A306" s="42">
        <f t="shared" si="8"/>
        <v>1556</v>
      </c>
      <c r="B306" s="36"/>
      <c r="C306" s="38">
        <v>60.5</v>
      </c>
      <c r="D306" s="36"/>
      <c r="E306" s="39">
        <f t="shared" si="9"/>
        <v>0.47549586776859509</v>
      </c>
    </row>
    <row r="307" spans="1:5">
      <c r="A307" s="42">
        <f t="shared" si="8"/>
        <v>1557</v>
      </c>
      <c r="B307" s="36"/>
      <c r="C307" s="38">
        <v>60.5</v>
      </c>
      <c r="D307" s="36"/>
      <c r="E307" s="39">
        <f t="shared" si="9"/>
        <v>0.47549586776859509</v>
      </c>
    </row>
    <row r="308" spans="1:5">
      <c r="A308" s="42">
        <f t="shared" si="8"/>
        <v>1558</v>
      </c>
      <c r="B308" s="36"/>
      <c r="C308" s="38">
        <v>60.5</v>
      </c>
      <c r="D308" s="36"/>
      <c r="E308" s="39">
        <f t="shared" si="9"/>
        <v>0.47549586776859509</v>
      </c>
    </row>
    <row r="309" spans="1:5">
      <c r="A309" s="42">
        <f t="shared" si="8"/>
        <v>1559</v>
      </c>
      <c r="B309" s="36"/>
      <c r="C309" s="38">
        <v>60.5</v>
      </c>
      <c r="D309" s="36"/>
      <c r="E309" s="39">
        <f t="shared" si="9"/>
        <v>0.47549586776859509</v>
      </c>
    </row>
    <row r="310" spans="1:5">
      <c r="A310" s="42">
        <f t="shared" si="8"/>
        <v>1560</v>
      </c>
      <c r="B310" s="36"/>
      <c r="C310" s="38">
        <v>60</v>
      </c>
      <c r="D310" s="36"/>
      <c r="E310" s="39">
        <f t="shared" si="9"/>
        <v>0.47945833333333338</v>
      </c>
    </row>
    <row r="311" spans="1:5">
      <c r="A311" s="42">
        <f t="shared" si="8"/>
        <v>1561</v>
      </c>
      <c r="B311" s="36"/>
      <c r="C311" s="38">
        <v>60</v>
      </c>
      <c r="D311" s="36"/>
      <c r="E311" s="39">
        <f t="shared" si="9"/>
        <v>0.47945833333333338</v>
      </c>
    </row>
    <row r="312" spans="1:5">
      <c r="A312" s="42">
        <f t="shared" si="8"/>
        <v>1562</v>
      </c>
      <c r="B312" s="36"/>
      <c r="C312" s="38">
        <v>60</v>
      </c>
      <c r="D312" s="36"/>
      <c r="E312" s="39">
        <f t="shared" si="9"/>
        <v>0.47945833333333338</v>
      </c>
    </row>
    <row r="313" spans="1:5">
      <c r="A313" s="42">
        <f t="shared" si="8"/>
        <v>1563</v>
      </c>
      <c r="B313" s="36"/>
      <c r="C313" s="38">
        <v>60</v>
      </c>
      <c r="D313" s="36"/>
      <c r="E313" s="39">
        <f t="shared" si="9"/>
        <v>0.47945833333333338</v>
      </c>
    </row>
    <row r="314" spans="1:5">
      <c r="A314" s="42">
        <f t="shared" si="8"/>
        <v>1564</v>
      </c>
      <c r="B314" s="36"/>
      <c r="C314" s="38">
        <v>60</v>
      </c>
      <c r="D314" s="36"/>
      <c r="E314" s="39">
        <f t="shared" si="9"/>
        <v>0.47945833333333338</v>
      </c>
    </row>
    <row r="315" spans="1:5">
      <c r="A315" s="42">
        <f t="shared" si="8"/>
        <v>1565</v>
      </c>
      <c r="B315" s="36"/>
      <c r="C315" s="38">
        <v>60</v>
      </c>
      <c r="D315" s="36"/>
      <c r="E315" s="39">
        <f t="shared" si="9"/>
        <v>0.47945833333333338</v>
      </c>
    </row>
    <row r="316" spans="1:5">
      <c r="A316" s="42">
        <f t="shared" si="8"/>
        <v>1566</v>
      </c>
      <c r="B316" s="36"/>
      <c r="C316" s="38">
        <v>60</v>
      </c>
      <c r="D316" s="36"/>
      <c r="E316" s="39">
        <f t="shared" si="9"/>
        <v>0.47945833333333338</v>
      </c>
    </row>
    <row r="317" spans="1:5">
      <c r="A317" s="42">
        <f t="shared" si="8"/>
        <v>1567</v>
      </c>
      <c r="B317" s="36"/>
      <c r="C317" s="38">
        <v>60</v>
      </c>
      <c r="D317" s="36"/>
      <c r="E317" s="39">
        <f t="shared" si="9"/>
        <v>0.47945833333333338</v>
      </c>
    </row>
    <row r="318" spans="1:5">
      <c r="A318" s="42">
        <f t="shared" si="8"/>
        <v>1568</v>
      </c>
      <c r="B318" s="36"/>
      <c r="C318" s="38">
        <v>60</v>
      </c>
      <c r="D318" s="36"/>
      <c r="E318" s="39">
        <f t="shared" si="9"/>
        <v>0.47945833333333338</v>
      </c>
    </row>
    <row r="319" spans="1:5">
      <c r="A319" s="42">
        <f t="shared" si="8"/>
        <v>1569</v>
      </c>
      <c r="B319" s="36"/>
      <c r="C319" s="38">
        <v>60</v>
      </c>
      <c r="D319" s="36"/>
      <c r="E319" s="39">
        <f t="shared" si="9"/>
        <v>0.47945833333333338</v>
      </c>
    </row>
    <row r="320" spans="1:5">
      <c r="A320" s="42">
        <f t="shared" si="8"/>
        <v>1570</v>
      </c>
      <c r="B320" s="36"/>
      <c r="C320" s="38">
        <v>60</v>
      </c>
      <c r="D320" s="36"/>
      <c r="E320" s="39">
        <f t="shared" si="9"/>
        <v>0.47945833333333338</v>
      </c>
    </row>
    <row r="321" spans="1:5">
      <c r="A321" s="42">
        <f t="shared" si="8"/>
        <v>1571</v>
      </c>
      <c r="B321" s="36"/>
      <c r="C321" s="38">
        <v>60</v>
      </c>
      <c r="D321" s="36"/>
      <c r="E321" s="39">
        <f t="shared" si="9"/>
        <v>0.47945833333333338</v>
      </c>
    </row>
    <row r="322" spans="1:5">
      <c r="A322" s="42">
        <f t="shared" si="8"/>
        <v>1572</v>
      </c>
      <c r="B322" s="36"/>
      <c r="C322" s="38">
        <v>60</v>
      </c>
      <c r="D322" s="36"/>
      <c r="E322" s="39">
        <f t="shared" si="9"/>
        <v>0.47945833333333338</v>
      </c>
    </row>
    <row r="323" spans="1:5">
      <c r="A323" s="42">
        <f t="shared" si="8"/>
        <v>1573</v>
      </c>
      <c r="B323" s="36"/>
      <c r="C323" s="38">
        <v>60</v>
      </c>
      <c r="D323" s="36"/>
      <c r="E323" s="39">
        <f t="shared" si="9"/>
        <v>0.47945833333333338</v>
      </c>
    </row>
    <row r="324" spans="1:5">
      <c r="A324" s="42">
        <f t="shared" si="8"/>
        <v>1574</v>
      </c>
      <c r="B324" s="36"/>
      <c r="C324" s="38">
        <v>60</v>
      </c>
      <c r="D324" s="36"/>
      <c r="E324" s="39">
        <f t="shared" si="9"/>
        <v>0.47945833333333338</v>
      </c>
    </row>
    <row r="325" spans="1:5">
      <c r="A325" s="42">
        <f t="shared" si="8"/>
        <v>1575</v>
      </c>
      <c r="B325" s="36"/>
      <c r="C325" s="38">
        <v>60</v>
      </c>
      <c r="D325" s="36"/>
      <c r="E325" s="39">
        <f t="shared" si="9"/>
        <v>0.47945833333333338</v>
      </c>
    </row>
    <row r="326" spans="1:5">
      <c r="A326" s="42">
        <f t="shared" si="8"/>
        <v>1576</v>
      </c>
      <c r="B326" s="36"/>
      <c r="C326" s="38">
        <v>60</v>
      </c>
      <c r="D326" s="36"/>
      <c r="E326" s="39">
        <f t="shared" si="9"/>
        <v>0.47945833333333338</v>
      </c>
    </row>
    <row r="327" spans="1:5">
      <c r="A327" s="42">
        <f t="shared" si="8"/>
        <v>1577</v>
      </c>
      <c r="B327" s="36"/>
      <c r="C327" s="38">
        <v>60</v>
      </c>
      <c r="D327" s="36"/>
      <c r="E327" s="39">
        <f t="shared" si="9"/>
        <v>0.47945833333333338</v>
      </c>
    </row>
    <row r="328" spans="1:5">
      <c r="A328" s="42">
        <f t="shared" si="8"/>
        <v>1578</v>
      </c>
      <c r="B328" s="36"/>
      <c r="C328" s="38">
        <v>60</v>
      </c>
      <c r="D328" s="36"/>
      <c r="E328" s="39">
        <f t="shared" si="9"/>
        <v>0.47945833333333338</v>
      </c>
    </row>
    <row r="329" spans="1:5">
      <c r="A329" s="42">
        <f t="shared" si="8"/>
        <v>1579</v>
      </c>
      <c r="B329" s="36"/>
      <c r="C329" s="38">
        <v>60</v>
      </c>
      <c r="D329" s="36"/>
      <c r="E329" s="39">
        <f t="shared" si="9"/>
        <v>0.47945833333333338</v>
      </c>
    </row>
    <row r="330" spans="1:5">
      <c r="A330" s="42">
        <f t="shared" ref="A330:A393" si="10">A329+1</f>
        <v>1580</v>
      </c>
      <c r="B330" s="36"/>
      <c r="C330" s="38">
        <v>60</v>
      </c>
      <c r="D330" s="36"/>
      <c r="E330" s="39">
        <f t="shared" ref="E330:E393" si="11">(31.1*0.925/$C330)</f>
        <v>0.47945833333333338</v>
      </c>
    </row>
    <row r="331" spans="1:5">
      <c r="A331" s="42">
        <f t="shared" si="10"/>
        <v>1581</v>
      </c>
      <c r="B331" s="36"/>
      <c r="C331" s="38">
        <v>60</v>
      </c>
      <c r="D331" s="36"/>
      <c r="E331" s="39">
        <f t="shared" si="11"/>
        <v>0.47945833333333338</v>
      </c>
    </row>
    <row r="332" spans="1:5">
      <c r="A332" s="42">
        <f t="shared" si="10"/>
        <v>1582</v>
      </c>
      <c r="B332" s="36"/>
      <c r="C332" s="38">
        <v>60</v>
      </c>
      <c r="D332" s="36"/>
      <c r="E332" s="39">
        <f t="shared" si="11"/>
        <v>0.47945833333333338</v>
      </c>
    </row>
    <row r="333" spans="1:5">
      <c r="A333" s="42">
        <f t="shared" si="10"/>
        <v>1583</v>
      </c>
      <c r="B333" s="36"/>
      <c r="C333" s="38">
        <v>60</v>
      </c>
      <c r="D333" s="36"/>
      <c r="E333" s="39">
        <f t="shared" si="11"/>
        <v>0.47945833333333338</v>
      </c>
    </row>
    <row r="334" spans="1:5">
      <c r="A334" s="42">
        <f t="shared" si="10"/>
        <v>1584</v>
      </c>
      <c r="B334" s="36"/>
      <c r="C334" s="38">
        <v>60</v>
      </c>
      <c r="D334" s="36"/>
      <c r="E334" s="39">
        <f t="shared" si="11"/>
        <v>0.47945833333333338</v>
      </c>
    </row>
    <row r="335" spans="1:5">
      <c r="A335" s="42">
        <f t="shared" si="10"/>
        <v>1585</v>
      </c>
      <c r="B335" s="36"/>
      <c r="C335" s="38">
        <v>60</v>
      </c>
      <c r="D335" s="36"/>
      <c r="E335" s="39">
        <f t="shared" si="11"/>
        <v>0.47945833333333338</v>
      </c>
    </row>
    <row r="336" spans="1:5">
      <c r="A336" s="42">
        <f t="shared" si="10"/>
        <v>1586</v>
      </c>
      <c r="B336" s="36"/>
      <c r="C336" s="38">
        <v>60</v>
      </c>
      <c r="D336" s="36"/>
      <c r="E336" s="39">
        <f t="shared" si="11"/>
        <v>0.47945833333333338</v>
      </c>
    </row>
    <row r="337" spans="1:5">
      <c r="A337" s="42">
        <f t="shared" si="10"/>
        <v>1587</v>
      </c>
      <c r="B337" s="36"/>
      <c r="C337" s="38">
        <v>60</v>
      </c>
      <c r="D337" s="36"/>
      <c r="E337" s="39">
        <f t="shared" si="11"/>
        <v>0.47945833333333338</v>
      </c>
    </row>
    <row r="338" spans="1:5">
      <c r="A338" s="42">
        <f t="shared" si="10"/>
        <v>1588</v>
      </c>
      <c r="B338" s="36"/>
      <c r="C338" s="38">
        <v>60</v>
      </c>
      <c r="D338" s="36"/>
      <c r="E338" s="39">
        <f t="shared" si="11"/>
        <v>0.47945833333333338</v>
      </c>
    </row>
    <row r="339" spans="1:5">
      <c r="A339" s="42">
        <f t="shared" si="10"/>
        <v>1589</v>
      </c>
      <c r="B339" s="36"/>
      <c r="C339" s="38">
        <v>60</v>
      </c>
      <c r="D339" s="36"/>
      <c r="E339" s="39">
        <f t="shared" si="11"/>
        <v>0.47945833333333338</v>
      </c>
    </row>
    <row r="340" spans="1:5">
      <c r="A340" s="42">
        <f t="shared" si="10"/>
        <v>1590</v>
      </c>
      <c r="B340" s="36"/>
      <c r="C340" s="38">
        <v>60</v>
      </c>
      <c r="D340" s="36"/>
      <c r="E340" s="39">
        <f t="shared" si="11"/>
        <v>0.47945833333333338</v>
      </c>
    </row>
    <row r="341" spans="1:5">
      <c r="A341" s="42">
        <f t="shared" si="10"/>
        <v>1591</v>
      </c>
      <c r="B341" s="36"/>
      <c r="C341" s="38">
        <v>60</v>
      </c>
      <c r="D341" s="36"/>
      <c r="E341" s="39">
        <f t="shared" si="11"/>
        <v>0.47945833333333338</v>
      </c>
    </row>
    <row r="342" spans="1:5">
      <c r="A342" s="42">
        <f t="shared" si="10"/>
        <v>1592</v>
      </c>
      <c r="B342" s="36"/>
      <c r="C342" s="38">
        <v>60</v>
      </c>
      <c r="D342" s="36"/>
      <c r="E342" s="39">
        <f t="shared" si="11"/>
        <v>0.47945833333333338</v>
      </c>
    </row>
    <row r="343" spans="1:5">
      <c r="A343" s="42">
        <f t="shared" si="10"/>
        <v>1593</v>
      </c>
      <c r="B343" s="36"/>
      <c r="C343" s="38">
        <v>60</v>
      </c>
      <c r="D343" s="36"/>
      <c r="E343" s="39">
        <f t="shared" si="11"/>
        <v>0.47945833333333338</v>
      </c>
    </row>
    <row r="344" spans="1:5">
      <c r="A344" s="42">
        <f t="shared" si="10"/>
        <v>1594</v>
      </c>
      <c r="B344" s="36"/>
      <c r="C344" s="38">
        <v>60</v>
      </c>
      <c r="D344" s="36"/>
      <c r="E344" s="39">
        <f t="shared" si="11"/>
        <v>0.47945833333333338</v>
      </c>
    </row>
    <row r="345" spans="1:5">
      <c r="A345" s="42">
        <f t="shared" si="10"/>
        <v>1595</v>
      </c>
      <c r="B345" s="36"/>
      <c r="C345" s="38">
        <v>60</v>
      </c>
      <c r="D345" s="36"/>
      <c r="E345" s="39">
        <f t="shared" si="11"/>
        <v>0.47945833333333338</v>
      </c>
    </row>
    <row r="346" spans="1:5">
      <c r="A346" s="42">
        <f t="shared" si="10"/>
        <v>1596</v>
      </c>
      <c r="B346" s="36"/>
      <c r="C346" s="38">
        <v>60</v>
      </c>
      <c r="D346" s="36"/>
      <c r="E346" s="39">
        <f t="shared" si="11"/>
        <v>0.47945833333333338</v>
      </c>
    </row>
    <row r="347" spans="1:5">
      <c r="A347" s="42">
        <f t="shared" si="10"/>
        <v>1597</v>
      </c>
      <c r="B347" s="36"/>
      <c r="C347" s="38">
        <v>60</v>
      </c>
      <c r="D347" s="36"/>
      <c r="E347" s="39">
        <f t="shared" si="11"/>
        <v>0.47945833333333338</v>
      </c>
    </row>
    <row r="348" spans="1:5">
      <c r="A348" s="42">
        <f t="shared" si="10"/>
        <v>1598</v>
      </c>
      <c r="B348" s="36"/>
      <c r="C348" s="38">
        <v>60</v>
      </c>
      <c r="D348" s="36"/>
      <c r="E348" s="39">
        <f t="shared" si="11"/>
        <v>0.47945833333333338</v>
      </c>
    </row>
    <row r="349" spans="1:5">
      <c r="A349" s="42">
        <f t="shared" si="10"/>
        <v>1599</v>
      </c>
      <c r="B349" s="36"/>
      <c r="C349" s="38">
        <v>60</v>
      </c>
      <c r="D349" s="36"/>
      <c r="E349" s="39">
        <f t="shared" si="11"/>
        <v>0.47945833333333338</v>
      </c>
    </row>
    <row r="350" spans="1:5">
      <c r="A350" s="42">
        <f t="shared" si="10"/>
        <v>1600</v>
      </c>
      <c r="B350" s="36"/>
      <c r="C350" s="38">
        <v>60</v>
      </c>
      <c r="D350" s="36"/>
      <c r="E350" s="39">
        <f t="shared" si="11"/>
        <v>0.47945833333333338</v>
      </c>
    </row>
    <row r="351" spans="1:5">
      <c r="A351" s="42">
        <f t="shared" si="10"/>
        <v>1601</v>
      </c>
      <c r="B351" s="36"/>
      <c r="C351" s="38">
        <v>62</v>
      </c>
      <c r="D351" s="36"/>
      <c r="E351" s="39">
        <f t="shared" si="11"/>
        <v>0.46399193548387102</v>
      </c>
    </row>
    <row r="352" spans="1:5">
      <c r="A352" s="42">
        <f t="shared" si="10"/>
        <v>1602</v>
      </c>
      <c r="B352" s="36"/>
      <c r="C352" s="38">
        <v>62</v>
      </c>
      <c r="D352" s="36"/>
      <c r="E352" s="39">
        <f t="shared" si="11"/>
        <v>0.46399193548387102</v>
      </c>
    </row>
    <row r="353" spans="1:5">
      <c r="A353" s="42">
        <f t="shared" si="10"/>
        <v>1603</v>
      </c>
      <c r="B353" s="36"/>
      <c r="C353" s="38">
        <v>62</v>
      </c>
      <c r="D353" s="36"/>
      <c r="E353" s="39">
        <f t="shared" si="11"/>
        <v>0.46399193548387102</v>
      </c>
    </row>
    <row r="354" spans="1:5">
      <c r="A354" s="42">
        <f t="shared" si="10"/>
        <v>1604</v>
      </c>
      <c r="B354" s="36"/>
      <c r="C354" s="38">
        <v>62</v>
      </c>
      <c r="D354" s="36"/>
      <c r="E354" s="39">
        <f t="shared" si="11"/>
        <v>0.46399193548387102</v>
      </c>
    </row>
    <row r="355" spans="1:5">
      <c r="A355" s="42">
        <f t="shared" si="10"/>
        <v>1605</v>
      </c>
      <c r="B355" s="36"/>
      <c r="C355" s="38">
        <v>62</v>
      </c>
      <c r="D355" s="36"/>
      <c r="E355" s="39">
        <f t="shared" si="11"/>
        <v>0.46399193548387102</v>
      </c>
    </row>
    <row r="356" spans="1:5">
      <c r="A356" s="42">
        <f t="shared" si="10"/>
        <v>1606</v>
      </c>
      <c r="B356" s="36"/>
      <c r="C356" s="38">
        <v>62</v>
      </c>
      <c r="D356" s="36"/>
      <c r="E356" s="39">
        <f t="shared" si="11"/>
        <v>0.46399193548387102</v>
      </c>
    </row>
    <row r="357" spans="1:5">
      <c r="A357" s="42">
        <f t="shared" si="10"/>
        <v>1607</v>
      </c>
      <c r="B357" s="36"/>
      <c r="C357" s="38">
        <v>62</v>
      </c>
      <c r="D357" s="36"/>
      <c r="E357" s="39">
        <f t="shared" si="11"/>
        <v>0.46399193548387102</v>
      </c>
    </row>
    <row r="358" spans="1:5">
      <c r="A358" s="42">
        <f t="shared" si="10"/>
        <v>1608</v>
      </c>
      <c r="B358" s="36"/>
      <c r="C358" s="38">
        <v>62</v>
      </c>
      <c r="D358" s="36"/>
      <c r="E358" s="39">
        <f t="shared" si="11"/>
        <v>0.46399193548387102</v>
      </c>
    </row>
    <row r="359" spans="1:5">
      <c r="A359" s="42">
        <f t="shared" si="10"/>
        <v>1609</v>
      </c>
      <c r="B359" s="36"/>
      <c r="C359" s="38">
        <v>62</v>
      </c>
      <c r="D359" s="36"/>
      <c r="E359" s="39">
        <f t="shared" si="11"/>
        <v>0.46399193548387102</v>
      </c>
    </row>
    <row r="360" spans="1:5">
      <c r="A360" s="42">
        <f t="shared" si="10"/>
        <v>1610</v>
      </c>
      <c r="B360" s="36"/>
      <c r="C360" s="38">
        <v>62</v>
      </c>
      <c r="D360" s="36"/>
      <c r="E360" s="39">
        <f t="shared" si="11"/>
        <v>0.46399193548387102</v>
      </c>
    </row>
    <row r="361" spans="1:5">
      <c r="A361" s="42">
        <f t="shared" si="10"/>
        <v>1611</v>
      </c>
      <c r="B361" s="36"/>
      <c r="C361" s="38">
        <v>62</v>
      </c>
      <c r="D361" s="36"/>
      <c r="E361" s="39">
        <f t="shared" si="11"/>
        <v>0.46399193548387102</v>
      </c>
    </row>
    <row r="362" spans="1:5">
      <c r="A362" s="42">
        <f t="shared" si="10"/>
        <v>1612</v>
      </c>
      <c r="B362" s="36"/>
      <c r="C362" s="38">
        <v>62</v>
      </c>
      <c r="D362" s="36"/>
      <c r="E362" s="39">
        <f t="shared" si="11"/>
        <v>0.46399193548387102</v>
      </c>
    </row>
    <row r="363" spans="1:5">
      <c r="A363" s="42">
        <f t="shared" si="10"/>
        <v>1613</v>
      </c>
      <c r="B363" s="36"/>
      <c r="C363" s="38">
        <v>62</v>
      </c>
      <c r="D363" s="36"/>
      <c r="E363" s="39">
        <f t="shared" si="11"/>
        <v>0.46399193548387102</v>
      </c>
    </row>
    <row r="364" spans="1:5">
      <c r="A364" s="42">
        <f t="shared" si="10"/>
        <v>1614</v>
      </c>
      <c r="B364" s="36"/>
      <c r="C364" s="38">
        <v>62</v>
      </c>
      <c r="D364" s="36"/>
      <c r="E364" s="39">
        <f t="shared" si="11"/>
        <v>0.46399193548387102</v>
      </c>
    </row>
    <row r="365" spans="1:5">
      <c r="A365" s="42">
        <f t="shared" si="10"/>
        <v>1615</v>
      </c>
      <c r="B365" s="36"/>
      <c r="C365" s="38">
        <v>62</v>
      </c>
      <c r="D365" s="36"/>
      <c r="E365" s="39">
        <f t="shared" si="11"/>
        <v>0.46399193548387102</v>
      </c>
    </row>
    <row r="366" spans="1:5">
      <c r="A366" s="42">
        <f t="shared" si="10"/>
        <v>1616</v>
      </c>
      <c r="B366" s="36"/>
      <c r="C366" s="38">
        <v>62</v>
      </c>
      <c r="D366" s="36"/>
      <c r="E366" s="39">
        <f t="shared" si="11"/>
        <v>0.46399193548387102</v>
      </c>
    </row>
    <row r="367" spans="1:5">
      <c r="A367" s="42">
        <f t="shared" si="10"/>
        <v>1617</v>
      </c>
      <c r="B367" s="36"/>
      <c r="C367" s="38">
        <v>62</v>
      </c>
      <c r="D367" s="36"/>
      <c r="E367" s="39">
        <f t="shared" si="11"/>
        <v>0.46399193548387102</v>
      </c>
    </row>
    <row r="368" spans="1:5">
      <c r="A368" s="42">
        <f t="shared" si="10"/>
        <v>1618</v>
      </c>
      <c r="B368" s="36"/>
      <c r="C368" s="38">
        <v>62</v>
      </c>
      <c r="D368" s="36"/>
      <c r="E368" s="39">
        <f t="shared" si="11"/>
        <v>0.46399193548387102</v>
      </c>
    </row>
    <row r="369" spans="1:5">
      <c r="A369" s="42">
        <f t="shared" si="10"/>
        <v>1619</v>
      </c>
      <c r="B369" s="36"/>
      <c r="C369" s="38">
        <v>62</v>
      </c>
      <c r="D369" s="36"/>
      <c r="E369" s="39">
        <f t="shared" si="11"/>
        <v>0.46399193548387102</v>
      </c>
    </row>
    <row r="370" spans="1:5">
      <c r="A370" s="42">
        <f t="shared" si="10"/>
        <v>1620</v>
      </c>
      <c r="B370" s="36"/>
      <c r="C370" s="38">
        <v>62</v>
      </c>
      <c r="D370" s="36"/>
      <c r="E370" s="39">
        <f t="shared" si="11"/>
        <v>0.46399193548387102</v>
      </c>
    </row>
    <row r="371" spans="1:5">
      <c r="A371" s="42">
        <f t="shared" si="10"/>
        <v>1621</v>
      </c>
      <c r="B371" s="36"/>
      <c r="C371" s="38">
        <v>62</v>
      </c>
      <c r="D371" s="36"/>
      <c r="E371" s="39">
        <f t="shared" si="11"/>
        <v>0.46399193548387102</v>
      </c>
    </row>
    <row r="372" spans="1:5">
      <c r="A372" s="42">
        <f t="shared" si="10"/>
        <v>1622</v>
      </c>
      <c r="B372" s="36"/>
      <c r="C372" s="38">
        <v>62</v>
      </c>
      <c r="D372" s="36"/>
      <c r="E372" s="39">
        <f t="shared" si="11"/>
        <v>0.46399193548387102</v>
      </c>
    </row>
    <row r="373" spans="1:5">
      <c r="A373" s="42">
        <f t="shared" si="10"/>
        <v>1623</v>
      </c>
      <c r="B373" s="36"/>
      <c r="C373" s="38">
        <v>62</v>
      </c>
      <c r="D373" s="36"/>
      <c r="E373" s="39">
        <f t="shared" si="11"/>
        <v>0.46399193548387102</v>
      </c>
    </row>
    <row r="374" spans="1:5">
      <c r="A374" s="42">
        <f t="shared" si="10"/>
        <v>1624</v>
      </c>
      <c r="B374" s="36"/>
      <c r="C374" s="38">
        <v>62</v>
      </c>
      <c r="D374" s="36"/>
      <c r="E374" s="39">
        <f t="shared" si="11"/>
        <v>0.46399193548387102</v>
      </c>
    </row>
    <row r="375" spans="1:5">
      <c r="A375" s="42">
        <f t="shared" si="10"/>
        <v>1625</v>
      </c>
      <c r="B375" s="36"/>
      <c r="C375" s="38">
        <v>62</v>
      </c>
      <c r="D375" s="36"/>
      <c r="E375" s="39">
        <f t="shared" si="11"/>
        <v>0.46399193548387102</v>
      </c>
    </row>
    <row r="376" spans="1:5">
      <c r="A376" s="42">
        <f t="shared" si="10"/>
        <v>1626</v>
      </c>
      <c r="B376" s="36"/>
      <c r="C376" s="38">
        <v>62</v>
      </c>
      <c r="D376" s="36"/>
      <c r="E376" s="39">
        <f t="shared" si="11"/>
        <v>0.46399193548387102</v>
      </c>
    </row>
    <row r="377" spans="1:5">
      <c r="A377" s="42">
        <f t="shared" si="10"/>
        <v>1627</v>
      </c>
      <c r="B377" s="36"/>
      <c r="C377" s="38">
        <v>62</v>
      </c>
      <c r="D377" s="36"/>
      <c r="E377" s="39">
        <f t="shared" si="11"/>
        <v>0.46399193548387102</v>
      </c>
    </row>
    <row r="378" spans="1:5">
      <c r="A378" s="42">
        <f t="shared" si="10"/>
        <v>1628</v>
      </c>
      <c r="B378" s="36"/>
      <c r="C378" s="38">
        <v>62</v>
      </c>
      <c r="D378" s="36"/>
      <c r="E378" s="39">
        <f t="shared" si="11"/>
        <v>0.46399193548387102</v>
      </c>
    </row>
    <row r="379" spans="1:5">
      <c r="A379" s="42">
        <f t="shared" si="10"/>
        <v>1629</v>
      </c>
      <c r="B379" s="36"/>
      <c r="C379" s="38">
        <v>62</v>
      </c>
      <c r="D379" s="36"/>
      <c r="E379" s="39">
        <f t="shared" si="11"/>
        <v>0.46399193548387102</v>
      </c>
    </row>
    <row r="380" spans="1:5">
      <c r="A380" s="42">
        <f t="shared" si="10"/>
        <v>1630</v>
      </c>
      <c r="B380" s="36"/>
      <c r="C380" s="38">
        <v>62</v>
      </c>
      <c r="D380" s="36"/>
      <c r="E380" s="39">
        <f t="shared" si="11"/>
        <v>0.46399193548387102</v>
      </c>
    </row>
    <row r="381" spans="1:5">
      <c r="A381" s="42">
        <f t="shared" si="10"/>
        <v>1631</v>
      </c>
      <c r="B381" s="36"/>
      <c r="C381" s="38">
        <v>62</v>
      </c>
      <c r="D381" s="36"/>
      <c r="E381" s="39">
        <f t="shared" si="11"/>
        <v>0.46399193548387102</v>
      </c>
    </row>
    <row r="382" spans="1:5">
      <c r="A382" s="42">
        <f t="shared" si="10"/>
        <v>1632</v>
      </c>
      <c r="B382" s="36"/>
      <c r="C382" s="38">
        <v>62</v>
      </c>
      <c r="D382" s="36"/>
      <c r="E382" s="39">
        <f t="shared" si="11"/>
        <v>0.46399193548387102</v>
      </c>
    </row>
    <row r="383" spans="1:5">
      <c r="A383" s="42">
        <f t="shared" si="10"/>
        <v>1633</v>
      </c>
      <c r="B383" s="36"/>
      <c r="C383" s="38">
        <v>62</v>
      </c>
      <c r="D383" s="36"/>
      <c r="E383" s="39">
        <f t="shared" si="11"/>
        <v>0.46399193548387102</v>
      </c>
    </row>
    <row r="384" spans="1:5">
      <c r="A384" s="42">
        <f t="shared" si="10"/>
        <v>1634</v>
      </c>
      <c r="B384" s="36"/>
      <c r="C384" s="38">
        <v>62</v>
      </c>
      <c r="D384" s="36"/>
      <c r="E384" s="39">
        <f t="shared" si="11"/>
        <v>0.46399193548387102</v>
      </c>
    </row>
    <row r="385" spans="1:5">
      <c r="A385" s="42">
        <f t="shared" si="10"/>
        <v>1635</v>
      </c>
      <c r="B385" s="36"/>
      <c r="C385" s="38">
        <v>62</v>
      </c>
      <c r="D385" s="36"/>
      <c r="E385" s="39">
        <f t="shared" si="11"/>
        <v>0.46399193548387102</v>
      </c>
    </row>
    <row r="386" spans="1:5">
      <c r="A386" s="42">
        <f t="shared" si="10"/>
        <v>1636</v>
      </c>
      <c r="B386" s="36"/>
      <c r="C386" s="38">
        <v>62</v>
      </c>
      <c r="D386" s="36"/>
      <c r="E386" s="39">
        <f t="shared" si="11"/>
        <v>0.46399193548387102</v>
      </c>
    </row>
    <row r="387" spans="1:5">
      <c r="A387" s="42">
        <f t="shared" si="10"/>
        <v>1637</v>
      </c>
      <c r="B387" s="36"/>
      <c r="C387" s="38">
        <v>62</v>
      </c>
      <c r="D387" s="36"/>
      <c r="E387" s="39">
        <f t="shared" si="11"/>
        <v>0.46399193548387102</v>
      </c>
    </row>
    <row r="388" spans="1:5">
      <c r="A388" s="42">
        <f t="shared" si="10"/>
        <v>1638</v>
      </c>
      <c r="B388" s="36"/>
      <c r="C388" s="38">
        <v>62</v>
      </c>
      <c r="D388" s="36"/>
      <c r="E388" s="39">
        <f t="shared" si="11"/>
        <v>0.46399193548387102</v>
      </c>
    </row>
    <row r="389" spans="1:5">
      <c r="A389" s="42">
        <f t="shared" si="10"/>
        <v>1639</v>
      </c>
      <c r="B389" s="36"/>
      <c r="C389" s="38">
        <v>62</v>
      </c>
      <c r="D389" s="36"/>
      <c r="E389" s="39">
        <f t="shared" si="11"/>
        <v>0.46399193548387102</v>
      </c>
    </row>
    <row r="390" spans="1:5">
      <c r="A390" s="42">
        <f t="shared" si="10"/>
        <v>1640</v>
      </c>
      <c r="B390" s="36"/>
      <c r="C390" s="38">
        <v>62</v>
      </c>
      <c r="D390" s="36"/>
      <c r="E390" s="39">
        <f t="shared" si="11"/>
        <v>0.46399193548387102</v>
      </c>
    </row>
    <row r="391" spans="1:5">
      <c r="A391" s="42">
        <f t="shared" si="10"/>
        <v>1641</v>
      </c>
      <c r="B391" s="36"/>
      <c r="C391" s="38">
        <v>62</v>
      </c>
      <c r="D391" s="36"/>
      <c r="E391" s="39">
        <f t="shared" si="11"/>
        <v>0.46399193548387102</v>
      </c>
    </row>
    <row r="392" spans="1:5">
      <c r="A392" s="42">
        <f t="shared" si="10"/>
        <v>1642</v>
      </c>
      <c r="B392" s="36"/>
      <c r="C392" s="38">
        <v>62</v>
      </c>
      <c r="D392" s="36"/>
      <c r="E392" s="39">
        <f t="shared" si="11"/>
        <v>0.46399193548387102</v>
      </c>
    </row>
    <row r="393" spans="1:5">
      <c r="A393" s="42">
        <f t="shared" si="10"/>
        <v>1643</v>
      </c>
      <c r="B393" s="36"/>
      <c r="C393" s="38">
        <v>62</v>
      </c>
      <c r="D393" s="36"/>
      <c r="E393" s="39">
        <f t="shared" si="11"/>
        <v>0.46399193548387102</v>
      </c>
    </row>
    <row r="394" spans="1:5">
      <c r="A394" s="42">
        <f t="shared" ref="A394:A457" si="12">A393+1</f>
        <v>1644</v>
      </c>
      <c r="B394" s="36"/>
      <c r="C394" s="38">
        <v>62</v>
      </c>
      <c r="D394" s="36"/>
      <c r="E394" s="39">
        <f t="shared" ref="E394:E457" si="13">(31.1*0.925/$C394)</f>
        <v>0.46399193548387102</v>
      </c>
    </row>
    <row r="395" spans="1:5">
      <c r="A395" s="42">
        <f t="shared" si="12"/>
        <v>1645</v>
      </c>
      <c r="B395" s="36"/>
      <c r="C395" s="38">
        <v>62</v>
      </c>
      <c r="D395" s="36"/>
      <c r="E395" s="39">
        <f t="shared" si="13"/>
        <v>0.46399193548387102</v>
      </c>
    </row>
    <row r="396" spans="1:5">
      <c r="A396" s="42">
        <f t="shared" si="12"/>
        <v>1646</v>
      </c>
      <c r="B396" s="36"/>
      <c r="C396" s="38">
        <v>62</v>
      </c>
      <c r="D396" s="36"/>
      <c r="E396" s="39">
        <f t="shared" si="13"/>
        <v>0.46399193548387102</v>
      </c>
    </row>
    <row r="397" spans="1:5">
      <c r="A397" s="42">
        <f t="shared" si="12"/>
        <v>1647</v>
      </c>
      <c r="B397" s="36"/>
      <c r="C397" s="38">
        <v>62</v>
      </c>
      <c r="D397" s="36"/>
      <c r="E397" s="39">
        <f t="shared" si="13"/>
        <v>0.46399193548387102</v>
      </c>
    </row>
    <row r="398" spans="1:5">
      <c r="A398" s="42">
        <f t="shared" si="12"/>
        <v>1648</v>
      </c>
      <c r="B398" s="36"/>
      <c r="C398" s="38">
        <v>62</v>
      </c>
      <c r="D398" s="36"/>
      <c r="E398" s="39">
        <f t="shared" si="13"/>
        <v>0.46399193548387102</v>
      </c>
    </row>
    <row r="399" spans="1:5">
      <c r="A399" s="42">
        <f t="shared" si="12"/>
        <v>1649</v>
      </c>
      <c r="B399" s="36"/>
      <c r="C399" s="38">
        <v>62</v>
      </c>
      <c r="D399" s="36"/>
      <c r="E399" s="39">
        <f t="shared" si="13"/>
        <v>0.46399193548387102</v>
      </c>
    </row>
    <row r="400" spans="1:5">
      <c r="A400" s="42">
        <f t="shared" si="12"/>
        <v>1650</v>
      </c>
      <c r="B400" s="36"/>
      <c r="C400" s="38">
        <v>62</v>
      </c>
      <c r="D400" s="36"/>
      <c r="E400" s="39">
        <f t="shared" si="13"/>
        <v>0.46399193548387102</v>
      </c>
    </row>
    <row r="401" spans="1:5">
      <c r="A401" s="42">
        <f t="shared" si="12"/>
        <v>1651</v>
      </c>
      <c r="B401" s="36"/>
      <c r="C401" s="38">
        <v>62</v>
      </c>
      <c r="D401" s="36"/>
      <c r="E401" s="39">
        <f t="shared" si="13"/>
        <v>0.46399193548387102</v>
      </c>
    </row>
    <row r="402" spans="1:5">
      <c r="A402" s="42">
        <f t="shared" si="12"/>
        <v>1652</v>
      </c>
      <c r="B402" s="36"/>
      <c r="C402" s="38">
        <v>62</v>
      </c>
      <c r="D402" s="36"/>
      <c r="E402" s="39">
        <f t="shared" si="13"/>
        <v>0.46399193548387102</v>
      </c>
    </row>
    <row r="403" spans="1:5">
      <c r="A403" s="42">
        <f t="shared" si="12"/>
        <v>1653</v>
      </c>
      <c r="B403" s="36"/>
      <c r="C403" s="38">
        <v>62</v>
      </c>
      <c r="D403" s="36"/>
      <c r="E403" s="39">
        <f t="shared" si="13"/>
        <v>0.46399193548387102</v>
      </c>
    </row>
    <row r="404" spans="1:5">
      <c r="A404" s="42">
        <f t="shared" si="12"/>
        <v>1654</v>
      </c>
      <c r="B404" s="36"/>
      <c r="C404" s="38">
        <v>62</v>
      </c>
      <c r="D404" s="36"/>
      <c r="E404" s="39">
        <f t="shared" si="13"/>
        <v>0.46399193548387102</v>
      </c>
    </row>
    <row r="405" spans="1:5">
      <c r="A405" s="42">
        <f t="shared" si="12"/>
        <v>1655</v>
      </c>
      <c r="B405" s="36"/>
      <c r="C405" s="38">
        <v>62</v>
      </c>
      <c r="D405" s="36"/>
      <c r="E405" s="39">
        <f t="shared" si="13"/>
        <v>0.46399193548387102</v>
      </c>
    </row>
    <row r="406" spans="1:5">
      <c r="A406" s="42">
        <f t="shared" si="12"/>
        <v>1656</v>
      </c>
      <c r="B406" s="36"/>
      <c r="C406" s="38">
        <v>62</v>
      </c>
      <c r="D406" s="36"/>
      <c r="E406" s="39">
        <f t="shared" si="13"/>
        <v>0.46399193548387102</v>
      </c>
    </row>
    <row r="407" spans="1:5">
      <c r="A407" s="42">
        <f t="shared" si="12"/>
        <v>1657</v>
      </c>
      <c r="B407" s="36"/>
      <c r="C407" s="38">
        <v>62</v>
      </c>
      <c r="D407" s="36"/>
      <c r="E407" s="39">
        <f t="shared" si="13"/>
        <v>0.46399193548387102</v>
      </c>
    </row>
    <row r="408" spans="1:5">
      <c r="A408" s="42">
        <f t="shared" si="12"/>
        <v>1658</v>
      </c>
      <c r="B408" s="36"/>
      <c r="C408" s="38">
        <v>62</v>
      </c>
      <c r="D408" s="36"/>
      <c r="E408" s="39">
        <f t="shared" si="13"/>
        <v>0.46399193548387102</v>
      </c>
    </row>
    <row r="409" spans="1:5">
      <c r="A409" s="42">
        <f t="shared" si="12"/>
        <v>1659</v>
      </c>
      <c r="B409" s="36"/>
      <c r="C409" s="38">
        <v>62</v>
      </c>
      <c r="D409" s="36"/>
      <c r="E409" s="39">
        <f t="shared" si="13"/>
        <v>0.46399193548387102</v>
      </c>
    </row>
    <row r="410" spans="1:5">
      <c r="A410" s="42">
        <f t="shared" si="12"/>
        <v>1660</v>
      </c>
      <c r="B410" s="36"/>
      <c r="C410" s="38">
        <v>62</v>
      </c>
      <c r="D410" s="36"/>
      <c r="E410" s="39">
        <f t="shared" si="13"/>
        <v>0.46399193548387102</v>
      </c>
    </row>
    <row r="411" spans="1:5">
      <c r="A411" s="42">
        <f t="shared" si="12"/>
        <v>1661</v>
      </c>
      <c r="B411" s="36"/>
      <c r="C411" s="38">
        <v>62</v>
      </c>
      <c r="D411" s="36"/>
      <c r="E411" s="39">
        <f t="shared" si="13"/>
        <v>0.46399193548387102</v>
      </c>
    </row>
    <row r="412" spans="1:5">
      <c r="A412" s="42">
        <f t="shared" si="12"/>
        <v>1662</v>
      </c>
      <c r="B412" s="36"/>
      <c r="C412" s="38">
        <v>62</v>
      </c>
      <c r="D412" s="36"/>
      <c r="E412" s="39">
        <f t="shared" si="13"/>
        <v>0.46399193548387102</v>
      </c>
    </row>
    <row r="413" spans="1:5">
      <c r="A413" s="42">
        <f t="shared" si="12"/>
        <v>1663</v>
      </c>
      <c r="B413" s="36"/>
      <c r="C413" s="38">
        <v>62</v>
      </c>
      <c r="D413" s="36"/>
      <c r="E413" s="39">
        <f t="shared" si="13"/>
        <v>0.46399193548387102</v>
      </c>
    </row>
    <row r="414" spans="1:5">
      <c r="A414" s="42">
        <f t="shared" si="12"/>
        <v>1664</v>
      </c>
      <c r="B414" s="36"/>
      <c r="C414" s="38">
        <v>62</v>
      </c>
      <c r="D414" s="36"/>
      <c r="E414" s="39">
        <f t="shared" si="13"/>
        <v>0.46399193548387102</v>
      </c>
    </row>
    <row r="415" spans="1:5">
      <c r="A415" s="42">
        <f t="shared" si="12"/>
        <v>1665</v>
      </c>
      <c r="B415" s="36"/>
      <c r="C415" s="38">
        <v>62</v>
      </c>
      <c r="D415" s="36"/>
      <c r="E415" s="39">
        <f t="shared" si="13"/>
        <v>0.46399193548387102</v>
      </c>
    </row>
    <row r="416" spans="1:5">
      <c r="A416" s="42">
        <f t="shared" si="12"/>
        <v>1666</v>
      </c>
      <c r="B416" s="36"/>
      <c r="C416" s="38">
        <v>62</v>
      </c>
      <c r="D416" s="36"/>
      <c r="E416" s="39">
        <f t="shared" si="13"/>
        <v>0.46399193548387102</v>
      </c>
    </row>
    <row r="417" spans="1:5">
      <c r="A417" s="42">
        <f t="shared" si="12"/>
        <v>1667</v>
      </c>
      <c r="B417" s="36"/>
      <c r="C417" s="38">
        <v>62</v>
      </c>
      <c r="D417" s="36"/>
      <c r="E417" s="39">
        <f t="shared" si="13"/>
        <v>0.46399193548387102</v>
      </c>
    </row>
    <row r="418" spans="1:5">
      <c r="A418" s="42">
        <f t="shared" si="12"/>
        <v>1668</v>
      </c>
      <c r="B418" s="36"/>
      <c r="C418" s="38">
        <v>62</v>
      </c>
      <c r="D418" s="36"/>
      <c r="E418" s="39">
        <f t="shared" si="13"/>
        <v>0.46399193548387102</v>
      </c>
    </row>
    <row r="419" spans="1:5">
      <c r="A419" s="42">
        <f t="shared" si="12"/>
        <v>1669</v>
      </c>
      <c r="B419" s="36"/>
      <c r="C419" s="38">
        <v>62</v>
      </c>
      <c r="D419" s="36"/>
      <c r="E419" s="39">
        <f t="shared" si="13"/>
        <v>0.46399193548387102</v>
      </c>
    </row>
    <row r="420" spans="1:5">
      <c r="A420" s="42">
        <f t="shared" si="12"/>
        <v>1670</v>
      </c>
      <c r="B420" s="36"/>
      <c r="C420" s="38">
        <v>62</v>
      </c>
      <c r="D420" s="36"/>
      <c r="E420" s="39">
        <f t="shared" si="13"/>
        <v>0.46399193548387102</v>
      </c>
    </row>
    <row r="421" spans="1:5">
      <c r="A421" s="42">
        <f t="shared" si="12"/>
        <v>1671</v>
      </c>
      <c r="B421" s="36"/>
      <c r="C421" s="38">
        <v>62</v>
      </c>
      <c r="D421" s="36"/>
      <c r="E421" s="39">
        <f t="shared" si="13"/>
        <v>0.46399193548387102</v>
      </c>
    </row>
    <row r="422" spans="1:5">
      <c r="A422" s="42">
        <f t="shared" si="12"/>
        <v>1672</v>
      </c>
      <c r="B422" s="36"/>
      <c r="C422" s="38">
        <v>62</v>
      </c>
      <c r="D422" s="36"/>
      <c r="E422" s="39">
        <f t="shared" si="13"/>
        <v>0.46399193548387102</v>
      </c>
    </row>
    <row r="423" spans="1:5">
      <c r="A423" s="42">
        <f t="shared" si="12"/>
        <v>1673</v>
      </c>
      <c r="B423" s="36"/>
      <c r="C423" s="38">
        <v>62</v>
      </c>
      <c r="D423" s="36"/>
      <c r="E423" s="39">
        <f t="shared" si="13"/>
        <v>0.46399193548387102</v>
      </c>
    </row>
    <row r="424" spans="1:5">
      <c r="A424" s="42">
        <f t="shared" si="12"/>
        <v>1674</v>
      </c>
      <c r="B424" s="36"/>
      <c r="C424" s="38">
        <v>62</v>
      </c>
      <c r="D424" s="36"/>
      <c r="E424" s="39">
        <f t="shared" si="13"/>
        <v>0.46399193548387102</v>
      </c>
    </row>
    <row r="425" spans="1:5">
      <c r="A425" s="42">
        <f t="shared" si="12"/>
        <v>1675</v>
      </c>
      <c r="B425" s="36"/>
      <c r="C425" s="38">
        <v>62</v>
      </c>
      <c r="D425" s="36"/>
      <c r="E425" s="39">
        <f t="shared" si="13"/>
        <v>0.46399193548387102</v>
      </c>
    </row>
    <row r="426" spans="1:5">
      <c r="A426" s="42">
        <f t="shared" si="12"/>
        <v>1676</v>
      </c>
      <c r="B426" s="36"/>
      <c r="C426" s="38">
        <v>62</v>
      </c>
      <c r="D426" s="36"/>
      <c r="E426" s="39">
        <f t="shared" si="13"/>
        <v>0.46399193548387102</v>
      </c>
    </row>
    <row r="427" spans="1:5">
      <c r="A427" s="42">
        <f t="shared" si="12"/>
        <v>1677</v>
      </c>
      <c r="B427" s="36"/>
      <c r="C427" s="38">
        <v>62</v>
      </c>
      <c r="D427" s="36"/>
      <c r="E427" s="39">
        <f t="shared" si="13"/>
        <v>0.46399193548387102</v>
      </c>
    </row>
    <row r="428" spans="1:5">
      <c r="A428" s="42">
        <f t="shared" si="12"/>
        <v>1678</v>
      </c>
      <c r="B428" s="36"/>
      <c r="C428" s="38">
        <v>62</v>
      </c>
      <c r="D428" s="36"/>
      <c r="E428" s="39">
        <f t="shared" si="13"/>
        <v>0.46399193548387102</v>
      </c>
    </row>
    <row r="429" spans="1:5">
      <c r="A429" s="42">
        <f t="shared" si="12"/>
        <v>1679</v>
      </c>
      <c r="B429" s="36"/>
      <c r="C429" s="38">
        <v>62</v>
      </c>
      <c r="D429" s="36"/>
      <c r="E429" s="39">
        <f t="shared" si="13"/>
        <v>0.46399193548387102</v>
      </c>
    </row>
    <row r="430" spans="1:5">
      <c r="A430" s="42">
        <f t="shared" si="12"/>
        <v>1680</v>
      </c>
      <c r="B430" s="36"/>
      <c r="C430" s="38">
        <v>62</v>
      </c>
      <c r="D430" s="36"/>
      <c r="E430" s="39">
        <f t="shared" si="13"/>
        <v>0.46399193548387102</v>
      </c>
    </row>
    <row r="431" spans="1:5">
      <c r="A431" s="42">
        <f t="shared" si="12"/>
        <v>1681</v>
      </c>
      <c r="B431" s="36"/>
      <c r="C431" s="38">
        <v>62</v>
      </c>
      <c r="D431" s="36"/>
      <c r="E431" s="39">
        <f t="shared" si="13"/>
        <v>0.46399193548387102</v>
      </c>
    </row>
    <row r="432" spans="1:5">
      <c r="A432" s="42">
        <f t="shared" si="12"/>
        <v>1682</v>
      </c>
      <c r="B432" s="36"/>
      <c r="C432" s="38">
        <v>62</v>
      </c>
      <c r="D432" s="36"/>
      <c r="E432" s="39">
        <f t="shared" si="13"/>
        <v>0.46399193548387102</v>
      </c>
    </row>
    <row r="433" spans="1:5">
      <c r="A433" s="42">
        <f t="shared" si="12"/>
        <v>1683</v>
      </c>
      <c r="B433" s="36"/>
      <c r="C433" s="38">
        <v>62</v>
      </c>
      <c r="D433" s="36"/>
      <c r="E433" s="39">
        <f t="shared" si="13"/>
        <v>0.46399193548387102</v>
      </c>
    </row>
    <row r="434" spans="1:5">
      <c r="A434" s="42">
        <f t="shared" si="12"/>
        <v>1684</v>
      </c>
      <c r="B434" s="36"/>
      <c r="C434" s="38">
        <v>62</v>
      </c>
      <c r="D434" s="36"/>
      <c r="E434" s="39">
        <f t="shared" si="13"/>
        <v>0.46399193548387102</v>
      </c>
    </row>
    <row r="435" spans="1:5">
      <c r="A435" s="42">
        <f t="shared" si="12"/>
        <v>1685</v>
      </c>
      <c r="B435" s="36"/>
      <c r="C435" s="38">
        <v>62</v>
      </c>
      <c r="D435" s="36"/>
      <c r="E435" s="39">
        <f t="shared" si="13"/>
        <v>0.46399193548387102</v>
      </c>
    </row>
    <row r="436" spans="1:5">
      <c r="A436" s="42">
        <f t="shared" si="12"/>
        <v>1686</v>
      </c>
      <c r="B436" s="36"/>
      <c r="C436" s="38">
        <v>62</v>
      </c>
      <c r="D436" s="36"/>
      <c r="E436" s="39">
        <f t="shared" si="13"/>
        <v>0.46399193548387102</v>
      </c>
    </row>
    <row r="437" spans="1:5">
      <c r="A437" s="42">
        <f t="shared" si="12"/>
        <v>1687</v>
      </c>
      <c r="B437" s="36"/>
      <c r="C437" s="38">
        <v>62</v>
      </c>
      <c r="D437" s="36"/>
      <c r="E437" s="39">
        <f t="shared" si="13"/>
        <v>0.46399193548387102</v>
      </c>
    </row>
    <row r="438" spans="1:5">
      <c r="A438" s="42">
        <f t="shared" si="12"/>
        <v>1688</v>
      </c>
      <c r="B438" s="36"/>
      <c r="C438" s="38">
        <v>62</v>
      </c>
      <c r="D438" s="36"/>
      <c r="E438" s="39">
        <f t="shared" si="13"/>
        <v>0.46399193548387102</v>
      </c>
    </row>
    <row r="439" spans="1:5">
      <c r="A439" s="42">
        <f t="shared" si="12"/>
        <v>1689</v>
      </c>
      <c r="B439" s="36"/>
      <c r="C439" s="38">
        <v>62</v>
      </c>
      <c r="D439" s="36"/>
      <c r="E439" s="39">
        <f t="shared" si="13"/>
        <v>0.46399193548387102</v>
      </c>
    </row>
    <row r="440" spans="1:5">
      <c r="A440" s="42">
        <f t="shared" si="12"/>
        <v>1690</v>
      </c>
      <c r="B440" s="36"/>
      <c r="C440" s="38">
        <v>62</v>
      </c>
      <c r="D440" s="36"/>
      <c r="E440" s="39">
        <f t="shared" si="13"/>
        <v>0.46399193548387102</v>
      </c>
    </row>
    <row r="441" spans="1:5">
      <c r="A441" s="42">
        <f t="shared" si="12"/>
        <v>1691</v>
      </c>
      <c r="B441" s="36"/>
      <c r="C441" s="38">
        <v>62</v>
      </c>
      <c r="D441" s="36"/>
      <c r="E441" s="39">
        <f t="shared" si="13"/>
        <v>0.46399193548387102</v>
      </c>
    </row>
    <row r="442" spans="1:5">
      <c r="A442" s="42">
        <f t="shared" si="12"/>
        <v>1692</v>
      </c>
      <c r="B442" s="36"/>
      <c r="C442" s="38">
        <v>62</v>
      </c>
      <c r="D442" s="36"/>
      <c r="E442" s="39">
        <f t="shared" si="13"/>
        <v>0.46399193548387102</v>
      </c>
    </row>
    <row r="443" spans="1:5">
      <c r="A443" s="42">
        <f t="shared" si="12"/>
        <v>1693</v>
      </c>
      <c r="B443" s="36"/>
      <c r="C443" s="38">
        <v>62</v>
      </c>
      <c r="D443" s="36"/>
      <c r="E443" s="39">
        <f t="shared" si="13"/>
        <v>0.46399193548387102</v>
      </c>
    </row>
    <row r="444" spans="1:5">
      <c r="A444" s="42">
        <f t="shared" si="12"/>
        <v>1694</v>
      </c>
      <c r="B444" s="36"/>
      <c r="C444" s="38">
        <v>62</v>
      </c>
      <c r="D444" s="36"/>
      <c r="E444" s="39">
        <f t="shared" si="13"/>
        <v>0.46399193548387102</v>
      </c>
    </row>
    <row r="445" spans="1:5">
      <c r="A445" s="42">
        <f t="shared" si="12"/>
        <v>1695</v>
      </c>
      <c r="B445" s="36"/>
      <c r="C445" s="38">
        <v>62</v>
      </c>
      <c r="D445" s="36"/>
      <c r="E445" s="39">
        <f t="shared" si="13"/>
        <v>0.46399193548387102</v>
      </c>
    </row>
    <row r="446" spans="1:5">
      <c r="A446" s="42">
        <f t="shared" si="12"/>
        <v>1696</v>
      </c>
      <c r="B446" s="36"/>
      <c r="C446" s="38">
        <v>62</v>
      </c>
      <c r="D446" s="36"/>
      <c r="E446" s="39">
        <f t="shared" si="13"/>
        <v>0.46399193548387102</v>
      </c>
    </row>
    <row r="447" spans="1:5">
      <c r="A447" s="42">
        <f t="shared" si="12"/>
        <v>1697</v>
      </c>
      <c r="B447" s="36"/>
      <c r="C447" s="38">
        <v>62</v>
      </c>
      <c r="D447" s="36"/>
      <c r="E447" s="39">
        <f t="shared" si="13"/>
        <v>0.46399193548387102</v>
      </c>
    </row>
    <row r="448" spans="1:5">
      <c r="A448" s="42">
        <f t="shared" si="12"/>
        <v>1698</v>
      </c>
      <c r="B448" s="36"/>
      <c r="C448" s="38">
        <v>62</v>
      </c>
      <c r="D448" s="36"/>
      <c r="E448" s="39">
        <f t="shared" si="13"/>
        <v>0.46399193548387102</v>
      </c>
    </row>
    <row r="449" spans="1:5">
      <c r="A449" s="42">
        <f t="shared" si="12"/>
        <v>1699</v>
      </c>
      <c r="B449" s="36"/>
      <c r="C449" s="38">
        <v>62</v>
      </c>
      <c r="D449" s="36"/>
      <c r="E449" s="39">
        <f t="shared" si="13"/>
        <v>0.46399193548387102</v>
      </c>
    </row>
    <row r="450" spans="1:5">
      <c r="A450" s="42">
        <f t="shared" si="12"/>
        <v>1700</v>
      </c>
      <c r="B450" s="36"/>
      <c r="C450" s="38">
        <v>62</v>
      </c>
      <c r="D450" s="36"/>
      <c r="E450" s="39">
        <f t="shared" si="13"/>
        <v>0.46399193548387102</v>
      </c>
    </row>
    <row r="451" spans="1:5">
      <c r="A451" s="42">
        <f t="shared" si="12"/>
        <v>1701</v>
      </c>
      <c r="B451" s="36"/>
      <c r="C451" s="38">
        <v>62</v>
      </c>
      <c r="D451" s="36"/>
      <c r="E451" s="39">
        <f t="shared" si="13"/>
        <v>0.46399193548387102</v>
      </c>
    </row>
    <row r="452" spans="1:5">
      <c r="A452" s="42">
        <f t="shared" si="12"/>
        <v>1702</v>
      </c>
      <c r="B452" s="36"/>
      <c r="C452" s="38">
        <v>62</v>
      </c>
      <c r="D452" s="36"/>
      <c r="E452" s="39">
        <f t="shared" si="13"/>
        <v>0.46399193548387102</v>
      </c>
    </row>
    <row r="453" spans="1:5">
      <c r="A453" s="42">
        <f t="shared" si="12"/>
        <v>1703</v>
      </c>
      <c r="B453" s="36"/>
      <c r="C453" s="38">
        <v>62</v>
      </c>
      <c r="D453" s="36"/>
      <c r="E453" s="39">
        <f t="shared" si="13"/>
        <v>0.46399193548387102</v>
      </c>
    </row>
    <row r="454" spans="1:5">
      <c r="A454" s="42">
        <f t="shared" si="12"/>
        <v>1704</v>
      </c>
      <c r="B454" s="36"/>
      <c r="C454" s="38">
        <v>62</v>
      </c>
      <c r="D454" s="36"/>
      <c r="E454" s="39">
        <f t="shared" si="13"/>
        <v>0.46399193548387102</v>
      </c>
    </row>
    <row r="455" spans="1:5">
      <c r="A455" s="42">
        <f t="shared" si="12"/>
        <v>1705</v>
      </c>
      <c r="B455" s="36"/>
      <c r="C455" s="38">
        <v>62</v>
      </c>
      <c r="D455" s="36"/>
      <c r="E455" s="39">
        <f t="shared" si="13"/>
        <v>0.46399193548387102</v>
      </c>
    </row>
    <row r="456" spans="1:5">
      <c r="A456" s="42">
        <f t="shared" si="12"/>
        <v>1706</v>
      </c>
      <c r="B456" s="36"/>
      <c r="C456" s="38">
        <v>62</v>
      </c>
      <c r="D456" s="36"/>
      <c r="E456" s="39">
        <f t="shared" si="13"/>
        <v>0.46399193548387102</v>
      </c>
    </row>
    <row r="457" spans="1:5">
      <c r="A457" s="42">
        <f t="shared" si="12"/>
        <v>1707</v>
      </c>
      <c r="B457" s="36"/>
      <c r="C457" s="38">
        <v>62</v>
      </c>
      <c r="D457" s="36"/>
      <c r="E457" s="39">
        <f t="shared" si="13"/>
        <v>0.46399193548387102</v>
      </c>
    </row>
    <row r="458" spans="1:5">
      <c r="A458" s="42">
        <f t="shared" ref="A458:A521" si="14">A457+1</f>
        <v>1708</v>
      </c>
      <c r="B458" s="36"/>
      <c r="C458" s="38">
        <v>62</v>
      </c>
      <c r="D458" s="36"/>
      <c r="E458" s="39">
        <f t="shared" ref="E458:E521" si="15">(31.1*0.925/$C458)</f>
        <v>0.46399193548387102</v>
      </c>
    </row>
    <row r="459" spans="1:5">
      <c r="A459" s="42">
        <f t="shared" si="14"/>
        <v>1709</v>
      </c>
      <c r="B459" s="36"/>
      <c r="C459" s="38">
        <v>62</v>
      </c>
      <c r="D459" s="36"/>
      <c r="E459" s="39">
        <f t="shared" si="15"/>
        <v>0.46399193548387102</v>
      </c>
    </row>
    <row r="460" spans="1:5">
      <c r="A460" s="42">
        <f t="shared" si="14"/>
        <v>1710</v>
      </c>
      <c r="B460" s="36"/>
      <c r="C460" s="38">
        <v>62</v>
      </c>
      <c r="D460" s="36"/>
      <c r="E460" s="39">
        <f t="shared" si="15"/>
        <v>0.46399193548387102</v>
      </c>
    </row>
    <row r="461" spans="1:5">
      <c r="A461" s="42">
        <f t="shared" si="14"/>
        <v>1711</v>
      </c>
      <c r="B461" s="36"/>
      <c r="C461" s="38">
        <v>62</v>
      </c>
      <c r="D461" s="36"/>
      <c r="E461" s="39">
        <f t="shared" si="15"/>
        <v>0.46399193548387102</v>
      </c>
    </row>
    <row r="462" spans="1:5">
      <c r="A462" s="42">
        <f t="shared" si="14"/>
        <v>1712</v>
      </c>
      <c r="B462" s="36"/>
      <c r="C462" s="38">
        <v>62</v>
      </c>
      <c r="D462" s="36"/>
      <c r="E462" s="39">
        <f t="shared" si="15"/>
        <v>0.46399193548387102</v>
      </c>
    </row>
    <row r="463" spans="1:5">
      <c r="A463" s="42">
        <f t="shared" si="14"/>
        <v>1713</v>
      </c>
      <c r="B463" s="36"/>
      <c r="C463" s="38">
        <v>62</v>
      </c>
      <c r="D463" s="36"/>
      <c r="E463" s="39">
        <f t="shared" si="15"/>
        <v>0.46399193548387102</v>
      </c>
    </row>
    <row r="464" spans="1:5">
      <c r="A464" s="42">
        <f t="shared" si="14"/>
        <v>1714</v>
      </c>
      <c r="B464" s="36"/>
      <c r="C464" s="38">
        <v>62</v>
      </c>
      <c r="D464" s="36"/>
      <c r="E464" s="39">
        <f t="shared" si="15"/>
        <v>0.46399193548387102</v>
      </c>
    </row>
    <row r="465" spans="1:5">
      <c r="A465" s="42">
        <f t="shared" si="14"/>
        <v>1715</v>
      </c>
      <c r="B465" s="36"/>
      <c r="C465" s="38">
        <v>62</v>
      </c>
      <c r="D465" s="36"/>
      <c r="E465" s="39">
        <f t="shared" si="15"/>
        <v>0.46399193548387102</v>
      </c>
    </row>
    <row r="466" spans="1:5">
      <c r="A466" s="42">
        <f t="shared" si="14"/>
        <v>1716</v>
      </c>
      <c r="B466" s="36"/>
      <c r="C466" s="38">
        <v>62</v>
      </c>
      <c r="D466" s="36"/>
      <c r="E466" s="39">
        <f t="shared" si="15"/>
        <v>0.46399193548387102</v>
      </c>
    </row>
    <row r="467" spans="1:5">
      <c r="A467" s="42">
        <f t="shared" si="14"/>
        <v>1717</v>
      </c>
      <c r="B467" s="36"/>
      <c r="C467" s="38">
        <v>62</v>
      </c>
      <c r="D467" s="36"/>
      <c r="E467" s="39">
        <f t="shared" si="15"/>
        <v>0.46399193548387102</v>
      </c>
    </row>
    <row r="468" spans="1:5">
      <c r="A468" s="42">
        <f t="shared" si="14"/>
        <v>1718</v>
      </c>
      <c r="B468" s="36"/>
      <c r="C468" s="38">
        <v>62</v>
      </c>
      <c r="D468" s="36"/>
      <c r="E468" s="39">
        <f t="shared" si="15"/>
        <v>0.46399193548387102</v>
      </c>
    </row>
    <row r="469" spans="1:5">
      <c r="A469" s="42">
        <f t="shared" si="14"/>
        <v>1719</v>
      </c>
      <c r="B469" s="36"/>
      <c r="C469" s="38">
        <v>62</v>
      </c>
      <c r="D469" s="36"/>
      <c r="E469" s="39">
        <f t="shared" si="15"/>
        <v>0.46399193548387102</v>
      </c>
    </row>
    <row r="470" spans="1:5">
      <c r="A470" s="42">
        <f t="shared" si="14"/>
        <v>1720</v>
      </c>
      <c r="B470" s="36"/>
      <c r="C470" s="38">
        <v>62</v>
      </c>
      <c r="D470" s="36"/>
      <c r="E470" s="39">
        <f t="shared" si="15"/>
        <v>0.46399193548387102</v>
      </c>
    </row>
    <row r="471" spans="1:5">
      <c r="A471" s="42">
        <f t="shared" si="14"/>
        <v>1721</v>
      </c>
      <c r="B471" s="36"/>
      <c r="C471" s="38">
        <v>62</v>
      </c>
      <c r="D471" s="36"/>
      <c r="E471" s="39">
        <f t="shared" si="15"/>
        <v>0.46399193548387102</v>
      </c>
    </row>
    <row r="472" spans="1:5">
      <c r="A472" s="42">
        <f t="shared" si="14"/>
        <v>1722</v>
      </c>
      <c r="B472" s="36"/>
      <c r="C472" s="38">
        <v>62</v>
      </c>
      <c r="D472" s="36"/>
      <c r="E472" s="39">
        <f t="shared" si="15"/>
        <v>0.46399193548387102</v>
      </c>
    </row>
    <row r="473" spans="1:5">
      <c r="A473" s="42">
        <f t="shared" si="14"/>
        <v>1723</v>
      </c>
      <c r="B473" s="36"/>
      <c r="C473" s="38">
        <v>62</v>
      </c>
      <c r="D473" s="36"/>
      <c r="E473" s="39">
        <f t="shared" si="15"/>
        <v>0.46399193548387102</v>
      </c>
    </row>
    <row r="474" spans="1:5">
      <c r="A474" s="42">
        <f t="shared" si="14"/>
        <v>1724</v>
      </c>
      <c r="B474" s="36"/>
      <c r="C474" s="38">
        <v>62</v>
      </c>
      <c r="D474" s="36"/>
      <c r="E474" s="39">
        <f t="shared" si="15"/>
        <v>0.46399193548387102</v>
      </c>
    </row>
    <row r="475" spans="1:5">
      <c r="A475" s="42">
        <f t="shared" si="14"/>
        <v>1725</v>
      </c>
      <c r="B475" s="36"/>
      <c r="C475" s="38">
        <v>62</v>
      </c>
      <c r="D475" s="36"/>
      <c r="E475" s="39">
        <f t="shared" si="15"/>
        <v>0.46399193548387102</v>
      </c>
    </row>
    <row r="476" spans="1:5">
      <c r="A476" s="42">
        <f t="shared" si="14"/>
        <v>1726</v>
      </c>
      <c r="B476" s="36"/>
      <c r="C476" s="38">
        <v>62</v>
      </c>
      <c r="D476" s="36"/>
      <c r="E476" s="39">
        <f t="shared" si="15"/>
        <v>0.46399193548387102</v>
      </c>
    </row>
    <row r="477" spans="1:5">
      <c r="A477" s="42">
        <f t="shared" si="14"/>
        <v>1727</v>
      </c>
      <c r="B477" s="36"/>
      <c r="C477" s="38">
        <v>62</v>
      </c>
      <c r="D477" s="36"/>
      <c r="E477" s="39">
        <f t="shared" si="15"/>
        <v>0.46399193548387102</v>
      </c>
    </row>
    <row r="478" spans="1:5">
      <c r="A478" s="42">
        <f t="shared" si="14"/>
        <v>1728</v>
      </c>
      <c r="B478" s="36"/>
      <c r="C478" s="38">
        <v>62</v>
      </c>
      <c r="D478" s="36"/>
      <c r="E478" s="39">
        <f t="shared" si="15"/>
        <v>0.46399193548387102</v>
      </c>
    </row>
    <row r="479" spans="1:5">
      <c r="A479" s="42">
        <f t="shared" si="14"/>
        <v>1729</v>
      </c>
      <c r="B479" s="36"/>
      <c r="C479" s="38">
        <v>62</v>
      </c>
      <c r="D479" s="36"/>
      <c r="E479" s="39">
        <f t="shared" si="15"/>
        <v>0.46399193548387102</v>
      </c>
    </row>
    <row r="480" spans="1:5">
      <c r="A480" s="42">
        <f t="shared" si="14"/>
        <v>1730</v>
      </c>
      <c r="B480" s="36"/>
      <c r="C480" s="38">
        <v>62</v>
      </c>
      <c r="D480" s="36"/>
      <c r="E480" s="39">
        <f t="shared" si="15"/>
        <v>0.46399193548387102</v>
      </c>
    </row>
    <row r="481" spans="1:5">
      <c r="A481" s="42">
        <f t="shared" si="14"/>
        <v>1731</v>
      </c>
      <c r="B481" s="36"/>
      <c r="C481" s="38">
        <v>62</v>
      </c>
      <c r="D481" s="36"/>
      <c r="E481" s="39">
        <f t="shared" si="15"/>
        <v>0.46399193548387102</v>
      </c>
    </row>
    <row r="482" spans="1:5">
      <c r="A482" s="42">
        <f t="shared" si="14"/>
        <v>1732</v>
      </c>
      <c r="B482" s="36"/>
      <c r="C482" s="38">
        <v>62</v>
      </c>
      <c r="D482" s="36"/>
      <c r="E482" s="39">
        <f t="shared" si="15"/>
        <v>0.46399193548387102</v>
      </c>
    </row>
    <row r="483" spans="1:5">
      <c r="A483" s="42">
        <f t="shared" si="14"/>
        <v>1733</v>
      </c>
      <c r="B483" s="36"/>
      <c r="C483" s="38">
        <v>62</v>
      </c>
      <c r="D483" s="36"/>
      <c r="E483" s="39">
        <f t="shared" si="15"/>
        <v>0.46399193548387102</v>
      </c>
    </row>
    <row r="484" spans="1:5">
      <c r="A484" s="42">
        <f t="shared" si="14"/>
        <v>1734</v>
      </c>
      <c r="B484" s="36"/>
      <c r="C484" s="38">
        <v>62</v>
      </c>
      <c r="D484" s="36"/>
      <c r="E484" s="39">
        <f t="shared" si="15"/>
        <v>0.46399193548387102</v>
      </c>
    </row>
    <row r="485" spans="1:5">
      <c r="A485" s="42">
        <f t="shared" si="14"/>
        <v>1735</v>
      </c>
      <c r="B485" s="36"/>
      <c r="C485" s="38">
        <v>62</v>
      </c>
      <c r="D485" s="36"/>
      <c r="E485" s="39">
        <f t="shared" si="15"/>
        <v>0.46399193548387102</v>
      </c>
    </row>
    <row r="486" spans="1:5">
      <c r="A486" s="42">
        <f t="shared" si="14"/>
        <v>1736</v>
      </c>
      <c r="B486" s="36"/>
      <c r="C486" s="38">
        <v>62</v>
      </c>
      <c r="D486" s="36"/>
      <c r="E486" s="39">
        <f t="shared" si="15"/>
        <v>0.46399193548387102</v>
      </c>
    </row>
    <row r="487" spans="1:5">
      <c r="A487" s="42">
        <f t="shared" si="14"/>
        <v>1737</v>
      </c>
      <c r="B487" s="36"/>
      <c r="C487" s="38">
        <v>62</v>
      </c>
      <c r="D487" s="36"/>
      <c r="E487" s="39">
        <f t="shared" si="15"/>
        <v>0.46399193548387102</v>
      </c>
    </row>
    <row r="488" spans="1:5">
      <c r="A488" s="42">
        <f t="shared" si="14"/>
        <v>1738</v>
      </c>
      <c r="B488" s="36"/>
      <c r="C488" s="38">
        <v>62</v>
      </c>
      <c r="D488" s="36"/>
      <c r="E488" s="39">
        <f t="shared" si="15"/>
        <v>0.46399193548387102</v>
      </c>
    </row>
    <row r="489" spans="1:5">
      <c r="A489" s="42">
        <f t="shared" si="14"/>
        <v>1739</v>
      </c>
      <c r="B489" s="36"/>
      <c r="C489" s="38">
        <v>62</v>
      </c>
      <c r="D489" s="36"/>
      <c r="E489" s="39">
        <f t="shared" si="15"/>
        <v>0.46399193548387102</v>
      </c>
    </row>
    <row r="490" spans="1:5">
      <c r="A490" s="42">
        <f t="shared" si="14"/>
        <v>1740</v>
      </c>
      <c r="B490" s="36"/>
      <c r="C490" s="38">
        <v>62</v>
      </c>
      <c r="D490" s="36"/>
      <c r="E490" s="39">
        <f t="shared" si="15"/>
        <v>0.46399193548387102</v>
      </c>
    </row>
    <row r="491" spans="1:5">
      <c r="A491" s="42">
        <f t="shared" si="14"/>
        <v>1741</v>
      </c>
      <c r="B491" s="36"/>
      <c r="C491" s="38">
        <v>62</v>
      </c>
      <c r="D491" s="36"/>
      <c r="E491" s="39">
        <f t="shared" si="15"/>
        <v>0.46399193548387102</v>
      </c>
    </row>
    <row r="492" spans="1:5">
      <c r="A492" s="42">
        <f t="shared" si="14"/>
        <v>1742</v>
      </c>
      <c r="B492" s="36"/>
      <c r="C492" s="38">
        <v>62</v>
      </c>
      <c r="D492" s="36"/>
      <c r="E492" s="39">
        <f t="shared" si="15"/>
        <v>0.46399193548387102</v>
      </c>
    </row>
    <row r="493" spans="1:5">
      <c r="A493" s="42">
        <f t="shared" si="14"/>
        <v>1743</v>
      </c>
      <c r="B493" s="36"/>
      <c r="C493" s="38">
        <v>62</v>
      </c>
      <c r="D493" s="36"/>
      <c r="E493" s="39">
        <f t="shared" si="15"/>
        <v>0.46399193548387102</v>
      </c>
    </row>
    <row r="494" spans="1:5">
      <c r="A494" s="42">
        <f t="shared" si="14"/>
        <v>1744</v>
      </c>
      <c r="B494" s="36"/>
      <c r="C494" s="38">
        <v>62</v>
      </c>
      <c r="D494" s="36"/>
      <c r="E494" s="39">
        <f t="shared" si="15"/>
        <v>0.46399193548387102</v>
      </c>
    </row>
    <row r="495" spans="1:5">
      <c r="A495" s="42">
        <f t="shared" si="14"/>
        <v>1745</v>
      </c>
      <c r="B495" s="36"/>
      <c r="C495" s="38">
        <v>62</v>
      </c>
      <c r="D495" s="36"/>
      <c r="E495" s="39">
        <f t="shared" si="15"/>
        <v>0.46399193548387102</v>
      </c>
    </row>
    <row r="496" spans="1:5">
      <c r="A496" s="42">
        <f t="shared" si="14"/>
        <v>1746</v>
      </c>
      <c r="B496" s="36"/>
      <c r="C496" s="38">
        <v>62</v>
      </c>
      <c r="D496" s="36"/>
      <c r="E496" s="39">
        <f t="shared" si="15"/>
        <v>0.46399193548387102</v>
      </c>
    </row>
    <row r="497" spans="1:5">
      <c r="A497" s="42">
        <f t="shared" si="14"/>
        <v>1747</v>
      </c>
      <c r="B497" s="36"/>
      <c r="C497" s="38">
        <v>62</v>
      </c>
      <c r="D497" s="36"/>
      <c r="E497" s="39">
        <f t="shared" si="15"/>
        <v>0.46399193548387102</v>
      </c>
    </row>
    <row r="498" spans="1:5">
      <c r="A498" s="42">
        <f t="shared" si="14"/>
        <v>1748</v>
      </c>
      <c r="B498" s="36"/>
      <c r="C498" s="38">
        <v>62</v>
      </c>
      <c r="D498" s="36"/>
      <c r="E498" s="39">
        <f t="shared" si="15"/>
        <v>0.46399193548387102</v>
      </c>
    </row>
    <row r="499" spans="1:5">
      <c r="A499" s="42">
        <f t="shared" si="14"/>
        <v>1749</v>
      </c>
      <c r="B499" s="36"/>
      <c r="C499" s="38">
        <v>62</v>
      </c>
      <c r="D499" s="36"/>
      <c r="E499" s="39">
        <f t="shared" si="15"/>
        <v>0.46399193548387102</v>
      </c>
    </row>
    <row r="500" spans="1:5">
      <c r="A500" s="42">
        <f t="shared" si="14"/>
        <v>1750</v>
      </c>
      <c r="B500" s="36"/>
      <c r="C500" s="38">
        <v>62</v>
      </c>
      <c r="D500" s="36"/>
      <c r="E500" s="39">
        <f t="shared" si="15"/>
        <v>0.46399193548387102</v>
      </c>
    </row>
    <row r="501" spans="1:5">
      <c r="A501" s="42">
        <f t="shared" si="14"/>
        <v>1751</v>
      </c>
      <c r="B501" s="36"/>
      <c r="C501" s="38">
        <v>62</v>
      </c>
      <c r="D501" s="36"/>
      <c r="E501" s="39">
        <f t="shared" si="15"/>
        <v>0.46399193548387102</v>
      </c>
    </row>
    <row r="502" spans="1:5">
      <c r="A502" s="42">
        <f t="shared" si="14"/>
        <v>1752</v>
      </c>
      <c r="B502" s="36"/>
      <c r="C502" s="38">
        <v>62</v>
      </c>
      <c r="D502" s="36"/>
      <c r="E502" s="39">
        <f t="shared" si="15"/>
        <v>0.46399193548387102</v>
      </c>
    </row>
    <row r="503" spans="1:5">
      <c r="A503" s="42">
        <f t="shared" si="14"/>
        <v>1753</v>
      </c>
      <c r="B503" s="36"/>
      <c r="C503" s="38">
        <v>62</v>
      </c>
      <c r="D503" s="36"/>
      <c r="E503" s="39">
        <f t="shared" si="15"/>
        <v>0.46399193548387102</v>
      </c>
    </row>
    <row r="504" spans="1:5">
      <c r="A504" s="42">
        <f t="shared" si="14"/>
        <v>1754</v>
      </c>
      <c r="B504" s="36"/>
      <c r="C504" s="38">
        <v>62</v>
      </c>
      <c r="D504" s="36"/>
      <c r="E504" s="39">
        <f t="shared" si="15"/>
        <v>0.46399193548387102</v>
      </c>
    </row>
    <row r="505" spans="1:5">
      <c r="A505" s="42">
        <f t="shared" si="14"/>
        <v>1755</v>
      </c>
      <c r="B505" s="36"/>
      <c r="C505" s="38">
        <v>62</v>
      </c>
      <c r="D505" s="36"/>
      <c r="E505" s="39">
        <f t="shared" si="15"/>
        <v>0.46399193548387102</v>
      </c>
    </row>
    <row r="506" spans="1:5">
      <c r="A506" s="42">
        <f t="shared" si="14"/>
        <v>1756</v>
      </c>
      <c r="B506" s="36"/>
      <c r="C506" s="38">
        <v>62</v>
      </c>
      <c r="D506" s="36"/>
      <c r="E506" s="39">
        <f t="shared" si="15"/>
        <v>0.46399193548387102</v>
      </c>
    </row>
    <row r="507" spans="1:5">
      <c r="A507" s="42">
        <f t="shared" si="14"/>
        <v>1757</v>
      </c>
      <c r="B507" s="36"/>
      <c r="C507" s="38">
        <v>62</v>
      </c>
      <c r="D507" s="36"/>
      <c r="E507" s="39">
        <f t="shared" si="15"/>
        <v>0.46399193548387102</v>
      </c>
    </row>
    <row r="508" spans="1:5">
      <c r="A508" s="42">
        <f t="shared" si="14"/>
        <v>1758</v>
      </c>
      <c r="B508" s="36"/>
      <c r="C508" s="38">
        <v>62</v>
      </c>
      <c r="D508" s="36"/>
      <c r="E508" s="39">
        <f t="shared" si="15"/>
        <v>0.46399193548387102</v>
      </c>
    </row>
    <row r="509" spans="1:5">
      <c r="A509" s="42">
        <f t="shared" si="14"/>
        <v>1759</v>
      </c>
      <c r="B509" s="36"/>
      <c r="C509" s="38">
        <v>62</v>
      </c>
      <c r="D509" s="36"/>
      <c r="E509" s="39">
        <f t="shared" si="15"/>
        <v>0.46399193548387102</v>
      </c>
    </row>
    <row r="510" spans="1:5">
      <c r="A510" s="42">
        <f t="shared" si="14"/>
        <v>1760</v>
      </c>
      <c r="B510" s="36"/>
      <c r="C510" s="38">
        <v>62</v>
      </c>
      <c r="D510" s="36"/>
      <c r="E510" s="39">
        <f t="shared" si="15"/>
        <v>0.46399193548387102</v>
      </c>
    </row>
    <row r="511" spans="1:5">
      <c r="A511" s="42">
        <f t="shared" si="14"/>
        <v>1761</v>
      </c>
      <c r="B511" s="36"/>
      <c r="C511" s="38">
        <v>62</v>
      </c>
      <c r="D511" s="36"/>
      <c r="E511" s="39">
        <f t="shared" si="15"/>
        <v>0.46399193548387102</v>
      </c>
    </row>
    <row r="512" spans="1:5">
      <c r="A512" s="42">
        <f t="shared" si="14"/>
        <v>1762</v>
      </c>
      <c r="B512" s="36"/>
      <c r="C512" s="38">
        <v>62</v>
      </c>
      <c r="D512" s="36"/>
      <c r="E512" s="39">
        <f t="shared" si="15"/>
        <v>0.46399193548387102</v>
      </c>
    </row>
    <row r="513" spans="1:5">
      <c r="A513" s="42">
        <f t="shared" si="14"/>
        <v>1763</v>
      </c>
      <c r="B513" s="36"/>
      <c r="C513" s="38">
        <v>62</v>
      </c>
      <c r="D513" s="36"/>
      <c r="E513" s="39">
        <f t="shared" si="15"/>
        <v>0.46399193548387102</v>
      </c>
    </row>
    <row r="514" spans="1:5">
      <c r="A514" s="42">
        <f t="shared" si="14"/>
        <v>1764</v>
      </c>
      <c r="B514" s="36"/>
      <c r="C514" s="38">
        <v>62</v>
      </c>
      <c r="D514" s="36"/>
      <c r="E514" s="39">
        <f t="shared" si="15"/>
        <v>0.46399193548387102</v>
      </c>
    </row>
    <row r="515" spans="1:5">
      <c r="A515" s="42">
        <f t="shared" si="14"/>
        <v>1765</v>
      </c>
      <c r="B515" s="36"/>
      <c r="C515" s="38">
        <v>62</v>
      </c>
      <c r="D515" s="36"/>
      <c r="E515" s="39">
        <f t="shared" si="15"/>
        <v>0.46399193548387102</v>
      </c>
    </row>
    <row r="516" spans="1:5">
      <c r="A516" s="42">
        <f t="shared" si="14"/>
        <v>1766</v>
      </c>
      <c r="B516" s="36"/>
      <c r="C516" s="38">
        <v>62</v>
      </c>
      <c r="D516" s="36"/>
      <c r="E516" s="39">
        <f t="shared" si="15"/>
        <v>0.46399193548387102</v>
      </c>
    </row>
    <row r="517" spans="1:5">
      <c r="A517" s="42">
        <f t="shared" si="14"/>
        <v>1767</v>
      </c>
      <c r="B517" s="36"/>
      <c r="C517" s="38">
        <v>62</v>
      </c>
      <c r="D517" s="36"/>
      <c r="E517" s="39">
        <f t="shared" si="15"/>
        <v>0.46399193548387102</v>
      </c>
    </row>
    <row r="518" spans="1:5">
      <c r="A518" s="42">
        <f t="shared" si="14"/>
        <v>1768</v>
      </c>
      <c r="B518" s="36"/>
      <c r="C518" s="38">
        <v>62</v>
      </c>
      <c r="D518" s="36"/>
      <c r="E518" s="39">
        <f t="shared" si="15"/>
        <v>0.46399193548387102</v>
      </c>
    </row>
    <row r="519" spans="1:5">
      <c r="A519" s="42">
        <f t="shared" si="14"/>
        <v>1769</v>
      </c>
      <c r="B519" s="36"/>
      <c r="C519" s="38">
        <v>62</v>
      </c>
      <c r="D519" s="36"/>
      <c r="E519" s="39">
        <f t="shared" si="15"/>
        <v>0.46399193548387102</v>
      </c>
    </row>
    <row r="520" spans="1:5">
      <c r="A520" s="42">
        <f t="shared" si="14"/>
        <v>1770</v>
      </c>
      <c r="B520" s="36"/>
      <c r="C520" s="38">
        <v>62</v>
      </c>
      <c r="D520" s="36"/>
      <c r="E520" s="39">
        <f t="shared" si="15"/>
        <v>0.46399193548387102</v>
      </c>
    </row>
    <row r="521" spans="1:5">
      <c r="A521" s="42">
        <f t="shared" si="14"/>
        <v>1771</v>
      </c>
      <c r="B521" s="36"/>
      <c r="C521" s="38">
        <v>62</v>
      </c>
      <c r="D521" s="36"/>
      <c r="E521" s="39">
        <f t="shared" si="15"/>
        <v>0.46399193548387102</v>
      </c>
    </row>
    <row r="522" spans="1:5">
      <c r="A522" s="42">
        <f t="shared" ref="A522:A585" si="16">A521+1</f>
        <v>1772</v>
      </c>
      <c r="B522" s="36"/>
      <c r="C522" s="38">
        <v>62</v>
      </c>
      <c r="D522" s="36"/>
      <c r="E522" s="39">
        <f t="shared" ref="E522:E585" si="17">(31.1*0.925/$C522)</f>
        <v>0.46399193548387102</v>
      </c>
    </row>
    <row r="523" spans="1:5">
      <c r="A523" s="42">
        <f t="shared" si="16"/>
        <v>1773</v>
      </c>
      <c r="B523" s="36"/>
      <c r="C523" s="38">
        <v>62</v>
      </c>
      <c r="D523" s="36"/>
      <c r="E523" s="39">
        <f t="shared" si="17"/>
        <v>0.46399193548387102</v>
      </c>
    </row>
    <row r="524" spans="1:5">
      <c r="A524" s="42">
        <f t="shared" si="16"/>
        <v>1774</v>
      </c>
      <c r="B524" s="36"/>
      <c r="C524" s="38">
        <v>62</v>
      </c>
      <c r="D524" s="36"/>
      <c r="E524" s="39">
        <f t="shared" si="17"/>
        <v>0.46399193548387102</v>
      </c>
    </row>
    <row r="525" spans="1:5">
      <c r="A525" s="42">
        <f t="shared" si="16"/>
        <v>1775</v>
      </c>
      <c r="B525" s="36"/>
      <c r="C525" s="38">
        <v>62</v>
      </c>
      <c r="D525" s="36"/>
      <c r="E525" s="39">
        <f t="shared" si="17"/>
        <v>0.46399193548387102</v>
      </c>
    </row>
    <row r="526" spans="1:5">
      <c r="A526" s="42">
        <f t="shared" si="16"/>
        <v>1776</v>
      </c>
      <c r="B526" s="36"/>
      <c r="C526" s="38">
        <v>62</v>
      </c>
      <c r="D526" s="36"/>
      <c r="E526" s="39">
        <f t="shared" si="17"/>
        <v>0.46399193548387102</v>
      </c>
    </row>
    <row r="527" spans="1:5">
      <c r="A527" s="42">
        <f t="shared" si="16"/>
        <v>1777</v>
      </c>
      <c r="B527" s="36"/>
      <c r="C527" s="38">
        <v>62</v>
      </c>
      <c r="D527" s="36"/>
      <c r="E527" s="39">
        <f t="shared" si="17"/>
        <v>0.46399193548387102</v>
      </c>
    </row>
    <row r="528" spans="1:5">
      <c r="A528" s="42">
        <f t="shared" si="16"/>
        <v>1778</v>
      </c>
      <c r="B528" s="36"/>
      <c r="C528" s="38">
        <v>62</v>
      </c>
      <c r="D528" s="36"/>
      <c r="E528" s="39">
        <f t="shared" si="17"/>
        <v>0.46399193548387102</v>
      </c>
    </row>
    <row r="529" spans="1:5">
      <c r="A529" s="42">
        <f t="shared" si="16"/>
        <v>1779</v>
      </c>
      <c r="B529" s="36"/>
      <c r="C529" s="38">
        <v>62</v>
      </c>
      <c r="D529" s="36"/>
      <c r="E529" s="39">
        <f t="shared" si="17"/>
        <v>0.46399193548387102</v>
      </c>
    </row>
    <row r="530" spans="1:5">
      <c r="A530" s="42">
        <f t="shared" si="16"/>
        <v>1780</v>
      </c>
      <c r="B530" s="36"/>
      <c r="C530" s="38">
        <v>62</v>
      </c>
      <c r="D530" s="36"/>
      <c r="E530" s="39">
        <f t="shared" si="17"/>
        <v>0.46399193548387102</v>
      </c>
    </row>
    <row r="531" spans="1:5">
      <c r="A531" s="42">
        <f t="shared" si="16"/>
        <v>1781</v>
      </c>
      <c r="B531" s="36"/>
      <c r="C531" s="38">
        <v>62</v>
      </c>
      <c r="D531" s="36"/>
      <c r="E531" s="39">
        <f t="shared" si="17"/>
        <v>0.46399193548387102</v>
      </c>
    </row>
    <row r="532" spans="1:5">
      <c r="A532" s="42">
        <f t="shared" si="16"/>
        <v>1782</v>
      </c>
      <c r="B532" s="36"/>
      <c r="C532" s="38">
        <v>62</v>
      </c>
      <c r="D532" s="36"/>
      <c r="E532" s="39">
        <f t="shared" si="17"/>
        <v>0.46399193548387102</v>
      </c>
    </row>
    <row r="533" spans="1:5">
      <c r="A533" s="42">
        <f t="shared" si="16"/>
        <v>1783</v>
      </c>
      <c r="B533" s="36"/>
      <c r="C533" s="38">
        <v>62</v>
      </c>
      <c r="D533" s="36"/>
      <c r="E533" s="39">
        <f t="shared" si="17"/>
        <v>0.46399193548387102</v>
      </c>
    </row>
    <row r="534" spans="1:5">
      <c r="A534" s="42">
        <f t="shared" si="16"/>
        <v>1784</v>
      </c>
      <c r="B534" s="36"/>
      <c r="C534" s="38">
        <v>62</v>
      </c>
      <c r="D534" s="36"/>
      <c r="E534" s="39">
        <f t="shared" si="17"/>
        <v>0.46399193548387102</v>
      </c>
    </row>
    <row r="535" spans="1:5">
      <c r="A535" s="42">
        <f t="shared" si="16"/>
        <v>1785</v>
      </c>
      <c r="B535" s="36"/>
      <c r="C535" s="38">
        <v>62</v>
      </c>
      <c r="D535" s="36"/>
      <c r="E535" s="39">
        <f t="shared" si="17"/>
        <v>0.46399193548387102</v>
      </c>
    </row>
    <row r="536" spans="1:5">
      <c r="A536" s="42">
        <f t="shared" si="16"/>
        <v>1786</v>
      </c>
      <c r="B536" s="36"/>
      <c r="C536" s="38">
        <v>62</v>
      </c>
      <c r="D536" s="36"/>
      <c r="E536" s="39">
        <f t="shared" si="17"/>
        <v>0.46399193548387102</v>
      </c>
    </row>
    <row r="537" spans="1:5">
      <c r="A537" s="42">
        <f t="shared" si="16"/>
        <v>1787</v>
      </c>
      <c r="B537" s="36"/>
      <c r="C537" s="38">
        <v>62</v>
      </c>
      <c r="D537" s="36"/>
      <c r="E537" s="39">
        <f t="shared" si="17"/>
        <v>0.46399193548387102</v>
      </c>
    </row>
    <row r="538" spans="1:5">
      <c r="A538" s="42">
        <f t="shared" si="16"/>
        <v>1788</v>
      </c>
      <c r="B538" s="36"/>
      <c r="C538" s="38">
        <v>62</v>
      </c>
      <c r="D538" s="36"/>
      <c r="E538" s="39">
        <f t="shared" si="17"/>
        <v>0.46399193548387102</v>
      </c>
    </row>
    <row r="539" spans="1:5">
      <c r="A539" s="42">
        <f t="shared" si="16"/>
        <v>1789</v>
      </c>
      <c r="B539" s="36"/>
      <c r="C539" s="38">
        <v>62</v>
      </c>
      <c r="D539" s="36"/>
      <c r="E539" s="39">
        <f t="shared" si="17"/>
        <v>0.46399193548387102</v>
      </c>
    </row>
    <row r="540" spans="1:5">
      <c r="A540" s="42">
        <f t="shared" si="16"/>
        <v>1790</v>
      </c>
      <c r="B540" s="36"/>
      <c r="C540" s="38">
        <v>62</v>
      </c>
      <c r="D540" s="36"/>
      <c r="E540" s="39">
        <f t="shared" si="17"/>
        <v>0.46399193548387102</v>
      </c>
    </row>
    <row r="541" spans="1:5">
      <c r="A541" s="42">
        <f t="shared" si="16"/>
        <v>1791</v>
      </c>
      <c r="B541" s="36"/>
      <c r="C541" s="38">
        <v>62</v>
      </c>
      <c r="D541" s="36"/>
      <c r="E541" s="39">
        <f t="shared" si="17"/>
        <v>0.46399193548387102</v>
      </c>
    </row>
    <row r="542" spans="1:5">
      <c r="A542" s="42">
        <f t="shared" si="16"/>
        <v>1792</v>
      </c>
      <c r="B542" s="36"/>
      <c r="C542" s="38">
        <v>62</v>
      </c>
      <c r="D542" s="36"/>
      <c r="E542" s="39">
        <f t="shared" si="17"/>
        <v>0.46399193548387102</v>
      </c>
    </row>
    <row r="543" spans="1:5">
      <c r="A543" s="42">
        <f t="shared" si="16"/>
        <v>1793</v>
      </c>
      <c r="B543" s="36"/>
      <c r="C543" s="38">
        <v>62</v>
      </c>
      <c r="D543" s="36"/>
      <c r="E543" s="39">
        <f t="shared" si="17"/>
        <v>0.46399193548387102</v>
      </c>
    </row>
    <row r="544" spans="1:5">
      <c r="A544" s="42">
        <f t="shared" si="16"/>
        <v>1794</v>
      </c>
      <c r="B544" s="36"/>
      <c r="C544" s="38">
        <v>62</v>
      </c>
      <c r="D544" s="36"/>
      <c r="E544" s="39">
        <f t="shared" si="17"/>
        <v>0.46399193548387102</v>
      </c>
    </row>
    <row r="545" spans="1:5">
      <c r="A545" s="42">
        <f t="shared" si="16"/>
        <v>1795</v>
      </c>
      <c r="B545" s="36"/>
      <c r="C545" s="38">
        <v>62</v>
      </c>
      <c r="D545" s="36"/>
      <c r="E545" s="39">
        <f t="shared" si="17"/>
        <v>0.46399193548387102</v>
      </c>
    </row>
    <row r="546" spans="1:5">
      <c r="A546" s="42">
        <f t="shared" si="16"/>
        <v>1796</v>
      </c>
      <c r="B546" s="36"/>
      <c r="C546" s="38">
        <v>62</v>
      </c>
      <c r="D546" s="36"/>
      <c r="E546" s="39">
        <f t="shared" si="17"/>
        <v>0.46399193548387102</v>
      </c>
    </row>
    <row r="547" spans="1:5">
      <c r="A547" s="42">
        <f t="shared" si="16"/>
        <v>1797</v>
      </c>
      <c r="B547" s="36"/>
      <c r="C547" s="38">
        <v>62</v>
      </c>
      <c r="D547" s="36"/>
      <c r="E547" s="39">
        <f t="shared" si="17"/>
        <v>0.46399193548387102</v>
      </c>
    </row>
    <row r="548" spans="1:5">
      <c r="A548" s="42">
        <f t="shared" si="16"/>
        <v>1798</v>
      </c>
      <c r="B548" s="36"/>
      <c r="C548" s="38">
        <v>62</v>
      </c>
      <c r="D548" s="36"/>
      <c r="E548" s="39">
        <f t="shared" si="17"/>
        <v>0.46399193548387102</v>
      </c>
    </row>
    <row r="549" spans="1:5">
      <c r="A549" s="42">
        <f t="shared" si="16"/>
        <v>1799</v>
      </c>
      <c r="B549" s="36"/>
      <c r="C549" s="38">
        <v>62</v>
      </c>
      <c r="D549" s="36"/>
      <c r="E549" s="39">
        <f t="shared" si="17"/>
        <v>0.46399193548387102</v>
      </c>
    </row>
    <row r="550" spans="1:5">
      <c r="A550" s="42">
        <f t="shared" si="16"/>
        <v>1800</v>
      </c>
      <c r="B550" s="36"/>
      <c r="C550" s="38">
        <v>62</v>
      </c>
      <c r="D550" s="36"/>
      <c r="E550" s="39">
        <f t="shared" si="17"/>
        <v>0.46399193548387102</v>
      </c>
    </row>
    <row r="551" spans="1:5">
      <c r="A551" s="42">
        <f t="shared" si="16"/>
        <v>1801</v>
      </c>
      <c r="B551" s="36"/>
      <c r="C551" s="38">
        <v>62</v>
      </c>
      <c r="D551" s="36"/>
      <c r="E551" s="39">
        <f t="shared" si="17"/>
        <v>0.46399193548387102</v>
      </c>
    </row>
    <row r="552" spans="1:5">
      <c r="A552" s="42">
        <f t="shared" si="16"/>
        <v>1802</v>
      </c>
      <c r="B552" s="36"/>
      <c r="C552" s="38">
        <v>62</v>
      </c>
      <c r="D552" s="36"/>
      <c r="E552" s="39">
        <f t="shared" si="17"/>
        <v>0.46399193548387102</v>
      </c>
    </row>
    <row r="553" spans="1:5">
      <c r="A553" s="42">
        <f t="shared" si="16"/>
        <v>1803</v>
      </c>
      <c r="B553" s="36"/>
      <c r="C553" s="38">
        <v>62</v>
      </c>
      <c r="D553" s="36"/>
      <c r="E553" s="39">
        <f t="shared" si="17"/>
        <v>0.46399193548387102</v>
      </c>
    </row>
    <row r="554" spans="1:5">
      <c r="A554" s="42">
        <f t="shared" si="16"/>
        <v>1804</v>
      </c>
      <c r="B554" s="36"/>
      <c r="C554" s="38">
        <v>62</v>
      </c>
      <c r="D554" s="36"/>
      <c r="E554" s="39">
        <f t="shared" si="17"/>
        <v>0.46399193548387102</v>
      </c>
    </row>
    <row r="555" spans="1:5">
      <c r="A555" s="42">
        <f t="shared" si="16"/>
        <v>1805</v>
      </c>
      <c r="B555" s="36"/>
      <c r="C555" s="38">
        <v>62</v>
      </c>
      <c r="D555" s="36"/>
      <c r="E555" s="39">
        <f t="shared" si="17"/>
        <v>0.46399193548387102</v>
      </c>
    </row>
    <row r="556" spans="1:5">
      <c r="A556" s="42">
        <f t="shared" si="16"/>
        <v>1806</v>
      </c>
      <c r="B556" s="36"/>
      <c r="C556" s="38">
        <v>62</v>
      </c>
      <c r="D556" s="36"/>
      <c r="E556" s="39">
        <f t="shared" si="17"/>
        <v>0.46399193548387102</v>
      </c>
    </row>
    <row r="557" spans="1:5">
      <c r="A557" s="42">
        <f t="shared" si="16"/>
        <v>1807</v>
      </c>
      <c r="B557" s="36"/>
      <c r="C557" s="38">
        <v>62</v>
      </c>
      <c r="D557" s="36"/>
      <c r="E557" s="39">
        <f t="shared" si="17"/>
        <v>0.46399193548387102</v>
      </c>
    </row>
    <row r="558" spans="1:5">
      <c r="A558" s="42">
        <f t="shared" si="16"/>
        <v>1808</v>
      </c>
      <c r="B558" s="36"/>
      <c r="C558" s="38">
        <v>62</v>
      </c>
      <c r="D558" s="36"/>
      <c r="E558" s="39">
        <f t="shared" si="17"/>
        <v>0.46399193548387102</v>
      </c>
    </row>
    <row r="559" spans="1:5">
      <c r="A559" s="42">
        <f t="shared" si="16"/>
        <v>1809</v>
      </c>
      <c r="B559" s="36"/>
      <c r="C559" s="38">
        <v>62</v>
      </c>
      <c r="D559" s="36"/>
      <c r="E559" s="39">
        <f t="shared" si="17"/>
        <v>0.46399193548387102</v>
      </c>
    </row>
    <row r="560" spans="1:5">
      <c r="A560" s="42">
        <f t="shared" si="16"/>
        <v>1810</v>
      </c>
      <c r="B560" s="36"/>
      <c r="C560" s="38">
        <v>62</v>
      </c>
      <c r="D560" s="36"/>
      <c r="E560" s="39">
        <f t="shared" si="17"/>
        <v>0.46399193548387102</v>
      </c>
    </row>
    <row r="561" spans="1:5">
      <c r="A561" s="42">
        <f t="shared" si="16"/>
        <v>1811</v>
      </c>
      <c r="B561" s="36"/>
      <c r="C561" s="38">
        <v>62</v>
      </c>
      <c r="D561" s="36"/>
      <c r="E561" s="39">
        <f t="shared" si="17"/>
        <v>0.46399193548387102</v>
      </c>
    </row>
    <row r="562" spans="1:5">
      <c r="A562" s="42">
        <f t="shared" si="16"/>
        <v>1812</v>
      </c>
      <c r="B562" s="36"/>
      <c r="C562" s="38">
        <v>62</v>
      </c>
      <c r="D562" s="36"/>
      <c r="E562" s="39">
        <f t="shared" si="17"/>
        <v>0.46399193548387102</v>
      </c>
    </row>
    <row r="563" spans="1:5">
      <c r="A563" s="42">
        <f t="shared" si="16"/>
        <v>1813</v>
      </c>
      <c r="B563" s="36"/>
      <c r="C563" s="38">
        <v>62</v>
      </c>
      <c r="D563" s="36"/>
      <c r="E563" s="39">
        <f t="shared" si="17"/>
        <v>0.46399193548387102</v>
      </c>
    </row>
    <row r="564" spans="1:5">
      <c r="A564" s="42">
        <f t="shared" si="16"/>
        <v>1814</v>
      </c>
      <c r="B564" s="36"/>
      <c r="C564" s="38">
        <v>62</v>
      </c>
      <c r="D564" s="36"/>
      <c r="E564" s="39">
        <f t="shared" si="17"/>
        <v>0.46399193548387102</v>
      </c>
    </row>
    <row r="565" spans="1:5">
      <c r="A565" s="42">
        <f t="shared" si="16"/>
        <v>1815</v>
      </c>
      <c r="B565" s="36"/>
      <c r="C565" s="38">
        <v>62</v>
      </c>
      <c r="D565" s="38">
        <v>73.75</v>
      </c>
      <c r="E565" s="39">
        <f t="shared" si="17"/>
        <v>0.46399193548387102</v>
      </c>
    </row>
    <row r="566" spans="1:5">
      <c r="A566" s="42">
        <f t="shared" si="16"/>
        <v>1816</v>
      </c>
      <c r="B566" s="36"/>
      <c r="C566" s="38">
        <v>66</v>
      </c>
      <c r="D566" s="38">
        <v>61.1</v>
      </c>
      <c r="E566" s="39">
        <f t="shared" si="17"/>
        <v>0.43587121212121216</v>
      </c>
    </row>
    <row r="567" spans="1:5">
      <c r="A567" s="42">
        <f t="shared" si="16"/>
        <v>1817</v>
      </c>
      <c r="B567" s="36"/>
      <c r="C567" s="38">
        <v>63.5</v>
      </c>
      <c r="D567" s="36"/>
      <c r="E567" s="39">
        <f t="shared" si="17"/>
        <v>0.45303149606299215</v>
      </c>
    </row>
    <row r="568" spans="1:5">
      <c r="A568" s="42">
        <f t="shared" si="16"/>
        <v>1818</v>
      </c>
      <c r="B568" s="36"/>
      <c r="C568" s="38">
        <v>65.400000000000006</v>
      </c>
      <c r="D568" s="36"/>
      <c r="E568" s="39">
        <f t="shared" si="17"/>
        <v>0.43987003058103974</v>
      </c>
    </row>
    <row r="569" spans="1:5">
      <c r="A569" s="42">
        <f t="shared" si="16"/>
        <v>1819</v>
      </c>
      <c r="B569" s="36"/>
      <c r="C569" s="38">
        <v>63.3</v>
      </c>
      <c r="D569" s="36"/>
      <c r="E569" s="39">
        <f t="shared" si="17"/>
        <v>0.45446287519747242</v>
      </c>
    </row>
    <row r="570" spans="1:5">
      <c r="A570" s="42">
        <f t="shared" si="16"/>
        <v>1820</v>
      </c>
      <c r="B570" s="36"/>
      <c r="C570" s="38">
        <v>60.45</v>
      </c>
      <c r="D570" s="36"/>
      <c r="E570" s="39">
        <f t="shared" si="17"/>
        <v>0.47588916459884201</v>
      </c>
    </row>
    <row r="571" spans="1:5">
      <c r="A571" s="42">
        <f t="shared" si="16"/>
        <v>1821</v>
      </c>
      <c r="B571" s="36"/>
      <c r="C571" s="38">
        <v>59</v>
      </c>
      <c r="D571" s="36"/>
      <c r="E571" s="39">
        <f t="shared" si="17"/>
        <v>0.48758474576271188</v>
      </c>
    </row>
    <row r="572" spans="1:5">
      <c r="A572" s="42">
        <f t="shared" si="16"/>
        <v>1822</v>
      </c>
      <c r="B572" s="36"/>
      <c r="C572" s="38">
        <v>59.375</v>
      </c>
      <c r="D572" s="36"/>
      <c r="E572" s="39">
        <f t="shared" si="17"/>
        <v>0.48450526315789477</v>
      </c>
    </row>
    <row r="573" spans="1:5">
      <c r="A573" s="42">
        <f t="shared" si="16"/>
        <v>1823</v>
      </c>
      <c r="B573" s="36"/>
      <c r="C573" s="38">
        <v>59.07</v>
      </c>
      <c r="D573" s="36"/>
      <c r="E573" s="39">
        <f t="shared" si="17"/>
        <v>0.48700694091755548</v>
      </c>
    </row>
    <row r="574" spans="1:5">
      <c r="A574" s="42">
        <f t="shared" si="16"/>
        <v>1824</v>
      </c>
      <c r="B574" s="36"/>
      <c r="C574" s="38">
        <v>59.7</v>
      </c>
      <c r="D574" s="36"/>
      <c r="E574" s="39">
        <f t="shared" si="17"/>
        <v>0.48186767169179229</v>
      </c>
    </row>
    <row r="575" spans="1:5">
      <c r="A575" s="42">
        <f t="shared" si="16"/>
        <v>1825</v>
      </c>
      <c r="B575" s="36"/>
      <c r="C575" s="38">
        <v>60.81</v>
      </c>
      <c r="D575" s="36"/>
      <c r="E575" s="39">
        <f t="shared" si="17"/>
        <v>0.47307186318039796</v>
      </c>
    </row>
    <row r="576" spans="1:5">
      <c r="A576" s="42">
        <f t="shared" si="16"/>
        <v>1826</v>
      </c>
      <c r="B576" s="36"/>
      <c r="C576" s="38">
        <v>59.75</v>
      </c>
      <c r="D576" s="36"/>
      <c r="E576" s="39">
        <f t="shared" si="17"/>
        <v>0.48146443514644355</v>
      </c>
    </row>
    <row r="577" spans="1:5">
      <c r="A577" s="42">
        <f t="shared" si="16"/>
        <v>1827</v>
      </c>
      <c r="B577" s="36"/>
      <c r="C577" s="38">
        <v>59.75</v>
      </c>
      <c r="D577" s="36"/>
      <c r="E577" s="39">
        <f t="shared" si="17"/>
        <v>0.48146443514644355</v>
      </c>
    </row>
    <row r="578" spans="1:5">
      <c r="A578" s="42">
        <f t="shared" si="16"/>
        <v>1828</v>
      </c>
      <c r="B578" s="36"/>
      <c r="C578" s="38">
        <v>59.75</v>
      </c>
      <c r="D578" s="36"/>
      <c r="E578" s="39">
        <f t="shared" si="17"/>
        <v>0.48146443514644355</v>
      </c>
    </row>
    <row r="579" spans="1:5">
      <c r="A579" s="42">
        <f t="shared" si="16"/>
        <v>1829</v>
      </c>
      <c r="B579" s="36"/>
      <c r="C579" s="38">
        <v>59.47</v>
      </c>
      <c r="D579" s="36"/>
      <c r="E579" s="39">
        <f t="shared" si="17"/>
        <v>0.48373129308895246</v>
      </c>
    </row>
    <row r="580" spans="1:5">
      <c r="A580" s="42">
        <f t="shared" si="16"/>
        <v>1830</v>
      </c>
      <c r="B580" s="36"/>
      <c r="C580" s="38">
        <v>59.25</v>
      </c>
      <c r="D580" s="36"/>
      <c r="E580" s="39">
        <f t="shared" si="17"/>
        <v>0.48552742616033756</v>
      </c>
    </row>
    <row r="581" spans="1:5">
      <c r="A581" s="42">
        <f t="shared" si="16"/>
        <v>1831</v>
      </c>
      <c r="B581" s="36"/>
      <c r="C581" s="38">
        <v>59.25</v>
      </c>
      <c r="D581" s="36"/>
      <c r="E581" s="39">
        <f t="shared" si="17"/>
        <v>0.48552742616033756</v>
      </c>
    </row>
    <row r="582" spans="1:5">
      <c r="A582" s="42">
        <f t="shared" si="16"/>
        <v>1832</v>
      </c>
      <c r="B582" s="36"/>
      <c r="C582" s="38">
        <v>59.25</v>
      </c>
      <c r="D582" s="36"/>
      <c r="E582" s="39">
        <f t="shared" si="17"/>
        <v>0.48552742616033756</v>
      </c>
    </row>
    <row r="583" spans="1:5">
      <c r="A583" s="42">
        <f t="shared" si="16"/>
        <v>1833</v>
      </c>
      <c r="B583" s="36"/>
      <c r="C583" s="38">
        <f>59+3/16</f>
        <v>59.1875</v>
      </c>
      <c r="D583" s="36"/>
      <c r="E583" s="39">
        <f t="shared" si="17"/>
        <v>0.4860401267159451</v>
      </c>
    </row>
    <row r="584" spans="1:5">
      <c r="A584" s="42">
        <f t="shared" si="16"/>
        <v>1834</v>
      </c>
      <c r="B584" s="36"/>
      <c r="C584" s="38">
        <f>59+15/16</f>
        <v>59.9375</v>
      </c>
      <c r="D584" s="36"/>
      <c r="E584" s="39">
        <f t="shared" si="17"/>
        <v>0.47995828988529721</v>
      </c>
    </row>
    <row r="585" spans="1:5">
      <c r="A585" s="42">
        <f t="shared" si="16"/>
        <v>1835</v>
      </c>
      <c r="B585" s="36"/>
      <c r="C585" s="38">
        <f>59+11/16</f>
        <v>59.6875</v>
      </c>
      <c r="D585" s="36"/>
      <c r="E585" s="39">
        <f t="shared" si="17"/>
        <v>0.48196858638743456</v>
      </c>
    </row>
    <row r="586" spans="1:5">
      <c r="A586" s="42">
        <f t="shared" ref="A586:A649" si="18">A585+1</f>
        <v>1836</v>
      </c>
      <c r="B586" s="36"/>
      <c r="C586" s="38">
        <v>60</v>
      </c>
      <c r="D586" s="36"/>
      <c r="E586" s="39">
        <f t="shared" ref="E586:E649" si="19">(31.1*0.925/$C586)</f>
        <v>0.47945833333333338</v>
      </c>
    </row>
    <row r="587" spans="1:5">
      <c r="A587" s="42">
        <f t="shared" si="18"/>
        <v>1837</v>
      </c>
      <c r="B587" s="36"/>
      <c r="C587" s="38">
        <f>59+9/16</f>
        <v>59.5625</v>
      </c>
      <c r="D587" s="36"/>
      <c r="E587" s="39">
        <f t="shared" si="19"/>
        <v>0.48298006295907664</v>
      </c>
    </row>
    <row r="588" spans="1:5">
      <c r="A588" s="42">
        <f t="shared" si="18"/>
        <v>1838</v>
      </c>
      <c r="B588" s="36"/>
      <c r="C588" s="38">
        <v>59.5</v>
      </c>
      <c r="D588" s="36"/>
      <c r="E588" s="39">
        <f t="shared" si="19"/>
        <v>0.48348739495798321</v>
      </c>
    </row>
    <row r="589" spans="1:5">
      <c r="A589" s="42">
        <f t="shared" si="18"/>
        <v>1839</v>
      </c>
      <c r="B589" s="36"/>
      <c r="C589" s="38">
        <f>60+3/8</f>
        <v>60.375</v>
      </c>
      <c r="D589" s="36"/>
      <c r="E589" s="39">
        <f t="shared" si="19"/>
        <v>0.47648033126293998</v>
      </c>
    </row>
    <row r="590" spans="1:5">
      <c r="A590" s="42">
        <f t="shared" si="18"/>
        <v>1840</v>
      </c>
      <c r="B590" s="36"/>
      <c r="C590" s="38">
        <f>60+3/8</f>
        <v>60.375</v>
      </c>
      <c r="D590" s="36"/>
      <c r="E590" s="39">
        <f t="shared" si="19"/>
        <v>0.47648033126293998</v>
      </c>
    </row>
    <row r="591" spans="1:5">
      <c r="A591" s="42">
        <f t="shared" si="18"/>
        <v>1841</v>
      </c>
      <c r="B591" s="36"/>
      <c r="C591" s="38">
        <f>60+1/16</f>
        <v>60.0625</v>
      </c>
      <c r="D591" s="36"/>
      <c r="E591" s="39">
        <f t="shared" si="19"/>
        <v>0.4789594172736733</v>
      </c>
    </row>
    <row r="592" spans="1:5">
      <c r="A592" s="42">
        <f t="shared" si="18"/>
        <v>1842</v>
      </c>
      <c r="B592" s="36"/>
      <c r="C592" s="38">
        <f>59+7/16</f>
        <v>59.4375</v>
      </c>
      <c r="D592" s="36"/>
      <c r="E592" s="39">
        <f t="shared" si="19"/>
        <v>0.48399579390115671</v>
      </c>
    </row>
    <row r="593" spans="1:5">
      <c r="A593" s="42">
        <f t="shared" si="18"/>
        <v>1843</v>
      </c>
      <c r="B593" s="36"/>
      <c r="C593" s="38">
        <f>59+3/16</f>
        <v>59.1875</v>
      </c>
      <c r="D593" s="36"/>
      <c r="E593" s="39">
        <f t="shared" si="19"/>
        <v>0.4860401267159451</v>
      </c>
    </row>
    <row r="594" spans="1:5">
      <c r="A594" s="42">
        <f t="shared" si="18"/>
        <v>1844</v>
      </c>
      <c r="B594" s="36"/>
      <c r="C594" s="38">
        <v>59.5</v>
      </c>
      <c r="D594" s="36"/>
      <c r="E594" s="39">
        <f t="shared" si="19"/>
        <v>0.48348739495798321</v>
      </c>
    </row>
    <row r="595" spans="1:5">
      <c r="A595" s="42">
        <f t="shared" si="18"/>
        <v>1845</v>
      </c>
      <c r="B595" s="36"/>
      <c r="C595" s="38">
        <v>59.25</v>
      </c>
      <c r="D595" s="36"/>
      <c r="E595" s="39">
        <f t="shared" si="19"/>
        <v>0.48552742616033756</v>
      </c>
    </row>
    <row r="596" spans="1:5">
      <c r="A596" s="42">
        <f t="shared" si="18"/>
        <v>1846</v>
      </c>
      <c r="B596" s="36"/>
      <c r="C596" s="38">
        <f>59+5/16</f>
        <v>59.3125</v>
      </c>
      <c r="D596" s="36"/>
      <c r="E596" s="39">
        <f t="shared" si="19"/>
        <v>0.48501580611169653</v>
      </c>
    </row>
    <row r="597" spans="1:5">
      <c r="A597" s="42">
        <f t="shared" si="18"/>
        <v>1847</v>
      </c>
      <c r="B597" s="36"/>
      <c r="C597" s="38">
        <f>59+11/16</f>
        <v>59.6875</v>
      </c>
      <c r="D597" s="36"/>
      <c r="E597" s="39">
        <f t="shared" si="19"/>
        <v>0.48196858638743456</v>
      </c>
    </row>
    <row r="598" spans="1:5">
      <c r="A598" s="42">
        <f t="shared" si="18"/>
        <v>1848</v>
      </c>
      <c r="B598" s="36"/>
      <c r="C598" s="38">
        <v>59.5</v>
      </c>
      <c r="D598" s="36"/>
      <c r="E598" s="39">
        <f t="shared" si="19"/>
        <v>0.48348739495798321</v>
      </c>
    </row>
    <row r="599" spans="1:5">
      <c r="A599" s="42">
        <f t="shared" si="18"/>
        <v>1849</v>
      </c>
      <c r="B599" s="36"/>
      <c r="C599" s="38">
        <v>59.75</v>
      </c>
      <c r="D599" s="36"/>
      <c r="E599" s="39">
        <f t="shared" si="19"/>
        <v>0.48146443514644355</v>
      </c>
    </row>
    <row r="600" spans="1:5">
      <c r="A600" s="42">
        <f t="shared" si="18"/>
        <v>1850</v>
      </c>
      <c r="B600" s="36"/>
      <c r="C600" s="38">
        <f>60+1/16</f>
        <v>60.0625</v>
      </c>
      <c r="D600" s="36"/>
      <c r="E600" s="39">
        <f t="shared" si="19"/>
        <v>0.4789594172736733</v>
      </c>
    </row>
    <row r="601" spans="1:5">
      <c r="A601" s="42">
        <f t="shared" si="18"/>
        <v>1851</v>
      </c>
      <c r="B601" s="36"/>
      <c r="C601" s="38">
        <v>61</v>
      </c>
      <c r="D601" s="36"/>
      <c r="E601" s="39">
        <f t="shared" si="19"/>
        <v>0.47159836065573774</v>
      </c>
    </row>
    <row r="602" spans="1:5">
      <c r="A602" s="42">
        <f t="shared" si="18"/>
        <v>1852</v>
      </c>
      <c r="B602" s="36"/>
      <c r="C602" s="38">
        <v>60.5</v>
      </c>
      <c r="D602" s="36"/>
      <c r="E602" s="39">
        <f t="shared" si="19"/>
        <v>0.47549586776859509</v>
      </c>
    </row>
    <row r="603" spans="1:5">
      <c r="A603" s="42">
        <f t="shared" si="18"/>
        <v>1853</v>
      </c>
      <c r="B603" s="36"/>
      <c r="C603" s="38">
        <v>61.5</v>
      </c>
      <c r="D603" s="36"/>
      <c r="E603" s="39">
        <f t="shared" si="19"/>
        <v>0.46776422764227643</v>
      </c>
    </row>
    <row r="604" spans="1:5">
      <c r="A604" s="42">
        <f t="shared" si="18"/>
        <v>1854</v>
      </c>
      <c r="B604" s="36"/>
      <c r="C604" s="38">
        <v>61.5</v>
      </c>
      <c r="D604" s="36"/>
      <c r="E604" s="39">
        <f t="shared" si="19"/>
        <v>0.46776422764227643</v>
      </c>
    </row>
    <row r="605" spans="1:5">
      <c r="A605" s="42">
        <f t="shared" si="18"/>
        <v>1855</v>
      </c>
      <c r="B605" s="36"/>
      <c r="C605" s="38">
        <f>61+5/16</f>
        <v>61.3125</v>
      </c>
      <c r="D605" s="36"/>
      <c r="E605" s="39">
        <f t="shared" si="19"/>
        <v>0.46919469928644242</v>
      </c>
    </row>
    <row r="606" spans="1:5">
      <c r="A606" s="42">
        <f t="shared" si="18"/>
        <v>1856</v>
      </c>
      <c r="B606" s="36"/>
      <c r="C606" s="38">
        <f>61+5/16</f>
        <v>61.3125</v>
      </c>
      <c r="D606" s="36"/>
      <c r="E606" s="39">
        <f t="shared" si="19"/>
        <v>0.46919469928644242</v>
      </c>
    </row>
    <row r="607" spans="1:5">
      <c r="A607" s="42">
        <f t="shared" si="18"/>
        <v>1857</v>
      </c>
      <c r="B607" s="36"/>
      <c r="C607" s="38">
        <v>61.75</v>
      </c>
      <c r="D607" s="36"/>
      <c r="E607" s="39">
        <f t="shared" si="19"/>
        <v>0.46587044534412958</v>
      </c>
    </row>
    <row r="608" spans="1:5">
      <c r="A608" s="42">
        <f t="shared" si="18"/>
        <v>1858</v>
      </c>
      <c r="B608" s="36"/>
      <c r="C608" s="38">
        <f>61+5/16</f>
        <v>61.3125</v>
      </c>
      <c r="D608" s="36"/>
      <c r="E608" s="39">
        <f t="shared" si="19"/>
        <v>0.46919469928644242</v>
      </c>
    </row>
    <row r="609" spans="1:5">
      <c r="A609" s="42">
        <f t="shared" si="18"/>
        <v>1859</v>
      </c>
      <c r="B609" s="36"/>
      <c r="C609" s="38">
        <f>62+1/16</f>
        <v>62.0625</v>
      </c>
      <c r="D609" s="36"/>
      <c r="E609" s="39">
        <f t="shared" si="19"/>
        <v>0.46352467270896275</v>
      </c>
    </row>
    <row r="610" spans="1:5">
      <c r="A610" s="42">
        <f t="shared" si="18"/>
        <v>1860</v>
      </c>
      <c r="B610" s="36"/>
      <c r="C610" s="38">
        <f>61+11/16</f>
        <v>61.6875</v>
      </c>
      <c r="D610" s="36"/>
      <c r="E610" s="39">
        <f t="shared" si="19"/>
        <v>0.46634245187436679</v>
      </c>
    </row>
    <row r="611" spans="1:5">
      <c r="A611" s="42">
        <f t="shared" si="18"/>
        <v>1861</v>
      </c>
      <c r="B611" s="36"/>
      <c r="C611" s="38">
        <f>60+13/16</f>
        <v>60.8125</v>
      </c>
      <c r="D611" s="36"/>
      <c r="E611" s="39">
        <f t="shared" si="19"/>
        <v>0.47305241521068864</v>
      </c>
    </row>
    <row r="612" spans="1:5">
      <c r="A612" s="42">
        <f t="shared" si="18"/>
        <v>1862</v>
      </c>
      <c r="B612" s="36"/>
      <c r="C612" s="38">
        <f>61+7/16</f>
        <v>61.4375</v>
      </c>
      <c r="D612" s="36"/>
      <c r="E612" s="39">
        <f t="shared" si="19"/>
        <v>0.46824008138351986</v>
      </c>
    </row>
    <row r="613" spans="1:5">
      <c r="A613" s="42">
        <f t="shared" si="18"/>
        <v>1863</v>
      </c>
      <c r="B613" s="36"/>
      <c r="C613" s="38">
        <f>61+3/8</f>
        <v>61.375</v>
      </c>
      <c r="D613" s="36"/>
      <c r="E613" s="39">
        <f t="shared" si="19"/>
        <v>0.46871690427698576</v>
      </c>
    </row>
    <row r="614" spans="1:5">
      <c r="A614" s="42">
        <f t="shared" si="18"/>
        <v>1864</v>
      </c>
      <c r="B614" s="36"/>
      <c r="C614" s="38">
        <f>61+3/8</f>
        <v>61.375</v>
      </c>
      <c r="D614" s="36"/>
      <c r="E614" s="39">
        <f t="shared" si="19"/>
        <v>0.46871690427698576</v>
      </c>
    </row>
    <row r="615" spans="1:5">
      <c r="A615" s="42">
        <f t="shared" si="18"/>
        <v>1865</v>
      </c>
      <c r="B615" s="36"/>
      <c r="C615" s="38">
        <f>61+1/16</f>
        <v>61.0625</v>
      </c>
      <c r="D615" s="36"/>
      <c r="E615" s="39">
        <f t="shared" si="19"/>
        <v>0.47111566018423751</v>
      </c>
    </row>
    <row r="616" spans="1:5">
      <c r="A616" s="42">
        <f t="shared" si="18"/>
        <v>1866</v>
      </c>
      <c r="B616" s="36"/>
      <c r="C616" s="38">
        <f>61+1/8</f>
        <v>61.125</v>
      </c>
      <c r="D616" s="36"/>
      <c r="E616" s="39">
        <f t="shared" si="19"/>
        <v>0.47063394683026588</v>
      </c>
    </row>
    <row r="617" spans="1:5">
      <c r="A617" s="42">
        <f t="shared" si="18"/>
        <v>1867</v>
      </c>
      <c r="B617" s="36"/>
      <c r="C617" s="38">
        <f>60+9/16</f>
        <v>60.5625</v>
      </c>
      <c r="D617" s="36"/>
      <c r="E617" s="39">
        <f t="shared" si="19"/>
        <v>0.47500515995872034</v>
      </c>
    </row>
    <row r="618" spans="1:5">
      <c r="A618" s="42">
        <f t="shared" si="18"/>
        <v>1868</v>
      </c>
      <c r="B618" s="36"/>
      <c r="C618" s="38">
        <v>60.5</v>
      </c>
      <c r="D618" s="36"/>
      <c r="E618" s="39">
        <f t="shared" si="19"/>
        <v>0.47549586776859509</v>
      </c>
    </row>
    <row r="619" spans="1:5">
      <c r="A619" s="42">
        <f t="shared" si="18"/>
        <v>1869</v>
      </c>
      <c r="B619" s="36"/>
      <c r="C619" s="38">
        <f>60+7/16</f>
        <v>60.4375</v>
      </c>
      <c r="D619" s="36"/>
      <c r="E619" s="39">
        <f t="shared" si="19"/>
        <v>0.47598759048603934</v>
      </c>
    </row>
    <row r="620" spans="1:5">
      <c r="A620" s="42">
        <f t="shared" si="18"/>
        <v>1870</v>
      </c>
      <c r="B620" s="36"/>
      <c r="C620" s="38">
        <f>60+9/16</f>
        <v>60.5625</v>
      </c>
      <c r="D620" s="36"/>
      <c r="E620" s="39">
        <f t="shared" si="19"/>
        <v>0.47500515995872034</v>
      </c>
    </row>
    <row r="621" spans="1:5">
      <c r="A621" s="42">
        <f t="shared" si="18"/>
        <v>1871</v>
      </c>
      <c r="B621" s="36"/>
      <c r="C621" s="38">
        <v>60.5</v>
      </c>
      <c r="D621" s="36"/>
      <c r="E621" s="39">
        <f t="shared" si="19"/>
        <v>0.47549586776859509</v>
      </c>
    </row>
    <row r="622" spans="1:5">
      <c r="A622" s="42">
        <f t="shared" si="18"/>
        <v>1872</v>
      </c>
      <c r="B622" s="36"/>
      <c r="C622" s="38">
        <f>60+5/16</f>
        <v>60.3125</v>
      </c>
      <c r="D622" s="36"/>
      <c r="E622" s="39">
        <f t="shared" si="19"/>
        <v>0.47697409326424872</v>
      </c>
    </row>
    <row r="623" spans="1:5">
      <c r="A623" s="42">
        <f t="shared" si="18"/>
        <v>1873</v>
      </c>
      <c r="B623" s="36"/>
      <c r="C623" s="38">
        <v>59.25</v>
      </c>
      <c r="D623" s="36"/>
      <c r="E623" s="39">
        <f t="shared" si="19"/>
        <v>0.48552742616033756</v>
      </c>
    </row>
    <row r="624" spans="1:5">
      <c r="A624" s="42">
        <f t="shared" si="18"/>
        <v>1874</v>
      </c>
      <c r="B624" s="36"/>
      <c r="C624" s="38">
        <f>58+5/16</f>
        <v>58.3125</v>
      </c>
      <c r="D624" s="36"/>
      <c r="E624" s="39">
        <f t="shared" si="19"/>
        <v>0.49333333333333335</v>
      </c>
    </row>
    <row r="625" spans="1:5">
      <c r="A625" s="42">
        <f t="shared" si="18"/>
        <v>1875</v>
      </c>
      <c r="B625" s="36"/>
      <c r="C625" s="38">
        <f>56+7/8</f>
        <v>56.875</v>
      </c>
      <c r="D625" s="36"/>
      <c r="E625" s="39">
        <f t="shared" si="19"/>
        <v>0.50580219780219782</v>
      </c>
    </row>
    <row r="626" spans="1:5">
      <c r="A626" s="42">
        <f t="shared" si="18"/>
        <v>1876</v>
      </c>
      <c r="B626" s="36"/>
      <c r="C626" s="38">
        <v>52.75</v>
      </c>
      <c r="D626" s="36"/>
      <c r="E626" s="39">
        <f t="shared" si="19"/>
        <v>0.54535545023696685</v>
      </c>
    </row>
    <row r="627" spans="1:5">
      <c r="A627" s="42">
        <f t="shared" si="18"/>
        <v>1877</v>
      </c>
      <c r="B627" s="36"/>
      <c r="C627" s="38">
        <f>54+13/16</f>
        <v>54.8125</v>
      </c>
      <c r="D627" s="36"/>
      <c r="E627" s="39">
        <f t="shared" si="19"/>
        <v>0.52483466362599773</v>
      </c>
    </row>
    <row r="628" spans="1:5">
      <c r="A628" s="42">
        <f t="shared" si="18"/>
        <v>1878</v>
      </c>
      <c r="B628" s="36"/>
      <c r="C628" s="38">
        <f>52+9/16</f>
        <v>52.5625</v>
      </c>
      <c r="D628" s="36"/>
      <c r="E628" s="39">
        <f t="shared" si="19"/>
        <v>0.54730083234244953</v>
      </c>
    </row>
    <row r="629" spans="1:5">
      <c r="A629" s="42">
        <f t="shared" si="18"/>
        <v>1879</v>
      </c>
      <c r="B629" s="36"/>
      <c r="C629" s="38">
        <v>51.25</v>
      </c>
      <c r="D629" s="36"/>
      <c r="E629" s="39">
        <f t="shared" si="19"/>
        <v>0.56131707317073176</v>
      </c>
    </row>
    <row r="630" spans="1:5">
      <c r="A630" s="42">
        <f t="shared" si="18"/>
        <v>1880</v>
      </c>
      <c r="B630" s="36"/>
      <c r="C630" s="38">
        <v>52.25</v>
      </c>
      <c r="D630" s="36"/>
      <c r="E630" s="39">
        <f t="shared" si="19"/>
        <v>0.55057416267942583</v>
      </c>
    </row>
    <row r="631" spans="1:5">
      <c r="A631" s="42">
        <f t="shared" si="18"/>
        <v>1881</v>
      </c>
      <c r="B631" s="36"/>
      <c r="C631" s="38">
        <f>51+11/16</f>
        <v>51.6875</v>
      </c>
      <c r="D631" s="36"/>
      <c r="E631" s="39">
        <f t="shared" si="19"/>
        <v>0.55656590084643287</v>
      </c>
    </row>
    <row r="632" spans="1:5">
      <c r="A632" s="42">
        <f t="shared" si="18"/>
        <v>1882</v>
      </c>
      <c r="B632" s="36"/>
      <c r="C632" s="38">
        <f>51+5/8</f>
        <v>51.625</v>
      </c>
      <c r="D632" s="36"/>
      <c r="E632" s="39">
        <f t="shared" si="19"/>
        <v>0.55723970944309931</v>
      </c>
    </row>
    <row r="633" spans="1:5">
      <c r="A633" s="42">
        <f t="shared" si="18"/>
        <v>1883</v>
      </c>
      <c r="B633" s="36"/>
      <c r="C633" s="38">
        <f>50+9/16</f>
        <v>50.5625</v>
      </c>
      <c r="D633" s="36"/>
      <c r="E633" s="39">
        <f t="shared" si="19"/>
        <v>0.56894932014833133</v>
      </c>
    </row>
    <row r="634" spans="1:5">
      <c r="A634" s="42">
        <f t="shared" si="18"/>
        <v>1884</v>
      </c>
      <c r="B634" s="36"/>
      <c r="C634" s="38">
        <f>50+5/8</f>
        <v>50.625</v>
      </c>
      <c r="D634" s="36"/>
      <c r="E634" s="39">
        <f t="shared" si="19"/>
        <v>0.56824691358024693</v>
      </c>
    </row>
    <row r="635" spans="1:5">
      <c r="A635" s="42">
        <f t="shared" si="18"/>
        <v>1885</v>
      </c>
      <c r="B635" s="36"/>
      <c r="C635" s="38">
        <f>48+9/16</f>
        <v>48.5625</v>
      </c>
      <c r="D635" s="36"/>
      <c r="E635" s="39">
        <f t="shared" si="19"/>
        <v>0.59238095238095245</v>
      </c>
    </row>
    <row r="636" spans="1:5">
      <c r="A636" s="42">
        <f t="shared" si="18"/>
        <v>1886</v>
      </c>
      <c r="B636" s="36"/>
      <c r="C636" s="38">
        <f>45+3/8</f>
        <v>45.375</v>
      </c>
      <c r="D636" s="36"/>
      <c r="E636" s="39">
        <f t="shared" si="19"/>
        <v>0.63399449035812672</v>
      </c>
    </row>
    <row r="637" spans="1:5">
      <c r="A637" s="42">
        <f t="shared" si="18"/>
        <v>1887</v>
      </c>
      <c r="B637" s="36"/>
      <c r="C637" s="38">
        <f>44+11/16</f>
        <v>44.6875</v>
      </c>
      <c r="D637" s="36"/>
      <c r="E637" s="39">
        <f t="shared" si="19"/>
        <v>0.64374825174825179</v>
      </c>
    </row>
    <row r="638" spans="1:5">
      <c r="A638" s="42">
        <f t="shared" si="18"/>
        <v>1888</v>
      </c>
      <c r="B638" s="36"/>
      <c r="C638" s="38">
        <f>42+7/8</f>
        <v>42.875</v>
      </c>
      <c r="D638" s="36"/>
      <c r="E638" s="39">
        <f t="shared" si="19"/>
        <v>0.67096209912536442</v>
      </c>
    </row>
    <row r="639" spans="1:5">
      <c r="A639" s="42">
        <f t="shared" si="18"/>
        <v>1889</v>
      </c>
      <c r="B639" s="36"/>
      <c r="C639" s="38">
        <f>42+11/16</f>
        <v>42.6875</v>
      </c>
      <c r="D639" s="36"/>
      <c r="E639" s="39">
        <f t="shared" si="19"/>
        <v>0.67390922401171305</v>
      </c>
    </row>
    <row r="640" spans="1:5">
      <c r="A640" s="42">
        <f t="shared" si="18"/>
        <v>1890</v>
      </c>
      <c r="B640" s="36"/>
      <c r="C640" s="38">
        <f>47+3/4</f>
        <v>47.75</v>
      </c>
      <c r="D640" s="36"/>
      <c r="E640" s="39">
        <f t="shared" si="19"/>
        <v>0.60246073298429326</v>
      </c>
    </row>
    <row r="641" spans="1:5">
      <c r="A641" s="42">
        <f t="shared" si="18"/>
        <v>1891</v>
      </c>
      <c r="B641" s="36"/>
      <c r="C641" s="38">
        <f>45+1/16</f>
        <v>45.0625</v>
      </c>
      <c r="D641" s="36"/>
      <c r="E641" s="39">
        <f t="shared" si="19"/>
        <v>0.6383911234396672</v>
      </c>
    </row>
    <row r="642" spans="1:5">
      <c r="A642" s="42">
        <f t="shared" si="18"/>
        <v>1892</v>
      </c>
      <c r="B642" s="36"/>
      <c r="C642" s="38">
        <f>39+3/4</f>
        <v>39.75</v>
      </c>
      <c r="D642" s="36"/>
      <c r="E642" s="39">
        <f t="shared" si="19"/>
        <v>0.72371069182389947</v>
      </c>
    </row>
    <row r="643" spans="1:5">
      <c r="A643" s="42">
        <f t="shared" si="18"/>
        <v>1893</v>
      </c>
      <c r="B643" s="36"/>
      <c r="C643" s="38">
        <f>35+9/10</f>
        <v>35.9</v>
      </c>
      <c r="D643" s="36"/>
      <c r="E643" s="39">
        <f t="shared" si="19"/>
        <v>0.80132311977715887</v>
      </c>
    </row>
    <row r="644" spans="1:5">
      <c r="A644" s="42">
        <f t="shared" si="18"/>
        <v>1894</v>
      </c>
      <c r="B644" s="36"/>
      <c r="C644" s="38">
        <f>28+15/16</f>
        <v>28.9375</v>
      </c>
      <c r="D644" s="36"/>
      <c r="E644" s="39">
        <f t="shared" si="19"/>
        <v>0.99412526997840178</v>
      </c>
    </row>
    <row r="645" spans="1:5">
      <c r="A645" s="42">
        <f t="shared" si="18"/>
        <v>1895</v>
      </c>
      <c r="B645" s="36"/>
      <c r="C645" s="38">
        <f>29+13/16</f>
        <v>29.8125</v>
      </c>
      <c r="D645" s="36"/>
      <c r="E645" s="39">
        <f t="shared" si="19"/>
        <v>0.96494758909853251</v>
      </c>
    </row>
    <row r="646" spans="1:5">
      <c r="A646" s="42">
        <f t="shared" si="18"/>
        <v>1896</v>
      </c>
      <c r="B646" s="36"/>
      <c r="C646" s="38">
        <f>30+13/16</f>
        <v>30.8125</v>
      </c>
      <c r="D646" s="36"/>
      <c r="E646" s="39">
        <f t="shared" si="19"/>
        <v>0.93363083164300209</v>
      </c>
    </row>
    <row r="647" spans="1:5">
      <c r="A647" s="42">
        <f t="shared" si="18"/>
        <v>1897</v>
      </c>
      <c r="B647" s="36"/>
      <c r="C647" s="38">
        <f>27+9/16</f>
        <v>27.5625</v>
      </c>
      <c r="D647" s="36"/>
      <c r="E647" s="39">
        <f t="shared" si="19"/>
        <v>1.0437188208616781</v>
      </c>
    </row>
    <row r="648" spans="1:5">
      <c r="A648" s="42">
        <f t="shared" si="18"/>
        <v>1898</v>
      </c>
      <c r="B648" s="36"/>
      <c r="C648" s="38">
        <f>26+15/16</f>
        <v>26.9375</v>
      </c>
      <c r="D648" s="36"/>
      <c r="E648" s="39">
        <f t="shared" si="19"/>
        <v>1.0679350348027843</v>
      </c>
    </row>
    <row r="649" spans="1:5">
      <c r="A649" s="42">
        <f t="shared" si="18"/>
        <v>1899</v>
      </c>
      <c r="B649" s="36"/>
      <c r="C649" s="38">
        <f>27+7/16</f>
        <v>27.4375</v>
      </c>
      <c r="D649" s="36"/>
      <c r="E649" s="39">
        <f t="shared" si="19"/>
        <v>1.0484738041002279</v>
      </c>
    </row>
    <row r="650" spans="1:5">
      <c r="A650" s="42">
        <f t="shared" ref="A650:A664" si="20">A649+1</f>
        <v>1900</v>
      </c>
      <c r="B650" s="36"/>
      <c r="C650" s="38">
        <f>28+5/16</f>
        <v>28.3125</v>
      </c>
      <c r="D650" s="36"/>
      <c r="E650" s="39">
        <f t="shared" ref="E650:E663" si="21">(31.1*0.925/$C650)</f>
        <v>1.0160706401766004</v>
      </c>
    </row>
    <row r="651" spans="1:5">
      <c r="A651" s="42">
        <f t="shared" si="20"/>
        <v>1901</v>
      </c>
      <c r="B651" s="36"/>
      <c r="C651" s="38">
        <f>27+3/16</f>
        <v>27.1875</v>
      </c>
      <c r="D651" s="36"/>
      <c r="E651" s="39">
        <f t="shared" si="21"/>
        <v>1.0581149425287357</v>
      </c>
    </row>
    <row r="652" spans="1:5">
      <c r="A652" s="42">
        <f t="shared" si="20"/>
        <v>1902</v>
      </c>
      <c r="B652" s="36"/>
      <c r="C652" s="38">
        <f>24+1/16</f>
        <v>24.0625</v>
      </c>
      <c r="D652" s="36"/>
      <c r="E652" s="39">
        <f t="shared" si="21"/>
        <v>1.1955324675324677</v>
      </c>
    </row>
    <row r="653" spans="1:5">
      <c r="A653" s="42">
        <f t="shared" si="20"/>
        <v>1903</v>
      </c>
      <c r="B653" s="36"/>
      <c r="C653" s="38">
        <v>24.75</v>
      </c>
      <c r="D653" s="36"/>
      <c r="E653" s="39">
        <f t="shared" si="21"/>
        <v>1.1623232323232324</v>
      </c>
    </row>
    <row r="654" spans="1:5">
      <c r="A654" s="42">
        <f t="shared" si="20"/>
        <v>1904</v>
      </c>
      <c r="B654" s="36"/>
      <c r="C654" s="38">
        <f>26+13/32</f>
        <v>26.40625</v>
      </c>
      <c r="D654" s="36"/>
      <c r="E654" s="39">
        <f t="shared" si="21"/>
        <v>1.0894201183431953</v>
      </c>
    </row>
    <row r="655" spans="1:5">
      <c r="A655" s="42">
        <f t="shared" si="20"/>
        <v>1905</v>
      </c>
      <c r="B655" s="36"/>
      <c r="C655" s="38">
        <f>27+27/32</f>
        <v>27.84375</v>
      </c>
      <c r="D655" s="36"/>
      <c r="E655" s="39">
        <f t="shared" si="21"/>
        <v>1.03317620650954</v>
      </c>
    </row>
    <row r="656" spans="1:5">
      <c r="A656" s="42">
        <f t="shared" si="20"/>
        <v>1906</v>
      </c>
      <c r="B656" s="36"/>
      <c r="C656" s="38">
        <f>30+7/8</f>
        <v>30.875</v>
      </c>
      <c r="D656" s="36"/>
      <c r="E656" s="39">
        <f t="shared" si="21"/>
        <v>0.93174089068825916</v>
      </c>
    </row>
    <row r="657" spans="1:5">
      <c r="A657" s="42">
        <f t="shared" si="20"/>
        <v>1907</v>
      </c>
      <c r="B657" s="36"/>
      <c r="C657" s="38">
        <f>30+3/16</f>
        <v>30.1875</v>
      </c>
      <c r="D657" s="36"/>
      <c r="E657" s="39">
        <f t="shared" si="21"/>
        <v>0.95296066252587996</v>
      </c>
    </row>
    <row r="658" spans="1:5">
      <c r="A658" s="42">
        <f t="shared" si="20"/>
        <v>1908</v>
      </c>
      <c r="B658" s="36"/>
      <c r="C658" s="38">
        <f>24+13/32</f>
        <v>24.40625</v>
      </c>
      <c r="D658" s="36"/>
      <c r="E658" s="39">
        <f t="shared" si="21"/>
        <v>1.1786939820742639</v>
      </c>
    </row>
    <row r="659" spans="1:5">
      <c r="A659" s="42">
        <f t="shared" si="20"/>
        <v>1909</v>
      </c>
      <c r="B659" s="36"/>
      <c r="C659" s="38">
        <f>23+23/32</f>
        <v>23.71875</v>
      </c>
      <c r="D659" s="36"/>
      <c r="E659" s="39">
        <f t="shared" si="21"/>
        <v>1.2128590250329381</v>
      </c>
    </row>
    <row r="660" spans="1:5">
      <c r="A660" s="42">
        <f t="shared" si="20"/>
        <v>1910</v>
      </c>
      <c r="B660" s="36"/>
      <c r="C660" s="38">
        <f>24+21/32</f>
        <v>24.65625</v>
      </c>
      <c r="D660" s="36"/>
      <c r="E660" s="39">
        <f t="shared" si="21"/>
        <v>1.1667427122940432</v>
      </c>
    </row>
    <row r="661" spans="1:5">
      <c r="A661" s="42">
        <f t="shared" si="20"/>
        <v>1911</v>
      </c>
      <c r="B661" s="36"/>
      <c r="C661" s="38">
        <f>24+19/32</f>
        <v>24.59375</v>
      </c>
      <c r="D661" s="36"/>
      <c r="E661" s="39">
        <f t="shared" si="21"/>
        <v>1.1697077509529861</v>
      </c>
    </row>
    <row r="662" spans="1:5">
      <c r="A662" s="42">
        <f t="shared" si="20"/>
        <v>1912</v>
      </c>
      <c r="B662" s="36"/>
      <c r="C662" s="38">
        <f>28+1/16</f>
        <v>28.0625</v>
      </c>
      <c r="D662" s="36"/>
      <c r="E662" s="39">
        <f t="shared" si="21"/>
        <v>1.0251224944320714</v>
      </c>
    </row>
    <row r="663" spans="1:5">
      <c r="A663" s="42">
        <f t="shared" si="20"/>
        <v>1913</v>
      </c>
      <c r="B663" s="36"/>
      <c r="C663" s="38">
        <f>27+9/16</f>
        <v>27.5625</v>
      </c>
      <c r="D663" s="36"/>
      <c r="E663" s="39">
        <f t="shared" si="21"/>
        <v>1.0437188208616781</v>
      </c>
    </row>
    <row r="664" spans="1:5">
      <c r="A664" s="42">
        <f t="shared" si="20"/>
        <v>1914</v>
      </c>
      <c r="B664" s="36"/>
      <c r="C664" s="38">
        <f>25+1/4</f>
        <v>25.25</v>
      </c>
      <c r="D664" s="36"/>
      <c r="E664" s="37"/>
    </row>
    <row r="665" spans="1:5">
      <c r="A665" s="36"/>
      <c r="B665" s="36"/>
      <c r="C665" s="36"/>
      <c r="D665" s="36"/>
      <c r="E665" s="37"/>
    </row>
    <row r="666" spans="1:5">
      <c r="A666" s="36"/>
      <c r="B666" s="36"/>
      <c r="C666" s="36"/>
      <c r="D666" s="36"/>
      <c r="E666" s="37"/>
    </row>
    <row r="667" spans="1:5">
      <c r="A667" s="40"/>
      <c r="B667" s="40"/>
      <c r="C667" s="40"/>
      <c r="D667" s="40"/>
      <c r="E667" s="41"/>
    </row>
    <row r="668" spans="1:5">
      <c r="A668" s="40"/>
      <c r="B668" s="40"/>
      <c r="C668" s="40"/>
      <c r="D668" s="40"/>
      <c r="E668" s="41"/>
    </row>
    <row r="669" spans="1:5">
      <c r="A669" s="40"/>
      <c r="B669" s="40"/>
      <c r="C669" s="40"/>
      <c r="D669" s="40"/>
      <c r="E669" s="41"/>
    </row>
    <row r="670" spans="1:5">
      <c r="A670" s="40"/>
      <c r="B670" s="40"/>
      <c r="C670" s="40"/>
      <c r="D670" s="40"/>
      <c r="E670" s="41"/>
    </row>
    <row r="671" spans="1:5">
      <c r="A671" s="40"/>
      <c r="B671" s="40"/>
      <c r="C671" s="40"/>
      <c r="D671" s="40"/>
      <c r="E671" s="41"/>
    </row>
    <row r="672" spans="1:5">
      <c r="A672" s="40"/>
      <c r="B672" s="40"/>
      <c r="C672" s="40"/>
      <c r="D672" s="40"/>
      <c r="E672" s="41"/>
    </row>
    <row r="673" spans="1:5">
      <c r="A673" s="40"/>
      <c r="B673" s="40"/>
      <c r="C673" s="40"/>
      <c r="D673" s="40"/>
      <c r="E673" s="41"/>
    </row>
    <row r="674" spans="1:5">
      <c r="A674" s="40"/>
      <c r="B674" s="40"/>
      <c r="C674" s="40"/>
      <c r="D674" s="40"/>
      <c r="E674" s="41"/>
    </row>
    <row r="675" spans="1:5">
      <c r="A675" s="40"/>
      <c r="B675" s="40"/>
      <c r="C675" s="40"/>
      <c r="D675" s="40"/>
      <c r="E675" s="41"/>
    </row>
    <row r="676" spans="1:5">
      <c r="A676" s="40"/>
      <c r="B676" s="40"/>
      <c r="C676" s="40"/>
      <c r="D676" s="40"/>
      <c r="E676" s="41"/>
    </row>
    <row r="677" spans="1:5">
      <c r="A677" s="40"/>
      <c r="B677" s="40"/>
      <c r="C677" s="40"/>
      <c r="D677" s="40"/>
      <c r="E677" s="41"/>
    </row>
    <row r="678" spans="1:5">
      <c r="A678" s="40"/>
      <c r="B678" s="40"/>
      <c r="C678" s="40"/>
      <c r="D678" s="40"/>
      <c r="E678" s="41"/>
    </row>
    <row r="679" spans="1:5">
      <c r="A679" s="40"/>
      <c r="B679" s="40"/>
      <c r="C679" s="40"/>
      <c r="D679" s="40"/>
      <c r="E679" s="41"/>
    </row>
    <row r="680" spans="1:5">
      <c r="A680" s="40"/>
      <c r="B680" s="40"/>
      <c r="C680" s="40"/>
      <c r="D680" s="40"/>
      <c r="E680" s="41"/>
    </row>
    <row r="681" spans="1:5">
      <c r="E681" s="35"/>
    </row>
    <row r="682" spans="1:5">
      <c r="E682" s="35"/>
    </row>
    <row r="683" spans="1:5">
      <c r="E683" s="35"/>
    </row>
    <row r="684" spans="1:5">
      <c r="E684" s="35"/>
    </row>
    <row r="685" spans="1:5">
      <c r="E685" s="35"/>
    </row>
    <row r="686" spans="1:5">
      <c r="E686" s="35"/>
    </row>
    <row r="687" spans="1:5">
      <c r="E687" s="35"/>
    </row>
    <row r="688" spans="1:5">
      <c r="E688" s="35"/>
    </row>
    <row r="689" spans="5:5">
      <c r="E689" s="35"/>
    </row>
    <row r="690" spans="5:5">
      <c r="E690" s="35"/>
    </row>
    <row r="691" spans="5:5">
      <c r="E691" s="35"/>
    </row>
    <row r="692" spans="5:5">
      <c r="E692" s="35"/>
    </row>
  </sheetData>
  <phoneticPr fontId="0" type="noConversion"/>
  <hyperlinks>
    <hyperlink ref="H62" r:id="rId1"/>
  </hyperlinks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5E22D071A31343A2D401D2F14E1943" ma:contentTypeVersion="" ma:contentTypeDescription="Create a new document." ma:contentTypeScope="" ma:versionID="9c86b52a7bef0d4179aa7189c75d014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55FB006-957A-4BE2-BCFF-5C32CF4CD2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B0941C-31E0-402B-9FFF-6F3F290355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A784FE-466C-48F2-9063-56AF51075BB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Prices</vt:lpstr>
      <vt:lpstr>Wages</vt:lpstr>
      <vt:lpstr>Conversions, Sources &amp; Comments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London</dc:title>
  <cp:lastModifiedBy>Peter Lindert</cp:lastModifiedBy>
  <dcterms:created xsi:type="dcterms:W3CDTF">2007-03-04T11:37:17Z</dcterms:created>
  <dcterms:modified xsi:type="dcterms:W3CDTF">2013-10-29T20:39:28Z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2200.00000000000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</Properties>
</file>