
<file path=[Content_Types].xml><?xml version="1.0" encoding="utf-8"?>
<Types xmlns="http://schemas.openxmlformats.org/package/2006/content-types">
  <Override PartName="/xl/diagrams/colors1.xml" ContentType="application/vnd.openxmlformats-officedocument.drawingml.diagramColors+xml"/>
  <Override PartName="/xl/diagrams/data1.xml" ContentType="application/vnd.openxmlformats-officedocument.drawingml.diagramData+xml"/>
  <Override PartName="/xl/worksheets/sheet7.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xl/diagrams/quickStyle1.xml" ContentType="application/vnd.openxmlformats-officedocument.drawingml.diagramStyle+xml"/>
  <Default Extension="xml" ContentType="application/xml"/>
  <Override PartName="/xl/worksheets/sheet6.xml" ContentType="application/vnd.openxmlformats-officedocument.spreadsheetml.worksheet+xml"/>
  <Override PartName="/xl/diagrams/layout1.xml" ContentType="application/vnd.openxmlformats-officedocument.drawingml.diagramLayout+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styles.xml" ContentType="application/vnd.openxmlformats-officedocument.spreadsheetml.styles+xml"/>
  <Override PartName="/xl/worksheets/sheet3.xml" ContentType="application/vnd.openxmlformats-officedocument.spreadsheetml.worksheet+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380" yWindow="-40" windowWidth="20540" windowHeight="14040" tabRatio="787" firstSheet="3" activeTab="3"/>
  </bookViews>
  <sheets>
    <sheet name="Sources &amp; notes" sheetId="14" r:id="rId1"/>
    <sheet name="(1) Household LF size hints" sheetId="20" r:id="rId2"/>
    <sheet name="(2) Homes for non-HH earners" sheetId="21" r:id="rId3"/>
    <sheet name="(3) household income summary" sheetId="15" r:id="rId4"/>
    <sheet name="(4) New Eng size dist" sheetId="17" r:id="rId5"/>
    <sheet name="(5) Mid Cols size dist" sheetId="18" r:id="rId6"/>
    <sheet name="(6) South size dist" sheetId="16" r:id="rId7"/>
    <sheet name="(7) All 13, size dist" sheetId="19" r:id="rId8"/>
    <sheet name="(8) inequality summary" sheetId="22" r:id="rId9"/>
  </sheets>
  <calcPr calcId="130404"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O31" i="20"/>
  <c r="N31"/>
  <c r="M31"/>
  <c r="L31"/>
  <c r="K31"/>
  <c r="J31"/>
  <c r="I31"/>
  <c r="H31"/>
  <c r="G31"/>
  <c r="F31"/>
  <c r="E31"/>
  <c r="O30"/>
  <c r="N30"/>
  <c r="M30"/>
  <c r="L30"/>
  <c r="O29"/>
  <c r="N29"/>
  <c r="M29"/>
  <c r="L29"/>
  <c r="O28"/>
  <c r="N28"/>
  <c r="M28"/>
  <c r="L28"/>
  <c r="O27"/>
  <c r="N27"/>
  <c r="M27"/>
  <c r="L27"/>
  <c r="I27"/>
  <c r="F27"/>
  <c r="G18"/>
  <c r="F18"/>
  <c r="E18"/>
  <c r="AE53" i="21"/>
  <c r="CF51"/>
  <c r="CE51"/>
  <c r="CD51"/>
  <c r="CC51"/>
  <c r="BG51"/>
  <c r="BF51"/>
  <c r="BE51"/>
  <c r="BD51"/>
  <c r="AN51"/>
  <c r="AE51"/>
  <c r="CF49"/>
  <c r="CE49"/>
  <c r="CD49"/>
  <c r="CC49"/>
  <c r="BQ49"/>
  <c r="BP49"/>
  <c r="BO49"/>
  <c r="BN49"/>
  <c r="AS49"/>
  <c r="AN49"/>
  <c r="AI49"/>
  <c r="AH49"/>
  <c r="AG49"/>
  <c r="AI48"/>
  <c r="AH48"/>
  <c r="AG48"/>
  <c r="BG47"/>
  <c r="BF47"/>
  <c r="BE47"/>
  <c r="BD47"/>
  <c r="AS47"/>
  <c r="AR47"/>
  <c r="AQ47"/>
  <c r="AP47"/>
  <c r="AN47"/>
  <c r="AM47"/>
  <c r="AL47"/>
  <c r="AK47"/>
  <c r="AE47"/>
  <c r="AD47"/>
  <c r="AC47"/>
  <c r="AB47"/>
  <c r="S47"/>
  <c r="R47"/>
  <c r="Q47"/>
  <c r="P47"/>
  <c r="J47"/>
  <c r="I47"/>
  <c r="H47"/>
  <c r="G47"/>
  <c r="CF46"/>
  <c r="CE46"/>
  <c r="CD46"/>
  <c r="CC46"/>
  <c r="CA46"/>
  <c r="BZ46"/>
  <c r="BY46"/>
  <c r="BX46"/>
  <c r="BV46"/>
  <c r="BU46"/>
  <c r="BT46"/>
  <c r="BS46"/>
  <c r="BQ46"/>
  <c r="BP46"/>
  <c r="BO46"/>
  <c r="BN46"/>
  <c r="BL46"/>
  <c r="BK46"/>
  <c r="BJ46"/>
  <c r="BI46"/>
  <c r="BG46"/>
  <c r="BF46"/>
  <c r="BE46"/>
  <c r="BD46"/>
  <c r="AW46"/>
  <c r="AV46"/>
  <c r="AU46"/>
  <c r="AS46"/>
  <c r="AR46"/>
  <c r="AQ46"/>
  <c r="AP46"/>
  <c r="AN46"/>
  <c r="AM46"/>
  <c r="AL46"/>
  <c r="AK46"/>
  <c r="AI46"/>
  <c r="AH46"/>
  <c r="AG46"/>
  <c r="AE46"/>
  <c r="AD46"/>
  <c r="AC46"/>
  <c r="AB46"/>
  <c r="Z46"/>
  <c r="Y46"/>
  <c r="X46"/>
  <c r="W46"/>
  <c r="S46"/>
  <c r="R46"/>
  <c r="Q46"/>
  <c r="P46"/>
  <c r="N46"/>
  <c r="M46"/>
  <c r="L46"/>
  <c r="J46"/>
  <c r="I46"/>
  <c r="H46"/>
  <c r="G46"/>
  <c r="CF45"/>
  <c r="CE45"/>
  <c r="CD45"/>
  <c r="CC45"/>
  <c r="CA45"/>
  <c r="BZ45"/>
  <c r="BY45"/>
  <c r="BX45"/>
  <c r="BV45"/>
  <c r="BU45"/>
  <c r="BT45"/>
  <c r="BS45"/>
  <c r="BQ45"/>
  <c r="BP45"/>
  <c r="BO45"/>
  <c r="BN45"/>
  <c r="BL45"/>
  <c r="BK45"/>
  <c r="BJ45"/>
  <c r="BI45"/>
  <c r="BG45"/>
  <c r="BF45"/>
  <c r="BE45"/>
  <c r="BD45"/>
  <c r="AW45"/>
  <c r="AV45"/>
  <c r="AU45"/>
  <c r="AS45"/>
  <c r="AR45"/>
  <c r="AQ45"/>
  <c r="AP45"/>
  <c r="AN45"/>
  <c r="AM45"/>
  <c r="AL45"/>
  <c r="AK45"/>
  <c r="AI45"/>
  <c r="AH45"/>
  <c r="AG45"/>
  <c r="AE45"/>
  <c r="AD45"/>
  <c r="AC45"/>
  <c r="AB45"/>
  <c r="Z45"/>
  <c r="Y45"/>
  <c r="X45"/>
  <c r="W45"/>
  <c r="S45"/>
  <c r="R45"/>
  <c r="Q45"/>
  <c r="P45"/>
  <c r="N45"/>
  <c r="M45"/>
  <c r="L45"/>
  <c r="J45"/>
  <c r="I45"/>
  <c r="H45"/>
  <c r="G45"/>
  <c r="BL44"/>
  <c r="BK44"/>
  <c r="BJ44"/>
  <c r="BI44"/>
  <c r="J44"/>
  <c r="I44"/>
  <c r="H44"/>
  <c r="G44"/>
  <c r="CF42"/>
  <c r="CE42"/>
  <c r="CD42"/>
  <c r="CC42"/>
  <c r="CA42"/>
  <c r="BZ42"/>
  <c r="BY42"/>
  <c r="BX42"/>
  <c r="BV42"/>
  <c r="BU42"/>
  <c r="BT42"/>
  <c r="BS42"/>
  <c r="BQ42"/>
  <c r="BP42"/>
  <c r="BO42"/>
  <c r="BN42"/>
  <c r="BL42"/>
  <c r="BK42"/>
  <c r="BJ42"/>
  <c r="BI42"/>
  <c r="BG42"/>
  <c r="BF42"/>
  <c r="BE42"/>
  <c r="BD42"/>
  <c r="BA42"/>
  <c r="AZ42"/>
  <c r="AY42"/>
  <c r="AW42"/>
  <c r="AV42"/>
  <c r="AU42"/>
  <c r="AS42"/>
  <c r="AR42"/>
  <c r="AQ42"/>
  <c r="AP42"/>
  <c r="AN42"/>
  <c r="AM42"/>
  <c r="AL42"/>
  <c r="AK42"/>
  <c r="AI42"/>
  <c r="AH42"/>
  <c r="AG42"/>
  <c r="AE42"/>
  <c r="AD42"/>
  <c r="AC42"/>
  <c r="AB42"/>
  <c r="Z42"/>
  <c r="S42"/>
  <c r="R42"/>
  <c r="Q42"/>
  <c r="P42"/>
  <c r="J42"/>
  <c r="I42"/>
  <c r="H42"/>
  <c r="CF41"/>
  <c r="CE41"/>
  <c r="CA41"/>
  <c r="BZ41"/>
  <c r="BV41"/>
  <c r="BU41"/>
  <c r="BQ41"/>
  <c r="BP41"/>
  <c r="BL41"/>
  <c r="BK41"/>
  <c r="Z41"/>
  <c r="S41"/>
  <c r="R41"/>
  <c r="Q41"/>
  <c r="P41"/>
  <c r="J41"/>
  <c r="CF40"/>
  <c r="CE40"/>
  <c r="CA40"/>
  <c r="BZ40"/>
  <c r="BV40"/>
  <c r="BU40"/>
  <c r="BQ40"/>
  <c r="BP40"/>
  <c r="BL40"/>
  <c r="BK40"/>
  <c r="Z40"/>
  <c r="S40"/>
  <c r="R40"/>
  <c r="Q40"/>
  <c r="P40"/>
  <c r="J40"/>
  <c r="CF39"/>
  <c r="CD39"/>
  <c r="CC39"/>
  <c r="CA39"/>
  <c r="BY39"/>
  <c r="BX39"/>
  <c r="BV39"/>
  <c r="BT39"/>
  <c r="BS39"/>
  <c r="BQ39"/>
  <c r="BP39"/>
  <c r="BO39"/>
  <c r="BN39"/>
  <c r="Z39"/>
  <c r="S39"/>
  <c r="R39"/>
  <c r="Q39"/>
  <c r="P39"/>
  <c r="J39"/>
  <c r="CF38"/>
  <c r="CE38"/>
  <c r="CD38"/>
  <c r="CC38"/>
  <c r="CA38"/>
  <c r="BZ38"/>
  <c r="BY38"/>
  <c r="BX38"/>
  <c r="BV38"/>
  <c r="BU38"/>
  <c r="BT38"/>
  <c r="BS38"/>
  <c r="BQ38"/>
  <c r="BP38"/>
  <c r="BO38"/>
  <c r="BN38"/>
  <c r="Z38"/>
  <c r="S38"/>
  <c r="R38"/>
  <c r="Q38"/>
  <c r="P38"/>
  <c r="J38"/>
  <c r="CF37"/>
  <c r="CE37"/>
  <c r="CD37"/>
  <c r="CC37"/>
  <c r="CA37"/>
  <c r="BZ37"/>
  <c r="BY37"/>
  <c r="BX37"/>
  <c r="BV37"/>
  <c r="BU37"/>
  <c r="BT37"/>
  <c r="BS37"/>
  <c r="BQ37"/>
  <c r="BP37"/>
  <c r="BO37"/>
  <c r="BN37"/>
  <c r="Z37"/>
  <c r="S37"/>
  <c r="R37"/>
  <c r="Q37"/>
  <c r="P37"/>
  <c r="J37"/>
  <c r="CF36"/>
  <c r="CE36"/>
  <c r="CD36"/>
  <c r="CC36"/>
  <c r="CA36"/>
  <c r="BZ36"/>
  <c r="BY36"/>
  <c r="BX36"/>
  <c r="BV36"/>
  <c r="BU36"/>
  <c r="BT36"/>
  <c r="BS36"/>
  <c r="BQ36"/>
  <c r="BP36"/>
  <c r="BO36"/>
  <c r="BN36"/>
  <c r="BL36"/>
  <c r="BK36"/>
  <c r="BJ36"/>
  <c r="BI36"/>
  <c r="AN36"/>
  <c r="AM36"/>
  <c r="AL36"/>
  <c r="AK36"/>
  <c r="AI36"/>
  <c r="AH36"/>
  <c r="AG36"/>
  <c r="AE36"/>
  <c r="AD36"/>
  <c r="AC36"/>
  <c r="AB36"/>
  <c r="Z36"/>
  <c r="S36"/>
  <c r="R36"/>
  <c r="Q36"/>
  <c r="P36"/>
  <c r="J36"/>
  <c r="CF35"/>
  <c r="CE35"/>
  <c r="CD35"/>
  <c r="CC35"/>
  <c r="CA35"/>
  <c r="BZ35"/>
  <c r="BY35"/>
  <c r="BX35"/>
  <c r="BV35"/>
  <c r="BU35"/>
  <c r="BT35"/>
  <c r="BS35"/>
  <c r="BQ35"/>
  <c r="BP35"/>
  <c r="BO35"/>
  <c r="BN35"/>
  <c r="BL35"/>
  <c r="BK35"/>
  <c r="BJ35"/>
  <c r="BI35"/>
  <c r="BG35"/>
  <c r="BF35"/>
  <c r="BE35"/>
  <c r="BD35"/>
  <c r="AW35"/>
  <c r="AV35"/>
  <c r="AU35"/>
  <c r="AS35"/>
  <c r="AR35"/>
  <c r="AQ35"/>
  <c r="AP35"/>
  <c r="AN35"/>
  <c r="AM35"/>
  <c r="AL35"/>
  <c r="AK35"/>
  <c r="AI35"/>
  <c r="AH35"/>
  <c r="AG35"/>
  <c r="AE35"/>
  <c r="AD35"/>
  <c r="AC35"/>
  <c r="AB35"/>
  <c r="Z35"/>
  <c r="S35"/>
  <c r="R35"/>
  <c r="Q35"/>
  <c r="P35"/>
  <c r="J35"/>
  <c r="CF34"/>
  <c r="CE34"/>
  <c r="CD34"/>
  <c r="CC34"/>
  <c r="CA34"/>
  <c r="BZ34"/>
  <c r="BY34"/>
  <c r="BX34"/>
  <c r="BV34"/>
  <c r="BU34"/>
  <c r="BT34"/>
  <c r="BS34"/>
  <c r="BQ34"/>
  <c r="BP34"/>
  <c r="BO34"/>
  <c r="BN34"/>
  <c r="BL34"/>
  <c r="BK34"/>
  <c r="BJ34"/>
  <c r="BI34"/>
  <c r="BG34"/>
  <c r="BF34"/>
  <c r="BE34"/>
  <c r="BD34"/>
  <c r="AW34"/>
  <c r="AV34"/>
  <c r="AU34"/>
  <c r="AS34"/>
  <c r="AR34"/>
  <c r="AQ34"/>
  <c r="AP34"/>
  <c r="AN34"/>
  <c r="AM34"/>
  <c r="AL34"/>
  <c r="AK34"/>
  <c r="AI34"/>
  <c r="AH34"/>
  <c r="AG34"/>
  <c r="AE34"/>
  <c r="AD34"/>
  <c r="AC34"/>
  <c r="AB34"/>
  <c r="Z34"/>
  <c r="S34"/>
  <c r="R34"/>
  <c r="Q34"/>
  <c r="P34"/>
  <c r="J34"/>
  <c r="CF33"/>
  <c r="CE33"/>
  <c r="CD33"/>
  <c r="CC33"/>
  <c r="CA33"/>
  <c r="BZ33"/>
  <c r="BY33"/>
  <c r="BX33"/>
  <c r="BV33"/>
  <c r="BU33"/>
  <c r="BT33"/>
  <c r="BS33"/>
  <c r="BQ33"/>
  <c r="BP33"/>
  <c r="BO33"/>
  <c r="BN33"/>
  <c r="BL33"/>
  <c r="BK33"/>
  <c r="BJ33"/>
  <c r="BI33"/>
  <c r="BG33"/>
  <c r="BF33"/>
  <c r="BE33"/>
  <c r="BD33"/>
  <c r="AW33"/>
  <c r="AV33"/>
  <c r="AU33"/>
  <c r="AS33"/>
  <c r="AR33"/>
  <c r="AQ33"/>
  <c r="AP33"/>
  <c r="AN33"/>
  <c r="AM33"/>
  <c r="AL33"/>
  <c r="AK33"/>
  <c r="AI33"/>
  <c r="AH33"/>
  <c r="AG33"/>
  <c r="AE33"/>
  <c r="AD33"/>
  <c r="AC33"/>
  <c r="AB33"/>
  <c r="Z33"/>
  <c r="S33"/>
  <c r="R33"/>
  <c r="Q33"/>
  <c r="P33"/>
  <c r="J33"/>
  <c r="CF32"/>
  <c r="CE32"/>
  <c r="CD32"/>
  <c r="CC32"/>
  <c r="CA32"/>
  <c r="BZ32"/>
  <c r="BY32"/>
  <c r="BX32"/>
  <c r="BV32"/>
  <c r="BU32"/>
  <c r="BT32"/>
  <c r="BS32"/>
  <c r="BQ32"/>
  <c r="BP32"/>
  <c r="BO32"/>
  <c r="BN32"/>
  <c r="BL32"/>
  <c r="BK32"/>
  <c r="BJ32"/>
  <c r="BI32"/>
  <c r="BG32"/>
  <c r="BF32"/>
  <c r="BE32"/>
  <c r="BD32"/>
  <c r="AW32"/>
  <c r="AV32"/>
  <c r="AU32"/>
  <c r="AS32"/>
  <c r="AR32"/>
  <c r="AQ32"/>
  <c r="AP32"/>
  <c r="AN32"/>
  <c r="AM32"/>
  <c r="AL32"/>
  <c r="AK32"/>
  <c r="AI32"/>
  <c r="AH32"/>
  <c r="AG32"/>
  <c r="AE32"/>
  <c r="AD32"/>
  <c r="AC32"/>
  <c r="AB32"/>
  <c r="Z32"/>
  <c r="S32"/>
  <c r="R32"/>
  <c r="Q32"/>
  <c r="P32"/>
  <c r="J32"/>
  <c r="CF31"/>
  <c r="CE31"/>
  <c r="CD31"/>
  <c r="CC31"/>
  <c r="CA31"/>
  <c r="BZ31"/>
  <c r="BY31"/>
  <c r="BX31"/>
  <c r="BV31"/>
  <c r="BU31"/>
  <c r="BT31"/>
  <c r="BS31"/>
  <c r="BQ31"/>
  <c r="BP31"/>
  <c r="BO31"/>
  <c r="BN31"/>
  <c r="BL31"/>
  <c r="BK31"/>
  <c r="BJ31"/>
  <c r="BI31"/>
  <c r="BG31"/>
  <c r="BF31"/>
  <c r="BE31"/>
  <c r="BD31"/>
  <c r="AW31"/>
  <c r="AV31"/>
  <c r="AU31"/>
  <c r="AS31"/>
  <c r="AR31"/>
  <c r="AQ31"/>
  <c r="AP31"/>
  <c r="AN31"/>
  <c r="AM31"/>
  <c r="AL31"/>
  <c r="AK31"/>
  <c r="AI31"/>
  <c r="AH31"/>
  <c r="AG31"/>
  <c r="AE31"/>
  <c r="AD31"/>
  <c r="AC31"/>
  <c r="AB31"/>
  <c r="Z31"/>
  <c r="S31"/>
  <c r="R31"/>
  <c r="Q31"/>
  <c r="P31"/>
  <c r="J31"/>
  <c r="CF30"/>
  <c r="CE30"/>
  <c r="CD30"/>
  <c r="CC30"/>
  <c r="CA30"/>
  <c r="BZ30"/>
  <c r="BY30"/>
  <c r="BX30"/>
  <c r="BV30"/>
  <c r="BU30"/>
  <c r="BT30"/>
  <c r="BS30"/>
  <c r="BQ30"/>
  <c r="BP30"/>
  <c r="BO30"/>
  <c r="BN30"/>
  <c r="BL30"/>
  <c r="BK30"/>
  <c r="BJ30"/>
  <c r="BI30"/>
  <c r="BG30"/>
  <c r="BF30"/>
  <c r="BE30"/>
  <c r="BD30"/>
  <c r="AW30"/>
  <c r="AV30"/>
  <c r="AU30"/>
  <c r="AS30"/>
  <c r="AR30"/>
  <c r="AQ30"/>
  <c r="AP30"/>
  <c r="Z30"/>
  <c r="S30"/>
  <c r="R30"/>
  <c r="Q30"/>
  <c r="P30"/>
  <c r="J30"/>
  <c r="CF29"/>
  <c r="CE29"/>
  <c r="CD29"/>
  <c r="CC29"/>
  <c r="BQ29"/>
  <c r="BP29"/>
  <c r="BO29"/>
  <c r="BN29"/>
  <c r="BL29"/>
  <c r="BK29"/>
  <c r="BJ29"/>
  <c r="BI29"/>
  <c r="BG29"/>
  <c r="BF29"/>
  <c r="BE29"/>
  <c r="BD29"/>
  <c r="AS29"/>
  <c r="AR29"/>
  <c r="AQ29"/>
  <c r="AP29"/>
  <c r="AN29"/>
  <c r="AM29"/>
  <c r="AL29"/>
  <c r="AK29"/>
  <c r="AI29"/>
  <c r="AH29"/>
  <c r="AG29"/>
  <c r="AE29"/>
  <c r="AD29"/>
  <c r="AC29"/>
  <c r="AB29"/>
  <c r="Z29"/>
  <c r="Y29"/>
  <c r="X29"/>
  <c r="W29"/>
  <c r="S29"/>
  <c r="R29"/>
  <c r="Q29"/>
  <c r="P29"/>
  <c r="N29"/>
  <c r="M29"/>
  <c r="L29"/>
  <c r="J29"/>
  <c r="I29"/>
  <c r="H29"/>
  <c r="G29"/>
  <c r="AS28"/>
  <c r="AS27"/>
  <c r="AR27"/>
  <c r="AQ27"/>
  <c r="AP27"/>
  <c r="CF26"/>
  <c r="CD26"/>
  <c r="CC26"/>
  <c r="CA26"/>
  <c r="BY26"/>
  <c r="BV26"/>
  <c r="BT26"/>
  <c r="BQ26"/>
  <c r="BO26"/>
  <c r="BN26"/>
  <c r="BE26"/>
  <c r="BD26"/>
  <c r="AV26"/>
  <c r="AS26"/>
  <c r="AR26"/>
  <c r="AQ26"/>
  <c r="AP26"/>
  <c r="AN26"/>
  <c r="AL26"/>
  <c r="AH26"/>
  <c r="AE26"/>
  <c r="AC26"/>
  <c r="S26"/>
  <c r="Q26"/>
  <c r="J26"/>
  <c r="H26"/>
  <c r="CF25"/>
  <c r="CD25"/>
  <c r="CC25"/>
  <c r="CA25"/>
  <c r="BY25"/>
  <c r="BX25"/>
  <c r="BV25"/>
  <c r="BT25"/>
  <c r="BS25"/>
  <c r="BQ25"/>
  <c r="BP25"/>
  <c r="BO25"/>
  <c r="BN25"/>
  <c r="AS25"/>
  <c r="S25"/>
  <c r="Q25"/>
  <c r="P25"/>
  <c r="J25"/>
  <c r="CF24"/>
  <c r="CE24"/>
  <c r="CD24"/>
  <c r="CC24"/>
  <c r="CA24"/>
  <c r="BZ24"/>
  <c r="BY24"/>
  <c r="BX24"/>
  <c r="BV24"/>
  <c r="BU24"/>
  <c r="BT24"/>
  <c r="BS24"/>
  <c r="BQ24"/>
  <c r="BP24"/>
  <c r="BO24"/>
  <c r="BN24"/>
  <c r="AS24"/>
  <c r="S24"/>
  <c r="R24"/>
  <c r="Q24"/>
  <c r="P24"/>
  <c r="J24"/>
  <c r="CF23"/>
  <c r="CE23"/>
  <c r="CD23"/>
  <c r="CC23"/>
  <c r="CA23"/>
  <c r="BZ23"/>
  <c r="BY23"/>
  <c r="BX23"/>
  <c r="BV23"/>
  <c r="BU23"/>
  <c r="BT23"/>
  <c r="BS23"/>
  <c r="BQ23"/>
  <c r="BP23"/>
  <c r="BO23"/>
  <c r="BN23"/>
  <c r="AS23"/>
  <c r="S23"/>
  <c r="R23"/>
  <c r="Q23"/>
  <c r="P23"/>
  <c r="J23"/>
  <c r="CF22"/>
  <c r="CE22"/>
  <c r="CD22"/>
  <c r="CC22"/>
  <c r="CA22"/>
  <c r="BZ22"/>
  <c r="BY22"/>
  <c r="BX22"/>
  <c r="BV22"/>
  <c r="BU22"/>
  <c r="BT22"/>
  <c r="BS22"/>
  <c r="BQ22"/>
  <c r="BP22"/>
  <c r="BO22"/>
  <c r="BN22"/>
  <c r="BL22"/>
  <c r="BK22"/>
  <c r="BJ22"/>
  <c r="BI22"/>
  <c r="AS22"/>
  <c r="AN22"/>
  <c r="AM22"/>
  <c r="AL22"/>
  <c r="AK22"/>
  <c r="AI22"/>
  <c r="AH22"/>
  <c r="AG22"/>
  <c r="AE22"/>
  <c r="AD22"/>
  <c r="AC22"/>
  <c r="AB22"/>
  <c r="S22"/>
  <c r="R22"/>
  <c r="Q22"/>
  <c r="P22"/>
  <c r="J22"/>
  <c r="CF21"/>
  <c r="CE21"/>
  <c r="CD21"/>
  <c r="CC21"/>
  <c r="CA21"/>
  <c r="BZ21"/>
  <c r="BY21"/>
  <c r="BX21"/>
  <c r="BV21"/>
  <c r="BU21"/>
  <c r="BT21"/>
  <c r="BS21"/>
  <c r="BQ21"/>
  <c r="BP21"/>
  <c r="BO21"/>
  <c r="BN21"/>
  <c r="BL21"/>
  <c r="BK21"/>
  <c r="BJ21"/>
  <c r="BI21"/>
  <c r="BG21"/>
  <c r="BF21"/>
  <c r="BE21"/>
  <c r="BD21"/>
  <c r="AW21"/>
  <c r="AV21"/>
  <c r="AU21"/>
  <c r="AS21"/>
  <c r="AR21"/>
  <c r="AQ21"/>
  <c r="AP21"/>
  <c r="AN21"/>
  <c r="AM21"/>
  <c r="AL21"/>
  <c r="AK21"/>
  <c r="AI21"/>
  <c r="AH21"/>
  <c r="AG21"/>
  <c r="AE21"/>
  <c r="AD21"/>
  <c r="AC21"/>
  <c r="AB21"/>
  <c r="S21"/>
  <c r="R21"/>
  <c r="Q21"/>
  <c r="P21"/>
  <c r="J21"/>
  <c r="CF20"/>
  <c r="CE20"/>
  <c r="CD20"/>
  <c r="CC20"/>
  <c r="CA20"/>
  <c r="BZ20"/>
  <c r="BY20"/>
  <c r="BX20"/>
  <c r="BV20"/>
  <c r="BU20"/>
  <c r="BT20"/>
  <c r="BS20"/>
  <c r="BQ20"/>
  <c r="BP20"/>
  <c r="BO20"/>
  <c r="BN20"/>
  <c r="BL20"/>
  <c r="BK20"/>
  <c r="BJ20"/>
  <c r="BI20"/>
  <c r="BG20"/>
  <c r="BF20"/>
  <c r="BE20"/>
  <c r="BD20"/>
  <c r="AW20"/>
  <c r="AV20"/>
  <c r="AU20"/>
  <c r="AS20"/>
  <c r="AR20"/>
  <c r="AQ20"/>
  <c r="AP20"/>
  <c r="AN20"/>
  <c r="AM20"/>
  <c r="AL20"/>
  <c r="AK20"/>
  <c r="AI20"/>
  <c r="AH20"/>
  <c r="AG20"/>
  <c r="AE20"/>
  <c r="AD20"/>
  <c r="AC20"/>
  <c r="AB20"/>
  <c r="S20"/>
  <c r="R20"/>
  <c r="Q20"/>
  <c r="P20"/>
  <c r="J20"/>
  <c r="CF19"/>
  <c r="CE19"/>
  <c r="CD19"/>
  <c r="CC19"/>
  <c r="CA19"/>
  <c r="BZ19"/>
  <c r="BY19"/>
  <c r="BX19"/>
  <c r="BV19"/>
  <c r="BU19"/>
  <c r="BT19"/>
  <c r="BS19"/>
  <c r="BQ19"/>
  <c r="BP19"/>
  <c r="BO19"/>
  <c r="BN19"/>
  <c r="BL19"/>
  <c r="BK19"/>
  <c r="BJ19"/>
  <c r="BI19"/>
  <c r="BG19"/>
  <c r="BF19"/>
  <c r="BE19"/>
  <c r="BD19"/>
  <c r="AW19"/>
  <c r="AV19"/>
  <c r="AU19"/>
  <c r="AS19"/>
  <c r="AR19"/>
  <c r="AQ19"/>
  <c r="AP19"/>
  <c r="AN19"/>
  <c r="AM19"/>
  <c r="AL19"/>
  <c r="AK19"/>
  <c r="AI19"/>
  <c r="AH19"/>
  <c r="AG19"/>
  <c r="AE19"/>
  <c r="AD19"/>
  <c r="AC19"/>
  <c r="AB19"/>
  <c r="S19"/>
  <c r="R19"/>
  <c r="Q19"/>
  <c r="P19"/>
  <c r="J19"/>
  <c r="CF18"/>
  <c r="CE18"/>
  <c r="CD18"/>
  <c r="CC18"/>
  <c r="CA18"/>
  <c r="BZ18"/>
  <c r="BY18"/>
  <c r="BX18"/>
  <c r="BV18"/>
  <c r="BU18"/>
  <c r="BT18"/>
  <c r="BS18"/>
  <c r="BQ18"/>
  <c r="BP18"/>
  <c r="BO18"/>
  <c r="BN18"/>
  <c r="BL18"/>
  <c r="BK18"/>
  <c r="BJ18"/>
  <c r="BI18"/>
  <c r="BG18"/>
  <c r="BF18"/>
  <c r="BE18"/>
  <c r="BD18"/>
  <c r="AW18"/>
  <c r="AV18"/>
  <c r="AU18"/>
  <c r="AS18"/>
  <c r="AR18"/>
  <c r="AQ18"/>
  <c r="AP18"/>
  <c r="AN18"/>
  <c r="AM18"/>
  <c r="AL18"/>
  <c r="AK18"/>
  <c r="AI18"/>
  <c r="AH18"/>
  <c r="AG18"/>
  <c r="AE18"/>
  <c r="AD18"/>
  <c r="AC18"/>
  <c r="AB18"/>
  <c r="S18"/>
  <c r="R18"/>
  <c r="Q18"/>
  <c r="P18"/>
  <c r="J18"/>
  <c r="CF17"/>
  <c r="CE17"/>
  <c r="CD17"/>
  <c r="CC17"/>
  <c r="CA17"/>
  <c r="BZ17"/>
  <c r="BY17"/>
  <c r="BX17"/>
  <c r="BV17"/>
  <c r="BU17"/>
  <c r="BT17"/>
  <c r="BS17"/>
  <c r="BQ17"/>
  <c r="BP17"/>
  <c r="BO17"/>
  <c r="BN17"/>
  <c r="BL17"/>
  <c r="BK17"/>
  <c r="BJ17"/>
  <c r="BI17"/>
  <c r="BG17"/>
  <c r="BF17"/>
  <c r="BE17"/>
  <c r="BD17"/>
  <c r="AW17"/>
  <c r="AV17"/>
  <c r="AU17"/>
  <c r="AS17"/>
  <c r="AR17"/>
  <c r="AQ17"/>
  <c r="AP17"/>
  <c r="AN17"/>
  <c r="AM17"/>
  <c r="AL17"/>
  <c r="AK17"/>
  <c r="AI17"/>
  <c r="AH17"/>
  <c r="AG17"/>
  <c r="AE17"/>
  <c r="AD17"/>
  <c r="AC17"/>
  <c r="AB17"/>
  <c r="S17"/>
  <c r="R17"/>
  <c r="Q17"/>
  <c r="P17"/>
  <c r="J17"/>
  <c r="CF16"/>
  <c r="CE16"/>
  <c r="CD16"/>
  <c r="CC16"/>
  <c r="CA16"/>
  <c r="BZ16"/>
  <c r="BY16"/>
  <c r="BX16"/>
  <c r="BV16"/>
  <c r="BU16"/>
  <c r="BT16"/>
  <c r="BS16"/>
  <c r="BQ16"/>
  <c r="BP16"/>
  <c r="BO16"/>
  <c r="BN16"/>
  <c r="BL16"/>
  <c r="BK16"/>
  <c r="BJ16"/>
  <c r="BI16"/>
  <c r="BG16"/>
  <c r="BF16"/>
  <c r="BE16"/>
  <c r="BD16"/>
  <c r="AW16"/>
  <c r="AV16"/>
  <c r="AU16"/>
  <c r="AS16"/>
  <c r="AR16"/>
  <c r="AQ16"/>
  <c r="AP16"/>
  <c r="S16"/>
  <c r="R16"/>
  <c r="Q16"/>
  <c r="P16"/>
  <c r="J16"/>
  <c r="CF15"/>
  <c r="CE15"/>
  <c r="CD15"/>
  <c r="CC15"/>
  <c r="CA15"/>
  <c r="BZ15"/>
  <c r="BY15"/>
  <c r="BX15"/>
  <c r="BV15"/>
  <c r="BU15"/>
  <c r="BT15"/>
  <c r="BS15"/>
  <c r="BQ15"/>
  <c r="BP15"/>
  <c r="BO15"/>
  <c r="BN15"/>
  <c r="BL15"/>
  <c r="BK15"/>
  <c r="BJ15"/>
  <c r="BI15"/>
  <c r="BG15"/>
  <c r="BF15"/>
  <c r="BE15"/>
  <c r="BD15"/>
  <c r="AS15"/>
  <c r="AR15"/>
  <c r="AQ15"/>
  <c r="AP15"/>
  <c r="AN15"/>
  <c r="AM15"/>
  <c r="AL15"/>
  <c r="AK15"/>
  <c r="AI15"/>
  <c r="AH15"/>
  <c r="AG15"/>
  <c r="AE15"/>
  <c r="AD15"/>
  <c r="AC15"/>
  <c r="AB15"/>
  <c r="Z15"/>
  <c r="Y15"/>
  <c r="X15"/>
  <c r="S15"/>
  <c r="R15"/>
  <c r="Q15"/>
  <c r="P15"/>
  <c r="N15"/>
  <c r="M15"/>
  <c r="L15"/>
  <c r="J15"/>
  <c r="I15"/>
  <c r="H15"/>
  <c r="G15"/>
  <c r="Z4"/>
  <c r="Y4"/>
  <c r="X4"/>
  <c r="W4"/>
  <c r="BQ3"/>
  <c r="BP3"/>
  <c r="BO3"/>
  <c r="BN3"/>
  <c r="G16" i="15"/>
  <c r="AF16"/>
  <c r="H16"/>
  <c r="AG16"/>
  <c r="I16"/>
  <c r="AH16"/>
  <c r="AI16"/>
  <c r="H29"/>
  <c r="AG29"/>
  <c r="I29"/>
  <c r="AH29"/>
  <c r="AI29"/>
  <c r="AI2"/>
  <c r="AG2"/>
  <c r="AH2"/>
  <c r="AF2"/>
  <c r="G12"/>
  <c r="AF12"/>
  <c r="G13"/>
  <c r="AF13"/>
  <c r="G14"/>
  <c r="AF14"/>
  <c r="G15"/>
  <c r="AF15"/>
  <c r="G17"/>
  <c r="AF17"/>
  <c r="G18"/>
  <c r="AF18"/>
  <c r="G19"/>
  <c r="AF19"/>
  <c r="G20"/>
  <c r="AF20"/>
  <c r="AF11"/>
  <c r="AF45"/>
  <c r="H12"/>
  <c r="AG12"/>
  <c r="H13"/>
  <c r="AG13"/>
  <c r="H14"/>
  <c r="AG14"/>
  <c r="H15"/>
  <c r="AG15"/>
  <c r="H17"/>
  <c r="AG17"/>
  <c r="H18"/>
  <c r="AG18"/>
  <c r="H19"/>
  <c r="AG19"/>
  <c r="H20"/>
  <c r="AG20"/>
  <c r="AG11"/>
  <c r="H25"/>
  <c r="AG25"/>
  <c r="H26"/>
  <c r="AG26"/>
  <c r="H27"/>
  <c r="AG27"/>
  <c r="H28"/>
  <c r="AG28"/>
  <c r="H34"/>
  <c r="AG34"/>
  <c r="H35"/>
  <c r="AG35"/>
  <c r="H36"/>
  <c r="AG36"/>
  <c r="H37"/>
  <c r="AG37"/>
  <c r="AG24"/>
  <c r="AG45"/>
  <c r="I12"/>
  <c r="AH12"/>
  <c r="I13"/>
  <c r="AH13"/>
  <c r="I14"/>
  <c r="AH14"/>
  <c r="I15"/>
  <c r="AH15"/>
  <c r="I17"/>
  <c r="AH17"/>
  <c r="I18"/>
  <c r="AH18"/>
  <c r="I19"/>
  <c r="AH19"/>
  <c r="I20"/>
  <c r="AH20"/>
  <c r="AH11"/>
  <c r="AH24"/>
  <c r="AH45"/>
  <c r="AI45"/>
  <c r="AP12"/>
  <c r="AP13"/>
  <c r="AP14"/>
  <c r="AP15"/>
  <c r="AP16"/>
  <c r="AP17"/>
  <c r="AP18"/>
  <c r="AP19"/>
  <c r="AP20"/>
  <c r="AP11"/>
  <c r="V25"/>
  <c r="AP25"/>
  <c r="V26"/>
  <c r="AP26"/>
  <c r="V27"/>
  <c r="AP27"/>
  <c r="V28"/>
  <c r="AP28"/>
  <c r="V29"/>
  <c r="AP29"/>
  <c r="V34"/>
  <c r="AP34"/>
  <c r="V35"/>
  <c r="AP35"/>
  <c r="V36"/>
  <c r="AP36"/>
  <c r="V37"/>
  <c r="AP37"/>
  <c r="V38"/>
  <c r="AP38"/>
  <c r="V41"/>
  <c r="AP41"/>
  <c r="AP24"/>
  <c r="AP45"/>
  <c r="AQ12"/>
  <c r="AQ13"/>
  <c r="AQ14"/>
  <c r="AQ15"/>
  <c r="AQ16"/>
  <c r="AQ17"/>
  <c r="AQ18"/>
  <c r="AQ19"/>
  <c r="AQ20"/>
  <c r="AQ11"/>
  <c r="W25"/>
  <c r="AQ25"/>
  <c r="W26"/>
  <c r="AQ26"/>
  <c r="W27"/>
  <c r="AQ27"/>
  <c r="W28"/>
  <c r="AQ28"/>
  <c r="W29"/>
  <c r="AQ29"/>
  <c r="W34"/>
  <c r="AQ34"/>
  <c r="W35"/>
  <c r="AQ35"/>
  <c r="W36"/>
  <c r="AQ36"/>
  <c r="W37"/>
  <c r="AQ37"/>
  <c r="W38"/>
  <c r="AQ38"/>
  <c r="W41"/>
  <c r="AQ41"/>
  <c r="AQ24"/>
  <c r="AQ45"/>
  <c r="AR12"/>
  <c r="AR13"/>
  <c r="AR14"/>
  <c r="AR15"/>
  <c r="AR16"/>
  <c r="AR17"/>
  <c r="AR18"/>
  <c r="AR19"/>
  <c r="AR20"/>
  <c r="AR11"/>
  <c r="X25"/>
  <c r="AR25"/>
  <c r="X26"/>
  <c r="AR26"/>
  <c r="X27"/>
  <c r="AR27"/>
  <c r="X28"/>
  <c r="AR28"/>
  <c r="X29"/>
  <c r="AR29"/>
  <c r="X34"/>
  <c r="AR34"/>
  <c r="X35"/>
  <c r="AR35"/>
  <c r="X36"/>
  <c r="AR36"/>
  <c r="X37"/>
  <c r="AR37"/>
  <c r="X39"/>
  <c r="AR39"/>
  <c r="X40"/>
  <c r="AR40"/>
  <c r="X41"/>
  <c r="AR41"/>
  <c r="AR24"/>
  <c r="AR45"/>
  <c r="AS45"/>
  <c r="AI49"/>
  <c r="AH49"/>
  <c r="AG49"/>
  <c r="AF49"/>
  <c r="M49"/>
  <c r="H49"/>
  <c r="AI44"/>
  <c r="AP44"/>
  <c r="AQ44"/>
  <c r="AR44"/>
  <c r="AS44"/>
  <c r="AI48"/>
  <c r="AH44"/>
  <c r="AH48"/>
  <c r="AG44"/>
  <c r="AG48"/>
  <c r="AF44"/>
  <c r="AF48"/>
  <c r="V24"/>
  <c r="V45"/>
  <c r="W24"/>
  <c r="W45"/>
  <c r="X24"/>
  <c r="X45"/>
  <c r="Y45"/>
  <c r="Y48"/>
  <c r="X48"/>
  <c r="W48"/>
  <c r="V48"/>
  <c r="M48"/>
  <c r="M47"/>
  <c r="AS46"/>
  <c r="L25"/>
  <c r="L26"/>
  <c r="L27"/>
  <c r="L28"/>
  <c r="L29"/>
  <c r="L34"/>
  <c r="L35"/>
  <c r="L36"/>
  <c r="L37"/>
  <c r="L38"/>
  <c r="L39"/>
  <c r="L40"/>
  <c r="L24"/>
  <c r="L45"/>
  <c r="M25"/>
  <c r="M26"/>
  <c r="M27"/>
  <c r="M28"/>
  <c r="M29"/>
  <c r="M34"/>
  <c r="M35"/>
  <c r="M36"/>
  <c r="M37"/>
  <c r="M38"/>
  <c r="M39"/>
  <c r="M40"/>
  <c r="M24"/>
  <c r="M45"/>
  <c r="N25"/>
  <c r="N26"/>
  <c r="N27"/>
  <c r="N28"/>
  <c r="N29"/>
  <c r="N34"/>
  <c r="N35"/>
  <c r="N36"/>
  <c r="N37"/>
  <c r="N38"/>
  <c r="N39"/>
  <c r="N40"/>
  <c r="N24"/>
  <c r="N45"/>
  <c r="O45"/>
  <c r="O46"/>
  <c r="N46"/>
  <c r="M46"/>
  <c r="L46"/>
  <c r="G21"/>
  <c r="G11"/>
  <c r="H21"/>
  <c r="H22"/>
  <c r="H11"/>
  <c r="I11"/>
  <c r="J11"/>
  <c r="G24"/>
  <c r="H38"/>
  <c r="H41"/>
  <c r="H24"/>
  <c r="I41"/>
  <c r="I24"/>
  <c r="J24"/>
  <c r="J45"/>
  <c r="J46"/>
  <c r="I45"/>
  <c r="I46"/>
  <c r="H45"/>
  <c r="H46"/>
  <c r="G45"/>
  <c r="G46"/>
  <c r="AN45"/>
  <c r="AM45"/>
  <c r="AL45"/>
  <c r="AK45"/>
  <c r="AD45"/>
  <c r="AC45"/>
  <c r="AB45"/>
  <c r="AA45"/>
  <c r="T45"/>
  <c r="S45"/>
  <c r="R45"/>
  <c r="Q45"/>
  <c r="G44"/>
  <c r="H44"/>
  <c r="I44"/>
  <c r="J44"/>
  <c r="AN44"/>
  <c r="AM44"/>
  <c r="AL44"/>
  <c r="AK44"/>
  <c r="AD44"/>
  <c r="AC44"/>
  <c r="AB44"/>
  <c r="AA44"/>
  <c r="V44"/>
  <c r="W44"/>
  <c r="X44"/>
  <c r="Y44"/>
  <c r="T44"/>
  <c r="S44"/>
  <c r="R44"/>
  <c r="Q44"/>
  <c r="L44"/>
  <c r="M44"/>
  <c r="N44"/>
  <c r="O44"/>
  <c r="AI43"/>
  <c r="AH43"/>
  <c r="AG43"/>
  <c r="AF43"/>
  <c r="J21"/>
  <c r="J22"/>
  <c r="J38"/>
  <c r="J41"/>
  <c r="J43"/>
  <c r="AD43"/>
  <c r="I43"/>
  <c r="AC43"/>
  <c r="H43"/>
  <c r="AB43"/>
  <c r="G43"/>
  <c r="AA43"/>
  <c r="Y39"/>
  <c r="Y40"/>
  <c r="Y42"/>
  <c r="X42"/>
  <c r="W42"/>
  <c r="V42"/>
  <c r="AS41"/>
  <c r="AN41"/>
  <c r="AM41"/>
  <c r="AL41"/>
  <c r="AK41"/>
  <c r="T41"/>
  <c r="S41"/>
  <c r="R41"/>
  <c r="Q41"/>
  <c r="O41"/>
  <c r="AS40"/>
  <c r="AN40"/>
  <c r="AM40"/>
  <c r="T40"/>
  <c r="S40"/>
  <c r="O40"/>
  <c r="J40"/>
  <c r="AS39"/>
  <c r="AN39"/>
  <c r="AM39"/>
  <c r="T39"/>
  <c r="S39"/>
  <c r="O39"/>
  <c r="J39"/>
  <c r="AS38"/>
  <c r="AN38"/>
  <c r="AL38"/>
  <c r="AK38"/>
  <c r="Y38"/>
  <c r="T38"/>
  <c r="R38"/>
  <c r="Q38"/>
  <c r="O38"/>
  <c r="AS37"/>
  <c r="J37"/>
  <c r="AN37"/>
  <c r="AM37"/>
  <c r="AL37"/>
  <c r="AK37"/>
  <c r="AI37"/>
  <c r="AH37"/>
  <c r="AF37"/>
  <c r="Y37"/>
  <c r="T37"/>
  <c r="S37"/>
  <c r="R37"/>
  <c r="Q37"/>
  <c r="O37"/>
  <c r="AS36"/>
  <c r="J36"/>
  <c r="AN36"/>
  <c r="AM36"/>
  <c r="AL36"/>
  <c r="AK36"/>
  <c r="AI36"/>
  <c r="AH36"/>
  <c r="AF36"/>
  <c r="Y36"/>
  <c r="T36"/>
  <c r="S36"/>
  <c r="R36"/>
  <c r="Q36"/>
  <c r="O36"/>
  <c r="AS35"/>
  <c r="J35"/>
  <c r="AN35"/>
  <c r="AM35"/>
  <c r="AL35"/>
  <c r="AK35"/>
  <c r="AI35"/>
  <c r="AH35"/>
  <c r="AF35"/>
  <c r="Y35"/>
  <c r="T35"/>
  <c r="S35"/>
  <c r="R35"/>
  <c r="Q35"/>
  <c r="O35"/>
  <c r="AS34"/>
  <c r="J34"/>
  <c r="AN34"/>
  <c r="AM34"/>
  <c r="AL34"/>
  <c r="AK34"/>
  <c r="AI34"/>
  <c r="AH34"/>
  <c r="AF34"/>
  <c r="Y34"/>
  <c r="T34"/>
  <c r="S34"/>
  <c r="R34"/>
  <c r="Q34"/>
  <c r="O34"/>
  <c r="AI33"/>
  <c r="AG33"/>
  <c r="J33"/>
  <c r="AI32"/>
  <c r="AH32"/>
  <c r="AG32"/>
  <c r="AF32"/>
  <c r="J32"/>
  <c r="I32"/>
  <c r="H32"/>
  <c r="AI31"/>
  <c r="AH31"/>
  <c r="AG31"/>
  <c r="AF31"/>
  <c r="J31"/>
  <c r="I31"/>
  <c r="H31"/>
  <c r="AI30"/>
  <c r="AH30"/>
  <c r="AG30"/>
  <c r="AF30"/>
  <c r="J30"/>
  <c r="I30"/>
  <c r="H30"/>
  <c r="Y29"/>
  <c r="AS29"/>
  <c r="J29"/>
  <c r="AN29"/>
  <c r="AM29"/>
  <c r="AL29"/>
  <c r="AK29"/>
  <c r="AF29"/>
  <c r="O29"/>
  <c r="AS28"/>
  <c r="J28"/>
  <c r="AN28"/>
  <c r="AM28"/>
  <c r="AL28"/>
  <c r="AK28"/>
  <c r="AI28"/>
  <c r="AH28"/>
  <c r="AF28"/>
  <c r="Y28"/>
  <c r="T28"/>
  <c r="S28"/>
  <c r="R28"/>
  <c r="Q28"/>
  <c r="O28"/>
  <c r="AS27"/>
  <c r="J27"/>
  <c r="AN27"/>
  <c r="AM27"/>
  <c r="AL27"/>
  <c r="AK27"/>
  <c r="AI27"/>
  <c r="AH27"/>
  <c r="AF27"/>
  <c r="Y27"/>
  <c r="T27"/>
  <c r="S27"/>
  <c r="R27"/>
  <c r="Q27"/>
  <c r="O27"/>
  <c r="AS26"/>
  <c r="J26"/>
  <c r="AN26"/>
  <c r="AM26"/>
  <c r="AL26"/>
  <c r="AK26"/>
  <c r="AI26"/>
  <c r="AH26"/>
  <c r="AF26"/>
  <c r="Y26"/>
  <c r="T26"/>
  <c r="S26"/>
  <c r="R26"/>
  <c r="Q26"/>
  <c r="O26"/>
  <c r="AS25"/>
  <c r="J25"/>
  <c r="AN25"/>
  <c r="AM25"/>
  <c r="AL25"/>
  <c r="AK25"/>
  <c r="AI25"/>
  <c r="AH25"/>
  <c r="AF25"/>
  <c r="Y25"/>
  <c r="T25"/>
  <c r="S25"/>
  <c r="R25"/>
  <c r="Q25"/>
  <c r="O25"/>
  <c r="AS24"/>
  <c r="AN24"/>
  <c r="AM24"/>
  <c r="AL24"/>
  <c r="AK24"/>
  <c r="AI24"/>
  <c r="AF24"/>
  <c r="AD24"/>
  <c r="AC24"/>
  <c r="AB24"/>
  <c r="AA24"/>
  <c r="Y24"/>
  <c r="T24"/>
  <c r="S24"/>
  <c r="R24"/>
  <c r="Q24"/>
  <c r="O24"/>
  <c r="AS22"/>
  <c r="AQ22"/>
  <c r="AN22"/>
  <c r="AL22"/>
  <c r="Y22"/>
  <c r="T22"/>
  <c r="R22"/>
  <c r="O22"/>
  <c r="AS21"/>
  <c r="AQ21"/>
  <c r="AP21"/>
  <c r="AN21"/>
  <c r="AL21"/>
  <c r="AK21"/>
  <c r="Y21"/>
  <c r="T21"/>
  <c r="R21"/>
  <c r="Q21"/>
  <c r="O21"/>
  <c r="AS20"/>
  <c r="J20"/>
  <c r="AN20"/>
  <c r="AM20"/>
  <c r="AL20"/>
  <c r="AK20"/>
  <c r="AI20"/>
  <c r="Y20"/>
  <c r="T20"/>
  <c r="S20"/>
  <c r="R20"/>
  <c r="Q20"/>
  <c r="O20"/>
  <c r="AS19"/>
  <c r="J19"/>
  <c r="AN19"/>
  <c r="AM19"/>
  <c r="AL19"/>
  <c r="AK19"/>
  <c r="AI19"/>
  <c r="Y19"/>
  <c r="T19"/>
  <c r="S19"/>
  <c r="R19"/>
  <c r="Q19"/>
  <c r="O19"/>
  <c r="AS18"/>
  <c r="J18"/>
  <c r="AN18"/>
  <c r="AM18"/>
  <c r="AL18"/>
  <c r="AK18"/>
  <c r="AI18"/>
  <c r="Y18"/>
  <c r="T18"/>
  <c r="S18"/>
  <c r="R18"/>
  <c r="Q18"/>
  <c r="O18"/>
  <c r="AS17"/>
  <c r="J17"/>
  <c r="AN17"/>
  <c r="AM17"/>
  <c r="AL17"/>
  <c r="AK17"/>
  <c r="AI17"/>
  <c r="Y17"/>
  <c r="T17"/>
  <c r="S17"/>
  <c r="R17"/>
  <c r="Q17"/>
  <c r="O17"/>
  <c r="AS16"/>
  <c r="J16"/>
  <c r="AN16"/>
  <c r="AM16"/>
  <c r="AL16"/>
  <c r="AK16"/>
  <c r="Y16"/>
  <c r="T16"/>
  <c r="S16"/>
  <c r="R16"/>
  <c r="Q16"/>
  <c r="O16"/>
  <c r="AS15"/>
  <c r="J15"/>
  <c r="AN15"/>
  <c r="AM15"/>
  <c r="AL15"/>
  <c r="AK15"/>
  <c r="AI15"/>
  <c r="Y15"/>
  <c r="T15"/>
  <c r="S15"/>
  <c r="R15"/>
  <c r="Q15"/>
  <c r="O15"/>
  <c r="AS14"/>
  <c r="J14"/>
  <c r="AN14"/>
  <c r="AM14"/>
  <c r="AL14"/>
  <c r="AK14"/>
  <c r="AI14"/>
  <c r="Y14"/>
  <c r="T14"/>
  <c r="S14"/>
  <c r="R14"/>
  <c r="Q14"/>
  <c r="O14"/>
  <c r="AS13"/>
  <c r="J13"/>
  <c r="AN13"/>
  <c r="AM13"/>
  <c r="AL13"/>
  <c r="AK13"/>
  <c r="AI13"/>
  <c r="Y13"/>
  <c r="T13"/>
  <c r="S13"/>
  <c r="R13"/>
  <c r="Q13"/>
  <c r="O13"/>
  <c r="AS12"/>
  <c r="J12"/>
  <c r="AN12"/>
  <c r="AM12"/>
  <c r="AL12"/>
  <c r="AK12"/>
  <c r="AI12"/>
  <c r="Y12"/>
  <c r="T12"/>
  <c r="S12"/>
  <c r="R12"/>
  <c r="Q12"/>
  <c r="O12"/>
  <c r="AS11"/>
  <c r="AN11"/>
  <c r="AM11"/>
  <c r="AL11"/>
  <c r="AK11"/>
  <c r="AI11"/>
  <c r="Y11"/>
  <c r="X11"/>
  <c r="W11"/>
  <c r="V11"/>
  <c r="T11"/>
  <c r="S11"/>
  <c r="R11"/>
  <c r="Q11"/>
  <c r="O11"/>
  <c r="N11"/>
  <c r="M11"/>
  <c r="L11"/>
  <c r="J2"/>
  <c r="AD2"/>
  <c r="I2"/>
  <c r="AC2"/>
  <c r="H2"/>
  <c r="AB2"/>
  <c r="G2"/>
  <c r="AA2"/>
  <c r="Y2"/>
  <c r="X2"/>
  <c r="W2"/>
  <c r="V2"/>
  <c r="O2"/>
  <c r="N2"/>
  <c r="M2"/>
  <c r="L2"/>
  <c r="U44" i="17"/>
  <c r="U33"/>
  <c r="S33"/>
  <c r="R33"/>
  <c r="Q33"/>
  <c r="V32"/>
  <c r="S32"/>
  <c r="R32"/>
  <c r="Q32"/>
  <c r="V31"/>
  <c r="U31"/>
  <c r="S31"/>
  <c r="R31"/>
  <c r="Q31"/>
  <c r="S30"/>
  <c r="R30"/>
  <c r="Q30"/>
  <c r="U29"/>
  <c r="S29"/>
  <c r="R29"/>
  <c r="Q29"/>
  <c r="V28"/>
  <c r="S28"/>
  <c r="R28"/>
  <c r="Q28"/>
  <c r="V27"/>
  <c r="U27"/>
  <c r="S27"/>
  <c r="R27"/>
  <c r="Q27"/>
  <c r="U26"/>
  <c r="S26"/>
  <c r="R26"/>
  <c r="Q26"/>
  <c r="V25"/>
  <c r="S25"/>
  <c r="R25"/>
  <c r="Q25"/>
  <c r="V24"/>
  <c r="U24"/>
  <c r="S24"/>
  <c r="R24"/>
  <c r="Q24"/>
  <c r="S23"/>
  <c r="R23"/>
  <c r="Q23"/>
  <c r="S22"/>
  <c r="R22"/>
  <c r="Q22"/>
  <c r="S21"/>
  <c r="R21"/>
  <c r="Q21"/>
  <c r="S20"/>
  <c r="R20"/>
  <c r="Q20"/>
  <c r="S19"/>
  <c r="R19"/>
  <c r="Q19"/>
  <c r="S18"/>
  <c r="R18"/>
  <c r="Q18"/>
  <c r="U17"/>
  <c r="S17"/>
  <c r="R17"/>
  <c r="Q17"/>
  <c r="V16"/>
  <c r="S16"/>
  <c r="R16"/>
  <c r="Q16"/>
  <c r="V15"/>
  <c r="U15"/>
  <c r="S15"/>
  <c r="R15"/>
  <c r="Q15"/>
  <c r="S14"/>
  <c r="R14"/>
  <c r="Q14"/>
  <c r="S13"/>
  <c r="R13"/>
  <c r="Q13"/>
  <c r="S12"/>
  <c r="R12"/>
  <c r="Q12"/>
  <c r="S11"/>
  <c r="R11"/>
  <c r="Q11"/>
  <c r="S10"/>
  <c r="R10"/>
  <c r="Q10"/>
  <c r="I38" i="18"/>
  <c r="H38"/>
  <c r="G38"/>
  <c r="F38"/>
  <c r="U36"/>
  <c r="S36"/>
  <c r="V35"/>
  <c r="S35"/>
  <c r="R35"/>
  <c r="Q35"/>
  <c r="V34"/>
  <c r="U34"/>
  <c r="S34"/>
  <c r="R34"/>
  <c r="Q34"/>
  <c r="S33"/>
  <c r="R33"/>
  <c r="Q33"/>
  <c r="S32"/>
  <c r="R32"/>
  <c r="Q32"/>
  <c r="S31"/>
  <c r="R31"/>
  <c r="Q31"/>
  <c r="S30"/>
  <c r="R30"/>
  <c r="Q30"/>
  <c r="U29"/>
  <c r="S29"/>
  <c r="R29"/>
  <c r="Q29"/>
  <c r="V28"/>
  <c r="S28"/>
  <c r="R28"/>
  <c r="Q28"/>
  <c r="V27"/>
  <c r="U27"/>
  <c r="S27"/>
  <c r="R27"/>
  <c r="Q27"/>
  <c r="S26"/>
  <c r="R26"/>
  <c r="Q26"/>
  <c r="S25"/>
  <c r="R25"/>
  <c r="Q25"/>
  <c r="S24"/>
  <c r="R24"/>
  <c r="Q24"/>
  <c r="S23"/>
  <c r="R23"/>
  <c r="Q23"/>
  <c r="S22"/>
  <c r="R22"/>
  <c r="Q22"/>
  <c r="O22"/>
  <c r="N22"/>
  <c r="H22"/>
  <c r="U21"/>
  <c r="S21"/>
  <c r="R21"/>
  <c r="Q21"/>
  <c r="V20"/>
  <c r="S20"/>
  <c r="R20"/>
  <c r="Q20"/>
  <c r="V19"/>
  <c r="U19"/>
  <c r="S19"/>
  <c r="R19"/>
  <c r="Q19"/>
  <c r="S18"/>
  <c r="R18"/>
  <c r="Q18"/>
  <c r="S17"/>
  <c r="R17"/>
  <c r="Q17"/>
  <c r="S16"/>
  <c r="R16"/>
  <c r="Q16"/>
  <c r="S15"/>
  <c r="R15"/>
  <c r="Q15"/>
  <c r="O15"/>
  <c r="N15"/>
  <c r="H15"/>
  <c r="S14"/>
  <c r="R14"/>
  <c r="Q14"/>
  <c r="S13"/>
  <c r="R13"/>
  <c r="Q13"/>
  <c r="S12"/>
  <c r="R12"/>
  <c r="Q12"/>
  <c r="S11"/>
  <c r="R11"/>
  <c r="Q11"/>
  <c r="S10"/>
  <c r="R10"/>
  <c r="Q10"/>
  <c r="T42" i="16"/>
  <c r="R42"/>
  <c r="O36"/>
  <c r="N36"/>
  <c r="I36"/>
  <c r="H36"/>
  <c r="G36"/>
  <c r="F36"/>
  <c r="Y34"/>
  <c r="U34"/>
  <c r="S34"/>
  <c r="V33"/>
  <c r="S33"/>
  <c r="R33"/>
  <c r="Q33"/>
  <c r="O33"/>
  <c r="V32"/>
  <c r="U32"/>
  <c r="S32"/>
  <c r="R32"/>
  <c r="Q32"/>
  <c r="O32"/>
  <c r="AA31"/>
  <c r="U31"/>
  <c r="S31"/>
  <c r="R31"/>
  <c r="Q31"/>
  <c r="O31"/>
  <c r="AB30"/>
  <c r="V30"/>
  <c r="S30"/>
  <c r="R30"/>
  <c r="Q30"/>
  <c r="O30"/>
  <c r="AB29"/>
  <c r="AA29"/>
  <c r="V29"/>
  <c r="U29"/>
  <c r="S29"/>
  <c r="R29"/>
  <c r="Q29"/>
  <c r="O29"/>
  <c r="S28"/>
  <c r="R28"/>
  <c r="Q28"/>
  <c r="O28"/>
  <c r="U27"/>
  <c r="S27"/>
  <c r="R27"/>
  <c r="Q27"/>
  <c r="O27"/>
  <c r="V26"/>
  <c r="S26"/>
  <c r="R26"/>
  <c r="Q26"/>
  <c r="O26"/>
  <c r="AA25"/>
  <c r="V25"/>
  <c r="U25"/>
  <c r="S25"/>
  <c r="R25"/>
  <c r="Q25"/>
  <c r="O25"/>
  <c r="AB24"/>
  <c r="S24"/>
  <c r="R24"/>
  <c r="Q24"/>
  <c r="O24"/>
  <c r="AB23"/>
  <c r="AA23"/>
  <c r="S23"/>
  <c r="R23"/>
  <c r="Q23"/>
  <c r="O23"/>
  <c r="S22"/>
  <c r="R22"/>
  <c r="Q22"/>
  <c r="O22"/>
  <c r="S21"/>
  <c r="R21"/>
  <c r="Q21"/>
  <c r="O21"/>
  <c r="S20"/>
  <c r="R20"/>
  <c r="Q20"/>
  <c r="O20"/>
  <c r="S19"/>
  <c r="R19"/>
  <c r="Q19"/>
  <c r="O19"/>
  <c r="S18"/>
  <c r="R18"/>
  <c r="Q18"/>
  <c r="O18"/>
  <c r="S17"/>
  <c r="R17"/>
  <c r="Q17"/>
  <c r="O17"/>
  <c r="S16"/>
  <c r="R16"/>
  <c r="Q16"/>
  <c r="O16"/>
  <c r="U15"/>
  <c r="S15"/>
  <c r="R15"/>
  <c r="Q15"/>
  <c r="O15"/>
  <c r="V14"/>
  <c r="S14"/>
  <c r="R14"/>
  <c r="Q14"/>
  <c r="O14"/>
  <c r="V13"/>
  <c r="U13"/>
  <c r="S13"/>
  <c r="R13"/>
  <c r="Q13"/>
  <c r="O13"/>
  <c r="S12"/>
  <c r="R12"/>
  <c r="Q12"/>
  <c r="O12"/>
  <c r="S11"/>
  <c r="R11"/>
  <c r="Q11"/>
  <c r="O11"/>
  <c r="I11"/>
  <c r="S10"/>
  <c r="R10"/>
  <c r="Q10"/>
  <c r="O10"/>
  <c r="AB92" i="19"/>
  <c r="Y92"/>
  <c r="U92"/>
  <c r="R92"/>
  <c r="O87"/>
  <c r="O89"/>
  <c r="L89"/>
  <c r="I87"/>
  <c r="I89"/>
  <c r="F87"/>
  <c r="F89"/>
  <c r="H87"/>
  <c r="O86"/>
  <c r="N86"/>
  <c r="K86"/>
  <c r="I86"/>
  <c r="H86"/>
  <c r="F86"/>
  <c r="O85"/>
  <c r="N85"/>
  <c r="K85"/>
  <c r="H85"/>
  <c r="G85"/>
  <c r="F85"/>
  <c r="Z84"/>
  <c r="S84"/>
  <c r="Z83"/>
  <c r="Y83"/>
  <c r="X83"/>
  <c r="S83"/>
  <c r="R83"/>
  <c r="Q83"/>
  <c r="P83"/>
  <c r="O83"/>
  <c r="I83"/>
  <c r="G83"/>
  <c r="AB82"/>
  <c r="Z82"/>
  <c r="Y82"/>
  <c r="X82"/>
  <c r="U82"/>
  <c r="S82"/>
  <c r="R82"/>
  <c r="Q82"/>
  <c r="P82"/>
  <c r="O82"/>
  <c r="I82"/>
  <c r="G82"/>
  <c r="AC81"/>
  <c r="Z81"/>
  <c r="Y81"/>
  <c r="X81"/>
  <c r="V81"/>
  <c r="S81"/>
  <c r="R81"/>
  <c r="Q81"/>
  <c r="P81"/>
  <c r="O81"/>
  <c r="I81"/>
  <c r="G81"/>
  <c r="AC80"/>
  <c r="AB80"/>
  <c r="Z80"/>
  <c r="Y80"/>
  <c r="X80"/>
  <c r="V80"/>
  <c r="U80"/>
  <c r="S80"/>
  <c r="R80"/>
  <c r="Q80"/>
  <c r="P80"/>
  <c r="O80"/>
  <c r="I80"/>
  <c r="G80"/>
  <c r="Z79"/>
  <c r="Y79"/>
  <c r="X79"/>
  <c r="S79"/>
  <c r="R79"/>
  <c r="Q79"/>
  <c r="P79"/>
  <c r="O79"/>
  <c r="I79"/>
  <c r="G79"/>
  <c r="Z78"/>
  <c r="Y78"/>
  <c r="X78"/>
  <c r="S78"/>
  <c r="R78"/>
  <c r="Q78"/>
  <c r="P78"/>
  <c r="O78"/>
  <c r="I78"/>
  <c r="G78"/>
  <c r="Z77"/>
  <c r="Y77"/>
  <c r="X77"/>
  <c r="S77"/>
  <c r="R77"/>
  <c r="Q77"/>
  <c r="P77"/>
  <c r="O77"/>
  <c r="I77"/>
  <c r="G77"/>
  <c r="Z76"/>
  <c r="Y76"/>
  <c r="X76"/>
  <c r="S76"/>
  <c r="R76"/>
  <c r="Q76"/>
  <c r="P76"/>
  <c r="O76"/>
  <c r="I76"/>
  <c r="G76"/>
  <c r="AB75"/>
  <c r="Z75"/>
  <c r="Y75"/>
  <c r="X75"/>
  <c r="U75"/>
  <c r="S75"/>
  <c r="R75"/>
  <c r="Q75"/>
  <c r="P75"/>
  <c r="O75"/>
  <c r="I75"/>
  <c r="G75"/>
  <c r="AC74"/>
  <c r="Z74"/>
  <c r="Y74"/>
  <c r="X74"/>
  <c r="V74"/>
  <c r="S74"/>
  <c r="R74"/>
  <c r="Q74"/>
  <c r="P74"/>
  <c r="O74"/>
  <c r="I74"/>
  <c r="G74"/>
  <c r="AC73"/>
  <c r="AB73"/>
  <c r="Z73"/>
  <c r="Y73"/>
  <c r="X73"/>
  <c r="V73"/>
  <c r="U73"/>
  <c r="S73"/>
  <c r="R73"/>
  <c r="Q73"/>
  <c r="P73"/>
  <c r="O73"/>
  <c r="I73"/>
  <c r="G73"/>
  <c r="Z72"/>
  <c r="Y72"/>
  <c r="X72"/>
  <c r="S72"/>
  <c r="R72"/>
  <c r="Q72"/>
  <c r="P72"/>
  <c r="O72"/>
  <c r="I72"/>
  <c r="G72"/>
  <c r="Z71"/>
  <c r="Y71"/>
  <c r="X71"/>
  <c r="S71"/>
  <c r="R71"/>
  <c r="Q71"/>
  <c r="P71"/>
  <c r="O71"/>
  <c r="I71"/>
  <c r="G71"/>
  <c r="AB70"/>
  <c r="Z70"/>
  <c r="Y70"/>
  <c r="X70"/>
  <c r="S70"/>
  <c r="R70"/>
  <c r="Q70"/>
  <c r="P70"/>
  <c r="O70"/>
  <c r="I70"/>
  <c r="G70"/>
  <c r="AC69"/>
  <c r="Z69"/>
  <c r="Y69"/>
  <c r="X69"/>
  <c r="S69"/>
  <c r="R69"/>
  <c r="Q69"/>
  <c r="P69"/>
  <c r="O69"/>
  <c r="I69"/>
  <c r="G69"/>
  <c r="AC68"/>
  <c r="AB68"/>
  <c r="Z68"/>
  <c r="Y68"/>
  <c r="X68"/>
  <c r="U68"/>
  <c r="S68"/>
  <c r="R68"/>
  <c r="Q68"/>
  <c r="P68"/>
  <c r="O68"/>
  <c r="I68"/>
  <c r="G68"/>
  <c r="AB67"/>
  <c r="Z67"/>
  <c r="Y67"/>
  <c r="X67"/>
  <c r="V67"/>
  <c r="S67"/>
  <c r="R67"/>
  <c r="Q67"/>
  <c r="P67"/>
  <c r="O67"/>
  <c r="I67"/>
  <c r="G67"/>
  <c r="AC66"/>
  <c r="Z66"/>
  <c r="Y66"/>
  <c r="X66"/>
  <c r="V66"/>
  <c r="U66"/>
  <c r="S66"/>
  <c r="R66"/>
  <c r="Q66"/>
  <c r="P66"/>
  <c r="O66"/>
  <c r="I66"/>
  <c r="G66"/>
  <c r="AC65"/>
  <c r="AB65"/>
  <c r="Z65"/>
  <c r="Y65"/>
  <c r="X65"/>
  <c r="S65"/>
  <c r="R65"/>
  <c r="Q65"/>
  <c r="P65"/>
  <c r="O65"/>
  <c r="I65"/>
  <c r="G65"/>
  <c r="Z64"/>
  <c r="Y64"/>
  <c r="X64"/>
  <c r="S64"/>
  <c r="R64"/>
  <c r="Q64"/>
  <c r="P64"/>
  <c r="O64"/>
  <c r="I64"/>
  <c r="G64"/>
  <c r="Z63"/>
  <c r="Y63"/>
  <c r="X63"/>
  <c r="U63"/>
  <c r="S63"/>
  <c r="R63"/>
  <c r="Q63"/>
  <c r="P63"/>
  <c r="O63"/>
  <c r="I63"/>
  <c r="G63"/>
  <c r="Z62"/>
  <c r="Y62"/>
  <c r="X62"/>
  <c r="V62"/>
  <c r="S62"/>
  <c r="R62"/>
  <c r="Q62"/>
  <c r="P62"/>
  <c r="O62"/>
  <c r="I62"/>
  <c r="G62"/>
  <c r="Z61"/>
  <c r="Y61"/>
  <c r="X61"/>
  <c r="V61"/>
  <c r="U61"/>
  <c r="S61"/>
  <c r="R61"/>
  <c r="Q61"/>
  <c r="P61"/>
  <c r="O61"/>
  <c r="I61"/>
  <c r="G61"/>
  <c r="Z60"/>
  <c r="Y60"/>
  <c r="X60"/>
  <c r="S60"/>
  <c r="R60"/>
  <c r="Q60"/>
  <c r="P60"/>
  <c r="O60"/>
  <c r="I60"/>
  <c r="G60"/>
  <c r="Z59"/>
  <c r="Y59"/>
  <c r="X59"/>
  <c r="S59"/>
  <c r="R59"/>
  <c r="Q59"/>
  <c r="P59"/>
  <c r="O59"/>
  <c r="I59"/>
  <c r="G59"/>
  <c r="Z58"/>
  <c r="Y58"/>
  <c r="X58"/>
  <c r="S58"/>
  <c r="R58"/>
  <c r="Q58"/>
  <c r="P58"/>
  <c r="O58"/>
  <c r="I58"/>
  <c r="G58"/>
  <c r="Z57"/>
  <c r="Y57"/>
  <c r="X57"/>
  <c r="S57"/>
  <c r="R57"/>
  <c r="Q57"/>
  <c r="P57"/>
  <c r="O57"/>
  <c r="I57"/>
  <c r="G57"/>
  <c r="Z56"/>
  <c r="Y56"/>
  <c r="X56"/>
  <c r="S56"/>
  <c r="R56"/>
  <c r="Q56"/>
  <c r="P56"/>
  <c r="O56"/>
  <c r="I56"/>
  <c r="G56"/>
  <c r="Z55"/>
  <c r="Y55"/>
  <c r="X55"/>
  <c r="S55"/>
  <c r="R55"/>
  <c r="Q55"/>
  <c r="P55"/>
  <c r="O55"/>
  <c r="I55"/>
  <c r="G55"/>
  <c r="Z54"/>
  <c r="Y54"/>
  <c r="X54"/>
  <c r="S54"/>
  <c r="R54"/>
  <c r="Q54"/>
  <c r="P54"/>
  <c r="O54"/>
  <c r="I54"/>
  <c r="G54"/>
  <c r="Z53"/>
  <c r="Y53"/>
  <c r="X53"/>
  <c r="S53"/>
  <c r="R53"/>
  <c r="Q53"/>
  <c r="P53"/>
  <c r="O53"/>
  <c r="I53"/>
  <c r="G53"/>
  <c r="Z52"/>
  <c r="Y52"/>
  <c r="X52"/>
  <c r="S52"/>
  <c r="R52"/>
  <c r="Q52"/>
  <c r="P52"/>
  <c r="O52"/>
  <c r="I52"/>
  <c r="G52"/>
  <c r="Z51"/>
  <c r="Y51"/>
  <c r="X51"/>
  <c r="S51"/>
  <c r="R51"/>
  <c r="Q51"/>
  <c r="P51"/>
  <c r="O51"/>
  <c r="I51"/>
  <c r="G51"/>
  <c r="Z50"/>
  <c r="Y50"/>
  <c r="X50"/>
  <c r="S50"/>
  <c r="R50"/>
  <c r="Q50"/>
  <c r="P50"/>
  <c r="O50"/>
  <c r="I50"/>
  <c r="G50"/>
  <c r="Z49"/>
  <c r="Y49"/>
  <c r="X49"/>
  <c r="S49"/>
  <c r="R49"/>
  <c r="Q49"/>
  <c r="P49"/>
  <c r="O49"/>
  <c r="I49"/>
  <c r="G49"/>
  <c r="Z48"/>
  <c r="Y48"/>
  <c r="X48"/>
  <c r="S48"/>
  <c r="R48"/>
  <c r="Q48"/>
  <c r="P48"/>
  <c r="O48"/>
  <c r="I48"/>
  <c r="G48"/>
  <c r="Z47"/>
  <c r="Y47"/>
  <c r="X47"/>
  <c r="S47"/>
  <c r="R47"/>
  <c r="Q47"/>
  <c r="P47"/>
  <c r="O47"/>
  <c r="I47"/>
  <c r="G47"/>
  <c r="Z46"/>
  <c r="Y46"/>
  <c r="X46"/>
  <c r="S46"/>
  <c r="R46"/>
  <c r="Q46"/>
  <c r="P46"/>
  <c r="O46"/>
  <c r="I46"/>
  <c r="G46"/>
  <c r="AB45"/>
  <c r="Z45"/>
  <c r="Y45"/>
  <c r="X45"/>
  <c r="S45"/>
  <c r="R45"/>
  <c r="Q45"/>
  <c r="P45"/>
  <c r="O45"/>
  <c r="I45"/>
  <c r="G45"/>
  <c r="AC44"/>
  <c r="Z44"/>
  <c r="Y44"/>
  <c r="X44"/>
  <c r="S44"/>
  <c r="R44"/>
  <c r="Q44"/>
  <c r="P44"/>
  <c r="O44"/>
  <c r="I44"/>
  <c r="G44"/>
  <c r="AC43"/>
  <c r="AB43"/>
  <c r="Z43"/>
  <c r="Y43"/>
  <c r="X43"/>
  <c r="S43"/>
  <c r="R43"/>
  <c r="Q43"/>
  <c r="P43"/>
  <c r="O43"/>
  <c r="I43"/>
  <c r="G43"/>
  <c r="Z42"/>
  <c r="Y42"/>
  <c r="X42"/>
  <c r="S42"/>
  <c r="R42"/>
  <c r="Q42"/>
  <c r="P42"/>
  <c r="O42"/>
  <c r="I42"/>
  <c r="G42"/>
  <c r="Z41"/>
  <c r="Y41"/>
  <c r="X41"/>
  <c r="S41"/>
  <c r="R41"/>
  <c r="Q41"/>
  <c r="P41"/>
  <c r="O41"/>
  <c r="I41"/>
  <c r="G41"/>
  <c r="Z40"/>
  <c r="Y40"/>
  <c r="X40"/>
  <c r="S40"/>
  <c r="R40"/>
  <c r="Q40"/>
  <c r="P40"/>
  <c r="O40"/>
  <c r="I40"/>
  <c r="G40"/>
  <c r="Z39"/>
  <c r="Y39"/>
  <c r="X39"/>
  <c r="S39"/>
  <c r="R39"/>
  <c r="Q39"/>
  <c r="P39"/>
  <c r="O39"/>
  <c r="I39"/>
  <c r="G39"/>
  <c r="Z38"/>
  <c r="Y38"/>
  <c r="X38"/>
  <c r="S38"/>
  <c r="R38"/>
  <c r="Q38"/>
  <c r="P38"/>
  <c r="O38"/>
  <c r="I38"/>
  <c r="G38"/>
  <c r="Z37"/>
  <c r="Y37"/>
  <c r="X37"/>
  <c r="S37"/>
  <c r="R37"/>
  <c r="Q37"/>
  <c r="P37"/>
  <c r="O37"/>
  <c r="I37"/>
  <c r="G37"/>
  <c r="Z36"/>
  <c r="Y36"/>
  <c r="X36"/>
  <c r="S36"/>
  <c r="R36"/>
  <c r="Q36"/>
  <c r="P36"/>
  <c r="O36"/>
  <c r="I36"/>
  <c r="G36"/>
  <c r="Z35"/>
  <c r="Y35"/>
  <c r="X35"/>
  <c r="S35"/>
  <c r="R35"/>
  <c r="Q35"/>
  <c r="P35"/>
  <c r="O35"/>
  <c r="I35"/>
  <c r="G35"/>
  <c r="Z34"/>
  <c r="Y34"/>
  <c r="X34"/>
  <c r="S34"/>
  <c r="R34"/>
  <c r="Q34"/>
  <c r="P34"/>
  <c r="O34"/>
  <c r="I34"/>
  <c r="G34"/>
  <c r="Z33"/>
  <c r="Y33"/>
  <c r="X33"/>
  <c r="S33"/>
  <c r="R33"/>
  <c r="Q33"/>
  <c r="P33"/>
  <c r="O33"/>
  <c r="I33"/>
  <c r="G33"/>
  <c r="Z32"/>
  <c r="Y32"/>
  <c r="X32"/>
  <c r="S32"/>
  <c r="R32"/>
  <c r="Q32"/>
  <c r="P32"/>
  <c r="O32"/>
  <c r="I32"/>
  <c r="G32"/>
  <c r="Z31"/>
  <c r="Y31"/>
  <c r="X31"/>
  <c r="S31"/>
  <c r="R31"/>
  <c r="Q31"/>
  <c r="P31"/>
  <c r="O31"/>
  <c r="I31"/>
  <c r="G31"/>
  <c r="Z30"/>
  <c r="Y30"/>
  <c r="X30"/>
  <c r="U30"/>
  <c r="S30"/>
  <c r="R30"/>
  <c r="Q30"/>
  <c r="P30"/>
  <c r="O30"/>
  <c r="I30"/>
  <c r="G30"/>
  <c r="Z29"/>
  <c r="Y29"/>
  <c r="X29"/>
  <c r="V29"/>
  <c r="S29"/>
  <c r="R29"/>
  <c r="Q29"/>
  <c r="P29"/>
  <c r="O29"/>
  <c r="I29"/>
  <c r="G29"/>
  <c r="Z28"/>
  <c r="Y28"/>
  <c r="X28"/>
  <c r="V28"/>
  <c r="U28"/>
  <c r="S28"/>
  <c r="R28"/>
  <c r="Q28"/>
  <c r="P28"/>
  <c r="O28"/>
  <c r="I28"/>
  <c r="G28"/>
  <c r="Z27"/>
  <c r="Y27"/>
  <c r="X27"/>
  <c r="S27"/>
  <c r="R27"/>
  <c r="Q27"/>
  <c r="P27"/>
  <c r="O27"/>
  <c r="I27"/>
  <c r="G27"/>
  <c r="Z26"/>
  <c r="Y26"/>
  <c r="X26"/>
  <c r="S26"/>
  <c r="R26"/>
  <c r="Q26"/>
  <c r="P26"/>
  <c r="O26"/>
  <c r="I26"/>
  <c r="G26"/>
  <c r="Z25"/>
  <c r="Y25"/>
  <c r="X25"/>
  <c r="S25"/>
  <c r="R25"/>
  <c r="Q25"/>
  <c r="P25"/>
  <c r="O25"/>
  <c r="I25"/>
  <c r="G25"/>
  <c r="Z24"/>
  <c r="Y24"/>
  <c r="X24"/>
  <c r="S24"/>
  <c r="R24"/>
  <c r="Q24"/>
  <c r="P24"/>
  <c r="O24"/>
  <c r="I24"/>
  <c r="G24"/>
  <c r="Z23"/>
  <c r="Y23"/>
  <c r="X23"/>
  <c r="S23"/>
  <c r="R23"/>
  <c r="Q23"/>
  <c r="P23"/>
  <c r="O23"/>
  <c r="N23"/>
  <c r="I23"/>
  <c r="G23"/>
  <c r="Z22"/>
  <c r="Y22"/>
  <c r="X22"/>
  <c r="S22"/>
  <c r="R22"/>
  <c r="Q22"/>
  <c r="P22"/>
  <c r="O22"/>
  <c r="I22"/>
  <c r="G22"/>
  <c r="Z21"/>
  <c r="Y21"/>
  <c r="X21"/>
  <c r="S21"/>
  <c r="R21"/>
  <c r="Q21"/>
  <c r="P21"/>
  <c r="O21"/>
  <c r="I21"/>
  <c r="G21"/>
  <c r="Z20"/>
  <c r="Y20"/>
  <c r="X20"/>
  <c r="S20"/>
  <c r="R20"/>
  <c r="Q20"/>
  <c r="P20"/>
  <c r="O20"/>
  <c r="N20"/>
  <c r="I20"/>
  <c r="G20"/>
  <c r="Z19"/>
  <c r="Y19"/>
  <c r="X19"/>
  <c r="S19"/>
  <c r="R19"/>
  <c r="Q19"/>
  <c r="P19"/>
  <c r="O19"/>
  <c r="I19"/>
  <c r="G19"/>
  <c r="Z18"/>
  <c r="Y18"/>
  <c r="X18"/>
  <c r="S18"/>
  <c r="R18"/>
  <c r="Q18"/>
  <c r="P18"/>
  <c r="O18"/>
  <c r="I18"/>
  <c r="G18"/>
  <c r="Z17"/>
  <c r="Y17"/>
  <c r="X17"/>
  <c r="S17"/>
  <c r="R17"/>
  <c r="Q17"/>
  <c r="P17"/>
  <c r="O17"/>
  <c r="I17"/>
  <c r="G17"/>
  <c r="Z16"/>
  <c r="Y16"/>
  <c r="X16"/>
  <c r="S16"/>
  <c r="R16"/>
  <c r="Q16"/>
  <c r="P16"/>
  <c r="O16"/>
  <c r="I16"/>
  <c r="G16"/>
  <c r="Z15"/>
  <c r="Y15"/>
  <c r="X15"/>
  <c r="S15"/>
  <c r="R15"/>
  <c r="Q15"/>
  <c r="P15"/>
  <c r="O15"/>
  <c r="I15"/>
  <c r="G15"/>
  <c r="Z14"/>
  <c r="Y14"/>
  <c r="X14"/>
  <c r="S14"/>
  <c r="R14"/>
  <c r="Q14"/>
  <c r="P14"/>
  <c r="O14"/>
  <c r="I14"/>
  <c r="G14"/>
  <c r="Z13"/>
  <c r="Y13"/>
  <c r="X13"/>
  <c r="S13"/>
  <c r="R13"/>
  <c r="Q13"/>
  <c r="P13"/>
  <c r="O13"/>
  <c r="I13"/>
  <c r="G13"/>
  <c r="Z12"/>
  <c r="Y12"/>
  <c r="X12"/>
  <c r="S12"/>
  <c r="R12"/>
  <c r="Q12"/>
  <c r="P12"/>
  <c r="O12"/>
  <c r="I12"/>
  <c r="G12"/>
  <c r="Z11"/>
  <c r="Y11"/>
  <c r="X11"/>
  <c r="S11"/>
  <c r="R11"/>
  <c r="Q11"/>
  <c r="P11"/>
  <c r="O11"/>
  <c r="I11"/>
  <c r="G11"/>
  <c r="Z10"/>
  <c r="Y10"/>
  <c r="X10"/>
  <c r="S10"/>
  <c r="R10"/>
  <c r="Q10"/>
  <c r="P10"/>
  <c r="O10"/>
  <c r="I10"/>
  <c r="G10"/>
  <c r="G54" i="22"/>
</calcChain>
</file>

<file path=xl/sharedStrings.xml><?xml version="1.0" encoding="utf-8"?>
<sst xmlns="http://schemas.openxmlformats.org/spreadsheetml/2006/main" count="1587" uniqueCount="644">
  <si>
    <r>
      <t>Slave headship rate</t>
    </r>
    <r>
      <rPr>
        <sz val="12"/>
        <rFont val="Arial"/>
      </rPr>
      <t>: We assume that of the slave population over age 10, which is also used as the slave labor force, 35 percent were household heads.</t>
    </r>
    <phoneticPr fontId="20" type="noConversion"/>
  </si>
  <si>
    <r>
      <t>MD servant headship rate</t>
    </r>
    <r>
      <rPr>
        <sz val="12"/>
        <rFont val="Arial"/>
      </rPr>
      <t xml:space="preserve"> = 1.00.  That is, they are treated as single-person households.</t>
    </r>
    <phoneticPr fontId="20" type="noConversion"/>
  </si>
  <si>
    <t>slightly revised April-July 2011,</t>
    <phoneticPr fontId="20" type="noConversion"/>
  </si>
  <si>
    <t>with property, and cross-checking</t>
    <phoneticPr fontId="20" type="noConversion"/>
  </si>
  <si>
    <r>
      <t>farm sector calc's.</t>
    </r>
    <r>
      <rPr>
        <sz val="10"/>
        <color indexed="10"/>
        <rFont val="Arial"/>
      </rPr>
      <t xml:space="preserve"> Slave LF, HH revised.</t>
    </r>
    <phoneticPr fontId="20" type="noConversion"/>
  </si>
  <si>
    <t>[2 work columns.]</t>
    <phoneticPr fontId="20" type="noConversion"/>
  </si>
  <si>
    <t>Rev April-July '11</t>
    <phoneticPr fontId="20" type="noConversion"/>
  </si>
  <si>
    <t>a free-white group, note that the</t>
    <phoneticPr fontId="20" type="noConversion"/>
  </si>
  <si>
    <t>discrepancy</t>
    <phoneticPr fontId="20" type="noConversion"/>
  </si>
  <si>
    <t>[rounding?]</t>
    <phoneticPr fontId="20" type="noConversion"/>
  </si>
  <si>
    <t>Farm operators - 40th-79th%</t>
    <phoneticPr fontId="20" type="noConversion"/>
  </si>
  <si>
    <t xml:space="preserve">labor force per household than for male.  </t>
    <phoneticPr fontId="20" type="noConversion"/>
  </si>
  <si>
    <t xml:space="preserve">The reason is that tor the Middle Colonies, farm operators could be divided into property-income ranks only for 3 colonies </t>
    <phoneticPr fontId="20" type="noConversion"/>
  </si>
  <si>
    <t>Farm operators or farm LF</t>
    <phoneticPr fontId="20" type="noConversion"/>
  </si>
  <si>
    <t>No. of LABOR PARTICIPANTS, reconstituted</t>
    <phoneticPr fontId="20" type="noConversion"/>
  </si>
  <si>
    <t>per free household, versus 2.86 per slave household.</t>
    <phoneticPr fontId="20" type="noConversion"/>
  </si>
  <si>
    <t>Ave income</t>
    <phoneticPr fontId="20" type="noConversion"/>
  </si>
  <si>
    <t>In other words, earners do not engage in long-distance commuting, between regions or between countryside and city.</t>
    <phoneticPr fontId="20" type="noConversion"/>
  </si>
  <si>
    <t>Using the "Variant B" occupational distributions from the Excel file "1774 occ's by region", re-constituted into households in worksheet (2) of this file.</t>
    <phoneticPr fontId="20" type="noConversion"/>
  </si>
  <si>
    <t>This worksheet therefore only notes the fragmentary estimates of LF/HH.</t>
    <phoneticPr fontId="20" type="noConversion"/>
  </si>
  <si>
    <t>% share</t>
    <phoneticPr fontId="20" type="noConversion"/>
  </si>
  <si>
    <t>Mid Cols</t>
    <phoneticPr fontId="20" type="noConversion"/>
  </si>
  <si>
    <t>Middle Colonies' slaves ranked much closer to the bottom</t>
    <phoneticPr fontId="20" type="noConversion"/>
  </si>
  <si>
    <t>than the ranks above might suggest.</t>
    <phoneticPr fontId="20" type="noConversion"/>
  </si>
  <si>
    <t xml:space="preserve">Furthermore, the bottom 9 free groups are </t>
    <phoneticPr fontId="20" type="noConversion"/>
  </si>
  <si>
    <t>participants</t>
    <phoneticPr fontId="20" type="noConversion"/>
  </si>
  <si>
    <t>New Eng</t>
    <phoneticPr fontId="20" type="noConversion"/>
  </si>
  <si>
    <t>Lindert-Williamson Feb 2011,</t>
    <phoneticPr fontId="20" type="noConversion"/>
  </si>
  <si>
    <t>Farm operators - 40th-79th%**</t>
    <phoneticPr fontId="20" type="noConversion"/>
  </si>
  <si>
    <t>Farm operators - 0-39th%**</t>
    <phoneticPr fontId="20" type="noConversion"/>
  </si>
  <si>
    <t>households</t>
    <phoneticPr fontId="20" type="noConversion"/>
  </si>
  <si>
    <t>(NY, NJ, PA, DE)</t>
    <phoneticPr fontId="20" type="noConversion"/>
  </si>
  <si>
    <t>Total</t>
    <phoneticPr fontId="20" type="noConversion"/>
  </si>
  <si>
    <t>% error</t>
    <phoneticPr fontId="20" type="noConversion"/>
  </si>
  <si>
    <t>Lindert-Williamson</t>
    <phoneticPr fontId="20" type="noConversion"/>
  </si>
  <si>
    <t>(I.) Their total $ earnings</t>
    <phoneticPr fontId="20" type="noConversion"/>
  </si>
  <si>
    <t>(J.) Number of labor force participants</t>
    <phoneticPr fontId="20" type="noConversion"/>
  </si>
  <si>
    <t>Farm operators - all, New York</t>
    <phoneticPr fontId="20" type="noConversion"/>
  </si>
  <si>
    <t>eight free-white groups, note the the</t>
    <phoneticPr fontId="20" type="noConversion"/>
  </si>
  <si>
    <t>*Slaves ages 10 up, retained earnings</t>
    <phoneticPr fontId="20" type="noConversion"/>
  </si>
  <si>
    <t>Group 9</t>
  </si>
  <si>
    <t>Zero-wealth free HHs</t>
  </si>
  <si>
    <t>Group 19</t>
  </si>
  <si>
    <t>Group 5A</t>
  </si>
  <si>
    <t>Group 5B</t>
  </si>
  <si>
    <t>[All farm ops]</t>
    <phoneticPr fontId="20" type="noConversion"/>
  </si>
  <si>
    <t>$/HH-year</t>
    <phoneticPr fontId="20" type="noConversion"/>
  </si>
  <si>
    <t>Farm operators - 40th-79th%</t>
    <phoneticPr fontId="20" type="noConversion"/>
  </si>
  <si>
    <t>Gini =</t>
  </si>
  <si>
    <t>$</t>
  </si>
  <si>
    <t>% share</t>
  </si>
  <si>
    <t>Ave income</t>
  </si>
  <si>
    <t>Farm operators - top 2% in property</t>
    <phoneticPr fontId="20" type="noConversion"/>
  </si>
  <si>
    <t>absolute error</t>
    <phoneticPr fontId="20" type="noConversion"/>
  </si>
  <si>
    <t>Farm operators - top 2% in property</t>
    <phoneticPr fontId="20" type="noConversion"/>
  </si>
  <si>
    <t>Lindert-Williamson</t>
    <phoneticPr fontId="20" type="noConversion"/>
  </si>
  <si>
    <t>rural, towns</t>
    <phoneticPr fontId="20" type="noConversion"/>
  </si>
  <si>
    <t>Farm operators - next 18%</t>
    <phoneticPr fontId="20" type="noConversion"/>
  </si>
  <si>
    <t>(3) Summary of incomes of free and slave households, by occupation of HH for 1774</t>
    <phoneticPr fontId="20" type="noConversion"/>
  </si>
  <si>
    <t>Group 9, household heads with zero assessed wealth: These, whatever their (unknown) gender, are assumed to have the same own-labor incomes as unskilled male laborers (Group 6A) in the same places.</t>
    <phoneticPr fontId="20" type="noConversion"/>
  </si>
  <si>
    <t>AVERAGE TOTAL INCOME PER HOUSEHOLD</t>
    <phoneticPr fontId="20" type="noConversion"/>
  </si>
  <si>
    <t>TOTAL INCOME ($)</t>
    <phoneticPr fontId="20" type="noConversion"/>
  </si>
  <si>
    <t>adding a row totaling free HHs</t>
    <phoneticPr fontId="20" type="noConversion"/>
  </si>
  <si>
    <t>Implied own-labor incomes of farm operator HHs =</t>
    <phoneticPr fontId="20" type="noConversion"/>
  </si>
  <si>
    <t>Implied average property income per farm operator HH =</t>
    <phoneticPr fontId="20" type="noConversion"/>
  </si>
  <si>
    <t>Implied value of property incomes of farm operator HHs =</t>
    <phoneticPr fontId="20" type="noConversion"/>
  </si>
  <si>
    <t>TOTAL OWN-LABOR EARNINGS, in $* from wksht (2), (M.)</t>
    <phoneticPr fontId="20" type="noConversion"/>
  </si>
  <si>
    <t>Slaves ages 10 up, retained earnings*</t>
    <phoneticPr fontId="20" type="noConversion"/>
  </si>
  <si>
    <r>
      <t>(b.) Alternative household LF/HH average ratios for Group 5</t>
    </r>
    <r>
      <rPr>
        <b/>
        <sz val="12"/>
        <rFont val="Arial"/>
      </rPr>
      <t>, from rural Chester County PA 1774</t>
    </r>
    <phoneticPr fontId="20" type="noConversion"/>
  </si>
  <si>
    <t>free rural and town</t>
    <phoneticPr fontId="20" type="noConversion"/>
  </si>
  <si>
    <t>Farm operators - 0-39th%</t>
    <phoneticPr fontId="20" type="noConversion"/>
  </si>
  <si>
    <t>Farm operators - 40th-79th%</t>
    <phoneticPr fontId="20" type="noConversion"/>
  </si>
  <si>
    <t>Unskilled male workers</t>
  </si>
  <si>
    <t>Group 6B</t>
  </si>
  <si>
    <t>Unskilled female workers</t>
  </si>
  <si>
    <t>(1) Fragmentary literature on household labor force sizes, by occupation of the head</t>
    <phoneticPr fontId="20" type="noConversion"/>
  </si>
  <si>
    <t>All 13 colonies' classes, stacked together into a grand size distribution of nominal income 1774</t>
    <phoneticPr fontId="20" type="noConversion"/>
  </si>
  <si>
    <t>* If it seems anomalous that slave households</t>
    <phoneticPr fontId="20" type="noConversion"/>
  </si>
  <si>
    <t>Mean $:</t>
  </si>
  <si>
    <t>Median $:</t>
  </si>
  <si>
    <t>measures of average household income are</t>
    <phoneticPr fontId="20" type="noConversion"/>
  </si>
  <si>
    <t>rather than 9th, as the ranks above might suggest.</t>
    <phoneticPr fontId="20" type="noConversion"/>
  </si>
  <si>
    <t>All occupational groups, town-rural</t>
    <phoneticPr fontId="20" type="noConversion"/>
  </si>
  <si>
    <t>All occupational groups, urban</t>
    <phoneticPr fontId="20" type="noConversion"/>
  </si>
  <si>
    <t>Farm operators - next 18%</t>
    <phoneticPr fontId="20" type="noConversion"/>
  </si>
  <si>
    <t>Total $</t>
    <phoneticPr fontId="20" type="noConversion"/>
  </si>
  <si>
    <t>per year</t>
    <phoneticPr fontId="20" type="noConversion"/>
  </si>
  <si>
    <t>Farm operators - next 18%**</t>
    <phoneticPr fontId="20" type="noConversion"/>
  </si>
  <si>
    <t>Alice Hanson Jones's $4.15 could be reconciled with the others if a weighted average of all colonial currencies were worth 4.125/4.444 (or 0.93468) of Pennsylvania currency.</t>
  </si>
  <si>
    <t>NIPA-TYPE GROSS</t>
    <phoneticPr fontId="20" type="noConversion"/>
  </si>
  <si>
    <t>divide $ by 4.44.]</t>
    <phoneticPr fontId="20" type="noConversion"/>
  </si>
  <si>
    <t>Group 4B</t>
  </si>
  <si>
    <t>Group 5</t>
  </si>
  <si>
    <t xml:space="preserve">Instead, our own estimates, starting in Worksheet (2) here, will use the export-import constraints described in the "sources and notes" worksheet.  </t>
    <phoneticPr fontId="20" type="noConversion"/>
  </si>
  <si>
    <t>This has no effect on total earnings or income, but affects the inequality of incomes among households.</t>
    <phoneticPr fontId="20" type="noConversion"/>
  </si>
  <si>
    <t>Group 5B</t>
    <phoneticPr fontId="20" type="noConversion"/>
  </si>
  <si>
    <t>Group 5C</t>
    <phoneticPr fontId="20" type="noConversion"/>
  </si>
  <si>
    <t>Charleston)</t>
    <phoneticPr fontId="20" type="noConversion"/>
  </si>
  <si>
    <t>Group 6A</t>
    <phoneticPr fontId="20" type="noConversion"/>
  </si>
  <si>
    <t>(H.) Their average earnings (derived at bottom of Panel E)</t>
    <phoneticPr fontId="20" type="noConversion"/>
  </si>
  <si>
    <t>(3) Summary of incomes of free and slave households, by occupation of HH for 1774</t>
    <phoneticPr fontId="20" type="noConversion"/>
  </si>
  <si>
    <r>
      <t>(a.) Household LF/HH average ratios for Groups 1-6</t>
    </r>
    <r>
      <rPr>
        <b/>
        <sz val="12"/>
        <rFont val="Arial"/>
      </rPr>
      <t>, From B.G. Smith's fuller-information sub-sample of Philadelphia in 1772</t>
    </r>
    <phoneticPr fontId="20" type="noConversion"/>
  </si>
  <si>
    <t>RANKED BY</t>
    <phoneticPr fontId="20" type="noConversion"/>
  </si>
  <si>
    <t>(NJ, PA, DE), due to limitations on Jones's New York sample.</t>
    <phoneticPr fontId="20" type="noConversion"/>
  </si>
  <si>
    <t>Male HHs, no occ given</t>
    <phoneticPr fontId="20" type="noConversion"/>
  </si>
  <si>
    <t xml:space="preserve">In this table all slave numbers appear as rural.  </t>
    <phoneticPr fontId="20" type="noConversion"/>
  </si>
  <si>
    <t>as %'s of the</t>
  </si>
  <si>
    <t>in Spanish</t>
  </si>
  <si>
    <t>in ounces</t>
  </si>
  <si>
    <t>New Jersey</t>
  </si>
  <si>
    <t>New York</t>
  </si>
  <si>
    <t>$/HH-year</t>
    <phoneticPr fontId="20" type="noConversion"/>
  </si>
  <si>
    <t>Rural</t>
    <phoneticPr fontId="20" type="noConversion"/>
  </si>
  <si>
    <t>household than for male, except in Charleston, where Variant B implies greater</t>
    <phoneticPr fontId="20" type="noConversion"/>
  </si>
  <si>
    <r>
      <t xml:space="preserve">and on the series he displayed in </t>
    </r>
    <r>
      <rPr>
        <i/>
        <sz val="12"/>
        <rFont val="Arial"/>
      </rPr>
      <t>HSUS Millennial</t>
    </r>
    <r>
      <rPr>
        <sz val="12"/>
        <rFont val="Arial"/>
      </rPr>
      <t xml:space="preserve"> (2006):</t>
    </r>
    <phoneticPr fontId="20" type="noConversion"/>
  </si>
  <si>
    <t>Urban or</t>
    <phoneticPr fontId="20" type="noConversion"/>
  </si>
  <si>
    <t>Group 5C</t>
  </si>
  <si>
    <t>Group 5D</t>
  </si>
  <si>
    <t>Group 18A</t>
  </si>
  <si>
    <t>MD white male servants</t>
  </si>
  <si>
    <t>Group 18B</t>
  </si>
  <si>
    <t>(7) Size distribution of income among households, All 13 Colonies</t>
    <phoneticPr fontId="20" type="noConversion"/>
  </si>
  <si>
    <t xml:space="preserve">This literature is too thin to be used in developing the present estimates.  </t>
    <phoneticPr fontId="20" type="noConversion"/>
  </si>
  <si>
    <t>* See "Sources &amp; notes" worksheet for the colony-specific exchange rates.</t>
    <phoneticPr fontId="20" type="noConversion"/>
  </si>
  <si>
    <t xml:space="preserve">Furthermore, the bottom four free groups are </t>
    <phoneticPr fontId="20" type="noConversion"/>
  </si>
  <si>
    <t xml:space="preserve">assumed to have only 1.00 LF members per household.  </t>
    <phoneticPr fontId="20" type="noConversion"/>
  </si>
  <si>
    <t>Reminder: For 1774, the South excludes DE, FL, KY, and TN.</t>
    <phoneticPr fontId="20" type="noConversion"/>
  </si>
  <si>
    <t>(4) Size distribution of income among Middle Colonies' households 1774</t>
    <phoneticPr fontId="20" type="noConversion"/>
  </si>
  <si>
    <t>(4) Size distribution of income among New England households 1774</t>
    <phoneticPr fontId="20" type="noConversion"/>
  </si>
  <si>
    <t>(1) Slave non-heads are taken into slave households only, leaving household income the same as the retained earnings of all slaves.</t>
    <phoneticPr fontId="20" type="noConversion"/>
  </si>
  <si>
    <t>NIPA-TYPE GROSS</t>
    <phoneticPr fontId="20" type="noConversion"/>
  </si>
  <si>
    <t>to gini</t>
    <phoneticPr fontId="20" type="noConversion"/>
  </si>
  <si>
    <t>Cumulative</t>
    <phoneticPr fontId="20" type="noConversion"/>
  </si>
  <si>
    <t>income share</t>
    <phoneticPr fontId="20" type="noConversion"/>
  </si>
  <si>
    <t>Q10*(Q10-R10)</t>
    <phoneticPr fontId="20" type="noConversion"/>
  </si>
  <si>
    <t>Group 6B</t>
    <phoneticPr fontId="20" type="noConversion"/>
  </si>
  <si>
    <t>Maryland (hard)</t>
  </si>
  <si>
    <t>NC</t>
  </si>
  <si>
    <t>SC</t>
  </si>
  <si>
    <t>average gross property income was that of their male counterpart households (Group 6A) times the</t>
    <phoneticPr fontId="20" type="noConversion"/>
  </si>
  <si>
    <r>
      <t>RECONSTITUTED HOUSEHOLDS</t>
    </r>
    <r>
      <rPr>
        <sz val="12"/>
        <rFont val="Arial"/>
      </rPr>
      <t>, grouped by occ of HH, continued</t>
    </r>
    <phoneticPr fontId="20" type="noConversion"/>
  </si>
  <si>
    <t>(K.) Average own-labor earnings per LF member in the household</t>
    <phoneticPr fontId="20" type="noConversion"/>
  </si>
  <si>
    <t>Alice Hanson Jones's probate sample was not large enough for us to estimate 4A and 4B separately.</t>
    <phoneticPr fontId="20" type="noConversion"/>
  </si>
  <si>
    <t>(1) For the skilled labor Group 4 in manufacturing and construction, we assume that property</t>
    <phoneticPr fontId="20" type="noConversion"/>
  </si>
  <si>
    <t>Special assumptions about average property income:</t>
    <phoneticPr fontId="20" type="noConversion"/>
  </si>
  <si>
    <r>
      <t>RECONSTITUTED HOUSEHOLDS</t>
    </r>
    <r>
      <rPr>
        <sz val="12"/>
        <rFont val="Arial"/>
      </rPr>
      <t>, grouped by occ of HH</t>
    </r>
    <phoneticPr fontId="20" type="noConversion"/>
  </si>
  <si>
    <t>(7) Size distribution of total incomes, All 13 colonies in 1774</t>
    <phoneticPr fontId="20" type="noConversion"/>
  </si>
  <si>
    <t>(4) Within each group defined by region and urban/rural, we assume that the average earning power of each non-household-head</t>
    <phoneticPr fontId="20" type="noConversion"/>
  </si>
  <si>
    <t>* If it seems anomalous that the two groups of slave households</t>
    <phoneticPr fontId="20" type="noConversion"/>
  </si>
  <si>
    <t>have a retained income exceeding that of 5 and 12</t>
    <phoneticPr fontId="20" type="noConversion"/>
  </si>
  <si>
    <t>free-white groups, note that the</t>
    <phoneticPr fontId="20" type="noConversion"/>
  </si>
  <si>
    <t>Group 7</t>
  </si>
  <si>
    <t>Male HHs w/wealth, no occ stated</t>
  </si>
  <si>
    <t>Group 8</t>
  </si>
  <si>
    <t>Female HHs w/wealth, no occ stated</t>
  </si>
  <si>
    <t>Farm operators</t>
  </si>
  <si>
    <t xml:space="preserve">versus, in the "Own-labor" file, </t>
    <phoneticPr fontId="20" type="noConversion"/>
  </si>
  <si>
    <t>error in % =</t>
    <phoneticPr fontId="20" type="noConversion"/>
  </si>
  <si>
    <t>Boston</t>
    <phoneticPr fontId="20" type="noConversion"/>
  </si>
  <si>
    <t>Group 1</t>
  </si>
  <si>
    <t>Groups 2-3</t>
  </si>
  <si>
    <t>Total $</t>
    <phoneticPr fontId="20" type="noConversion"/>
  </si>
  <si>
    <t>four alternative conversions for 1789 and after. For the 1792 mentioned by Jones, the Officer values in $/£ are 4.6206, 4.4400, 4.5714, and 4.5554.  </t>
    <phoneticPr fontId="20" type="noConversion"/>
  </si>
  <si>
    <t>In New England, there were only 1.44 LF members</t>
    <phoneticPr fontId="20" type="noConversion"/>
  </si>
  <si>
    <t>The counts of household heads in (A.) are from the file "1774 occs by region", Worksheet (3).</t>
    <phoneticPr fontId="20" type="noConversion"/>
  </si>
  <si>
    <t>Total labor force</t>
    <phoneticPr fontId="20" type="noConversion"/>
  </si>
  <si>
    <t xml:space="preserve">(2) The same holds for the separately recorded group of Maryland servants, though the assumption is redundant here because these are one-person households.  </t>
    <phoneticPr fontId="20" type="noConversion"/>
  </si>
  <si>
    <t>Groups</t>
    <phoneticPr fontId="20" type="noConversion"/>
  </si>
  <si>
    <t>labor earnings</t>
    <phoneticPr fontId="20" type="noConversion"/>
  </si>
  <si>
    <t>Q10*(Q10-R10)</t>
    <phoneticPr fontId="20" type="noConversion"/>
  </si>
  <si>
    <t>(E.) The exported non-heads' average earnings</t>
    <phoneticPr fontId="20" type="noConversion"/>
  </si>
  <si>
    <t>Officials, titled, professions**</t>
    <phoneticPr fontId="20" type="noConversion"/>
  </si>
  <si>
    <t>South</t>
    <phoneticPr fontId="20" type="noConversion"/>
  </si>
  <si>
    <t>Group 1</t>
    <phoneticPr fontId="20" type="noConversion"/>
  </si>
  <si>
    <t>New</t>
    <phoneticPr fontId="20" type="noConversion"/>
  </si>
  <si>
    <t>[NB: Median &gt; mean here.  Reverse skewing.]</t>
    <phoneticPr fontId="20" type="noConversion"/>
  </si>
  <si>
    <t>Using the "Variant B" occupational distributions from the Excel file "1774 occ's by region", re-constituted into households in worksheet (2) of this file.</t>
    <phoneticPr fontId="20" type="noConversion"/>
  </si>
  <si>
    <t>(1) Fragmentary literature on household LF sizes, by occupation of the head</t>
    <phoneticPr fontId="20" type="noConversion"/>
  </si>
  <si>
    <t>(4) Size distribution of income among Southern households 1774</t>
    <phoneticPr fontId="20" type="noConversion"/>
  </si>
  <si>
    <t>Merchants and shopkeepers</t>
    <phoneticPr fontId="20" type="noConversion"/>
  </si>
  <si>
    <t>(Occupation mix per "Variant B")</t>
    <phoneticPr fontId="20" type="noConversion"/>
  </si>
  <si>
    <t>Sub-sample</t>
    <phoneticPr fontId="20" type="noConversion"/>
  </si>
  <si>
    <t xml:space="preserve"> income per household, like own-labor earnings, was the same for manufacturing as for construction.</t>
    <phoneticPr fontId="20" type="noConversion"/>
  </si>
  <si>
    <t>Assumptions about the non-head earners "imported" or "taken into" the households of others</t>
    <phoneticPr fontId="20" type="noConversion"/>
  </si>
  <si>
    <t>value of a £</t>
  </si>
  <si>
    <t>no.</t>
    <phoneticPr fontId="20" type="noConversion"/>
  </si>
  <si>
    <t>Group definition</t>
    <phoneticPr fontId="20" type="noConversion"/>
  </si>
  <si>
    <t>Group 2-3</t>
    <phoneticPr fontId="20" type="noConversion"/>
  </si>
  <si>
    <t xml:space="preserve">have a retained income exceeding that of </t>
    <phoneticPr fontId="20" type="noConversion"/>
  </si>
  <si>
    <t>MD white female servants</t>
  </si>
  <si>
    <t>There is at least some literature measuring labor force members per household for the main ioccupations groups in the 1770s.</t>
    <phoneticPr fontId="20" type="noConversion"/>
  </si>
  <si>
    <t>Thus in terms of income per LF member,</t>
    <phoneticPr fontId="20" type="noConversion"/>
  </si>
  <si>
    <t>New England's slaves ranked 4th from the bottom</t>
    <phoneticPr fontId="20" type="noConversion"/>
  </si>
  <si>
    <t>rural, towns</t>
    <phoneticPr fontId="20" type="noConversion"/>
  </si>
  <si>
    <t>Group 2</t>
    <phoneticPr fontId="20" type="noConversion"/>
  </si>
  <si>
    <t>(later US)</t>
  </si>
  <si>
    <t>(F.) Their total $ earnings</t>
    <phoneticPr fontId="20" type="noConversion"/>
  </si>
  <si>
    <t xml:space="preserve">Wage rates for non-farm rural occupations are especially sparse, and thus that for lesser cities and towns are used: for male common labor, the numbers of observations </t>
    <phoneticPr fontId="20" type="noConversion"/>
  </si>
  <si>
    <t>New Eng</t>
  </si>
  <si>
    <t>The remaining worksheets in this Excel file =</t>
    <phoneticPr fontId="20" type="noConversion"/>
  </si>
  <si>
    <t>Small town</t>
  </si>
  <si>
    <t>Big city</t>
  </si>
  <si>
    <t>Farm</t>
  </si>
  <si>
    <t>Average</t>
    <phoneticPr fontId="20" type="noConversion"/>
  </si>
  <si>
    <t>OWN-LABOR EARNINGS</t>
    <phoneticPr fontId="20" type="noConversion"/>
  </si>
  <si>
    <t>PROPERTY INCOME</t>
    <phoneticPr fontId="20" type="noConversion"/>
  </si>
  <si>
    <t>TOTAL INCOME</t>
    <phoneticPr fontId="20" type="noConversion"/>
  </si>
  <si>
    <t>(Q11-Q10)*(Q11-R11+Q10-R10)</t>
    <phoneticPr fontId="20" type="noConversion"/>
  </si>
  <si>
    <t>If this cannot be sustained, then the average colonial pound might have been worth more than the $4.14 Jones implies.  Perhaps closer to the $4.444</t>
    <phoneticPr fontId="20" type="noConversion"/>
  </si>
  <si>
    <t>Contrib's</t>
    <phoneticPr fontId="20" type="noConversion"/>
  </si>
  <si>
    <t>INEQUALITY AMONG ALL HOUSEHOLDS</t>
    <phoneticPr fontId="20" type="noConversion"/>
  </si>
  <si>
    <t>Ranking by total income per HH</t>
    <phoneticPr fontId="20" type="noConversion"/>
  </si>
  <si>
    <t>participants</t>
    <phoneticPr fontId="20" type="noConversion"/>
  </si>
  <si>
    <t>Charleston</t>
    <phoneticPr fontId="20" type="noConversion"/>
  </si>
  <si>
    <t>% error</t>
  </si>
  <si>
    <t>Middle</t>
    <phoneticPr fontId="20" type="noConversion"/>
  </si>
  <si>
    <t>[See notes below.]</t>
    <phoneticPr fontId="20" type="noConversion"/>
  </si>
  <si>
    <t xml:space="preserve">(M.) Total own-labor earnings </t>
    <phoneticPr fontId="20" type="noConversion"/>
  </si>
  <si>
    <t>Memorandum: data for Group 5, rural farm operators in the aggregate</t>
    <phoneticPr fontId="20" type="noConversion"/>
  </si>
  <si>
    <t>(5) Size distribution of total incomes in the four Middle Colonies in 1774</t>
    <phoneticPr fontId="20" type="noConversion"/>
  </si>
  <si>
    <t>New York,</t>
    <phoneticPr fontId="20" type="noConversion"/>
  </si>
  <si>
    <t>cities</t>
    <phoneticPr fontId="20" type="noConversion"/>
  </si>
  <si>
    <t>Group 1</t>
    <phoneticPr fontId="20" type="noConversion"/>
  </si>
  <si>
    <t>Groups 2-3</t>
    <phoneticPr fontId="20" type="noConversion"/>
  </si>
  <si>
    <t>[For £ sterling, divide by $4.44/£.]</t>
    <phoneticPr fontId="20" type="noConversion"/>
  </si>
  <si>
    <t>HHs</t>
    <phoneticPr fontId="20" type="noConversion"/>
  </si>
  <si>
    <t>** For the Middle Colonies these rows refer only to New Jersey, Pennsylvania, and Delaware, and exclude New York.</t>
    <phoneticPr fontId="20" type="noConversion"/>
  </si>
  <si>
    <t>(L.) Average own-labor earnings per household</t>
    <phoneticPr fontId="20" type="noConversion"/>
  </si>
  <si>
    <t>M-X =</t>
    <phoneticPr fontId="20" type="noConversion"/>
  </si>
  <si>
    <t>free urban</t>
    <phoneticPr fontId="20" type="noConversion"/>
  </si>
  <si>
    <t>Gini =</t>
    <phoneticPr fontId="20" type="noConversion"/>
  </si>
  <si>
    <t xml:space="preserve">are used as weights for rural non-farm vs lesser cities; the same is true of artisans and white collar; the other categories are taken directly from lesser cities. </t>
    <phoneticPr fontId="20" type="noConversion"/>
  </si>
  <si>
    <t>13 colonies</t>
    <phoneticPr fontId="20" type="noConversion"/>
  </si>
  <si>
    <t>sensitive to the number of LF earners per household.</t>
    <phoneticPr fontId="20" type="noConversion"/>
  </si>
  <si>
    <t>Group 6A</t>
  </si>
  <si>
    <t xml:space="preserve">because the occupational distributions had to be applied to the Alice Hanson Jones estimates of wealth, to derive property incomes by occupational class.  </t>
    <phoneticPr fontId="20" type="noConversion"/>
  </si>
  <si>
    <t>Slaves ages 10 up, retained earnings</t>
    <phoneticPr fontId="20" type="noConversion"/>
  </si>
  <si>
    <t xml:space="preserve">For the South, colonial censuses counted slaves at the all-colony level but not separately for cities (e.g. Charleston).  In these tables, all slave numbers appear as rural.  </t>
    <phoneticPr fontId="20" type="noConversion"/>
  </si>
  <si>
    <t>Merchant &amp; shopkeepers</t>
  </si>
  <si>
    <t>Group 4A</t>
  </si>
  <si>
    <t>Artisans (manufacturing trades)</t>
  </si>
  <si>
    <t>Assume that of the adult farm females reported by Simler, 5% were household heads, a share near the headship rates for the probate records and in the 1800 labor force calculations by Thomas Weiss.</t>
    <phoneticPr fontId="20" type="noConversion"/>
  </si>
  <si>
    <t>labor earnings</t>
  </si>
  <si>
    <t>Total labor force</t>
    <phoneticPr fontId="20" type="noConversion"/>
  </si>
  <si>
    <t>Groups 2-3</t>
    <phoneticPr fontId="20" type="noConversion"/>
  </si>
  <si>
    <t>Vs. wksht (3)</t>
    <phoneticPr fontId="20" type="noConversion"/>
  </si>
  <si>
    <t>All these groups, assumed to be farms</t>
    <phoneticPr fontId="20" type="noConversion"/>
  </si>
  <si>
    <t>income</t>
    <phoneticPr fontId="20" type="noConversion"/>
  </si>
  <si>
    <t>PROPERTY INCOME</t>
    <phoneticPr fontId="20" type="noConversion"/>
  </si>
  <si>
    <t xml:space="preserve">the average household head with positive wealth in the same places, though the same assumption will not be made about their property incomes in the separate Excel files on "Aggregate Property 1774 [name of region]".  </t>
    <phoneticPr fontId="20" type="noConversion"/>
  </si>
  <si>
    <t>Philadelphia,</t>
    <phoneticPr fontId="20" type="noConversion"/>
  </si>
  <si>
    <t>LF per household</t>
    <phoneticPr fontId="20" type="noConversion"/>
  </si>
  <si>
    <t xml:space="preserve">Excluding </t>
    <phoneticPr fontId="20" type="noConversion"/>
  </si>
  <si>
    <t>them</t>
    <phoneticPr fontId="20" type="noConversion"/>
  </si>
  <si>
    <t>Mean $:</t>
    <phoneticPr fontId="20" type="noConversion"/>
  </si>
  <si>
    <t>(Derived in the file "1774 occs by Region", Worksheet (4),</t>
    <phoneticPr fontId="20" type="noConversion"/>
  </si>
  <si>
    <t>Male HHs w/wealth, no occ stated</t>
    <phoneticPr fontId="20" type="noConversion"/>
  </si>
  <si>
    <t>(4) Size distribution of total incomes in New England in 1774</t>
    <phoneticPr fontId="20" type="noConversion"/>
  </si>
  <si>
    <t>The labor force counts are from the file "1774 occs by Region", Worksheet (4), using the Variant B assumptions about the occupations of non-hoursehold heads.</t>
    <phoneticPr fontId="20" type="noConversion"/>
  </si>
  <si>
    <t>using the "Variant B" assumptions about occ mix.)</t>
    <phoneticPr fontId="20" type="noConversion"/>
  </si>
  <si>
    <t>(2) Finding Homes for Non-HHs:</t>
    <phoneticPr fontId="20" type="noConversion"/>
  </si>
  <si>
    <t>HH share</t>
    <phoneticPr fontId="20" type="noConversion"/>
  </si>
  <si>
    <t>(blank)</t>
    <phoneticPr fontId="20" type="noConversion"/>
  </si>
  <si>
    <t>(B.) The heads' average own-labor earnings</t>
    <phoneticPr fontId="20" type="noConversion"/>
  </si>
  <si>
    <t>[Small sample. For Group 5 in rural areas, see below.]</t>
    <phoneticPr fontId="20" type="noConversion"/>
  </si>
  <si>
    <t>(A.) Numbers of household heads</t>
    <phoneticPr fontId="20" type="noConversion"/>
  </si>
  <si>
    <t>Farm operators - top 2% in property**</t>
    <phoneticPr fontId="20" type="noConversion"/>
  </si>
  <si>
    <t xml:space="preserve">(2) For Group 6B, female unskilled labor, not separately sampled by Jones, we assumed that their </t>
    <phoneticPr fontId="20" type="noConversion"/>
  </si>
  <si>
    <t>ratio of their own-labor earnings.  This means lower property income per female head of</t>
    <phoneticPr fontId="20" type="noConversion"/>
  </si>
  <si>
    <t>Officials, titled, professionals</t>
    <phoneticPr fontId="20" type="noConversion"/>
  </si>
  <si>
    <t>Our underlying occupational-share estimates from primary sources are detailed in the set of regional files entitled "Aggregate property 1774 [name of region]",</t>
    <phoneticPr fontId="20" type="noConversion"/>
  </si>
  <si>
    <t>Re-allocating non-household-heads, and their earnings, to the households of others</t>
    <phoneticPr fontId="20" type="noConversion"/>
  </si>
  <si>
    <t>are applied to urban and rural alike, since J.T. Main's underlying estimates of incomes per farm do not permit much spatial separation within each region.</t>
    <phoneticPr fontId="20" type="noConversion"/>
  </si>
  <si>
    <t>"Own labor incomes" here means annual (not necessarily full-time) earnings from human sources, as received by the laborer.</t>
    <phoneticPr fontId="20" type="noConversion"/>
  </si>
  <si>
    <t>Each of these implies an average devaluation of the 1774 colonial currency when combined with Alice's US$4.15 per local (inter-) colonial pounds.  </t>
    <phoneticPr fontId="20" type="noConversion"/>
  </si>
  <si>
    <t>HH =</t>
    <phoneticPr fontId="20" type="noConversion"/>
  </si>
  <si>
    <t>Non-HH labor force</t>
    <phoneticPr fontId="20" type="noConversion"/>
  </si>
  <si>
    <t>The sets of columns here, each in the format "persons, average earnings, total earnings":</t>
    <phoneticPr fontId="20" type="noConversion"/>
  </si>
  <si>
    <t>(Fr worksheet (2), expanded for rural MCol's)</t>
    <phoneticPr fontId="20" type="noConversion"/>
  </si>
  <si>
    <t>Thus for slaves, it includes only what they retained, and not what the part of their earnings (or marginal product) that was expropriated by the owner or renter.</t>
    <phoneticPr fontId="20" type="noConversion"/>
  </si>
  <si>
    <t>prop income</t>
    <phoneticPr fontId="20" type="noConversion"/>
  </si>
  <si>
    <t>Ranking by total income per HH</t>
    <phoneticPr fontId="20" type="noConversion"/>
  </si>
  <si>
    <t>This file is a building block in estimating total incomes, from property as well as from own-labor sources, in the "Total incomes 1774" file.</t>
    <phoneticPr fontId="20" type="noConversion"/>
  </si>
  <si>
    <t>Group 5, farm operators:  The average labor plus profit incomes are calculated in the worksheet "(3) Farm incomes".  These region-wide averages</t>
    <phoneticPr fontId="20" type="noConversion"/>
  </si>
  <si>
    <t>Average</t>
    <phoneticPr fontId="20" type="noConversion"/>
  </si>
  <si>
    <t>Occupation</t>
    <phoneticPr fontId="20" type="noConversion"/>
  </si>
  <si>
    <t>Group 5D</t>
    <phoneticPr fontId="20" type="noConversion"/>
  </si>
  <si>
    <t>female non-HHs</t>
    <phoneticPr fontId="20" type="noConversion"/>
  </si>
  <si>
    <t>Construction</t>
  </si>
  <si>
    <t>Total free labor force</t>
    <phoneticPr fontId="20" type="noConversion"/>
  </si>
  <si>
    <t>Including</t>
    <phoneticPr fontId="20" type="noConversion"/>
  </si>
  <si>
    <t xml:space="preserve">imported into free families is the same for all free families in that place.  We do not imagine any correlation between earning power of </t>
    <phoneticPr fontId="20" type="noConversion"/>
  </si>
  <si>
    <t>Thirteen</t>
    <phoneticPr fontId="20" type="noConversion"/>
  </si>
  <si>
    <t>Group 18A</t>
    <phoneticPr fontId="20" type="noConversion"/>
  </si>
  <si>
    <t>Work</t>
    <phoneticPr fontId="20" type="noConversion"/>
  </si>
  <si>
    <t>row</t>
    <phoneticPr fontId="20" type="noConversion"/>
  </si>
  <si>
    <t>HOUSEHOLD HEADS (HHs) BY THEMSELVES</t>
    <phoneticPr fontId="20" type="noConversion"/>
  </si>
  <si>
    <t>NUMBERS OF HOUSEHOLDS</t>
    <phoneticPr fontId="20" type="noConversion"/>
  </si>
  <si>
    <t>Ave. potential</t>
    <phoneticPr fontId="20" type="noConversion"/>
  </si>
  <si>
    <t>Male unskilled HHs</t>
    <phoneticPr fontId="20" type="noConversion"/>
  </si>
  <si>
    <r>
      <t xml:space="preserve">Source = Lucy Simler, "The Landless Worker: An Index of Economic and Social Change in Chester County, Pennsylvania, 1750-1820". </t>
    </r>
    <r>
      <rPr>
        <i/>
        <sz val="12"/>
        <rFont val="Arial"/>
      </rPr>
      <t xml:space="preserve">The Pennsylvania Magazine of History and Biography </t>
    </r>
    <r>
      <rPr>
        <sz val="12"/>
        <rFont val="Arial"/>
      </rPr>
      <t>114, 2 (Apr., 1990), p. 196.</t>
    </r>
    <phoneticPr fontId="20" type="noConversion"/>
  </si>
  <si>
    <t>Colonies</t>
    <phoneticPr fontId="20" type="noConversion"/>
  </si>
  <si>
    <t>Number of</t>
    <phoneticPr fontId="20" type="noConversion"/>
  </si>
  <si>
    <t>Total</t>
    <phoneticPr fontId="20" type="noConversion"/>
  </si>
  <si>
    <t>Male</t>
    <phoneticPr fontId="20" type="noConversion"/>
  </si>
  <si>
    <t>Thirteen</t>
    <phoneticPr fontId="20" type="noConversion"/>
  </si>
  <si>
    <t>colonies</t>
    <phoneticPr fontId="20" type="noConversion"/>
  </si>
  <si>
    <t>All free HHs</t>
    <phoneticPr fontId="20" type="noConversion"/>
  </si>
  <si>
    <t>Total HHs</t>
    <phoneticPr fontId="20" type="noConversion"/>
  </si>
  <si>
    <t>and</t>
    <phoneticPr fontId="20" type="noConversion"/>
  </si>
  <si>
    <t>towns</t>
    <phoneticPr fontId="20" type="noConversion"/>
  </si>
  <si>
    <t>Artisans (manufacturing trades)</t>
    <phoneticPr fontId="20" type="noConversion"/>
  </si>
  <si>
    <t>Group 4B</t>
    <phoneticPr fontId="20" type="noConversion"/>
  </si>
  <si>
    <t>Group 18A</t>
    <phoneticPr fontId="20" type="noConversion"/>
  </si>
  <si>
    <t>Pennsylvania currency</t>
  </si>
  <si>
    <t>Colony</t>
  </si>
  <si>
    <t>(£ sterling UK)</t>
    <phoneticPr fontId="20" type="noConversion"/>
  </si>
  <si>
    <r>
      <t xml:space="preserve">We rely mainly on John J. McCusker, </t>
    </r>
    <r>
      <rPr>
        <i/>
        <sz val="12"/>
        <rFont val="Arial"/>
      </rPr>
      <t>How Much is That in Real Money? …</t>
    </r>
    <r>
      <rPr>
        <sz val="12"/>
        <rFont val="Arial"/>
      </rPr>
      <t xml:space="preserve"> (Worcester MA: American Antiquarian Society, 2001), especially Appendix B,</t>
    </r>
    <phoneticPr fontId="20" type="noConversion"/>
  </si>
  <si>
    <t>Group 5A</t>
    <phoneticPr fontId="20" type="noConversion"/>
  </si>
  <si>
    <t>Median $:</t>
    <phoneticPr fontId="20" type="noConversion"/>
  </si>
  <si>
    <r>
      <t>See also Lawrence Officer's Series Ee612-Ee620 in Carter </t>
    </r>
    <r>
      <rPr>
        <i/>
        <sz val="12"/>
        <rFont val="Arial"/>
      </rPr>
      <t>et al., Historical Statistics of the United States (2006)</t>
    </r>
    <r>
      <rPr>
        <sz val="12"/>
        <rFont val="Arial"/>
      </rPr>
      <t>, volume 5, which gives</t>
    </r>
    <phoneticPr fontId="20" type="noConversion"/>
  </si>
  <si>
    <t>RANKED BY</t>
    <phoneticPr fontId="20" type="noConversion"/>
  </si>
  <si>
    <t>Average</t>
    <phoneticPr fontId="20" type="noConversion"/>
  </si>
  <si>
    <t>Unskilled female workers</t>
    <phoneticPr fontId="20" type="noConversion"/>
  </si>
  <si>
    <t>Farm operators</t>
    <phoneticPr fontId="20" type="noConversion"/>
  </si>
  <si>
    <t>Pennsylvania</t>
  </si>
  <si>
    <t>Virginia</t>
  </si>
  <si>
    <t>dollars</t>
  </si>
  <si>
    <t>Group 4B</t>
    <phoneticPr fontId="20" type="noConversion"/>
  </si>
  <si>
    <t>NON-HEADS BEING EXPORTED</t>
    <phoneticPr fontId="20" type="noConversion"/>
  </si>
  <si>
    <t>Big</t>
    <phoneticPr fontId="20" type="noConversion"/>
  </si>
  <si>
    <t>All</t>
    <phoneticPr fontId="20" type="noConversion"/>
  </si>
  <si>
    <t>North</t>
  </si>
  <si>
    <t>(C.) The heads' own total $ earnings</t>
    <phoneticPr fontId="20" type="noConversion"/>
  </si>
  <si>
    <t>Group 5</t>
    <phoneticPr fontId="20" type="noConversion"/>
  </si>
  <si>
    <t>MD white male servants</t>
    <phoneticPr fontId="20" type="noConversion"/>
  </si>
  <si>
    <t>Unskilled male workers</t>
    <phoneticPr fontId="20" type="noConversion"/>
  </si>
  <si>
    <t>Group 6B</t>
    <phoneticPr fontId="20" type="noConversion"/>
  </si>
  <si>
    <t>England</t>
    <phoneticPr fontId="20" type="noConversion"/>
  </si>
  <si>
    <t>Next 40%:</t>
  </si>
  <si>
    <t>Bottom 40%:</t>
  </si>
  <si>
    <t>Median $:</t>
    <phoneticPr fontId="20" type="noConversion"/>
  </si>
  <si>
    <t>Mean $:</t>
    <phoneticPr fontId="20" type="noConversion"/>
  </si>
  <si>
    <t>Group 19</t>
    <phoneticPr fontId="20" type="noConversion"/>
  </si>
  <si>
    <t>All free</t>
    <phoneticPr fontId="20" type="noConversion"/>
  </si>
  <si>
    <t>Total</t>
    <phoneticPr fontId="20" type="noConversion"/>
  </si>
  <si>
    <t>Gini =</t>
    <phoneticPr fontId="20" type="noConversion"/>
  </si>
  <si>
    <t>Top 1%:</t>
  </si>
  <si>
    <t>Top 5%:</t>
  </si>
  <si>
    <t xml:space="preserve">See other notes in this file and in the "Total incomes 1774" file for discussions of the separation of farm operators' free labor earnings, property earnings, and residual profits.  </t>
    <phoneticPr fontId="20" type="noConversion"/>
  </si>
  <si>
    <t>Group 5E</t>
    <phoneticPr fontId="20" type="noConversion"/>
  </si>
  <si>
    <t>Occupational distributions based on adjusted AHJ and other documents elaborated in the "1774 Occupations by region" Excel file, Worksheet entitled "(4) Summary LF totals".</t>
  </si>
  <si>
    <t>Group 18B</t>
    <phoneticPr fontId="20" type="noConversion"/>
  </si>
  <si>
    <t>See rows 56ff below for average free-labor earnings by place.</t>
    <phoneticPr fontId="20" type="noConversion"/>
  </si>
  <si>
    <t>All HHs</t>
    <phoneticPr fontId="20" type="noConversion"/>
  </si>
  <si>
    <t>(G) Extra earners "taken in", or imported</t>
    <phoneticPr fontId="20" type="noConversion"/>
  </si>
  <si>
    <t>Slaves ages 10 up, retained earnings</t>
    <phoneticPr fontId="20" type="noConversion"/>
  </si>
  <si>
    <t>Free</t>
    <phoneticPr fontId="20" type="noConversion"/>
  </si>
  <si>
    <t>as for household heads in the same occupational group, in Panel (B.).)</t>
    <phoneticPr fontId="20" type="noConversion"/>
  </si>
  <si>
    <t>$HHs + $ Xs =</t>
    <phoneticPr fontId="20" type="noConversion"/>
  </si>
  <si>
    <t>Household total LF earners minus hoiusehold heads</t>
    <phoneticPr fontId="20" type="noConversion"/>
  </si>
  <si>
    <r>
      <t>(D.) Annual earnings rates</t>
    </r>
    <r>
      <rPr>
        <sz val="12"/>
        <rFont val="Arial"/>
      </rPr>
      <t xml:space="preserve"> by occupation/region are described in the "Wage data survey 1774" file. The wage data supply by colony is very thin, and thus the table reports only averages across colonies for each of the three regions.</t>
    </r>
    <phoneticPr fontId="20" type="noConversion"/>
  </si>
  <si>
    <t>What one unit of each colony's currency was worth in 1774 --</t>
  </si>
  <si>
    <t>(Q11-Q10)*(Q11-R11+Q10-R10)</t>
    <phoneticPr fontId="20" type="noConversion"/>
  </si>
  <si>
    <t>Ave income</t>
    <phoneticPr fontId="20" type="noConversion"/>
  </si>
  <si>
    <t>[For £ sterling,</t>
    <phoneticPr fontId="20" type="noConversion"/>
  </si>
  <si>
    <t>divide $ by 4.44.]</t>
    <phoneticPr fontId="20" type="noConversion"/>
  </si>
  <si>
    <t>Officials, titled, professions</t>
  </si>
  <si>
    <t>Thirteen</t>
    <phoneticPr fontId="20" type="noConversion"/>
  </si>
  <si>
    <t>rural</t>
    <phoneticPr fontId="20" type="noConversion"/>
  </si>
  <si>
    <r>
      <t xml:space="preserve">This guess seems consistent with the age and sex distributions given for slves in Maryland, New Jersey, and New York around 1774 (in </t>
    </r>
    <r>
      <rPr>
        <i/>
        <sz val="12"/>
        <rFont val="Arial"/>
      </rPr>
      <t>HSUS Millennial</t>
    </r>
    <r>
      <rPr>
        <sz val="12"/>
        <rFont val="Arial"/>
      </rPr>
      <t>).</t>
    </r>
    <phoneticPr fontId="20" type="noConversion"/>
  </si>
  <si>
    <t>sterling (UK)</t>
  </si>
  <si>
    <t>Artisans (manufacturing trades)</t>
    <phoneticPr fontId="20" type="noConversion"/>
  </si>
  <si>
    <t>households</t>
    <phoneticPr fontId="20" type="noConversion"/>
  </si>
  <si>
    <t>income</t>
    <phoneticPr fontId="20" type="noConversion"/>
  </si>
  <si>
    <t>Total own-</t>
  </si>
  <si>
    <t>Household heads</t>
    <phoneticPr fontId="20" type="noConversion"/>
  </si>
  <si>
    <t>Imported</t>
    <phoneticPr fontId="20" type="noConversion"/>
  </si>
  <si>
    <t>OWN-LABOR EARNINGS</t>
    <phoneticPr fontId="20" type="noConversion"/>
  </si>
  <si>
    <t>TOTAL INCOME</t>
    <phoneticPr fontId="20" type="noConversion"/>
  </si>
  <si>
    <r>
      <t>Millennial Edition</t>
    </r>
    <r>
      <rPr>
        <sz val="12"/>
        <rFont val="Arial"/>
      </rPr>
      <t xml:space="preserve"> (2006), interpolating from the US censuses of 1790 and 1800, and on Thomas Weiss's estimates of labor force participation rates.</t>
    </r>
    <phoneticPr fontId="20" type="noConversion"/>
  </si>
  <si>
    <t>Delaware is included in the Middle Colonies, to be consistent with the Alice Hanson Jones regionalization of wealth.</t>
    <phoneticPr fontId="20" type="noConversion"/>
  </si>
  <si>
    <t>Artisans in manufacturing</t>
    <phoneticPr fontId="20" type="noConversion"/>
  </si>
  <si>
    <t>Buildings trades</t>
    <phoneticPr fontId="20" type="noConversion"/>
  </si>
  <si>
    <t>Merchant &amp; shopkeepers</t>
    <phoneticPr fontId="20" type="noConversion"/>
  </si>
  <si>
    <t xml:space="preserve">Rural </t>
    <phoneticPr fontId="20" type="noConversion"/>
  </si>
  <si>
    <t>(Boston,</t>
    <phoneticPr fontId="20" type="noConversion"/>
  </si>
  <si>
    <t>South</t>
    <phoneticPr fontId="20" type="noConversion"/>
  </si>
  <si>
    <t>$</t>
    <phoneticPr fontId="20" type="noConversion"/>
  </si>
  <si>
    <t>For average earnings per member of the labor force in the same household, see worksheet (2)</t>
    <phoneticPr fontId="20" type="noConversion"/>
  </si>
  <si>
    <t>Free households</t>
    <phoneticPr fontId="20" type="noConversion"/>
  </si>
  <si>
    <t>All households</t>
    <phoneticPr fontId="20" type="noConversion"/>
  </si>
  <si>
    <t>Number of</t>
    <phoneticPr fontId="20" type="noConversion"/>
  </si>
  <si>
    <t>% share</t>
    <phoneticPr fontId="20" type="noConversion"/>
  </si>
  <si>
    <t>Using the "Variant B" occupational distributions from the Excel file "1774 occ's by region", re-constituted into households in worksheet (2) of this file.</t>
    <phoneticPr fontId="20" type="noConversion"/>
  </si>
  <si>
    <t>VALUE OF PROPERTY INCOME</t>
    <phoneticPr fontId="20" type="noConversion"/>
  </si>
  <si>
    <t>New</t>
    <phoneticPr fontId="20" type="noConversion"/>
  </si>
  <si>
    <t>Middle</t>
    <phoneticPr fontId="20" type="noConversion"/>
  </si>
  <si>
    <t xml:space="preserve">Rural </t>
  </si>
  <si>
    <t>and towns</t>
  </si>
  <si>
    <t>Artisans (manufacturing trades)</t>
    <phoneticPr fontId="20" type="noConversion"/>
  </si>
  <si>
    <t>New York,</t>
    <phoneticPr fontId="20" type="noConversion"/>
  </si>
  <si>
    <t>Group 4B</t>
    <phoneticPr fontId="20" type="noConversion"/>
  </si>
  <si>
    <r>
      <t>(A.) General notes</t>
    </r>
    <r>
      <rPr>
        <sz val="12"/>
        <rFont val="Arial"/>
      </rPr>
      <t>:</t>
    </r>
    <phoneticPr fontId="20" type="noConversion"/>
  </si>
  <si>
    <t>Philadelphia,</t>
    <phoneticPr fontId="20" type="noConversion"/>
  </si>
  <si>
    <t>Group 1</t>
    <phoneticPr fontId="20" type="noConversion"/>
  </si>
  <si>
    <t>(6) Size distribution of total incomes in the South in 1774</t>
    <phoneticPr fontId="20" type="noConversion"/>
  </si>
  <si>
    <t>LF</t>
    <phoneticPr fontId="20" type="noConversion"/>
  </si>
  <si>
    <t>labor force</t>
    <phoneticPr fontId="20" type="noConversion"/>
  </si>
  <si>
    <t>Number of</t>
    <phoneticPr fontId="20" type="noConversion"/>
  </si>
  <si>
    <t>Group 5</t>
    <phoneticPr fontId="20" type="noConversion"/>
  </si>
  <si>
    <t>Farm operators' individual earnings</t>
    <phoneticPr fontId="20" type="noConversion"/>
  </si>
  <si>
    <t>Total labor force</t>
    <phoneticPr fontId="20" type="noConversion"/>
  </si>
  <si>
    <t>Groups 2-3</t>
    <phoneticPr fontId="20" type="noConversion"/>
  </si>
  <si>
    <t>Merchant &amp; shopkeepers</t>
    <phoneticPr fontId="20" type="noConversion"/>
  </si>
  <si>
    <t>Group 4A</t>
    <phoneticPr fontId="20" type="noConversion"/>
  </si>
  <si>
    <t>Merchant &amp; shopkeepers</t>
    <phoneticPr fontId="20" type="noConversion"/>
  </si>
  <si>
    <t>Zero-wealth free HHs</t>
    <phoneticPr fontId="20" type="noConversion"/>
  </si>
  <si>
    <t>cities</t>
    <phoneticPr fontId="20" type="noConversion"/>
  </si>
  <si>
    <t>Group 19</t>
    <phoneticPr fontId="20" type="noConversion"/>
  </si>
  <si>
    <t>Total</t>
    <phoneticPr fontId="20" type="noConversion"/>
  </si>
  <si>
    <t>Ditto,</t>
    <phoneticPr fontId="20" type="noConversion"/>
  </si>
  <si>
    <t>free</t>
    <phoneticPr fontId="20" type="noConversion"/>
  </si>
  <si>
    <r>
      <t>(B.) Labor force</t>
    </r>
    <r>
      <rPr>
        <sz val="12"/>
        <rFont val="Arial"/>
      </rPr>
      <t xml:space="preserve">: Lindert-Williamson estimates, in the "1774 occupations by region" Excel file, January 2011. Based on the colonial censuses in </t>
    </r>
    <r>
      <rPr>
        <i/>
        <sz val="12"/>
        <rFont val="Arial"/>
      </rPr>
      <t>Historical Statistics,</t>
    </r>
    <r>
      <rPr>
        <sz val="12"/>
        <rFont val="Arial"/>
      </rPr>
      <t xml:space="preserve"> </t>
    </r>
    <phoneticPr fontId="20" type="noConversion"/>
  </si>
  <si>
    <t>MD white female servants</t>
    <phoneticPr fontId="20" type="noConversion"/>
  </si>
  <si>
    <t>Top 20%:</t>
  </si>
  <si>
    <t>(See "sources &amp; notes" worksheet for assumption about who lived with whom.)</t>
    <phoneticPr fontId="20" type="noConversion"/>
  </si>
  <si>
    <t>Top 10%:</t>
  </si>
  <si>
    <t>Group 4A</t>
    <phoneticPr fontId="20" type="noConversion"/>
  </si>
  <si>
    <t>Mass</t>
  </si>
  <si>
    <t>Group 9</t>
    <phoneticPr fontId="20" type="noConversion"/>
  </si>
  <si>
    <t>Zero-wealth free HHs</t>
    <phoneticPr fontId="20" type="noConversion"/>
  </si>
  <si>
    <r>
      <t xml:space="preserve">This guess seems consistent with the age and sex distributions given for slaves in Maryland, New Jersey, and New York around 1774 (in </t>
    </r>
    <r>
      <rPr>
        <i/>
        <sz val="12"/>
        <rFont val="Arial"/>
      </rPr>
      <t>HSUS Millennial</t>
    </r>
    <r>
      <rPr>
        <sz val="12"/>
        <rFont val="Arial"/>
      </rPr>
      <t>).</t>
    </r>
    <phoneticPr fontId="20" type="noConversion"/>
  </si>
  <si>
    <t>Total labor force</t>
    <phoneticPr fontId="20" type="noConversion"/>
  </si>
  <si>
    <t>cities</t>
    <phoneticPr fontId="20" type="noConversion"/>
  </si>
  <si>
    <t>•• HOUSEHOLD HEADS BY THEMSELVES</t>
    <phoneticPr fontId="20" type="noConversion"/>
  </si>
  <si>
    <t>Groups 7 and 8, male and female household heads, with no stated occupation (other than "widow" or "single woman"): These are assumed to have the same average own-labor incomes as</t>
    <phoneticPr fontId="20" type="noConversion"/>
  </si>
  <si>
    <r>
      <t>Notes</t>
    </r>
    <r>
      <rPr>
        <sz val="12"/>
        <rFont val="Arial"/>
      </rPr>
      <t>:</t>
    </r>
    <phoneticPr fontId="20" type="noConversion"/>
  </si>
  <si>
    <t>Out of 575 fuller-record households,</t>
    <phoneticPr fontId="20" type="noConversion"/>
  </si>
  <si>
    <t xml:space="preserve">the household head and the earning power of the non-head LF participants.  </t>
    <phoneticPr fontId="20" type="noConversion"/>
  </si>
  <si>
    <t xml:space="preserve">vs. </t>
    <phoneticPr fontId="20" type="noConversion"/>
  </si>
  <si>
    <t>of silver</t>
  </si>
  <si>
    <t>value of a £ of</t>
  </si>
  <si>
    <t>Cottagers, married</t>
    <phoneticPr fontId="20" type="noConversion"/>
  </si>
  <si>
    <t xml:space="preserve">For the South, colonial censuses counted slaves at the all-colony level but not separately for cities (e.g. Charleston). </t>
    <phoneticPr fontId="20" type="noConversion"/>
  </si>
  <si>
    <t>not per capita or per member of LF</t>
    <phoneticPr fontId="20" type="noConversion"/>
  </si>
  <si>
    <t>Free</t>
    <phoneticPr fontId="20" type="noConversion"/>
  </si>
  <si>
    <t>Female HHs w/wealth, no occ stated</t>
    <phoneticPr fontId="20" type="noConversion"/>
  </si>
  <si>
    <t>Male HHs w/wealth, no occ stated</t>
    <phoneticPr fontId="20" type="noConversion"/>
  </si>
  <si>
    <r>
      <t>EXTRA EARNERS IMPORTED</t>
    </r>
    <r>
      <rPr>
        <sz val="12"/>
        <rFont val="Arial"/>
      </rPr>
      <t xml:space="preserve"> (using assumptions described in the "sources and notes" note (G.).)</t>
    </r>
    <phoneticPr fontId="20" type="noConversion"/>
  </si>
  <si>
    <t>Free LF imports = sum of LF-HH, whole place</t>
    <phoneticPr fontId="20" type="noConversion"/>
  </si>
  <si>
    <t>Adult male</t>
    <phoneticPr fontId="20" type="noConversion"/>
  </si>
  <si>
    <t>Adult female</t>
    <phoneticPr fontId="20" type="noConversion"/>
  </si>
  <si>
    <t>Single white males, 21 years and older</t>
    <phoneticPr fontId="20" type="noConversion"/>
  </si>
  <si>
    <t>Single white females, 21 years and older</t>
    <phoneticPr fontId="20" type="noConversion"/>
  </si>
  <si>
    <t>England</t>
    <phoneticPr fontId="20" type="noConversion"/>
  </si>
  <si>
    <t>Colonies</t>
    <phoneticPr fontId="20" type="noConversion"/>
  </si>
  <si>
    <t>Female HHs w/wealth, no occ stated</t>
    <phoneticPr fontId="20" type="noConversion"/>
  </si>
  <si>
    <t>All free HHs</t>
    <phoneticPr fontId="20" type="noConversion"/>
  </si>
  <si>
    <t>South</t>
  </si>
  <si>
    <t xml:space="preserve">imported into free families is the same for all free families in that place.  We assume no correlation between earning power of </t>
    <phoneticPr fontId="20" type="noConversion"/>
  </si>
  <si>
    <t>and towns</t>
    <phoneticPr fontId="20" type="noConversion"/>
  </si>
  <si>
    <t>13 Colonies</t>
    <phoneticPr fontId="20" type="noConversion"/>
  </si>
  <si>
    <t>again</t>
    <phoneticPr fontId="20" type="noConversion"/>
  </si>
  <si>
    <t>HHs + Ms =</t>
    <phoneticPr fontId="20" type="noConversion"/>
  </si>
  <si>
    <t>South</t>
    <phoneticPr fontId="20" type="noConversion"/>
  </si>
  <si>
    <t>Group 8</t>
    <phoneticPr fontId="20" type="noConversion"/>
  </si>
  <si>
    <t xml:space="preserve">Thus in terms of income per LF member, the </t>
    <phoneticPr fontId="20" type="noConversion"/>
  </si>
  <si>
    <t>(Matches Panel (L.) on Worksheet (2).)</t>
    <phoneticPr fontId="20" type="noConversion"/>
  </si>
  <si>
    <t>Totals for this Philadelphia sub-sample</t>
    <phoneticPr fontId="20" type="noConversion"/>
  </si>
  <si>
    <t>INEQUALITY AMONG FREE HOUSEHOLDS</t>
    <phoneticPr fontId="20" type="noConversion"/>
  </si>
  <si>
    <t>Occupational group</t>
    <phoneticPr fontId="20" type="noConversion"/>
  </si>
  <si>
    <t>Farm operators - top 2% in property</t>
  </si>
  <si>
    <t>NYC, Philly</t>
  </si>
  <si>
    <t>*Slaves ages 10 up, retained earnings</t>
  </si>
  <si>
    <t>Charleston</t>
  </si>
  <si>
    <t>Group 2-3</t>
  </si>
  <si>
    <t>All</t>
    <phoneticPr fontId="20" type="noConversion"/>
  </si>
  <si>
    <t>All 13 col's</t>
    <phoneticPr fontId="20" type="noConversion"/>
  </si>
  <si>
    <t>Rates of imported LF per household</t>
    <phoneticPr fontId="20" type="noConversion"/>
  </si>
  <si>
    <t>Males 13-21</t>
    <phoneticPr fontId="20" type="noConversion"/>
  </si>
  <si>
    <t>Fem 13-18</t>
    <phoneticPr fontId="20" type="noConversion"/>
  </si>
  <si>
    <t>Colonies</t>
    <phoneticPr fontId="20" type="noConversion"/>
  </si>
  <si>
    <t>MD white male servants</t>
    <phoneticPr fontId="20" type="noConversion"/>
  </si>
  <si>
    <t>Group 18B</t>
    <phoneticPr fontId="20" type="noConversion"/>
  </si>
  <si>
    <t>MD white female servants</t>
    <phoneticPr fontId="20" type="noConversion"/>
  </si>
  <si>
    <t>labor force</t>
    <phoneticPr fontId="20" type="noConversion"/>
  </si>
  <si>
    <t>LF</t>
    <phoneticPr fontId="20" type="noConversion"/>
  </si>
  <si>
    <t>Region</t>
    <phoneticPr fontId="20" type="noConversion"/>
  </si>
  <si>
    <t>rural</t>
    <phoneticPr fontId="20" type="noConversion"/>
  </si>
  <si>
    <t>Groups</t>
    <phoneticPr fontId="20" type="noConversion"/>
  </si>
  <si>
    <t>*See "Sources &amp; notes" worksheet for the colony-specific exchange rates.</t>
    <phoneticPr fontId="20" type="noConversion"/>
  </si>
  <si>
    <t>(2) Moving the free non-heads, and their earnings, to others' households.</t>
    <phoneticPr fontId="20" type="noConversion"/>
  </si>
  <si>
    <t>(rural only)</t>
  </si>
  <si>
    <t>% error</t>
    <phoneticPr fontId="20" type="noConversion"/>
  </si>
  <si>
    <t>(D1.) Labor force (LF), by their own occupations</t>
    <phoneticPr fontId="20" type="noConversion"/>
  </si>
  <si>
    <t>Contrib's</t>
    <phoneticPr fontId="20" type="noConversion"/>
  </si>
  <si>
    <t>Gini =</t>
    <phoneticPr fontId="20" type="noConversion"/>
  </si>
  <si>
    <t>Group definition</t>
    <phoneticPr fontId="20" type="noConversion"/>
  </si>
  <si>
    <t>South</t>
    <phoneticPr fontId="20" type="noConversion"/>
  </si>
  <si>
    <t>HH share</t>
    <phoneticPr fontId="20" type="noConversion"/>
  </si>
  <si>
    <t>income share</t>
    <phoneticPr fontId="20" type="noConversion"/>
  </si>
  <si>
    <t>Ave income</t>
    <phoneticPr fontId="20" type="noConversion"/>
  </si>
  <si>
    <t>Mean $:</t>
    <phoneticPr fontId="20" type="noConversion"/>
  </si>
  <si>
    <t>Median $:</t>
    <phoneticPr fontId="20" type="noConversion"/>
  </si>
  <si>
    <t>Total own-</t>
    <phoneticPr fontId="20" type="noConversion"/>
  </si>
  <si>
    <t>and</t>
    <phoneticPr fontId="20" type="noConversion"/>
  </si>
  <si>
    <t>towns</t>
    <phoneticPr fontId="20" type="noConversion"/>
  </si>
  <si>
    <t>not by individual occ's of non-household heads.  Thus a non-farm</t>
    <phoneticPr fontId="20" type="noConversion"/>
  </si>
  <si>
    <t>•• NON-HEADS EXPORTED TO OTHER HOUSEHOLDS</t>
    <phoneticPr fontId="20" type="noConversion"/>
  </si>
  <si>
    <t>(D2.) Numbers of non-HHs, by their own occupations</t>
    <phoneticPr fontId="20" type="noConversion"/>
  </si>
  <si>
    <t>Big</t>
    <phoneticPr fontId="20" type="noConversion"/>
  </si>
  <si>
    <t>All</t>
    <phoneticPr fontId="20" type="noConversion"/>
  </si>
  <si>
    <t>Big</t>
    <phoneticPr fontId="20" type="noConversion"/>
  </si>
  <si>
    <t>Group 9</t>
    <phoneticPr fontId="20" type="noConversion"/>
  </si>
  <si>
    <t>Group 7</t>
    <phoneticPr fontId="20" type="noConversion"/>
  </si>
  <si>
    <t>The</t>
    <phoneticPr fontId="20" type="noConversion"/>
  </si>
  <si>
    <t>South</t>
    <phoneticPr fontId="20" type="noConversion"/>
  </si>
  <si>
    <t>(8) Inequality summary 1774</t>
    <phoneticPr fontId="20" type="noConversion"/>
  </si>
  <si>
    <t>participants</t>
    <phoneticPr fontId="20" type="noConversion"/>
  </si>
  <si>
    <t>households</t>
    <phoneticPr fontId="20" type="noConversion"/>
  </si>
  <si>
    <t>$/HH-year</t>
    <phoneticPr fontId="20" type="noConversion"/>
  </si>
  <si>
    <t>$/year</t>
    <phoneticPr fontId="20" type="noConversion"/>
  </si>
  <si>
    <t>HH share</t>
    <phoneticPr fontId="20" type="noConversion"/>
  </si>
  <si>
    <t>income share</t>
    <phoneticPr fontId="20" type="noConversion"/>
  </si>
  <si>
    <r>
      <t>(C.) Occupation Notes</t>
    </r>
    <r>
      <rPr>
        <sz val="12"/>
        <rFont val="Arial"/>
      </rPr>
      <t>:</t>
    </r>
    <phoneticPr fontId="20" type="noConversion"/>
  </si>
  <si>
    <t>Reminder: No error ranges are given here, and of course the figures are not imagined to be accurate to the last digit.</t>
    <phoneticPr fontId="20" type="noConversion"/>
  </si>
  <si>
    <t>to gini</t>
    <phoneticPr fontId="20" type="noConversion"/>
  </si>
  <si>
    <t>Group 5E</t>
  </si>
  <si>
    <t>$</t>
    <phoneticPr fontId="20" type="noConversion"/>
  </si>
  <si>
    <t>The previous-step files leading to this one = "Own-Labor Incomes 1774" and the three "Aggreg Property 1774 [New England, Mid Col's, South]" files.</t>
    <phoneticPr fontId="20" type="noConversion"/>
  </si>
  <si>
    <t>(Boston,</t>
    <phoneticPr fontId="20" type="noConversion"/>
  </si>
  <si>
    <t>Group 4A</t>
    <phoneticPr fontId="20" type="noConversion"/>
  </si>
  <si>
    <t>AVE. GROSS NIPA PROPERTY INCOME PER HOUSEHOLD</t>
    <phoneticPr fontId="20" type="noConversion"/>
  </si>
  <si>
    <t>Free HHs with property</t>
    <phoneticPr fontId="20" type="noConversion"/>
  </si>
  <si>
    <t>•• NON-HEADS IMPORTED BY HOUSEHOLDS</t>
    <phoneticPr fontId="20" type="noConversion"/>
  </si>
  <si>
    <t xml:space="preserve">  ==&gt;</t>
    <phoneticPr fontId="20" type="noConversion"/>
  </si>
  <si>
    <t>All</t>
    <phoneticPr fontId="20" type="noConversion"/>
  </si>
  <si>
    <t>% share</t>
    <phoneticPr fontId="20" type="noConversion"/>
  </si>
  <si>
    <t>Group 8</t>
    <phoneticPr fontId="20" type="noConversion"/>
  </si>
  <si>
    <t>Landholders (assumed to be part of the farm population)</t>
    <phoneticPr fontId="20" type="noConversion"/>
  </si>
  <si>
    <t>[Sample too small to be used.]</t>
    <phoneticPr fontId="20" type="noConversion"/>
  </si>
  <si>
    <t>LF per</t>
    <phoneticPr fontId="20" type="noConversion"/>
  </si>
  <si>
    <t>no. of HHs</t>
    <phoneticPr fontId="20" type="noConversion"/>
  </si>
  <si>
    <t>free LF</t>
    <phoneticPr fontId="20" type="noConversion"/>
  </si>
  <si>
    <t>Colonies</t>
    <phoneticPr fontId="20" type="noConversion"/>
  </si>
  <si>
    <t>all match totals in "1774 occs ... d" file.</t>
    <phoneticPr fontId="20" type="noConversion"/>
  </si>
  <si>
    <t>New Eng</t>
    <phoneticPr fontId="20" type="noConversion"/>
  </si>
  <si>
    <t>New Eng</t>
    <phoneticPr fontId="20" type="noConversion"/>
  </si>
  <si>
    <t>rural, towns</t>
  </si>
  <si>
    <t>Boston</t>
  </si>
  <si>
    <t>(Assume the exported non-HHs have the same average rates of earnings</t>
    <phoneticPr fontId="20" type="noConversion"/>
  </si>
  <si>
    <t>Unskilled female workers</t>
    <phoneticPr fontId="20" type="noConversion"/>
  </si>
  <si>
    <t>Group 7</t>
    <phoneticPr fontId="20" type="noConversion"/>
  </si>
  <si>
    <t>Farm operators - 0-39th%</t>
  </si>
  <si>
    <t xml:space="preserve">3-col non-city farm op HHs = </t>
    <phoneticPr fontId="20" type="noConversion"/>
  </si>
  <si>
    <t xml:space="preserve">NY non-city farm op HHs = </t>
    <phoneticPr fontId="20" type="noConversion"/>
  </si>
  <si>
    <t xml:space="preserve">4-col non-city farm op HHs = </t>
    <phoneticPr fontId="20" type="noConversion"/>
  </si>
  <si>
    <t xml:space="preserve">3-col non-city farm LF = </t>
    <phoneticPr fontId="20" type="noConversion"/>
  </si>
  <si>
    <t xml:space="preserve">NY non-city farm LF = </t>
    <phoneticPr fontId="20" type="noConversion"/>
  </si>
  <si>
    <t xml:space="preserve">4-col non-city farm LF = </t>
    <phoneticPr fontId="20" type="noConversion"/>
  </si>
  <si>
    <t>The number of farm operator HHs -&gt;</t>
    <phoneticPr fontId="20" type="noConversion"/>
  </si>
  <si>
    <t>Implied property income shares (%) of total income</t>
    <phoneticPr fontId="20" type="noConversion"/>
  </si>
  <si>
    <t>•• TOTAL RE-CONSTITUTED HOUSEHOLDS</t>
    <phoneticPr fontId="20" type="noConversion"/>
  </si>
  <si>
    <t>Thirteen</t>
    <phoneticPr fontId="20" type="noConversion"/>
  </si>
  <si>
    <t>from the "Own-Labor Incomes 1774" file</t>
    <phoneticPr fontId="20" type="noConversion"/>
  </si>
  <si>
    <t>of which, NY =</t>
    <phoneticPr fontId="20" type="noConversion"/>
  </si>
  <si>
    <t>AVERAGE OWN-LABOR EARNINGS PER HH, in $*</t>
    <phoneticPr fontId="20" type="noConversion"/>
  </si>
  <si>
    <t xml:space="preserve">If light weights were given to Massachusetts and Virginia, and heavy weights to NY and the Carolinas, the 0.93468 ratio implied by Jones might work.  </t>
  </si>
  <si>
    <t>In the Middle Colonies, there were only 1.26 LF members</t>
    <phoneticPr fontId="20" type="noConversion"/>
  </si>
  <si>
    <t xml:space="preserve"> = HHs + Xs</t>
    <phoneticPr fontId="20" type="noConversion"/>
  </si>
  <si>
    <t>$M-$X =</t>
    <phoneticPr fontId="20" type="noConversion"/>
  </si>
  <si>
    <t>(H.) Assumptions about the non-head earners "imported" or "taken into" the households of others</t>
    <phoneticPr fontId="20" type="noConversion"/>
  </si>
  <si>
    <t>(I.) Special assumptions about average property income:</t>
    <phoneticPr fontId="20" type="noConversion"/>
  </si>
  <si>
    <t>Free</t>
    <phoneticPr fontId="20" type="noConversion"/>
  </si>
  <si>
    <t>Total</t>
    <phoneticPr fontId="20" type="noConversion"/>
  </si>
  <si>
    <t>All</t>
    <phoneticPr fontId="20" type="noConversion"/>
  </si>
  <si>
    <t>thirteen</t>
    <phoneticPr fontId="20" type="noConversion"/>
  </si>
  <si>
    <t>colonies</t>
    <phoneticPr fontId="20" type="noConversion"/>
  </si>
  <si>
    <t>Four</t>
    <phoneticPr fontId="20" type="noConversion"/>
  </si>
  <si>
    <t>Farm operators - 40th-79th%</t>
  </si>
  <si>
    <t>Farm operators - next 18%</t>
  </si>
  <si>
    <t>INEQUALITY AMONG ALL HOUSEHOLDS</t>
    <phoneticPr fontId="20" type="noConversion"/>
  </si>
  <si>
    <t>check HHs + Xs =</t>
    <phoneticPr fontId="20" type="noConversion"/>
  </si>
  <si>
    <t>These match the total LF numbers</t>
    <phoneticPr fontId="20" type="noConversion"/>
  </si>
  <si>
    <t>in the "Own-labor incomes 1774" file</t>
    <phoneticPr fontId="20" type="noConversion"/>
  </si>
  <si>
    <t>Charleston)</t>
    <phoneticPr fontId="20" type="noConversion"/>
  </si>
  <si>
    <t>Group 6A</t>
    <phoneticPr fontId="20" type="noConversion"/>
  </si>
  <si>
    <t>Unskilled male workers</t>
    <phoneticPr fontId="20" type="noConversion"/>
  </si>
  <si>
    <t>(See note at the bottom of these columns.)</t>
    <phoneticPr fontId="20" type="noConversion"/>
  </si>
  <si>
    <t>Check:</t>
    <phoneticPr fontId="20" type="noConversion"/>
  </si>
  <si>
    <t>worker can be in a farmer's household, and a farm worker in a</t>
    <phoneticPr fontId="20" type="noConversion"/>
  </si>
  <si>
    <t xml:space="preserve">non-farmer's household.  </t>
    <phoneticPr fontId="20" type="noConversion"/>
  </si>
  <si>
    <t>LABOR FORCE</t>
    <phoneticPr fontId="20" type="noConversion"/>
  </si>
  <si>
    <t>From "Wage data" via "Own-labor incomes 1774"</t>
    <phoneticPr fontId="20" type="noConversion"/>
  </si>
  <si>
    <t>This (B.) panel re-checked against "Own-Labor</t>
    <phoneticPr fontId="20" type="noConversion"/>
  </si>
  <si>
    <t>incomes 1774 d" file, 23 apr'2011. No changes.</t>
    <phoneticPr fontId="20" type="noConversion"/>
  </si>
  <si>
    <t>Slaves ages 10 up, retained earnings*</t>
  </si>
  <si>
    <t>Free HHs with property</t>
    <phoneticPr fontId="20" type="noConversion"/>
  </si>
  <si>
    <t>All free households</t>
    <phoneticPr fontId="20" type="noConversion"/>
  </si>
  <si>
    <t>from the "Own-Labor Incomes 1774" file.</t>
    <phoneticPr fontId="20" type="noConversion"/>
  </si>
  <si>
    <t>only</t>
    <phoneticPr fontId="20" type="noConversion"/>
  </si>
  <si>
    <t>All-occ totals are zero, as they should be.</t>
    <phoneticPr fontId="20" type="noConversion"/>
  </si>
  <si>
    <t>Memo: (Net LF imports) per HH of this occ</t>
    <phoneticPr fontId="20" type="noConversion"/>
  </si>
  <si>
    <t>Difference from Worksheet (2)</t>
    <phoneticPr fontId="20" type="noConversion"/>
  </si>
  <si>
    <t>Middle</t>
    <phoneticPr fontId="20" type="noConversion"/>
  </si>
  <si>
    <t>From the three files "Aggreg Property 1774 [name of region]"</t>
    <phoneticPr fontId="20" type="noConversion"/>
  </si>
  <si>
    <t>(3) For each region and urban/rural (e.g. New England big cities, or rural South), the non-heads and their individual earnings are absorbed into the same region and place.</t>
    <phoneticPr fontId="20" type="noConversion"/>
  </si>
  <si>
    <t>Female</t>
    <phoneticPr fontId="20" type="noConversion"/>
  </si>
  <si>
    <t>Both</t>
    <phoneticPr fontId="20" type="noConversion"/>
  </si>
  <si>
    <t>to gini</t>
    <phoneticPr fontId="20" type="noConversion"/>
  </si>
  <si>
    <t>Re-checking farm operators' LF by persons' OWN occ's (Variant B)</t>
    <phoneticPr fontId="20" type="noConversion"/>
  </si>
  <si>
    <t>Re-checking labor force in farmer-headed households (urban + rural)</t>
    <phoneticPr fontId="20" type="noConversion"/>
  </si>
  <si>
    <t>Reminder from the "Occ's 1774" file: These group by HH's occ,</t>
    <phoneticPr fontId="20" type="noConversion"/>
  </si>
  <si>
    <t>Reminder: These are incomes per household,</t>
    <phoneticPr fontId="20" type="noConversion"/>
  </si>
  <si>
    <t>Lindert-</t>
    <phoneticPr fontId="20" type="noConversion"/>
  </si>
  <si>
    <t>Williamson</t>
    <phoneticPr fontId="20" type="noConversion"/>
  </si>
  <si>
    <t>error check =</t>
    <phoneticPr fontId="20" type="noConversion"/>
  </si>
  <si>
    <t>Sources and notes to the "Total incomes 1774" file</t>
    <phoneticPr fontId="20" type="noConversion"/>
  </si>
  <si>
    <t>from the "Own-Labor Incomes 1774" file -&gt;</t>
    <phoneticPr fontId="20" type="noConversion"/>
  </si>
  <si>
    <t>Farm operators - all, New York</t>
  </si>
  <si>
    <t>rural, towns</t>
    <phoneticPr fontId="20" type="noConversion"/>
  </si>
  <si>
    <t>NYC, Philly</t>
    <phoneticPr fontId="20" type="noConversion"/>
  </si>
  <si>
    <t>Region</t>
    <phoneticPr fontId="20" type="noConversion"/>
  </si>
  <si>
    <t>rural</t>
    <phoneticPr fontId="20" type="noConversion"/>
  </si>
  <si>
    <t>Groups</t>
    <phoneticPr fontId="20" type="noConversion"/>
  </si>
  <si>
    <t>Group definition</t>
    <phoneticPr fontId="20" type="noConversion"/>
  </si>
  <si>
    <t xml:space="preserve">[Note: For the Middle colonies, the gini coefficient and Lorenz-curve shares calculated on this worksheet have not yet </t>
    <phoneticPr fontId="20" type="noConversion"/>
  </si>
  <si>
    <t>been corrected for the slight changes in the slave HH numbers.  The 13-colony aggregates on worksheet (7) have already been corrected, however.]</t>
    <phoneticPr fontId="20" type="noConversion"/>
  </si>
  <si>
    <t xml:space="preserve"> &lt;- from the "Own-Labor Incomes 1774" file</t>
    <phoneticPr fontId="20" type="noConversion"/>
  </si>
  <si>
    <t>was</t>
    <phoneticPr fontId="20" type="noConversion"/>
  </si>
  <si>
    <t>(AL29-AL42)/(AC29-AC42)</t>
    <phoneticPr fontId="20" type="noConversion"/>
  </si>
  <si>
    <t>Slave annual earnings: Derived as free labor force average location/occupation earnings times the assumed slave retention rate (see " Slave earnings divided"</t>
    <phoneticPr fontId="20" type="noConversion"/>
  </si>
  <si>
    <t>worksheet in the "Own labor incomes 1774" Excel file). The retention rates (%) are:</t>
    <phoneticPr fontId="20" type="noConversion"/>
  </si>
  <si>
    <t>Group 19, slaves, earnings:  See the worksheet on slave earnings and their retention share in the Excel file "Own-labor incomes 1774".</t>
    <phoneticPr fontId="20" type="noConversion"/>
  </si>
  <si>
    <r>
      <t>(E.) Slave earnings</t>
    </r>
    <r>
      <rPr>
        <sz val="12"/>
        <rFont val="Arial"/>
      </rPr>
      <t>:</t>
    </r>
    <phoneticPr fontId="20" type="noConversion"/>
  </si>
  <si>
    <r>
      <t>(F.) Slave headship rates</t>
    </r>
    <r>
      <rPr>
        <sz val="12"/>
        <rFont val="Arial"/>
      </rPr>
      <t>:  Worksheet (2) assumed that of the slave population over age 10, which is also used as the slave labor force, 35 percent were household heads.</t>
    </r>
    <phoneticPr fontId="20" type="noConversion"/>
  </si>
  <si>
    <r>
      <t>(G.) Exchange rates for converting colony-specific £sd into the dollars shown here</t>
    </r>
    <r>
      <rPr>
        <sz val="12"/>
        <rFont val="Arial"/>
      </rPr>
      <t>:</t>
    </r>
    <phoneticPr fontId="20" type="noConversion"/>
  </si>
  <si>
    <t>implied by other authors for 1774? Provisionally, we set £1 sterling = $4.44 in 1774.</t>
    <phoneticPr fontId="20" type="noConversion"/>
  </si>
  <si>
    <t>average earnings for white-collar groups in rural areas were assumed to equal the documented earnings of the same groups in small cities of each same region.</t>
    <phoneticPr fontId="20" type="noConversion"/>
  </si>
  <si>
    <t>For other, more narrowly focused, assumptions about earnings, see the accompanying worksheets.  Example: For New England or for Middle Colonies, the undocumented</t>
    <phoneticPr fontId="20" type="noConversion"/>
  </si>
  <si>
    <t>It is also approximately the share of the over-10 slve population that were males over 21 on small plantations in Prince Groege's County Maryland in 1776.</t>
    <phoneticPr fontId="20" type="noConversion"/>
  </si>
  <si>
    <r>
      <t xml:space="preserve">According to Allan Kulikoff, </t>
    </r>
    <r>
      <rPr>
        <i/>
        <sz val="12"/>
        <rFont val="Arial"/>
      </rPr>
      <t>Tobacco and Slaves</t>
    </r>
    <r>
      <rPr>
        <sz val="12"/>
        <rFont val="Arial"/>
      </rPr>
      <t xml:space="preserve"> (1986, p. 372), the share of those over 10 who were males over 15 was 38.6 percent.  </t>
    </r>
    <phoneticPr fontId="20" type="noConversion"/>
  </si>
  <si>
    <t>It seems plausible that the household headship rate could have been 35 percent of those over 10.</t>
    <phoneticPr fontId="20" type="noConversion"/>
  </si>
</sst>
</file>

<file path=xl/styles.xml><?xml version="1.0" encoding="utf-8"?>
<styleSheet xmlns="http://schemas.openxmlformats.org/spreadsheetml/2006/main">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0.0"/>
    <numFmt numFmtId="169" formatCode="0.000"/>
    <numFmt numFmtId="170" formatCode="0.00000"/>
    <numFmt numFmtId="171" formatCode="0.000000"/>
    <numFmt numFmtId="172" formatCode="0.0000000"/>
    <numFmt numFmtId="173" formatCode="0,000"/>
    <numFmt numFmtId="174" formatCode="00,000"/>
  </numFmts>
  <fonts count="39">
    <font>
      <sz val="10"/>
      <name val="Arial"/>
    </font>
    <font>
      <sz val="10"/>
      <name val="Arial"/>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Verdana"/>
    </font>
    <font>
      <b/>
      <sz val="12"/>
      <name val="Arial"/>
    </font>
    <font>
      <sz val="12"/>
      <name val="Arial"/>
    </font>
    <font>
      <i/>
      <sz val="12"/>
      <name val="Arial"/>
    </font>
    <font>
      <b/>
      <sz val="14"/>
      <color indexed="10"/>
      <name val="Arial"/>
    </font>
    <font>
      <u/>
      <sz val="12"/>
      <name val="Arial"/>
    </font>
    <font>
      <sz val="14"/>
      <name val="Arial"/>
    </font>
    <font>
      <sz val="12"/>
      <color indexed="10"/>
      <name val="Arial"/>
    </font>
    <font>
      <b/>
      <u/>
      <sz val="12"/>
      <name val="Arial"/>
    </font>
    <font>
      <sz val="12"/>
      <color indexed="8"/>
      <name val="Arial"/>
    </font>
    <font>
      <b/>
      <sz val="16"/>
      <color indexed="10"/>
      <name val="Arial"/>
    </font>
    <font>
      <b/>
      <sz val="12"/>
      <color indexed="10"/>
      <name val="Arial"/>
    </font>
    <font>
      <u/>
      <sz val="10"/>
      <name val="Arial"/>
    </font>
    <font>
      <u/>
      <sz val="12"/>
      <color indexed="10"/>
      <name val="Arial"/>
    </font>
    <font>
      <sz val="10"/>
      <color indexed="10"/>
      <name val="Arial"/>
    </font>
    <font>
      <sz val="10"/>
      <color indexed="8"/>
      <name val="Arial"/>
    </font>
    <font>
      <sz val="11"/>
      <color indexed="10"/>
      <name val="Arial"/>
    </font>
    <font>
      <sz val="11"/>
      <name val="Arial"/>
    </font>
    <font>
      <sz val="18"/>
      <color indexed="10"/>
      <name val="Arial"/>
    </font>
  </fonts>
  <fills count="32">
    <fill>
      <patternFill patternType="none"/>
    </fill>
    <fill>
      <patternFill patternType="gray125"/>
    </fill>
    <fill>
      <patternFill patternType="solid">
        <fgColor indexed="15"/>
        <bgColor indexed="64"/>
      </patternFill>
    </fill>
    <fill>
      <patternFill patternType="solid">
        <fgColor indexed="41"/>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s>
  <cellStyleXfs count="42">
    <xf numFmtId="0" fontId="0" fillId="0" borderId="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7" borderId="0" applyNumberFormat="0" applyBorder="0" applyAlignment="0" applyProtection="0"/>
    <xf numFmtId="0" fontId="5" fillId="11" borderId="0" applyNumberFormat="0" applyBorder="0" applyAlignment="0" applyProtection="0"/>
    <xf numFmtId="0" fontId="6" fillId="28" borderId="20" applyNumberFormat="0" applyAlignment="0" applyProtection="0"/>
    <xf numFmtId="0" fontId="7" fillId="29" borderId="21" applyNumberFormat="0" applyAlignment="0" applyProtection="0"/>
    <xf numFmtId="0" fontId="8" fillId="0" borderId="0" applyNumberFormat="0" applyFill="0" applyBorder="0" applyAlignment="0" applyProtection="0"/>
    <xf numFmtId="0" fontId="9" fillId="12" borderId="0" applyNumberFormat="0" applyBorder="0" applyAlignment="0" applyProtection="0"/>
    <xf numFmtId="0" fontId="10" fillId="0" borderId="22" applyNumberFormat="0" applyFill="0" applyAlignment="0" applyProtection="0"/>
    <xf numFmtId="0" fontId="11" fillId="0" borderId="23" applyNumberFormat="0" applyFill="0" applyAlignment="0" applyProtection="0"/>
    <xf numFmtId="0" fontId="12" fillId="0" borderId="24" applyNumberFormat="0" applyFill="0" applyAlignment="0" applyProtection="0"/>
    <xf numFmtId="0" fontId="12" fillId="0" borderId="0" applyNumberFormat="0" applyFill="0" applyBorder="0" applyAlignment="0" applyProtection="0"/>
    <xf numFmtId="0" fontId="13" fillId="15" borderId="20" applyNumberFormat="0" applyAlignment="0" applyProtection="0"/>
    <xf numFmtId="0" fontId="14" fillId="0" borderId="25" applyNumberFormat="0" applyFill="0" applyAlignment="0" applyProtection="0"/>
    <xf numFmtId="0" fontId="15" fillId="30" borderId="0" applyNumberFormat="0" applyBorder="0" applyAlignment="0" applyProtection="0"/>
    <xf numFmtId="0" fontId="2" fillId="31" borderId="26" applyNumberFormat="0" applyFont="0" applyAlignment="0" applyProtection="0"/>
    <xf numFmtId="0" fontId="16" fillId="28" borderId="27" applyNumberFormat="0" applyAlignment="0" applyProtection="0"/>
    <xf numFmtId="0" fontId="17" fillId="0" borderId="0" applyNumberFormat="0" applyFill="0" applyBorder="0" applyAlignment="0" applyProtection="0"/>
    <xf numFmtId="0" fontId="18" fillId="0" borderId="28" applyNumberFormat="0" applyFill="0" applyAlignment="0" applyProtection="0"/>
    <xf numFmtId="0" fontId="19" fillId="0" borderId="0" applyNumberFormat="0" applyFill="0" applyBorder="0" applyAlignment="0" applyProtection="0"/>
  </cellStyleXfs>
  <cellXfs count="428">
    <xf numFmtId="0" fontId="0" fillId="0" borderId="0" xfId="0"/>
    <xf numFmtId="0" fontId="22" fillId="0" borderId="0" xfId="0" applyFont="1"/>
    <xf numFmtId="1" fontId="22" fillId="0" borderId="0" xfId="0" applyNumberFormat="1" applyFont="1" applyAlignment="1"/>
    <xf numFmtId="0" fontId="25" fillId="0" borderId="0" xfId="0" applyFont="1"/>
    <xf numFmtId="0" fontId="22" fillId="0" borderId="0" xfId="0" applyFont="1" applyAlignment="1"/>
    <xf numFmtId="0" fontId="22" fillId="0" borderId="0" xfId="0" applyFont="1" applyFill="1" applyBorder="1" applyAlignment="1"/>
    <xf numFmtId="169" fontId="22" fillId="0" borderId="0" xfId="0" applyNumberFormat="1" applyFont="1"/>
    <xf numFmtId="2" fontId="22" fillId="0" borderId="0" xfId="0" applyNumberFormat="1" applyFont="1"/>
    <xf numFmtId="0" fontId="22" fillId="0" borderId="0" xfId="0" applyFont="1" applyAlignment="1">
      <alignment horizontal="right"/>
    </xf>
    <xf numFmtId="0" fontId="25" fillId="0" borderId="0" xfId="0" applyFont="1" applyAlignment="1">
      <alignment horizontal="right"/>
    </xf>
    <xf numFmtId="0" fontId="22" fillId="0" borderId="1" xfId="0" applyFont="1" applyBorder="1"/>
    <xf numFmtId="2" fontId="22" fillId="0" borderId="0" xfId="0" applyNumberFormat="1" applyFont="1"/>
    <xf numFmtId="0" fontId="22" fillId="0" borderId="0" xfId="0" applyFont="1" applyAlignment="1">
      <alignment horizontal="center"/>
    </xf>
    <xf numFmtId="0" fontId="22" fillId="7" borderId="11" xfId="0" applyFont="1" applyFill="1" applyBorder="1" applyAlignment="1">
      <alignment horizontal="center"/>
    </xf>
    <xf numFmtId="0" fontId="22" fillId="7" borderId="12" xfId="0" applyFont="1" applyFill="1" applyBorder="1" applyAlignment="1">
      <alignment horizontal="center"/>
    </xf>
    <xf numFmtId="0" fontId="22" fillId="7" borderId="13" xfId="0" applyFont="1" applyFill="1" applyBorder="1" applyAlignment="1">
      <alignment horizontal="center"/>
    </xf>
    <xf numFmtId="0" fontId="22" fillId="8" borderId="11" xfId="0" applyFont="1" applyFill="1" applyBorder="1" applyAlignment="1">
      <alignment horizontal="center"/>
    </xf>
    <xf numFmtId="0" fontId="22" fillId="8" borderId="12" xfId="0" applyFont="1" applyFill="1" applyBorder="1" applyAlignment="1">
      <alignment horizontal="center"/>
    </xf>
    <xf numFmtId="0" fontId="22" fillId="8" borderId="13" xfId="0" applyFont="1" applyFill="1" applyBorder="1" applyAlignment="1">
      <alignment horizontal="center"/>
    </xf>
    <xf numFmtId="1" fontId="22" fillId="0" borderId="0" xfId="0" applyNumberFormat="1" applyFont="1"/>
    <xf numFmtId="1" fontId="22" fillId="0" borderId="4" xfId="0" applyNumberFormat="1" applyFont="1" applyBorder="1"/>
    <xf numFmtId="1" fontId="22" fillId="0" borderId="5" xfId="0" applyNumberFormat="1" applyFont="1" applyBorder="1"/>
    <xf numFmtId="1" fontId="22" fillId="0" borderId="0" xfId="0" applyNumberFormat="1" applyFont="1" applyAlignment="1">
      <alignment horizontal="right"/>
    </xf>
    <xf numFmtId="1" fontId="0" fillId="0" borderId="0" xfId="0" applyNumberFormat="1"/>
    <xf numFmtId="0" fontId="22" fillId="0" borderId="0" xfId="0" applyFont="1" applyAlignment="1">
      <alignment horizontal="center" vertical="center"/>
    </xf>
    <xf numFmtId="0" fontId="22" fillId="0" borderId="0" xfId="0" applyFont="1" applyAlignment="1"/>
    <xf numFmtId="0" fontId="22" fillId="0" borderId="0" xfId="0" applyNumberFormat="1" applyFont="1" applyAlignment="1"/>
    <xf numFmtId="0" fontId="22" fillId="0" borderId="0" xfId="0" applyFont="1" applyAlignment="1">
      <alignment horizontal="center"/>
    </xf>
    <xf numFmtId="2" fontId="22" fillId="0" borderId="0" xfId="0" applyNumberFormat="1" applyFont="1"/>
    <xf numFmtId="2" fontId="22" fillId="0" borderId="3" xfId="0" applyNumberFormat="1" applyFont="1" applyBorder="1" applyAlignment="1"/>
    <xf numFmtId="2" fontId="22" fillId="0" borderId="0" xfId="0" applyNumberFormat="1" applyFont="1" applyAlignment="1">
      <alignment horizontal="right"/>
    </xf>
    <xf numFmtId="2" fontId="0" fillId="0" borderId="0" xfId="0" applyNumberFormat="1"/>
    <xf numFmtId="1" fontId="22" fillId="0" borderId="0" xfId="0" applyNumberFormat="1" applyFont="1"/>
    <xf numFmtId="1" fontId="22" fillId="0" borderId="4" xfId="0" applyNumberFormat="1" applyFont="1" applyBorder="1"/>
    <xf numFmtId="1" fontId="22" fillId="0" borderId="5" xfId="0" applyNumberFormat="1" applyFont="1" applyBorder="1"/>
    <xf numFmtId="1" fontId="22" fillId="0" borderId="0" xfId="0" applyNumberFormat="1" applyFont="1" applyAlignment="1">
      <alignment horizontal="right"/>
    </xf>
    <xf numFmtId="1" fontId="0" fillId="0" borderId="0" xfId="0" applyNumberFormat="1"/>
    <xf numFmtId="0" fontId="22" fillId="0" borderId="0" xfId="0" applyFont="1" applyAlignment="1">
      <alignment horizontal="right" vertical="center"/>
    </xf>
    <xf numFmtId="0" fontId="25" fillId="0" borderId="0" xfId="0" applyFont="1" applyAlignment="1">
      <alignment horizontal="center"/>
    </xf>
    <xf numFmtId="0" fontId="24" fillId="0" borderId="0" xfId="0" applyFont="1"/>
    <xf numFmtId="0" fontId="26" fillId="0" borderId="0" xfId="0" applyFont="1"/>
    <xf numFmtId="17" fontId="0" fillId="0" borderId="0" xfId="0" applyNumberFormat="1"/>
    <xf numFmtId="1" fontId="22" fillId="0" borderId="0" xfId="0" applyNumberFormat="1" applyFont="1" applyAlignment="1"/>
    <xf numFmtId="0" fontId="22" fillId="0" borderId="0" xfId="0" applyFont="1" applyAlignment="1"/>
    <xf numFmtId="1" fontId="22" fillId="0" borderId="0" xfId="0" applyNumberFormat="1" applyFont="1" applyBorder="1"/>
    <xf numFmtId="173" fontId="22" fillId="0" borderId="0" xfId="0" applyNumberFormat="1" applyFont="1" applyBorder="1"/>
    <xf numFmtId="2" fontId="22" fillId="0" borderId="0" xfId="0" applyNumberFormat="1" applyFont="1" applyBorder="1" applyAlignment="1">
      <alignment horizontal="right"/>
    </xf>
    <xf numFmtId="2" fontId="22" fillId="0" borderId="0" xfId="0" applyNumberFormat="1" applyFont="1"/>
    <xf numFmtId="0" fontId="28" fillId="0" borderId="0" xfId="0" applyFont="1"/>
    <xf numFmtId="1" fontId="21" fillId="0" borderId="0" xfId="0" applyNumberFormat="1" applyFont="1"/>
    <xf numFmtId="1" fontId="22" fillId="0" borderId="0" xfId="0" applyNumberFormat="1" applyFont="1" applyBorder="1" applyAlignment="1">
      <alignment horizontal="right"/>
    </xf>
    <xf numFmtId="1" fontId="22" fillId="0" borderId="0" xfId="0" applyNumberFormat="1" applyFont="1" applyAlignment="1">
      <alignment horizontal="right"/>
    </xf>
    <xf numFmtId="168" fontId="22" fillId="0" borderId="0" xfId="0" applyNumberFormat="1" applyFont="1" applyAlignment="1">
      <alignment horizontal="right"/>
    </xf>
    <xf numFmtId="168" fontId="21" fillId="0" borderId="0" xfId="0" applyNumberFormat="1" applyFont="1"/>
    <xf numFmtId="168" fontId="22" fillId="0" borderId="0" xfId="0" applyNumberFormat="1" applyFont="1" applyBorder="1" applyAlignment="1">
      <alignment horizontal="right"/>
    </xf>
    <xf numFmtId="173" fontId="22" fillId="0" borderId="0" xfId="0" applyNumberFormat="1" applyFont="1" applyBorder="1" applyAlignment="1">
      <alignment horizontal="right"/>
    </xf>
    <xf numFmtId="1" fontId="22" fillId="0" borderId="0" xfId="0" applyNumberFormat="1" applyFont="1"/>
    <xf numFmtId="0" fontId="27" fillId="0" borderId="0" xfId="0" applyFont="1"/>
    <xf numFmtId="0" fontId="22" fillId="0" borderId="0" xfId="0" applyFont="1" applyFill="1"/>
    <xf numFmtId="2" fontId="22" fillId="0" borderId="0" xfId="0" applyNumberFormat="1" applyFont="1"/>
    <xf numFmtId="1" fontId="22" fillId="0" borderId="0" xfId="0" applyNumberFormat="1" applyFont="1"/>
    <xf numFmtId="0" fontId="22" fillId="0" borderId="0" xfId="0" applyFont="1" applyBorder="1" applyAlignment="1">
      <alignment horizontal="center"/>
    </xf>
    <xf numFmtId="0" fontId="21" fillId="0" borderId="0" xfId="0" applyFont="1"/>
    <xf numFmtId="2" fontId="22" fillId="0" borderId="2" xfId="0" applyNumberFormat="1" applyFont="1" applyBorder="1"/>
    <xf numFmtId="0" fontId="22" fillId="0" borderId="3" xfId="0" applyFont="1" applyBorder="1"/>
    <xf numFmtId="0" fontId="22" fillId="0" borderId="4" xfId="0" applyFont="1" applyBorder="1"/>
    <xf numFmtId="0" fontId="22" fillId="0" borderId="5" xfId="0" applyFont="1" applyBorder="1"/>
    <xf numFmtId="1" fontId="22" fillId="0" borderId="0" xfId="0" applyNumberFormat="1" applyFont="1"/>
    <xf numFmtId="1" fontId="22" fillId="0" borderId="0" xfId="0" applyNumberFormat="1" applyFont="1" applyAlignment="1">
      <alignment horizontal="right"/>
    </xf>
    <xf numFmtId="2" fontId="22" fillId="0" borderId="0" xfId="0" applyNumberFormat="1" applyFont="1"/>
    <xf numFmtId="2" fontId="22" fillId="0" borderId="3" xfId="0" applyNumberFormat="1" applyFont="1" applyBorder="1"/>
    <xf numFmtId="2" fontId="22" fillId="0" borderId="4" xfId="0" applyNumberFormat="1" applyFont="1" applyBorder="1"/>
    <xf numFmtId="2" fontId="22" fillId="0" borderId="5" xfId="0" applyNumberFormat="1" applyFont="1" applyBorder="1"/>
    <xf numFmtId="2" fontId="22" fillId="0" borderId="0" xfId="0" applyNumberFormat="1" applyFont="1" applyAlignment="1">
      <alignment horizontal="right"/>
    </xf>
    <xf numFmtId="1" fontId="22" fillId="0" borderId="0" xfId="0" applyNumberFormat="1" applyFont="1"/>
    <xf numFmtId="1" fontId="22" fillId="0" borderId="3" xfId="0" applyNumberFormat="1" applyFont="1" applyBorder="1"/>
    <xf numFmtId="1" fontId="22" fillId="0" borderId="5" xfId="0" applyNumberFormat="1" applyFont="1" applyBorder="1"/>
    <xf numFmtId="1" fontId="22" fillId="0" borderId="0" xfId="0" applyNumberFormat="1" applyFont="1" applyAlignment="1">
      <alignment horizontal="right"/>
    </xf>
    <xf numFmtId="1" fontId="22" fillId="6" borderId="0" xfId="0" applyNumberFormat="1" applyFont="1" applyFill="1"/>
    <xf numFmtId="0" fontId="22" fillId="6" borderId="0" xfId="0" applyFont="1" applyFill="1"/>
    <xf numFmtId="2" fontId="22" fillId="6" borderId="0" xfId="0" applyNumberFormat="1" applyFont="1" applyFill="1"/>
    <xf numFmtId="1" fontId="22" fillId="3" borderId="0" xfId="0" applyNumberFormat="1" applyFont="1" applyFill="1"/>
    <xf numFmtId="0" fontId="22" fillId="3" borderId="0" xfId="0" applyFont="1" applyFill="1"/>
    <xf numFmtId="0" fontId="22" fillId="4" borderId="0" xfId="0" applyFont="1" applyFill="1"/>
    <xf numFmtId="0" fontId="22" fillId="5" borderId="0" xfId="0" applyFont="1" applyFill="1"/>
    <xf numFmtId="2" fontId="22" fillId="0" borderId="0" xfId="0" applyNumberFormat="1" applyFont="1"/>
    <xf numFmtId="2" fontId="22" fillId="4" borderId="0" xfId="0" applyNumberFormat="1" applyFont="1" applyFill="1"/>
    <xf numFmtId="2" fontId="22" fillId="0" borderId="0" xfId="0" applyNumberFormat="1" applyFont="1" applyAlignment="1">
      <alignment horizontal="right"/>
    </xf>
    <xf numFmtId="2" fontId="21" fillId="0" borderId="0" xfId="0" applyNumberFormat="1" applyFont="1"/>
    <xf numFmtId="1" fontId="22" fillId="0" borderId="0" xfId="0" applyNumberFormat="1" applyFont="1"/>
    <xf numFmtId="0" fontId="22" fillId="0" borderId="0" xfId="0" applyFont="1" applyBorder="1"/>
    <xf numFmtId="0" fontId="21" fillId="5" borderId="0" xfId="0" applyFont="1" applyFill="1"/>
    <xf numFmtId="1" fontId="22" fillId="0" borderId="0" xfId="0" applyNumberFormat="1" applyFont="1"/>
    <xf numFmtId="1" fontId="22" fillId="0" borderId="0" xfId="0" applyNumberFormat="1" applyFont="1" applyFill="1"/>
    <xf numFmtId="2" fontId="22" fillId="0" borderId="0" xfId="0" applyNumberFormat="1" applyFont="1" applyFill="1"/>
    <xf numFmtId="2" fontId="22" fillId="0" borderId="0" xfId="0" applyNumberFormat="1" applyFont="1" applyFill="1"/>
    <xf numFmtId="2" fontId="22" fillId="0" borderId="0" xfId="0" applyNumberFormat="1" applyFont="1" applyFill="1"/>
    <xf numFmtId="1" fontId="22" fillId="0" borderId="0" xfId="0" applyNumberFormat="1" applyFont="1" applyFill="1"/>
    <xf numFmtId="0" fontId="22" fillId="0" borderId="0" xfId="0" applyFont="1" applyFill="1" applyAlignment="1">
      <alignment horizontal="right"/>
    </xf>
    <xf numFmtId="1" fontId="23" fillId="0" borderId="0" xfId="0" applyNumberFormat="1" applyFont="1" applyFill="1"/>
    <xf numFmtId="1" fontId="23" fillId="0" borderId="0" xfId="0" applyNumberFormat="1" applyFont="1"/>
    <xf numFmtId="174" fontId="22" fillId="0" borderId="0" xfId="0" applyNumberFormat="1" applyFont="1" applyFill="1"/>
    <xf numFmtId="0" fontId="22" fillId="0" borderId="0" xfId="0" applyFont="1" applyAlignment="1">
      <alignment horizontal="left"/>
    </xf>
    <xf numFmtId="1" fontId="22" fillId="0" borderId="0" xfId="0" applyNumberFormat="1" applyFont="1"/>
    <xf numFmtId="1" fontId="22" fillId="4" borderId="0" xfId="0" applyNumberFormat="1" applyFont="1" applyFill="1"/>
    <xf numFmtId="1" fontId="22" fillId="0" borderId="3" xfId="0" applyNumberFormat="1" applyFont="1" applyBorder="1"/>
    <xf numFmtId="1" fontId="22" fillId="0" borderId="4" xfId="0" applyNumberFormat="1" applyFont="1" applyBorder="1"/>
    <xf numFmtId="1" fontId="22" fillId="0" borderId="0" xfId="0" applyNumberFormat="1" applyFont="1" applyAlignment="1">
      <alignment horizontal="right"/>
    </xf>
    <xf numFmtId="1" fontId="27" fillId="0" borderId="0" xfId="0" applyNumberFormat="1" applyFont="1" applyAlignment="1">
      <alignment horizontal="right"/>
    </xf>
    <xf numFmtId="1" fontId="27" fillId="0" borderId="0" xfId="0" applyNumberFormat="1" applyFont="1"/>
    <xf numFmtId="2" fontId="22" fillId="0" borderId="0" xfId="0" applyNumberFormat="1" applyFont="1"/>
    <xf numFmtId="2" fontId="22" fillId="0" borderId="2" xfId="0" applyNumberFormat="1" applyFont="1" applyBorder="1"/>
    <xf numFmtId="2" fontId="22" fillId="0" borderId="7" xfId="0" applyNumberFormat="1" applyFont="1" applyBorder="1"/>
    <xf numFmtId="1" fontId="21" fillId="6" borderId="0" xfId="0" applyNumberFormat="1" applyFont="1" applyFill="1"/>
    <xf numFmtId="1" fontId="21" fillId="3" borderId="0" xfId="0" applyNumberFormat="1" applyFont="1" applyFill="1"/>
    <xf numFmtId="1" fontId="22" fillId="0" borderId="0" xfId="0" applyNumberFormat="1" applyFont="1"/>
    <xf numFmtId="2" fontId="22" fillId="0" borderId="0" xfId="0" applyNumberFormat="1" applyFont="1"/>
    <xf numFmtId="2" fontId="22" fillId="0" borderId="0" xfId="0" applyNumberFormat="1" applyFont="1"/>
    <xf numFmtId="2" fontId="22" fillId="4" borderId="0" xfId="0" applyNumberFormat="1" applyFont="1" applyFill="1"/>
    <xf numFmtId="2" fontId="22" fillId="0" borderId="3" xfId="0" applyNumberFormat="1" applyFont="1" applyBorder="1"/>
    <xf numFmtId="2" fontId="22" fillId="0" borderId="4" xfId="0" applyNumberFormat="1" applyFont="1" applyBorder="1"/>
    <xf numFmtId="2" fontId="22" fillId="0" borderId="5" xfId="0" applyNumberFormat="1" applyFont="1" applyBorder="1"/>
    <xf numFmtId="2" fontId="22" fillId="0" borderId="0" xfId="0" applyNumberFormat="1" applyFont="1" applyAlignment="1">
      <alignment horizontal="right"/>
    </xf>
    <xf numFmtId="2" fontId="22" fillId="0" borderId="0" xfId="0" applyNumberFormat="1" applyFont="1" applyFill="1"/>
    <xf numFmtId="173" fontId="22" fillId="0" borderId="0" xfId="0" applyNumberFormat="1" applyFont="1"/>
    <xf numFmtId="173" fontId="22" fillId="0" borderId="0" xfId="0" applyNumberFormat="1" applyFont="1"/>
    <xf numFmtId="173" fontId="22" fillId="4" borderId="0" xfId="0" applyNumberFormat="1" applyFont="1" applyFill="1"/>
    <xf numFmtId="173" fontId="22" fillId="0" borderId="5" xfId="0" applyNumberFormat="1" applyFont="1" applyBorder="1"/>
    <xf numFmtId="173" fontId="22" fillId="0" borderId="0" xfId="0" applyNumberFormat="1" applyFont="1" applyAlignment="1">
      <alignment horizontal="right"/>
    </xf>
    <xf numFmtId="0" fontId="22" fillId="0" borderId="0" xfId="0" applyFont="1" applyFill="1" applyBorder="1" applyAlignment="1">
      <alignment horizontal="center"/>
    </xf>
    <xf numFmtId="173" fontId="22" fillId="0" borderId="0" xfId="0" applyNumberFormat="1" applyFont="1" applyFill="1"/>
    <xf numFmtId="173" fontId="22" fillId="0" borderId="0" xfId="0" applyNumberFormat="1" applyFont="1"/>
    <xf numFmtId="173" fontId="22" fillId="0" borderId="0" xfId="0" applyNumberFormat="1" applyFont="1" applyFill="1"/>
    <xf numFmtId="1" fontId="27" fillId="0" borderId="0" xfId="0" applyNumberFormat="1" applyFont="1" applyFill="1"/>
    <xf numFmtId="0" fontId="27" fillId="0" borderId="0" xfId="0" applyFont="1" applyAlignment="1">
      <alignment horizontal="right"/>
    </xf>
    <xf numFmtId="1" fontId="29" fillId="0" borderId="0" xfId="0" applyNumberFormat="1" applyFont="1" applyFill="1"/>
    <xf numFmtId="1" fontId="22" fillId="0" borderId="0" xfId="0" applyNumberFormat="1" applyFont="1" applyFill="1"/>
    <xf numFmtId="173" fontId="22" fillId="0" borderId="0" xfId="0" applyNumberFormat="1" applyFont="1" applyFill="1"/>
    <xf numFmtId="173" fontId="22" fillId="0" borderId="0" xfId="0" applyNumberFormat="1" applyFont="1"/>
    <xf numFmtId="0" fontId="22" fillId="2" borderId="0" xfId="0" applyFont="1" applyFill="1"/>
    <xf numFmtId="0" fontId="30" fillId="0" borderId="0" xfId="0" applyFont="1"/>
    <xf numFmtId="173" fontId="22" fillId="0" borderId="0" xfId="0" applyNumberFormat="1" applyFont="1"/>
    <xf numFmtId="1" fontId="22" fillId="0" borderId="0" xfId="0" applyNumberFormat="1" applyFont="1"/>
    <xf numFmtId="0" fontId="27" fillId="0" borderId="0" xfId="0" applyFont="1" applyAlignment="1">
      <alignment horizontal="left" indent="1"/>
    </xf>
    <xf numFmtId="2" fontId="27" fillId="0" borderId="0" xfId="0" applyNumberFormat="1" applyFont="1"/>
    <xf numFmtId="2" fontId="22" fillId="0" borderId="0" xfId="0" applyNumberFormat="1" applyFont="1"/>
    <xf numFmtId="0" fontId="22" fillId="9" borderId="0" xfId="0" applyFont="1" applyFill="1"/>
    <xf numFmtId="0" fontId="0" fillId="9" borderId="0" xfId="0" applyFill="1"/>
    <xf numFmtId="1" fontId="22" fillId="9" borderId="0" xfId="0" applyNumberFormat="1" applyFont="1" applyFill="1"/>
    <xf numFmtId="2" fontId="0" fillId="9" borderId="0" xfId="0" applyNumberFormat="1" applyFill="1"/>
    <xf numFmtId="2" fontId="22" fillId="9" borderId="0" xfId="0" applyNumberFormat="1" applyFont="1" applyFill="1"/>
    <xf numFmtId="1" fontId="22" fillId="0" borderId="2" xfId="0" applyNumberFormat="1" applyFont="1" applyBorder="1"/>
    <xf numFmtId="173" fontId="27" fillId="0" borderId="0" xfId="0" applyNumberFormat="1" applyFont="1"/>
    <xf numFmtId="173" fontId="22" fillId="5" borderId="1" xfId="0" applyNumberFormat="1" applyFont="1" applyFill="1" applyBorder="1"/>
    <xf numFmtId="2" fontId="22" fillId="0" borderId="0" xfId="0" applyNumberFormat="1" applyFont="1"/>
    <xf numFmtId="173" fontId="22" fillId="0" borderId="0" xfId="0" applyNumberFormat="1" applyFont="1"/>
    <xf numFmtId="173" fontId="22" fillId="0" borderId="0" xfId="0" applyNumberFormat="1" applyFont="1"/>
    <xf numFmtId="173" fontId="22" fillId="5" borderId="1" xfId="0" applyNumberFormat="1" applyFont="1" applyFill="1" applyBorder="1"/>
    <xf numFmtId="2" fontId="22" fillId="0" borderId="0" xfId="0" applyNumberFormat="1" applyFont="1" applyBorder="1" applyAlignment="1">
      <alignment horizontal="right"/>
    </xf>
    <xf numFmtId="2" fontId="22" fillId="0" borderId="0" xfId="0" applyNumberFormat="1" applyFont="1" applyAlignment="1">
      <alignment horizontal="right"/>
    </xf>
    <xf numFmtId="2" fontId="21" fillId="0" borderId="0" xfId="0" applyNumberFormat="1" applyFont="1"/>
    <xf numFmtId="173" fontId="22" fillId="0" borderId="0" xfId="0" applyNumberFormat="1" applyFont="1"/>
    <xf numFmtId="0" fontId="22" fillId="7" borderId="0" xfId="0" applyFont="1" applyFill="1" applyBorder="1" applyAlignment="1">
      <alignment horizontal="center"/>
    </xf>
    <xf numFmtId="0" fontId="22" fillId="8" borderId="0" xfId="0" applyFont="1" applyFill="1" applyBorder="1" applyAlignment="1">
      <alignment horizontal="center"/>
    </xf>
    <xf numFmtId="173" fontId="22" fillId="5" borderId="0" xfId="0" applyNumberFormat="1" applyFont="1" applyFill="1"/>
    <xf numFmtId="168" fontId="22" fillId="0" borderId="0" xfId="0" applyNumberFormat="1" applyFont="1"/>
    <xf numFmtId="172" fontId="27" fillId="0" borderId="0" xfId="0" applyNumberFormat="1" applyFont="1"/>
    <xf numFmtId="169" fontId="22" fillId="0" borderId="1" xfId="0" applyNumberFormat="1" applyFont="1" applyBorder="1"/>
    <xf numFmtId="2" fontId="22" fillId="0" borderId="0" xfId="0" applyNumberFormat="1" applyFont="1"/>
    <xf numFmtId="168" fontId="22" fillId="0" borderId="0" xfId="0" applyNumberFormat="1" applyFont="1"/>
    <xf numFmtId="173" fontId="22" fillId="0" borderId="0" xfId="0" applyNumberFormat="1" applyFont="1" applyBorder="1"/>
    <xf numFmtId="2" fontId="0" fillId="0" borderId="0" xfId="0" applyNumberFormat="1"/>
    <xf numFmtId="173" fontId="22" fillId="0" borderId="0" xfId="0" applyNumberFormat="1" applyFont="1" applyBorder="1" applyAlignment="1">
      <alignment horizontal="right"/>
    </xf>
    <xf numFmtId="173" fontId="22" fillId="0" borderId="0" xfId="0" applyNumberFormat="1" applyFont="1" applyAlignment="1">
      <alignment horizontal="right"/>
    </xf>
    <xf numFmtId="1" fontId="22" fillId="0" borderId="0" xfId="0" applyNumberFormat="1" applyFont="1" applyAlignment="1">
      <alignment horizontal="right"/>
    </xf>
    <xf numFmtId="168" fontId="22" fillId="0" borderId="0" xfId="0" applyNumberFormat="1" applyFont="1"/>
    <xf numFmtId="1" fontId="27" fillId="0" borderId="0" xfId="0" applyNumberFormat="1" applyFont="1"/>
    <xf numFmtId="170" fontId="21" fillId="0" borderId="0" xfId="0" applyNumberFormat="1" applyFont="1"/>
    <xf numFmtId="170" fontId="22" fillId="0" borderId="0" xfId="0" applyNumberFormat="1" applyFont="1" applyAlignment="1">
      <alignment horizontal="right"/>
    </xf>
    <xf numFmtId="0" fontId="27" fillId="5" borderId="0" xfId="0" applyFont="1" applyFill="1"/>
    <xf numFmtId="2" fontId="22" fillId="5" borderId="0" xfId="0" applyNumberFormat="1" applyFont="1" applyFill="1"/>
    <xf numFmtId="17" fontId="0" fillId="0" borderId="0" xfId="0" applyNumberFormat="1" applyBorder="1"/>
    <xf numFmtId="0" fontId="0" fillId="0" borderId="0" xfId="0" applyBorder="1"/>
    <xf numFmtId="2" fontId="22" fillId="0" borderId="0" xfId="0" applyNumberFormat="1" applyFont="1"/>
    <xf numFmtId="168" fontId="22" fillId="0" borderId="0" xfId="0" applyNumberFormat="1" applyFont="1"/>
    <xf numFmtId="173" fontId="22" fillId="0" borderId="0" xfId="0" applyNumberFormat="1" applyFont="1"/>
    <xf numFmtId="2" fontId="22" fillId="0" borderId="0" xfId="0" applyNumberFormat="1" applyFont="1"/>
    <xf numFmtId="0" fontId="25" fillId="0" borderId="0" xfId="0" applyFont="1" applyBorder="1" applyAlignment="1">
      <alignment horizontal="center"/>
    </xf>
    <xf numFmtId="2" fontId="25" fillId="0" borderId="0" xfId="0" applyNumberFormat="1" applyFont="1" applyAlignment="1">
      <alignment horizontal="right"/>
    </xf>
    <xf numFmtId="1" fontId="22" fillId="0" borderId="0" xfId="0" applyNumberFormat="1" applyFont="1"/>
    <xf numFmtId="1" fontId="21" fillId="0" borderId="0" xfId="0" applyNumberFormat="1" applyFont="1"/>
    <xf numFmtId="1" fontId="25" fillId="0" borderId="0" xfId="0" applyNumberFormat="1" applyFont="1" applyAlignment="1">
      <alignment horizontal="right"/>
    </xf>
    <xf numFmtId="2" fontId="27" fillId="0" borderId="0" xfId="0" applyNumberFormat="1" applyFont="1"/>
    <xf numFmtId="173" fontId="27" fillId="0" borderId="0" xfId="0" applyNumberFormat="1" applyFont="1"/>
    <xf numFmtId="1" fontId="22" fillId="5" borderId="2" xfId="0" applyNumberFormat="1" applyFont="1" applyFill="1" applyBorder="1"/>
    <xf numFmtId="173" fontId="27" fillId="0" borderId="0" xfId="0" applyNumberFormat="1" applyFont="1"/>
    <xf numFmtId="1" fontId="22" fillId="0" borderId="0" xfId="0" applyNumberFormat="1" applyFont="1"/>
    <xf numFmtId="1" fontId="21" fillId="3" borderId="0" xfId="0" applyNumberFormat="1" applyFont="1" applyFill="1"/>
    <xf numFmtId="1" fontId="22" fillId="3" borderId="0" xfId="0" applyNumberFormat="1" applyFont="1" applyFill="1"/>
    <xf numFmtId="1" fontId="22" fillId="0" borderId="3" xfId="0" applyNumberFormat="1" applyFont="1" applyBorder="1"/>
    <xf numFmtId="1" fontId="22" fillId="0" borderId="4" xfId="0" applyNumberFormat="1" applyFont="1" applyBorder="1"/>
    <xf numFmtId="1" fontId="22" fillId="0" borderId="5" xfId="0" applyNumberFormat="1" applyFont="1" applyBorder="1"/>
    <xf numFmtId="1" fontId="22" fillId="0" borderId="0" xfId="0" applyNumberFormat="1" applyFont="1" applyAlignment="1">
      <alignment horizontal="right"/>
    </xf>
    <xf numFmtId="1" fontId="22" fillId="0" borderId="0" xfId="0" applyNumberFormat="1" applyFont="1" applyFill="1"/>
    <xf numFmtId="1" fontId="27" fillId="0" borderId="0" xfId="0" applyNumberFormat="1" applyFont="1" applyAlignment="1">
      <alignment horizontal="right"/>
    </xf>
    <xf numFmtId="2" fontId="22" fillId="0" borderId="0" xfId="0" applyNumberFormat="1" applyFont="1"/>
    <xf numFmtId="1" fontId="22" fillId="0" borderId="0" xfId="0" applyNumberFormat="1" applyFont="1"/>
    <xf numFmtId="2" fontId="22" fillId="0" borderId="0" xfId="0" applyNumberFormat="1" applyFont="1" applyAlignment="1">
      <alignment horizontal="right"/>
    </xf>
    <xf numFmtId="2" fontId="22" fillId="0" borderId="0" xfId="0" applyNumberFormat="1" applyFont="1"/>
    <xf numFmtId="2" fontId="22" fillId="0" borderId="3" xfId="0" applyNumberFormat="1" applyFont="1" applyBorder="1"/>
    <xf numFmtId="2" fontId="22" fillId="0" borderId="4" xfId="0" applyNumberFormat="1" applyFont="1" applyBorder="1"/>
    <xf numFmtId="2" fontId="22" fillId="0" borderId="5" xfId="0" applyNumberFormat="1" applyFont="1" applyBorder="1"/>
    <xf numFmtId="2" fontId="22" fillId="0" borderId="0" xfId="0" applyNumberFormat="1" applyFont="1" applyAlignment="1">
      <alignment horizontal="center"/>
    </xf>
    <xf numFmtId="2" fontId="0" fillId="0" borderId="0" xfId="0" applyNumberFormat="1"/>
    <xf numFmtId="2" fontId="22" fillId="0" borderId="0" xfId="0" applyNumberFormat="1" applyFont="1"/>
    <xf numFmtId="1" fontId="22" fillId="0" borderId="0" xfId="0" applyNumberFormat="1" applyFont="1"/>
    <xf numFmtId="1" fontId="22" fillId="0" borderId="3" xfId="0" applyNumberFormat="1" applyFont="1" applyBorder="1"/>
    <xf numFmtId="1" fontId="22" fillId="0" borderId="4" xfId="0" applyNumberFormat="1" applyFont="1" applyBorder="1"/>
    <xf numFmtId="1" fontId="22" fillId="0" borderId="5" xfId="0" applyNumberFormat="1" applyFont="1" applyBorder="1"/>
    <xf numFmtId="1" fontId="22" fillId="0" borderId="0" xfId="0" applyNumberFormat="1" applyFont="1" applyAlignment="1">
      <alignment horizontal="right"/>
    </xf>
    <xf numFmtId="173" fontId="22" fillId="0" borderId="0" xfId="0" applyNumberFormat="1" applyFont="1"/>
    <xf numFmtId="173" fontId="0" fillId="0" borderId="0" xfId="0" applyNumberFormat="1"/>
    <xf numFmtId="2" fontId="22" fillId="0" borderId="0" xfId="0" applyNumberFormat="1" applyFont="1"/>
    <xf numFmtId="168" fontId="31" fillId="0" borderId="0" xfId="0" applyNumberFormat="1" applyFont="1"/>
    <xf numFmtId="2" fontId="27" fillId="0" borderId="0" xfId="0" applyNumberFormat="1" applyFont="1" applyBorder="1" applyAlignment="1">
      <alignment horizontal="right"/>
    </xf>
    <xf numFmtId="1" fontId="21" fillId="0" borderId="0" xfId="0" applyNumberFormat="1" applyFont="1" applyAlignment="1">
      <alignment horizontal="right"/>
    </xf>
    <xf numFmtId="2" fontId="22" fillId="0" borderId="0" xfId="0" applyNumberFormat="1" applyFont="1"/>
    <xf numFmtId="170" fontId="22" fillId="0" borderId="0" xfId="0" applyNumberFormat="1" applyFont="1"/>
    <xf numFmtId="2" fontId="22" fillId="0" borderId="0" xfId="0" applyNumberFormat="1" applyFont="1"/>
    <xf numFmtId="2" fontId="22" fillId="0" borderId="0" xfId="0" applyNumberFormat="1" applyFont="1"/>
    <xf numFmtId="2" fontId="22" fillId="0" borderId="0" xfId="0" applyNumberFormat="1" applyFont="1"/>
    <xf numFmtId="2" fontId="22" fillId="0" borderId="0" xfId="0" applyNumberFormat="1" applyFont="1"/>
    <xf numFmtId="2" fontId="22" fillId="0" borderId="0" xfId="0" applyNumberFormat="1" applyFont="1"/>
    <xf numFmtId="1" fontId="22" fillId="0" borderId="0" xfId="0" applyNumberFormat="1" applyFont="1"/>
    <xf numFmtId="1" fontId="21" fillId="0" borderId="0" xfId="0" applyNumberFormat="1" applyFont="1" applyAlignment="1">
      <alignment horizontal="center"/>
    </xf>
    <xf numFmtId="1" fontId="22" fillId="0" borderId="0" xfId="0" applyNumberFormat="1" applyFont="1" applyAlignment="1">
      <alignment horizontal="right"/>
    </xf>
    <xf numFmtId="1" fontId="22" fillId="0" borderId="0" xfId="0" applyNumberFormat="1" applyFont="1" applyBorder="1" applyAlignment="1">
      <alignment horizontal="right"/>
    </xf>
    <xf numFmtId="2" fontId="22" fillId="0" borderId="0" xfId="0" applyNumberFormat="1" applyFont="1"/>
    <xf numFmtId="1" fontId="22" fillId="0" borderId="0" xfId="0" applyNumberFormat="1" applyFont="1"/>
    <xf numFmtId="17" fontId="22" fillId="0" borderId="0" xfId="0" applyNumberFormat="1" applyFont="1" applyBorder="1"/>
    <xf numFmtId="2" fontId="22" fillId="0" borderId="0" xfId="0" applyNumberFormat="1" applyFont="1"/>
    <xf numFmtId="17" fontId="22" fillId="0" borderId="0" xfId="0" applyNumberFormat="1" applyFont="1"/>
    <xf numFmtId="173" fontId="22" fillId="0" borderId="0" xfId="0" applyNumberFormat="1" applyFont="1"/>
    <xf numFmtId="1" fontId="22" fillId="0" borderId="0" xfId="0" applyNumberFormat="1" applyFont="1"/>
    <xf numFmtId="170" fontId="22" fillId="0" borderId="0" xfId="0" applyNumberFormat="1" applyFont="1"/>
    <xf numFmtId="168" fontId="22" fillId="0" borderId="0" xfId="0" applyNumberFormat="1" applyFont="1"/>
    <xf numFmtId="0" fontId="22" fillId="0" borderId="0" xfId="0" applyFont="1" applyFill="1" applyAlignment="1"/>
    <xf numFmtId="1" fontId="22" fillId="0" borderId="0" xfId="0" applyNumberFormat="1" applyFont="1" applyFill="1" applyAlignment="1"/>
    <xf numFmtId="2" fontId="22" fillId="0" borderId="0" xfId="0" applyNumberFormat="1" applyFont="1" applyBorder="1"/>
    <xf numFmtId="1" fontId="22" fillId="0" borderId="0" xfId="0" applyNumberFormat="1" applyFont="1"/>
    <xf numFmtId="1" fontId="21" fillId="4" borderId="0" xfId="0" applyNumberFormat="1" applyFont="1" applyFill="1"/>
    <xf numFmtId="1" fontId="22" fillId="0" borderId="6" xfId="0" applyNumberFormat="1" applyFont="1" applyBorder="1"/>
    <xf numFmtId="1" fontId="22" fillId="0" borderId="0" xfId="0" applyNumberFormat="1" applyFont="1" applyBorder="1"/>
    <xf numFmtId="1" fontId="22" fillId="0" borderId="2" xfId="0" applyNumberFormat="1" applyFont="1" applyBorder="1"/>
    <xf numFmtId="1" fontId="27" fillId="0" borderId="0" xfId="0" applyNumberFormat="1" applyFont="1"/>
    <xf numFmtId="1" fontId="22" fillId="0" borderId="7" xfId="0" applyNumberFormat="1" applyFont="1" applyBorder="1"/>
    <xf numFmtId="1" fontId="22" fillId="0" borderId="8" xfId="0" applyNumberFormat="1" applyFont="1" applyBorder="1" applyAlignment="1">
      <alignment horizontal="right"/>
    </xf>
    <xf numFmtId="1" fontId="22" fillId="0" borderId="9" xfId="0" applyNumberFormat="1" applyFont="1" applyBorder="1" applyAlignment="1">
      <alignment horizontal="right"/>
    </xf>
    <xf numFmtId="2" fontId="22" fillId="0" borderId="0" xfId="0" applyNumberFormat="1" applyFont="1" applyBorder="1" applyAlignment="1">
      <alignment horizontal="left"/>
    </xf>
    <xf numFmtId="1" fontId="22" fillId="0" borderId="10" xfId="0" applyNumberFormat="1" applyFont="1" applyBorder="1" applyAlignment="1">
      <alignment horizontal="right"/>
    </xf>
    <xf numFmtId="1" fontId="22" fillId="0" borderId="0" xfId="0" applyNumberFormat="1" applyFont="1"/>
    <xf numFmtId="1" fontId="22" fillId="0" borderId="0" xfId="0" applyNumberFormat="1" applyFont="1"/>
    <xf numFmtId="174" fontId="22" fillId="0" borderId="0" xfId="0" applyNumberFormat="1" applyFont="1" applyFill="1" applyBorder="1"/>
    <xf numFmtId="1" fontId="22" fillId="0" borderId="0" xfId="0" applyNumberFormat="1" applyFont="1" applyFill="1" applyAlignment="1">
      <alignment horizontal="right"/>
    </xf>
    <xf numFmtId="2" fontId="22" fillId="0" borderId="0" xfId="0" applyNumberFormat="1" applyFont="1" applyFill="1"/>
    <xf numFmtId="0" fontId="23" fillId="0" borderId="0" xfId="0" applyFont="1"/>
    <xf numFmtId="1" fontId="22" fillId="0" borderId="2" xfId="0" applyNumberFormat="1" applyFont="1" applyFill="1" applyBorder="1"/>
    <xf numFmtId="1" fontId="29" fillId="0" borderId="0" xfId="0" applyNumberFormat="1" applyFont="1"/>
    <xf numFmtId="0" fontId="27" fillId="0" borderId="0" xfId="0" applyFont="1" applyFill="1"/>
    <xf numFmtId="2" fontId="22" fillId="0" borderId="0" xfId="0" applyNumberFormat="1" applyFont="1" applyFill="1"/>
    <xf numFmtId="1" fontId="22" fillId="0" borderId="0" xfId="0" applyNumberFormat="1" applyFont="1" applyFill="1" applyBorder="1"/>
    <xf numFmtId="1" fontId="29" fillId="5" borderId="1" xfId="0" applyNumberFormat="1" applyFont="1" applyFill="1" applyBorder="1"/>
    <xf numFmtId="1" fontId="29" fillId="0" borderId="0" xfId="0" applyNumberFormat="1" applyFont="1" applyAlignment="1">
      <alignment horizontal="right"/>
    </xf>
    <xf numFmtId="1" fontId="22" fillId="5" borderId="1" xfId="0" applyNumberFormat="1" applyFont="1" applyFill="1" applyBorder="1"/>
    <xf numFmtId="173" fontId="27" fillId="0" borderId="0" xfId="0" applyNumberFormat="1" applyFont="1" applyAlignment="1">
      <alignment horizontal="right"/>
    </xf>
    <xf numFmtId="173" fontId="22" fillId="0" borderId="0" xfId="0" applyNumberFormat="1" applyFont="1" applyFill="1"/>
    <xf numFmtId="173" fontId="22" fillId="0" borderId="0" xfId="0" applyNumberFormat="1" applyFont="1"/>
    <xf numFmtId="169" fontId="27" fillId="0" borderId="0" xfId="0" applyNumberFormat="1" applyFont="1"/>
    <xf numFmtId="1" fontId="22" fillId="0" borderId="0" xfId="0" applyNumberFormat="1" applyFont="1"/>
    <xf numFmtId="2" fontId="22" fillId="0" borderId="14" xfId="0" applyNumberFormat="1" applyFont="1" applyFill="1" applyBorder="1"/>
    <xf numFmtId="2" fontId="22" fillId="0" borderId="15" xfId="0" applyNumberFormat="1" applyFont="1" applyFill="1" applyBorder="1"/>
    <xf numFmtId="2" fontId="22" fillId="0" borderId="16" xfId="0" applyNumberFormat="1" applyFont="1" applyFill="1" applyBorder="1"/>
    <xf numFmtId="2" fontId="22" fillId="0" borderId="17" xfId="0" applyNumberFormat="1" applyFont="1" applyFill="1" applyBorder="1"/>
    <xf numFmtId="2" fontId="22" fillId="0" borderId="18" xfId="0" applyNumberFormat="1" applyFont="1" applyFill="1" applyBorder="1"/>
    <xf numFmtId="2" fontId="22" fillId="0" borderId="19" xfId="0" applyNumberFormat="1" applyFont="1" applyFill="1" applyBorder="1"/>
    <xf numFmtId="2" fontId="22" fillId="0" borderId="0" xfId="0" applyNumberFormat="1" applyFont="1"/>
    <xf numFmtId="2" fontId="27" fillId="0" borderId="0" xfId="0" applyNumberFormat="1" applyFont="1"/>
    <xf numFmtId="168" fontId="27" fillId="0" borderId="0" xfId="0" applyNumberFormat="1" applyFont="1"/>
    <xf numFmtId="0" fontId="22" fillId="0" borderId="0" xfId="0" applyFont="1" applyFill="1" applyBorder="1"/>
    <xf numFmtId="0" fontId="27" fillId="0" borderId="0" xfId="0" applyFont="1" applyFill="1" applyAlignment="1">
      <alignment horizontal="left" indent="1"/>
    </xf>
    <xf numFmtId="2" fontId="22" fillId="0" borderId="0" xfId="0" applyNumberFormat="1" applyFont="1"/>
    <xf numFmtId="0" fontId="0" fillId="0" borderId="0" xfId="0" applyAlignment="1">
      <alignment horizontal="right"/>
    </xf>
    <xf numFmtId="1" fontId="0" fillId="0" borderId="0" xfId="0" applyNumberFormat="1" applyAlignment="1">
      <alignment horizontal="right"/>
    </xf>
    <xf numFmtId="2" fontId="0" fillId="0" borderId="0" xfId="0" applyNumberFormat="1"/>
    <xf numFmtId="1" fontId="0" fillId="0" borderId="0" xfId="0" applyNumberFormat="1"/>
    <xf numFmtId="1" fontId="0" fillId="0" borderId="0" xfId="0" applyNumberFormat="1"/>
    <xf numFmtId="2" fontId="0" fillId="0" borderId="0" xfId="0" applyNumberFormat="1"/>
    <xf numFmtId="2" fontId="27" fillId="0" borderId="0" xfId="0" applyNumberFormat="1" applyFont="1"/>
    <xf numFmtId="0" fontId="27" fillId="0" borderId="0" xfId="0" applyFont="1" applyFill="1" applyAlignment="1">
      <alignment horizontal="left"/>
    </xf>
    <xf numFmtId="0" fontId="0" fillId="0" borderId="0" xfId="0" applyFill="1"/>
    <xf numFmtId="173" fontId="29" fillId="5" borderId="1" xfId="0" applyNumberFormat="1" applyFont="1" applyFill="1" applyBorder="1"/>
    <xf numFmtId="2" fontId="22" fillId="0" borderId="0" xfId="0" applyNumberFormat="1" applyFont="1"/>
    <xf numFmtId="1" fontId="22" fillId="0" borderId="0" xfId="0" applyNumberFormat="1" applyFont="1"/>
    <xf numFmtId="170" fontId="22" fillId="0" borderId="0" xfId="0" applyNumberFormat="1" applyFont="1" applyAlignment="1">
      <alignment horizontal="right"/>
    </xf>
    <xf numFmtId="170" fontId="27" fillId="0" borderId="0" xfId="0" applyNumberFormat="1" applyFont="1"/>
    <xf numFmtId="2" fontId="22" fillId="0" borderId="0" xfId="0" applyNumberFormat="1" applyFont="1"/>
    <xf numFmtId="2" fontId="22" fillId="0" borderId="0" xfId="0" applyNumberFormat="1" applyFont="1"/>
    <xf numFmtId="2" fontId="22" fillId="0" borderId="0" xfId="0" applyNumberFormat="1" applyFont="1"/>
    <xf numFmtId="2" fontId="22" fillId="0" borderId="0" xfId="0" applyNumberFormat="1" applyFont="1"/>
    <xf numFmtId="1" fontId="22" fillId="0" borderId="0" xfId="0" applyNumberFormat="1" applyFont="1"/>
    <xf numFmtId="1" fontId="22" fillId="0" borderId="0" xfId="0" applyNumberFormat="1" applyFont="1"/>
    <xf numFmtId="2" fontId="22" fillId="0" borderId="0" xfId="0" applyNumberFormat="1" applyFont="1"/>
    <xf numFmtId="1" fontId="22" fillId="0" borderId="0" xfId="0" applyNumberFormat="1" applyFont="1"/>
    <xf numFmtId="2" fontId="22" fillId="0" borderId="0" xfId="0" applyNumberFormat="1" applyFont="1"/>
    <xf numFmtId="171" fontId="22" fillId="0" borderId="0" xfId="0" applyNumberFormat="1" applyFont="1"/>
    <xf numFmtId="171" fontId="22" fillId="0" borderId="0" xfId="0" applyNumberFormat="1" applyFont="1"/>
    <xf numFmtId="2" fontId="29" fillId="0" borderId="0" xfId="0" applyNumberFormat="1" applyFont="1"/>
    <xf numFmtId="171" fontId="22" fillId="0" borderId="0" xfId="0" applyNumberFormat="1" applyFont="1"/>
    <xf numFmtId="173" fontId="29" fillId="0" borderId="0" xfId="0" applyNumberFormat="1" applyFont="1"/>
    <xf numFmtId="0" fontId="29" fillId="0" borderId="0" xfId="0" applyFont="1"/>
    <xf numFmtId="168" fontId="22" fillId="0" borderId="0" xfId="0" applyNumberFormat="1" applyFont="1" applyFill="1"/>
    <xf numFmtId="2" fontId="22" fillId="0" borderId="0" xfId="0" applyNumberFormat="1" applyFont="1"/>
    <xf numFmtId="2" fontId="22" fillId="0" borderId="0" xfId="0" applyNumberFormat="1" applyFont="1"/>
    <xf numFmtId="173" fontId="25" fillId="0" borderId="0" xfId="0" applyNumberFormat="1" applyFont="1" applyAlignment="1">
      <alignment horizontal="right"/>
    </xf>
    <xf numFmtId="170" fontId="27" fillId="0" borderId="0" xfId="0" applyNumberFormat="1" applyFont="1"/>
    <xf numFmtId="1" fontId="22" fillId="0" borderId="0" xfId="0" applyNumberFormat="1" applyFont="1"/>
    <xf numFmtId="1" fontId="21" fillId="0" borderId="0" xfId="0" applyNumberFormat="1" applyFont="1" applyAlignment="1">
      <alignment horizontal="center"/>
    </xf>
    <xf numFmtId="1" fontId="22" fillId="0" borderId="0" xfId="0" applyNumberFormat="1" applyFont="1" applyAlignment="1">
      <alignment horizontal="right"/>
    </xf>
    <xf numFmtId="1" fontId="22" fillId="0" borderId="0" xfId="0" applyNumberFormat="1" applyFont="1" applyBorder="1" applyAlignment="1">
      <alignment horizontal="right"/>
    </xf>
    <xf numFmtId="1" fontId="0" fillId="0" borderId="0" xfId="0" applyNumberFormat="1"/>
    <xf numFmtId="0" fontId="22" fillId="8" borderId="0" xfId="0" applyFont="1" applyFill="1" applyBorder="1"/>
    <xf numFmtId="0" fontId="22" fillId="7" borderId="0" xfId="0" applyFont="1" applyFill="1" applyBorder="1"/>
    <xf numFmtId="1" fontId="25" fillId="0" borderId="0" xfId="0" applyNumberFormat="1" applyFont="1" applyAlignment="1">
      <alignment horizontal="right"/>
    </xf>
    <xf numFmtId="168" fontId="25" fillId="0" borderId="0" xfId="0" applyNumberFormat="1" applyFont="1"/>
    <xf numFmtId="168" fontId="25" fillId="0" borderId="0" xfId="0" applyNumberFormat="1" applyFont="1" applyAlignment="1">
      <alignment horizontal="right"/>
    </xf>
    <xf numFmtId="0" fontId="32" fillId="0" borderId="0" xfId="0" applyFont="1"/>
    <xf numFmtId="173" fontId="22" fillId="0" borderId="0" xfId="0" applyNumberFormat="1" applyFont="1"/>
    <xf numFmtId="2" fontId="22" fillId="0" borderId="0" xfId="0" applyNumberFormat="1" applyFont="1"/>
    <xf numFmtId="2" fontId="22" fillId="0" borderId="0" xfId="0" applyNumberFormat="1" applyFont="1"/>
    <xf numFmtId="1" fontId="22" fillId="0" borderId="0" xfId="0" applyNumberFormat="1" applyFont="1"/>
    <xf numFmtId="2" fontId="22" fillId="0" borderId="0" xfId="0" applyNumberFormat="1" applyFont="1"/>
    <xf numFmtId="173" fontId="22" fillId="0" borderId="0" xfId="0" applyNumberFormat="1" applyFont="1"/>
    <xf numFmtId="171" fontId="22" fillId="0" borderId="0" xfId="0" applyNumberFormat="1" applyFont="1"/>
    <xf numFmtId="2" fontId="22" fillId="0" borderId="0" xfId="0" applyNumberFormat="1" applyFont="1" applyFill="1"/>
    <xf numFmtId="1" fontId="22" fillId="0" borderId="0" xfId="0" applyNumberFormat="1" applyFont="1"/>
    <xf numFmtId="170" fontId="25" fillId="0" borderId="0" xfId="0" applyNumberFormat="1" applyFont="1" applyAlignment="1">
      <alignment horizontal="right"/>
    </xf>
    <xf numFmtId="173" fontId="22" fillId="0" borderId="0" xfId="0" applyNumberFormat="1" applyFont="1"/>
    <xf numFmtId="173" fontId="27" fillId="0" borderId="0" xfId="0" applyNumberFormat="1" applyFont="1"/>
    <xf numFmtId="173" fontId="22" fillId="5" borderId="1" xfId="0" applyNumberFormat="1" applyFont="1" applyFill="1" applyBorder="1"/>
    <xf numFmtId="173" fontId="22" fillId="0" borderId="2" xfId="0" applyNumberFormat="1" applyFont="1" applyBorder="1"/>
    <xf numFmtId="171" fontId="22" fillId="0" borderId="0" xfId="0" applyNumberFormat="1" applyFont="1" applyAlignment="1">
      <alignment horizontal="right"/>
    </xf>
    <xf numFmtId="171" fontId="27" fillId="0" borderId="0" xfId="0" applyNumberFormat="1" applyFont="1"/>
    <xf numFmtId="2" fontId="22" fillId="0" borderId="0" xfId="0" applyNumberFormat="1" applyFont="1"/>
    <xf numFmtId="1" fontId="22" fillId="0" borderId="0" xfId="0" applyNumberFormat="1" applyFont="1"/>
    <xf numFmtId="171" fontId="27" fillId="0" borderId="0" xfId="0" applyNumberFormat="1" applyFont="1"/>
    <xf numFmtId="2" fontId="22" fillId="0" borderId="0" xfId="0" applyNumberFormat="1" applyFont="1"/>
    <xf numFmtId="2" fontId="22" fillId="0" borderId="0" xfId="0" applyNumberFormat="1" applyFont="1"/>
    <xf numFmtId="2" fontId="22" fillId="0" borderId="0" xfId="0" applyNumberFormat="1" applyFont="1"/>
    <xf numFmtId="2" fontId="22" fillId="0" borderId="0" xfId="0" applyNumberFormat="1" applyFont="1"/>
    <xf numFmtId="2" fontId="22" fillId="0" borderId="0" xfId="0" applyNumberFormat="1" applyFont="1"/>
    <xf numFmtId="2" fontId="22" fillId="0" borderId="0" xfId="0" applyNumberFormat="1" applyFont="1"/>
    <xf numFmtId="2" fontId="22" fillId="0" borderId="0" xfId="0" applyNumberFormat="1" applyFont="1"/>
    <xf numFmtId="1" fontId="27" fillId="0" borderId="0" xfId="0" applyNumberFormat="1" applyFont="1"/>
    <xf numFmtId="0" fontId="33" fillId="0" borderId="0" xfId="0" applyFont="1" applyAlignment="1">
      <alignment horizontal="right"/>
    </xf>
    <xf numFmtId="2" fontId="22" fillId="0" borderId="0" xfId="0" applyNumberFormat="1" applyFont="1"/>
    <xf numFmtId="2" fontId="22" fillId="0" borderId="0" xfId="0" applyNumberFormat="1" applyFont="1"/>
    <xf numFmtId="2" fontId="22" fillId="0" borderId="0" xfId="0" applyNumberFormat="1" applyFont="1"/>
    <xf numFmtId="2" fontId="22" fillId="0" borderId="0" xfId="0" applyNumberFormat="1" applyFont="1"/>
    <xf numFmtId="2" fontId="22" fillId="0" borderId="0" xfId="0" applyNumberFormat="1" applyFont="1"/>
    <xf numFmtId="2" fontId="22" fillId="0" borderId="0" xfId="0" applyNumberFormat="1" applyFont="1"/>
    <xf numFmtId="0" fontId="22" fillId="0" borderId="0" xfId="0" applyFont="1" applyFill="1" applyBorder="1" applyAlignment="1">
      <alignment horizontal="right"/>
    </xf>
    <xf numFmtId="173" fontId="22" fillId="0" borderId="0" xfId="0" applyNumberFormat="1" applyFont="1"/>
    <xf numFmtId="1" fontId="0" fillId="0" borderId="0" xfId="0" applyNumberFormat="1"/>
    <xf numFmtId="1" fontId="22" fillId="0" borderId="0" xfId="0" applyNumberFormat="1" applyFont="1" applyFill="1" applyAlignment="1">
      <alignment horizontal="right"/>
    </xf>
    <xf numFmtId="1" fontId="29" fillId="0" borderId="0" xfId="0" applyNumberFormat="1" applyFont="1" applyFill="1" applyAlignment="1">
      <alignment horizontal="right"/>
    </xf>
    <xf numFmtId="1" fontId="22" fillId="0" borderId="0" xfId="0" applyNumberFormat="1" applyFont="1" applyAlignment="1">
      <alignment horizontal="right"/>
    </xf>
    <xf numFmtId="0" fontId="1" fillId="0" borderId="0" xfId="0" applyFont="1"/>
    <xf numFmtId="15" fontId="1" fillId="0" borderId="0" xfId="0" applyNumberFormat="1" applyFont="1" applyAlignment="1">
      <alignment horizontal="left"/>
    </xf>
    <xf numFmtId="2" fontId="28" fillId="0" borderId="0" xfId="0" applyNumberFormat="1" applyFont="1"/>
    <xf numFmtId="0" fontId="34" fillId="0" borderId="0" xfId="0" applyFont="1" applyAlignment="1">
      <alignment horizontal="right"/>
    </xf>
    <xf numFmtId="1" fontId="34" fillId="0" borderId="0" xfId="0" applyNumberFormat="1" applyFont="1"/>
    <xf numFmtId="1" fontId="36" fillId="0" borderId="0" xfId="0" applyNumberFormat="1" applyFont="1"/>
    <xf numFmtId="1" fontId="37" fillId="0" borderId="0" xfId="0" applyNumberFormat="1" applyFont="1"/>
    <xf numFmtId="0" fontId="37" fillId="0" borderId="0" xfId="0" applyFont="1" applyFill="1"/>
    <xf numFmtId="2" fontId="37" fillId="0" borderId="0" xfId="0" applyNumberFormat="1" applyFont="1"/>
    <xf numFmtId="0" fontId="37" fillId="0" borderId="0" xfId="0" applyFont="1"/>
    <xf numFmtId="173" fontId="36" fillId="0" borderId="0" xfId="0" applyNumberFormat="1" applyFont="1"/>
    <xf numFmtId="2" fontId="36" fillId="0" borderId="0" xfId="0" applyNumberFormat="1" applyFont="1"/>
    <xf numFmtId="1" fontId="34" fillId="0" borderId="0" xfId="0" applyNumberFormat="1" applyFont="1" applyBorder="1"/>
    <xf numFmtId="168" fontId="22" fillId="0" borderId="0" xfId="0" applyNumberFormat="1" applyFont="1"/>
    <xf numFmtId="168" fontId="22" fillId="0" borderId="0" xfId="0" applyNumberFormat="1" applyFont="1" applyAlignment="1">
      <alignment horizontal="right"/>
    </xf>
    <xf numFmtId="168" fontId="22" fillId="0" borderId="0" xfId="0" applyNumberFormat="1" applyFont="1" applyAlignment="1"/>
    <xf numFmtId="168" fontId="27" fillId="0" borderId="0" xfId="0" applyNumberFormat="1" applyFont="1" applyAlignment="1">
      <alignment horizontal="right"/>
    </xf>
    <xf numFmtId="169" fontId="22" fillId="0" borderId="0" xfId="0" applyNumberFormat="1" applyFont="1" applyAlignment="1"/>
    <xf numFmtId="0" fontId="22" fillId="0" borderId="5" xfId="0" applyFont="1" applyFill="1" applyBorder="1"/>
    <xf numFmtId="0" fontId="38" fillId="0" borderId="0" xfId="0" applyFont="1"/>
    <xf numFmtId="2" fontId="22" fillId="0" borderId="0" xfId="0" applyNumberFormat="1" applyFont="1"/>
    <xf numFmtId="172" fontId="22" fillId="0" borderId="0" xfId="0" applyNumberFormat="1" applyFont="1"/>
    <xf numFmtId="171" fontId="29" fillId="0" borderId="0" xfId="0" applyNumberFormat="1" applyFont="1"/>
    <xf numFmtId="2" fontId="29" fillId="0" borderId="0" xfId="0" applyNumberFormat="1" applyFont="1" applyFill="1"/>
    <xf numFmtId="171" fontId="22" fillId="0" borderId="0" xfId="0" applyNumberFormat="1" applyFont="1" applyFill="1"/>
    <xf numFmtId="2" fontId="22" fillId="5" borderId="0" xfId="0" applyNumberFormat="1" applyFont="1" applyFill="1"/>
    <xf numFmtId="2" fontId="22" fillId="0" borderId="0" xfId="0" applyNumberFormat="1" applyFont="1" applyFill="1"/>
    <xf numFmtId="173" fontId="27" fillId="0" borderId="0" xfId="0" applyNumberFormat="1" applyFont="1" applyFill="1"/>
    <xf numFmtId="0" fontId="0" fillId="0" borderId="14" xfId="0" applyBorder="1"/>
    <xf numFmtId="0" fontId="0" fillId="0" borderId="15" xfId="0" applyBorder="1"/>
    <xf numFmtId="0" fontId="22" fillId="0" borderId="16" xfId="0" applyFont="1" applyBorder="1"/>
    <xf numFmtId="17" fontId="35" fillId="0" borderId="29" xfId="0" applyNumberFormat="1" applyFont="1" applyBorder="1"/>
    <xf numFmtId="0" fontId="22" fillId="0" borderId="30" xfId="0" applyFont="1" applyBorder="1"/>
    <xf numFmtId="0" fontId="35" fillId="0" borderId="29" xfId="0" applyFont="1" applyBorder="1"/>
    <xf numFmtId="0" fontId="35" fillId="0" borderId="17" xfId="0" applyFont="1" applyBorder="1"/>
    <xf numFmtId="17" fontId="0" fillId="0" borderId="18" xfId="0" applyNumberFormat="1" applyBorder="1"/>
    <xf numFmtId="0" fontId="22" fillId="0" borderId="19" xfId="0" applyFont="1" applyBorder="1"/>
    <xf numFmtId="173" fontId="34" fillId="0" borderId="0" xfId="0" applyNumberFormat="1" applyFont="1"/>
    <xf numFmtId="0" fontId="33" fillId="0" borderId="0" xfId="0" applyFont="1"/>
    <xf numFmtId="169" fontId="22" fillId="0" borderId="1" xfId="0" applyNumberFormat="1" applyFont="1" applyFill="1" applyBorder="1"/>
    <xf numFmtId="2" fontId="27" fillId="0" borderId="0" xfId="0" applyNumberFormat="1" applyFont="1" applyAlignment="1">
      <alignment horizontal="right"/>
    </xf>
    <xf numFmtId="2" fontId="27" fillId="0" borderId="0" xfId="0" applyNumberFormat="1" applyFont="1" applyFill="1"/>
    <xf numFmtId="173" fontId="27" fillId="0" borderId="0" xfId="0" applyNumberFormat="1" applyFont="1"/>
    <xf numFmtId="0" fontId="22" fillId="0" borderId="14" xfId="0" applyFont="1" applyBorder="1"/>
    <xf numFmtId="17" fontId="22" fillId="0" borderId="29" xfId="0" applyNumberFormat="1" applyFont="1" applyBorder="1"/>
    <xf numFmtId="0" fontId="27" fillId="0" borderId="17" xfId="0" applyFont="1" applyBorder="1"/>
    <xf numFmtId="0" fontId="22" fillId="5" borderId="0" xfId="0" applyFont="1" applyFill="1" applyAlignment="1">
      <alignment horizontal="right"/>
    </xf>
    <xf numFmtId="168" fontId="22" fillId="5" borderId="0" xfId="0" applyNumberFormat="1" applyFont="1" applyFill="1"/>
    <xf numFmtId="2" fontId="27" fillId="0" borderId="0" xfId="0" applyNumberFormat="1" applyFont="1"/>
    <xf numFmtId="1" fontId="25" fillId="0" borderId="0" xfId="0" applyNumberFormat="1" applyFont="1"/>
    <xf numFmtId="173" fontId="27" fillId="0" borderId="0" xfId="0" applyNumberFormat="1" applyFont="1"/>
    <xf numFmtId="2" fontId="22" fillId="0" borderId="0" xfId="0" applyNumberFormat="1" applyFont="1" applyFill="1"/>
  </cellXfs>
  <cellStyles count="4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xfId="0" builtinId="0"/>
    <cellStyle name="Note" xfId="37"/>
    <cellStyle name="Output" xfId="38"/>
    <cellStyle name="Title" xfId="39"/>
    <cellStyle name="Total" xfId="40"/>
    <cellStyle name="Warning Text" xfId="41"/>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09DA54EF-B54B-D041-B2BB-60ED253A1C7F}" type="doc">
      <dgm:prSet loTypeId="urn:microsoft.com/office/officeart/2005/8/layout/hList2" loCatId="list" qsTypeId="urn:microsoft.com/office/officeart/2005/8/quickstyle/simple4" qsCatId="simple" csTypeId="urn:microsoft.com/office/officeart/2005/8/colors/accent1_2" csCatId="accent1" phldr="0"/>
      <dgm:spPr/>
      <dgm:t>
        <a:bodyPr/>
        <a:lstStyle/>
        <a:p>
          <a:endParaRPr lang="en-US"/>
        </a:p>
      </dgm:t>
    </dgm:pt>
    <dgm:pt modelId="{A0ABBEE4-B1F1-974B-B872-036CA771E93F}">
      <dgm:prSet phldrT="[Text]" phldr="1"/>
      <dgm:spPr/>
      <dgm:t>
        <a:bodyPr/>
        <a:lstStyle/>
        <a:p>
          <a:endParaRPr lang="en-US"/>
        </a:p>
      </dgm:t>
    </dgm:pt>
    <dgm:pt modelId="{54766ACB-CF80-2F49-B058-2993BDB2414F}" type="parTrans" cxnId="{F7EFAFC2-AC96-1C4A-B207-46F706B053D7}">
      <dgm:prSet/>
      <dgm:spPr/>
      <dgm:t>
        <a:bodyPr/>
        <a:lstStyle/>
        <a:p>
          <a:endParaRPr lang="en-US"/>
        </a:p>
      </dgm:t>
    </dgm:pt>
    <dgm:pt modelId="{DF70676E-E835-8948-90E5-3BDD7E6A59DF}" type="sibTrans" cxnId="{F7EFAFC2-AC96-1C4A-B207-46F706B053D7}">
      <dgm:prSet/>
      <dgm:spPr/>
      <dgm:t>
        <a:bodyPr/>
        <a:lstStyle/>
        <a:p>
          <a:endParaRPr lang="en-US"/>
        </a:p>
      </dgm:t>
    </dgm:pt>
    <dgm:pt modelId="{9839200C-656C-F344-B21C-114FBCB47972}">
      <dgm:prSet phldrT="[Text]" phldr="1"/>
      <dgm:spPr/>
      <dgm:t>
        <a:bodyPr/>
        <a:lstStyle/>
        <a:p>
          <a:endParaRPr lang="en-US"/>
        </a:p>
      </dgm:t>
    </dgm:pt>
    <dgm:pt modelId="{7E1D6BA5-DFE9-7444-BE11-FAFB1DF54379}" type="parTrans" cxnId="{272D0B83-1385-954A-B6F3-D95E6411422F}">
      <dgm:prSet/>
      <dgm:spPr/>
      <dgm:t>
        <a:bodyPr/>
        <a:lstStyle/>
        <a:p>
          <a:endParaRPr lang="en-US"/>
        </a:p>
      </dgm:t>
    </dgm:pt>
    <dgm:pt modelId="{CC7B5B64-D1ED-E148-B12F-229AB8726151}" type="sibTrans" cxnId="{272D0B83-1385-954A-B6F3-D95E6411422F}">
      <dgm:prSet/>
      <dgm:spPr/>
      <dgm:t>
        <a:bodyPr/>
        <a:lstStyle/>
        <a:p>
          <a:endParaRPr lang="en-US"/>
        </a:p>
      </dgm:t>
    </dgm:pt>
    <dgm:pt modelId="{8B96E3AC-550F-EE48-AC3D-BE16DACE9ED3}">
      <dgm:prSet phldrT="[Text]" phldr="1"/>
      <dgm:spPr/>
      <dgm:t>
        <a:bodyPr/>
        <a:lstStyle/>
        <a:p>
          <a:endParaRPr lang="en-US"/>
        </a:p>
      </dgm:t>
    </dgm:pt>
    <dgm:pt modelId="{71992637-0F3C-0146-A38D-BBC5B3EE2ADC}" type="parTrans" cxnId="{E18374F0-8C37-3643-82A4-CEB64EC6FB4E}">
      <dgm:prSet/>
      <dgm:spPr/>
      <dgm:t>
        <a:bodyPr/>
        <a:lstStyle/>
        <a:p>
          <a:endParaRPr lang="en-US"/>
        </a:p>
      </dgm:t>
    </dgm:pt>
    <dgm:pt modelId="{38C814D6-7446-CD43-B875-D7BC4E47BFBF}" type="sibTrans" cxnId="{E18374F0-8C37-3643-82A4-CEB64EC6FB4E}">
      <dgm:prSet/>
      <dgm:spPr/>
      <dgm:t>
        <a:bodyPr/>
        <a:lstStyle/>
        <a:p>
          <a:endParaRPr lang="en-US"/>
        </a:p>
      </dgm:t>
    </dgm:pt>
    <dgm:pt modelId="{34933A75-A1DD-4740-8CE9-CE033CE32E26}">
      <dgm:prSet phldrT="[Text]" phldr="1"/>
      <dgm:spPr/>
      <dgm:t>
        <a:bodyPr/>
        <a:lstStyle/>
        <a:p>
          <a:endParaRPr lang="en-US"/>
        </a:p>
      </dgm:t>
    </dgm:pt>
    <dgm:pt modelId="{A7F55C71-A536-4145-B703-144C1F294488}" type="parTrans" cxnId="{A2FB6854-F9F9-C940-A1F9-EC2929251981}">
      <dgm:prSet/>
      <dgm:spPr/>
      <dgm:t>
        <a:bodyPr/>
        <a:lstStyle/>
        <a:p>
          <a:endParaRPr lang="en-US"/>
        </a:p>
      </dgm:t>
    </dgm:pt>
    <dgm:pt modelId="{B92AF52E-7C97-7E48-ACD9-0F061E024863}" type="sibTrans" cxnId="{A2FB6854-F9F9-C940-A1F9-EC2929251981}">
      <dgm:prSet/>
      <dgm:spPr/>
      <dgm:t>
        <a:bodyPr/>
        <a:lstStyle/>
        <a:p>
          <a:endParaRPr lang="en-US"/>
        </a:p>
      </dgm:t>
    </dgm:pt>
    <dgm:pt modelId="{A8783978-E5B3-BE49-BEAA-524F0BA70168}">
      <dgm:prSet phldrT="[Text]" phldr="1"/>
      <dgm:spPr/>
      <dgm:t>
        <a:bodyPr/>
        <a:lstStyle/>
        <a:p>
          <a:endParaRPr lang="en-US"/>
        </a:p>
      </dgm:t>
    </dgm:pt>
    <dgm:pt modelId="{17559A5D-8799-404E-9094-F9E5AD87DE08}" type="parTrans" cxnId="{A5C71530-BB0C-1945-AB88-8DE569370C55}">
      <dgm:prSet/>
      <dgm:spPr/>
      <dgm:t>
        <a:bodyPr/>
        <a:lstStyle/>
        <a:p>
          <a:endParaRPr lang="en-US"/>
        </a:p>
      </dgm:t>
    </dgm:pt>
    <dgm:pt modelId="{E613B2C3-7F9B-C24B-9FF8-25B8CDE40861}" type="sibTrans" cxnId="{A5C71530-BB0C-1945-AB88-8DE569370C55}">
      <dgm:prSet/>
      <dgm:spPr/>
      <dgm:t>
        <a:bodyPr/>
        <a:lstStyle/>
        <a:p>
          <a:endParaRPr lang="en-US"/>
        </a:p>
      </dgm:t>
    </dgm:pt>
    <dgm:pt modelId="{A0C6B203-E65C-EF40-969F-9F570ED0AF4F}">
      <dgm:prSet phldrT="[Text]" phldr="1"/>
      <dgm:spPr/>
      <dgm:t>
        <a:bodyPr/>
        <a:lstStyle/>
        <a:p>
          <a:endParaRPr lang="en-US"/>
        </a:p>
      </dgm:t>
    </dgm:pt>
    <dgm:pt modelId="{EE437657-370E-7240-B062-2F2FA2B4E8A4}" type="parTrans" cxnId="{E87073A4-EBE6-8B4E-85BA-7E9E0600055A}">
      <dgm:prSet/>
      <dgm:spPr/>
      <dgm:t>
        <a:bodyPr/>
        <a:lstStyle/>
        <a:p>
          <a:endParaRPr lang="en-US"/>
        </a:p>
      </dgm:t>
    </dgm:pt>
    <dgm:pt modelId="{1A281BCB-71EA-FC4A-B006-B7B54888A507}" type="sibTrans" cxnId="{E87073A4-EBE6-8B4E-85BA-7E9E0600055A}">
      <dgm:prSet/>
      <dgm:spPr/>
      <dgm:t>
        <a:bodyPr/>
        <a:lstStyle/>
        <a:p>
          <a:endParaRPr lang="en-US"/>
        </a:p>
      </dgm:t>
    </dgm:pt>
    <dgm:pt modelId="{270A140E-23A6-4B44-A68A-956384D0FB64}" type="pres">
      <dgm:prSet presAssocID="{09DA54EF-B54B-D041-B2BB-60ED253A1C7F}" presName="linearFlow" presStyleCnt="0">
        <dgm:presLayoutVars>
          <dgm:dir/>
          <dgm:animLvl val="lvl"/>
          <dgm:resizeHandles/>
        </dgm:presLayoutVars>
      </dgm:prSet>
      <dgm:spPr/>
      <dgm:t>
        <a:bodyPr/>
        <a:lstStyle/>
        <a:p>
          <a:endParaRPr lang="en-US"/>
        </a:p>
      </dgm:t>
    </dgm:pt>
    <dgm:pt modelId="{70A59931-96B9-EE4E-A8F7-08686AB53248}" type="pres">
      <dgm:prSet presAssocID="{A0ABBEE4-B1F1-974B-B872-036CA771E93F}" presName="compositeNode" presStyleCnt="0">
        <dgm:presLayoutVars>
          <dgm:bulletEnabled val="1"/>
        </dgm:presLayoutVars>
      </dgm:prSet>
      <dgm:spPr/>
    </dgm:pt>
    <dgm:pt modelId="{75FF0858-1434-3745-BBE5-74AAAFBEB217}" type="pres">
      <dgm:prSet presAssocID="{A0ABBEE4-B1F1-974B-B872-036CA771E93F}" presName="image" presStyleLbl="fgImgPlace1" presStyleIdx="0" presStyleCnt="3"/>
      <dgm:spPr/>
    </dgm:pt>
    <dgm:pt modelId="{CDE6BBE7-D97A-F94A-B593-292F1501F46E}" type="pres">
      <dgm:prSet presAssocID="{A0ABBEE4-B1F1-974B-B872-036CA771E93F}" presName="childNode" presStyleLbl="node1" presStyleIdx="0" presStyleCnt="3" custLinFactNeighborX="10420" custLinFactNeighborY="-5342">
        <dgm:presLayoutVars>
          <dgm:bulletEnabled val="1"/>
        </dgm:presLayoutVars>
      </dgm:prSet>
      <dgm:spPr/>
      <dgm:t>
        <a:bodyPr/>
        <a:lstStyle/>
        <a:p>
          <a:endParaRPr lang="en-US"/>
        </a:p>
      </dgm:t>
    </dgm:pt>
    <dgm:pt modelId="{07642977-0DC0-5C45-BB07-673A606AE197}" type="pres">
      <dgm:prSet presAssocID="{A0ABBEE4-B1F1-974B-B872-036CA771E93F}" presName="parentNode" presStyleLbl="revTx" presStyleIdx="0" presStyleCnt="3">
        <dgm:presLayoutVars>
          <dgm:chMax val="0"/>
          <dgm:bulletEnabled val="1"/>
        </dgm:presLayoutVars>
      </dgm:prSet>
      <dgm:spPr/>
      <dgm:t>
        <a:bodyPr/>
        <a:lstStyle/>
        <a:p>
          <a:endParaRPr lang="en-US"/>
        </a:p>
      </dgm:t>
    </dgm:pt>
    <dgm:pt modelId="{2F7D00A8-A351-3C49-8476-6B8B6DAEA84C}" type="pres">
      <dgm:prSet presAssocID="{DF70676E-E835-8948-90E5-3BDD7E6A59DF}" presName="sibTrans" presStyleCnt="0"/>
      <dgm:spPr/>
    </dgm:pt>
    <dgm:pt modelId="{DD5BEA73-8A79-3947-B573-32661106B965}" type="pres">
      <dgm:prSet presAssocID="{34933A75-A1DD-4740-8CE9-CE033CE32E26}" presName="compositeNode" presStyleCnt="0">
        <dgm:presLayoutVars>
          <dgm:bulletEnabled val="1"/>
        </dgm:presLayoutVars>
      </dgm:prSet>
      <dgm:spPr/>
    </dgm:pt>
    <dgm:pt modelId="{60269629-A5B2-0D48-81D7-8C10652CEA32}" type="pres">
      <dgm:prSet presAssocID="{34933A75-A1DD-4740-8CE9-CE033CE32E26}" presName="image" presStyleLbl="fgImgPlace1" presStyleIdx="1" presStyleCnt="3"/>
      <dgm:spPr/>
    </dgm:pt>
    <dgm:pt modelId="{0CFFDFB9-02DE-AE4A-841E-4EB68480790E}" type="pres">
      <dgm:prSet presAssocID="{34933A75-A1DD-4740-8CE9-CE033CE32E26}" presName="childNode" presStyleLbl="node1" presStyleIdx="1" presStyleCnt="3">
        <dgm:presLayoutVars>
          <dgm:bulletEnabled val="1"/>
        </dgm:presLayoutVars>
      </dgm:prSet>
      <dgm:spPr/>
      <dgm:t>
        <a:bodyPr/>
        <a:lstStyle/>
        <a:p>
          <a:endParaRPr lang="en-US"/>
        </a:p>
      </dgm:t>
    </dgm:pt>
    <dgm:pt modelId="{0EB8BA47-A8BF-A143-A896-8BF0199A73E5}" type="pres">
      <dgm:prSet presAssocID="{34933A75-A1DD-4740-8CE9-CE033CE32E26}" presName="parentNode" presStyleLbl="revTx" presStyleIdx="1" presStyleCnt="3">
        <dgm:presLayoutVars>
          <dgm:chMax val="0"/>
          <dgm:bulletEnabled val="1"/>
        </dgm:presLayoutVars>
      </dgm:prSet>
      <dgm:spPr/>
      <dgm:t>
        <a:bodyPr/>
        <a:lstStyle/>
        <a:p>
          <a:endParaRPr lang="en-US"/>
        </a:p>
      </dgm:t>
    </dgm:pt>
    <dgm:pt modelId="{3CAD6239-78B6-7841-840C-A2E5B28EB635}" type="pres">
      <dgm:prSet presAssocID="{B92AF52E-7C97-7E48-ACD9-0F061E024863}" presName="sibTrans" presStyleCnt="0"/>
      <dgm:spPr/>
    </dgm:pt>
    <dgm:pt modelId="{5682FE9C-55D5-EE45-B17F-4F951196938D}" type="pres">
      <dgm:prSet presAssocID="{A8783978-E5B3-BE49-BEAA-524F0BA70168}" presName="compositeNode" presStyleCnt="0">
        <dgm:presLayoutVars>
          <dgm:bulletEnabled val="1"/>
        </dgm:presLayoutVars>
      </dgm:prSet>
      <dgm:spPr/>
    </dgm:pt>
    <dgm:pt modelId="{AE7C0A67-82F8-BF40-81E4-C8D934E0B8F8}" type="pres">
      <dgm:prSet presAssocID="{A8783978-E5B3-BE49-BEAA-524F0BA70168}" presName="image" presStyleLbl="fgImgPlace1" presStyleIdx="2" presStyleCnt="3"/>
      <dgm:spPr/>
    </dgm:pt>
    <dgm:pt modelId="{588435D6-35C3-7E4D-AD29-AF2D8075F206}" type="pres">
      <dgm:prSet presAssocID="{A8783978-E5B3-BE49-BEAA-524F0BA70168}" presName="childNode" presStyleLbl="node1" presStyleIdx="2" presStyleCnt="3">
        <dgm:presLayoutVars>
          <dgm:bulletEnabled val="1"/>
        </dgm:presLayoutVars>
      </dgm:prSet>
      <dgm:spPr/>
      <dgm:t>
        <a:bodyPr/>
        <a:lstStyle/>
        <a:p>
          <a:endParaRPr lang="en-US"/>
        </a:p>
      </dgm:t>
    </dgm:pt>
    <dgm:pt modelId="{51C0DF28-0C7E-7246-AE0A-FCB2248A0F55}" type="pres">
      <dgm:prSet presAssocID="{A8783978-E5B3-BE49-BEAA-524F0BA70168}" presName="parentNode" presStyleLbl="revTx" presStyleIdx="2" presStyleCnt="3">
        <dgm:presLayoutVars>
          <dgm:chMax val="0"/>
          <dgm:bulletEnabled val="1"/>
        </dgm:presLayoutVars>
      </dgm:prSet>
      <dgm:spPr/>
      <dgm:t>
        <a:bodyPr/>
        <a:lstStyle/>
        <a:p>
          <a:endParaRPr lang="en-US"/>
        </a:p>
      </dgm:t>
    </dgm:pt>
  </dgm:ptLst>
  <dgm:cxnLst>
    <dgm:cxn modelId="{839B746A-34E1-B64B-9E2F-BF3DA8CA6316}" type="presOf" srcId="{8B96E3AC-550F-EE48-AC3D-BE16DACE9ED3}" destId="{CDE6BBE7-D97A-F94A-B593-292F1501F46E}" srcOrd="0" destOrd="1" presId="urn:microsoft.com/office/officeart/2005/8/layout/hList2"/>
    <dgm:cxn modelId="{A5C71530-BB0C-1945-AB88-8DE569370C55}" srcId="{09DA54EF-B54B-D041-B2BB-60ED253A1C7F}" destId="{A8783978-E5B3-BE49-BEAA-524F0BA70168}" srcOrd="2" destOrd="0" parTransId="{17559A5D-8799-404E-9094-F9E5AD87DE08}" sibTransId="{E613B2C3-7F9B-C24B-9FF8-25B8CDE40861}"/>
    <dgm:cxn modelId="{4E69C518-FF03-A74E-89A0-DB8E0E8D78FC}" type="presOf" srcId="{A8783978-E5B3-BE49-BEAA-524F0BA70168}" destId="{51C0DF28-0C7E-7246-AE0A-FCB2248A0F55}" srcOrd="0" destOrd="0" presId="urn:microsoft.com/office/officeart/2005/8/layout/hList2"/>
    <dgm:cxn modelId="{141F879E-9467-5A40-A031-3D873AE6B199}" type="presOf" srcId="{09DA54EF-B54B-D041-B2BB-60ED253A1C7F}" destId="{270A140E-23A6-4B44-A68A-956384D0FB64}" srcOrd="0" destOrd="0" presId="urn:microsoft.com/office/officeart/2005/8/layout/hList2"/>
    <dgm:cxn modelId="{07C068C5-7243-F843-A8A2-68088357BD46}" type="presOf" srcId="{A0C6B203-E65C-EF40-969F-9F570ED0AF4F}" destId="{588435D6-35C3-7E4D-AD29-AF2D8075F206}" srcOrd="0" destOrd="0" presId="urn:microsoft.com/office/officeart/2005/8/layout/hList2"/>
    <dgm:cxn modelId="{73B1CDBE-315C-A549-9145-03D50B30FE75}" type="presOf" srcId="{A0ABBEE4-B1F1-974B-B872-036CA771E93F}" destId="{07642977-0DC0-5C45-BB07-673A606AE197}" srcOrd="0" destOrd="0" presId="urn:microsoft.com/office/officeart/2005/8/layout/hList2"/>
    <dgm:cxn modelId="{F63064CB-E6CF-7341-922C-FC9665F89DB9}" type="presOf" srcId="{34933A75-A1DD-4740-8CE9-CE033CE32E26}" destId="{0EB8BA47-A8BF-A143-A896-8BF0199A73E5}" srcOrd="0" destOrd="0" presId="urn:microsoft.com/office/officeart/2005/8/layout/hList2"/>
    <dgm:cxn modelId="{E18374F0-8C37-3643-82A4-CEB64EC6FB4E}" srcId="{A0ABBEE4-B1F1-974B-B872-036CA771E93F}" destId="{8B96E3AC-550F-EE48-AC3D-BE16DACE9ED3}" srcOrd="1" destOrd="0" parTransId="{71992637-0F3C-0146-A38D-BBC5B3EE2ADC}" sibTransId="{38C814D6-7446-CD43-B875-D7BC4E47BFBF}"/>
    <dgm:cxn modelId="{A0B929F4-FD6C-1C49-BEA6-AC124C0E5AA7}" type="presOf" srcId="{9839200C-656C-F344-B21C-114FBCB47972}" destId="{CDE6BBE7-D97A-F94A-B593-292F1501F46E}" srcOrd="0" destOrd="0" presId="urn:microsoft.com/office/officeart/2005/8/layout/hList2"/>
    <dgm:cxn modelId="{F7EFAFC2-AC96-1C4A-B207-46F706B053D7}" srcId="{09DA54EF-B54B-D041-B2BB-60ED253A1C7F}" destId="{A0ABBEE4-B1F1-974B-B872-036CA771E93F}" srcOrd="0" destOrd="0" parTransId="{54766ACB-CF80-2F49-B058-2993BDB2414F}" sibTransId="{DF70676E-E835-8948-90E5-3BDD7E6A59DF}"/>
    <dgm:cxn modelId="{E87073A4-EBE6-8B4E-85BA-7E9E0600055A}" srcId="{A8783978-E5B3-BE49-BEAA-524F0BA70168}" destId="{A0C6B203-E65C-EF40-969F-9F570ED0AF4F}" srcOrd="0" destOrd="0" parTransId="{EE437657-370E-7240-B062-2F2FA2B4E8A4}" sibTransId="{1A281BCB-71EA-FC4A-B006-B7B54888A507}"/>
    <dgm:cxn modelId="{A2FB6854-F9F9-C940-A1F9-EC2929251981}" srcId="{09DA54EF-B54B-D041-B2BB-60ED253A1C7F}" destId="{34933A75-A1DD-4740-8CE9-CE033CE32E26}" srcOrd="1" destOrd="0" parTransId="{A7F55C71-A536-4145-B703-144C1F294488}" sibTransId="{B92AF52E-7C97-7E48-ACD9-0F061E024863}"/>
    <dgm:cxn modelId="{272D0B83-1385-954A-B6F3-D95E6411422F}" srcId="{A0ABBEE4-B1F1-974B-B872-036CA771E93F}" destId="{9839200C-656C-F344-B21C-114FBCB47972}" srcOrd="0" destOrd="0" parTransId="{7E1D6BA5-DFE9-7444-BE11-FAFB1DF54379}" sibTransId="{CC7B5B64-D1ED-E148-B12F-229AB8726151}"/>
    <dgm:cxn modelId="{5176293C-C87C-7A43-9671-3C927AF9B9A2}" type="presParOf" srcId="{270A140E-23A6-4B44-A68A-956384D0FB64}" destId="{70A59931-96B9-EE4E-A8F7-08686AB53248}" srcOrd="0" destOrd="0" presId="urn:microsoft.com/office/officeart/2005/8/layout/hList2"/>
    <dgm:cxn modelId="{778E0AA3-D3A6-374B-BA0A-6AACB74F1AF7}" type="presParOf" srcId="{70A59931-96B9-EE4E-A8F7-08686AB53248}" destId="{75FF0858-1434-3745-BBE5-74AAAFBEB217}" srcOrd="0" destOrd="0" presId="urn:microsoft.com/office/officeart/2005/8/layout/hList2"/>
    <dgm:cxn modelId="{44BA6F9E-83AC-224D-937F-8711E8233E29}" type="presParOf" srcId="{70A59931-96B9-EE4E-A8F7-08686AB53248}" destId="{CDE6BBE7-D97A-F94A-B593-292F1501F46E}" srcOrd="1" destOrd="0" presId="urn:microsoft.com/office/officeart/2005/8/layout/hList2"/>
    <dgm:cxn modelId="{75E356CB-A882-A941-802F-C52B3437C5EE}" type="presParOf" srcId="{70A59931-96B9-EE4E-A8F7-08686AB53248}" destId="{07642977-0DC0-5C45-BB07-673A606AE197}" srcOrd="2" destOrd="0" presId="urn:microsoft.com/office/officeart/2005/8/layout/hList2"/>
    <dgm:cxn modelId="{493FC4F4-8E7C-DC4E-B8E2-86B8FC8AEE8D}" type="presParOf" srcId="{270A140E-23A6-4B44-A68A-956384D0FB64}" destId="{2F7D00A8-A351-3C49-8476-6B8B6DAEA84C}" srcOrd="1" destOrd="0" presId="urn:microsoft.com/office/officeart/2005/8/layout/hList2"/>
    <dgm:cxn modelId="{14D4A6FA-EF57-8F4B-8150-F35C0FD9F5C8}" type="presParOf" srcId="{270A140E-23A6-4B44-A68A-956384D0FB64}" destId="{DD5BEA73-8A79-3947-B573-32661106B965}" srcOrd="2" destOrd="0" presId="urn:microsoft.com/office/officeart/2005/8/layout/hList2"/>
    <dgm:cxn modelId="{AFD5FF04-3B50-4946-9D24-C6ADBE7EDB22}" type="presParOf" srcId="{DD5BEA73-8A79-3947-B573-32661106B965}" destId="{60269629-A5B2-0D48-81D7-8C10652CEA32}" srcOrd="0" destOrd="0" presId="urn:microsoft.com/office/officeart/2005/8/layout/hList2"/>
    <dgm:cxn modelId="{1DA2CF77-BAB2-DC4C-A2CA-2A97AEC6BB1A}" type="presParOf" srcId="{DD5BEA73-8A79-3947-B573-32661106B965}" destId="{0CFFDFB9-02DE-AE4A-841E-4EB68480790E}" srcOrd="1" destOrd="0" presId="urn:microsoft.com/office/officeart/2005/8/layout/hList2"/>
    <dgm:cxn modelId="{4F246E88-AB05-F542-97A5-90D7C4CD5888}" type="presParOf" srcId="{DD5BEA73-8A79-3947-B573-32661106B965}" destId="{0EB8BA47-A8BF-A143-A896-8BF0199A73E5}" srcOrd="2" destOrd="0" presId="urn:microsoft.com/office/officeart/2005/8/layout/hList2"/>
    <dgm:cxn modelId="{6B8A0403-C2F5-FD42-9730-9826B9B8F483}" type="presParOf" srcId="{270A140E-23A6-4B44-A68A-956384D0FB64}" destId="{3CAD6239-78B6-7841-840C-A2E5B28EB635}" srcOrd="3" destOrd="0" presId="urn:microsoft.com/office/officeart/2005/8/layout/hList2"/>
    <dgm:cxn modelId="{054E7022-603A-E94F-95A7-FC16170068AC}" type="presParOf" srcId="{270A140E-23A6-4B44-A68A-956384D0FB64}" destId="{5682FE9C-55D5-EE45-B17F-4F951196938D}" srcOrd="4" destOrd="0" presId="urn:microsoft.com/office/officeart/2005/8/layout/hList2"/>
    <dgm:cxn modelId="{41E09C45-7C28-FE44-947E-D2C52E0DE3DE}" type="presParOf" srcId="{5682FE9C-55D5-EE45-B17F-4F951196938D}" destId="{AE7C0A67-82F8-BF40-81E4-C8D934E0B8F8}" srcOrd="0" destOrd="0" presId="urn:microsoft.com/office/officeart/2005/8/layout/hList2"/>
    <dgm:cxn modelId="{BEEF5DA1-161A-9045-ACB0-B38DBA86726B}" type="presParOf" srcId="{5682FE9C-55D5-EE45-B17F-4F951196938D}" destId="{588435D6-35C3-7E4D-AD29-AF2D8075F206}" srcOrd="1" destOrd="0" presId="urn:microsoft.com/office/officeart/2005/8/layout/hList2"/>
    <dgm:cxn modelId="{226B01A8-9B30-864A-B231-E6CB1DAD37FE}" type="presParOf" srcId="{5682FE9C-55D5-EE45-B17F-4F951196938D}" destId="{51C0DF28-0C7E-7246-AE0A-FCB2248A0F55}" srcOrd="2" destOrd="0" presId="urn:microsoft.com/office/officeart/2005/8/layout/hList2"/>
  </dgm:cxnLst>
  <dgm:bg/>
  <dgm:whole/>
</dgm:dataModel>
</file>

<file path=xl/diagrams/layout1.xml><?xml version="1.0" encoding="utf-8"?>
<dgm:layoutDef xmlns:dgm="http://schemas.openxmlformats.org/drawingml/2006/diagram" xmlns:a="http://schemas.openxmlformats.org/drawingml/2006/main" uniqueId="urn:microsoft.com/office/officeart/2005/8/layout/hList2">
  <dgm:title val=""/>
  <dgm:desc val=""/>
  <dgm:catLst>
    <dgm:cat type="list" pri="6000"/>
    <dgm:cat type="relationship" pri="16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linearFlow">
    <dgm:varLst>
      <dgm:dir/>
      <dgm:animLvl val="lvl"/>
      <dgm:resizeHandles/>
    </dgm:varLst>
    <dgm:choose name="Name0">
      <dgm:if name="Name1" func="var" arg="dir" op="equ" val="norm">
        <dgm:alg type="lin">
          <dgm:param type="linDir" val="fromL"/>
          <dgm:param type="nodeVertAlign" val="t"/>
        </dgm:alg>
      </dgm:if>
      <dgm:else name="Name2">
        <dgm:alg type="lin">
          <dgm:param type="linDir" val="fromR"/>
          <dgm:param type="nodeVertAlign" val="t"/>
        </dgm:alg>
      </dgm:else>
    </dgm:choose>
    <dgm:shape xmlns:r="http://schemas.openxmlformats.org/officeDocument/2006/relationships" r:blip="">
      <dgm:adjLst/>
    </dgm:shape>
    <dgm:presOf/>
    <dgm:constrLst>
      <dgm:constr type="w" for="ch" forName="compositeNode" refType="w"/>
      <dgm:constr type="h" for="ch" forName="compositeNode" refType="h"/>
      <dgm:constr type="w" for="ch" forName="sibTrans" refType="w" refFor="ch" refForName="compositeNode" op="equ" fact="0.2"/>
      <dgm:constr type="h" for="des" forName="childNode" op="equ"/>
      <dgm:constr type="w" for="des" forName="childNode" op="equ"/>
      <dgm:constr type="w" for="des" forName="parentNode" op="equ"/>
      <dgm:constr type="h" for="des" forName="image" op="equ"/>
      <dgm:constr type="w" for="des" forName="image" op="equ"/>
      <dgm:constr type="primFontSz" for="des" forName="parentNode" op="equ" val="65"/>
      <dgm:constr type="primFontSz" for="des" forName="childNode" op="equ" val="65"/>
    </dgm:constrLst>
    <dgm:ruleLst/>
    <dgm:forEach name="Name3" axis="ch" ptType="node">
      <dgm:layoutNode name="compositeNode">
        <dgm:varLst>
          <dgm:bulletEnabled val="1"/>
        </dgm:varLst>
        <dgm:alg type="composite"/>
        <dgm:presOf/>
        <dgm:choose name="Name4">
          <dgm:if name="Name5" func="var" arg="dir" op="equ" val="norm">
            <dgm:constrLst>
              <dgm:constr type="w" for="ch" forName="image" refType="w"/>
              <dgm:constr type="h" for="ch" forName="image" refType="h"/>
              <dgm:constr type="h" for="ch" forName="image" refType="w" refFor="ch" refForName="image" op="lte"/>
              <dgm:constr type="w" for="ch" forName="image" refType="h" refFor="ch" refForName="image" op="lte"/>
              <dgm:constr type="w" for="ch" forName="image" refType="w" op="lte" fact="0.33"/>
              <dgm:constr type="h" for="ch" forName="image" refType="h" op="lte" fact="0.33"/>
              <dgm:constr type="t" for="ch" forName="image"/>
              <dgm:constr type="l" for="ch" forName="image"/>
              <dgm:constr type="w" for="ch" forName="childNode" refType="w" fact="0.85"/>
              <dgm:constr type="h" for="ch" forName="childNode" refType="h" fact="0.78"/>
              <dgm:constr type="t" for="ch" forName="childNode" refType="h" refFor="ch" refForName="image" fact="0.66"/>
              <dgm:constr type="l" for="ch" forName="childNode" refType="w" refFor="ch" refForName="image" fact="0.5"/>
              <dgm:constr type="tMarg" for="ch" forName="childNode" refType="w" refFor="ch" refForName="image" fact="1.25"/>
              <dgm:constr type="t" for="ch" forName="parentNode" refType="h" refFor="ch" refForName="image" fact="0.66"/>
              <dgm:constr type="b" for="ch" forName="parentNode" refType="b" refFor="ch" refForName="childNode"/>
              <dgm:constr type="l" for="ch" forName="parentNode"/>
              <dgm:constr type="r" for="ch" forName="parentNode" refType="l" refFor="ch" refForName="childNode"/>
              <dgm:constr type="rMarg" for="ch" forName="parentNode" refType="w" refFor="ch" refForName="image" fact="1.25"/>
            </dgm:constrLst>
          </dgm:if>
          <dgm:else name="Name6">
            <dgm:constrLst>
              <dgm:constr type="w" for="ch" forName="image" refType="w"/>
              <dgm:constr type="h" for="ch" forName="image" refType="h"/>
              <dgm:constr type="h" for="ch" forName="image" refType="w" refFor="ch" refForName="image" op="lte"/>
              <dgm:constr type="w" for="ch" forName="image" refType="h" refFor="ch" refForName="image" op="lte"/>
              <dgm:constr type="w" for="ch" forName="image" refType="w" op="lte" fact="0.33"/>
              <dgm:constr type="h" for="ch" forName="image" refType="h" op="lte" fact="0.33"/>
              <dgm:constr type="t" for="ch" forName="image"/>
              <dgm:constr type="r" for="ch" forName="image" refType="w"/>
              <dgm:constr type="w" for="ch" forName="childNode" refType="w" fact="0.85"/>
              <dgm:constr type="h" for="ch" forName="childNode" refType="h" fact="0.78"/>
              <dgm:constr type="t" for="ch" forName="childNode" refType="h" refFor="ch" refForName="image" fact="0.66"/>
              <dgm:constr type="r" for="ch" forName="childNode" refType="w"/>
              <dgm:constr type="rOff" for="ch" forName="childNode" refType="w" refFor="ch" refForName="image" fact="-0.5"/>
              <dgm:constr type="tMarg" for="ch" forName="childNode" refType="w" refFor="ch" refForName="image" fact="1.25"/>
              <dgm:constr type="t" for="ch" forName="parentNode" refType="h" refFor="ch" refForName="image" fact="0.66"/>
              <dgm:constr type="b" for="ch" forName="parentNode" refType="b" refFor="ch" refForName="childNode"/>
              <dgm:constr type="r" for="ch" forName="parentNode" refType="w"/>
              <dgm:constr type="l" for="ch" forName="parentNode" refType="r" refFor="ch" refForName="childNode"/>
              <dgm:constr type="lOff" for="ch" forName="parentNode" refType="rOff" refFor="ch" refForName="childNode"/>
              <dgm:constr type="lMarg" for="ch" forName="parentNode" refType="w" refFor="ch" refForName="image" fact="1.25"/>
            </dgm:constrLst>
          </dgm:else>
        </dgm:choose>
        <dgm:ruleLst>
          <dgm:rule type="w" for="ch" forName="childNode" val="NaN" fact="0.4" max="NaN"/>
          <dgm:rule type="h" for="ch" forName="childNode" val="NaN" fact="0.5" max="NaN"/>
        </dgm:ruleLst>
        <dgm:layoutNode name="image" styleLbl="fgImgPlace1">
          <dgm:alg type="sp"/>
          <dgm:shape xmlns:r="http://schemas.openxmlformats.org/officeDocument/2006/relationships" type="rect" r:blip="" zOrderOff="4" blipPhldr="1">
            <dgm:adjLst/>
          </dgm:shape>
          <dgm:presOf/>
          <dgm:constrLst/>
          <dgm:ruleLst/>
        </dgm:layoutNode>
        <dgm:layoutNode name="childNode" styleLbl="node1">
          <dgm:varLst>
            <dgm:bulletEnabled val="1"/>
          </dgm:varLst>
          <dgm:alg type="tx">
            <dgm:param type="stBulletLvl" val="1"/>
          </dgm:alg>
          <dgm:shape xmlns:r="http://schemas.openxmlformats.org/officeDocument/2006/relationships" type="rect" r:blip="" zOrderOff="2">
            <dgm:adjLst/>
          </dgm:shape>
          <dgm:presOf axis="des" ptType="node"/>
          <dgm:constrLst/>
          <dgm:ruleLst>
            <dgm:rule type="primFontSz" val="5" fact="NaN" max="NaN"/>
          </dgm:ruleLst>
        </dgm:layoutNode>
        <dgm:layoutNode name="parentNode" styleLbl="revTx">
          <dgm:varLst>
            <dgm:chMax val="0"/>
            <dgm:bulletEnabled val="1"/>
          </dgm:varLst>
          <dgm:choose name="Name7">
            <dgm:if name="Name8" func="var" arg="dir" op="equ" val="norm">
              <dgm:alg type="tx">
                <dgm:param type="autoTxRot" val="grav"/>
                <dgm:param type="txAnchorVert" val="t"/>
                <dgm:param type="parTxLTRAlign" val="r"/>
                <dgm:param type="parTxRTLAlign" val="r"/>
              </dgm:alg>
              <dgm:shape xmlns:r="http://schemas.openxmlformats.org/officeDocument/2006/relationships" rot="270" type="rect" r:blip="">
                <dgm:adjLst/>
              </dgm:shape>
              <dgm:presOf axis="self"/>
              <dgm:constrLst>
                <dgm:constr type="lMarg"/>
                <dgm:constr type="bMarg"/>
                <dgm:constr type="tMarg"/>
              </dgm:constrLst>
            </dgm:if>
            <dgm:else name="Name9">
              <dgm:alg type="tx">
                <dgm:param type="autoTxRot" val="grav"/>
                <dgm:param type="parTxLTRAlign" val="l"/>
                <dgm:param type="parTxRTLAlign" val="l"/>
              </dgm:alg>
              <dgm:shape xmlns:r="http://schemas.openxmlformats.org/officeDocument/2006/relationships" rot="90" type="rect" r:blip="">
                <dgm:adjLst/>
              </dgm:shape>
              <dgm:presOf axis="self"/>
              <dgm:constrLst>
                <dgm:constr type="rMarg"/>
                <dgm:constr type="bMarg"/>
                <dgm:constr type="tMarg"/>
              </dgm:constrLst>
            </dgm:else>
          </dgm:choose>
          <dgm:ruleLst>
            <dgm:rule type="primFontSz" val="5" fact="NaN" max="NaN"/>
          </dgm:ruleLst>
        </dgm:layoutNode>
      </dgm:layoutNode>
      <dgm:forEach name="Name10" axis="followSib" ptType="sibTrans" cnt="1">
        <dgm:layoutNode name="sibTrans">
          <dgm:alg type="sp"/>
          <dgm:shape xmlns:r="http://schemas.openxmlformats.org/officeDocument/2006/relationships" r:blip="">
            <dgm:adjLst/>
          </dgm:shape>
          <dgm:presOf axis="sel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4" Type="http://schemas.openxmlformats.org/officeDocument/2006/relationships/diagramColors" Target="../diagrams/colors1.xml"/><Relationship Id="rId1" Type="http://schemas.openxmlformats.org/officeDocument/2006/relationships/diagramData" Target="../diagrams/data1.xml"/><Relationship Id="rId2" Type="http://schemas.openxmlformats.org/officeDocument/2006/relationships/diagramLayout" Target="../diagrams/layout1.xml"/></Relationships>
</file>

<file path=xl/drawings/drawing1.xml><?xml version="1.0" encoding="utf-8"?>
<xdr:wsDr xmlns:xdr="http://schemas.openxmlformats.org/drawingml/2006/spreadsheetDrawing" xmlns:a="http://schemas.openxmlformats.org/drawingml/2006/main">
  <xdr:twoCellAnchor>
    <xdr:from>
      <xdr:col>14</xdr:col>
      <xdr:colOff>660400</xdr:colOff>
      <xdr:row>3</xdr:row>
      <xdr:rowOff>25400</xdr:rowOff>
    </xdr:from>
    <xdr:to>
      <xdr:col>14</xdr:col>
      <xdr:colOff>787400</xdr:colOff>
      <xdr:row>4</xdr:row>
      <xdr:rowOff>38100</xdr:rowOff>
    </xdr:to>
    <xdr:graphicFrame macro="">
      <xdr:nvGraphicFramePr>
        <xdr:cNvPr id="2" name="Diagram 1"/>
        <xdr:cNvGraphicFramePr/>
      </xdr:nvGraphicFramePr>
      <xdr:xfrm>
        <a:off x="0" y="0"/>
        <a:ext cx="0" cy="0"/>
      </xdr:xfrm>
      <a:graphic>
        <a:graphicData uri="http://schemas.openxmlformats.org/drawingml/2006/diagram">
          <a: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J100"/>
  <sheetViews>
    <sheetView topLeftCell="A31" zoomScale="125" workbookViewId="0">
      <selection activeCell="F46" sqref="F46"/>
    </sheetView>
  </sheetViews>
  <sheetFormatPr baseColWidth="10" defaultRowHeight="15"/>
  <cols>
    <col min="1" max="16384" width="10.83203125" style="1"/>
  </cols>
  <sheetData>
    <row r="1" spans="1:9" ht="17">
      <c r="A1" s="376" t="s">
        <v>615</v>
      </c>
      <c r="B1" s="39" t="s">
        <v>618</v>
      </c>
    </row>
    <row r="2" spans="1:9">
      <c r="A2" s="376" t="s">
        <v>616</v>
      </c>
      <c r="B2" s="319" t="s">
        <v>526</v>
      </c>
    </row>
    <row r="3" spans="1:9">
      <c r="A3" s="377">
        <v>40640</v>
      </c>
    </row>
    <row r="4" spans="1:9">
      <c r="A4" s="376"/>
      <c r="B4" s="57" t="s">
        <v>199</v>
      </c>
    </row>
    <row r="5" spans="1:9">
      <c r="B5" s="57" t="s">
        <v>177</v>
      </c>
    </row>
    <row r="6" spans="1:9">
      <c r="B6" s="57" t="s">
        <v>492</v>
      </c>
    </row>
    <row r="7" spans="1:9">
      <c r="B7" s="57" t="s">
        <v>58</v>
      </c>
      <c r="I7" s="260" t="s">
        <v>164</v>
      </c>
    </row>
    <row r="8" spans="1:9">
      <c r="B8" s="57" t="s">
        <v>128</v>
      </c>
      <c r="I8" s="1" t="s">
        <v>258</v>
      </c>
    </row>
    <row r="9" spans="1:9">
      <c r="B9" s="57" t="s">
        <v>127</v>
      </c>
    </row>
    <row r="10" spans="1:9">
      <c r="B10" s="57" t="s">
        <v>178</v>
      </c>
    </row>
    <row r="11" spans="1:9">
      <c r="B11" s="57" t="s">
        <v>121</v>
      </c>
    </row>
    <row r="12" spans="1:9">
      <c r="A12" s="57" t="s">
        <v>530</v>
      </c>
    </row>
    <row r="14" spans="1:9">
      <c r="A14" s="3" t="s">
        <v>403</v>
      </c>
    </row>
    <row r="15" spans="1:9">
      <c r="A15" s="1" t="s">
        <v>273</v>
      </c>
    </row>
    <row r="16" spans="1:9">
      <c r="B16" s="1" t="s">
        <v>279</v>
      </c>
    </row>
    <row r="17" spans="1:2">
      <c r="B17" s="1" t="s">
        <v>282</v>
      </c>
    </row>
    <row r="18" spans="1:2">
      <c r="B18" s="1" t="s">
        <v>349</v>
      </c>
    </row>
    <row r="19" spans="1:2">
      <c r="A19" s="3" t="s">
        <v>423</v>
      </c>
      <c r="B19" s="3"/>
    </row>
    <row r="20" spans="1:2">
      <c r="A20" s="3"/>
      <c r="B20" s="265" t="s">
        <v>380</v>
      </c>
    </row>
    <row r="22" spans="1:2">
      <c r="A22" s="3" t="s">
        <v>525</v>
      </c>
    </row>
    <row r="23" spans="1:2">
      <c r="A23" s="1" t="s">
        <v>351</v>
      </c>
    </row>
    <row r="24" spans="1:2">
      <c r="A24" s="1" t="s">
        <v>270</v>
      </c>
    </row>
    <row r="25" spans="1:2">
      <c r="A25" s="1" t="s">
        <v>235</v>
      </c>
    </row>
    <row r="26" spans="1:2">
      <c r="B26" s="1" t="s">
        <v>381</v>
      </c>
    </row>
    <row r="28" spans="1:2">
      <c r="A28" s="3" t="s">
        <v>361</v>
      </c>
    </row>
    <row r="29" spans="1:2">
      <c r="B29" s="1" t="s">
        <v>197</v>
      </c>
    </row>
    <row r="30" spans="1:2">
      <c r="B30" s="1" t="s">
        <v>231</v>
      </c>
    </row>
    <row r="31" spans="1:2">
      <c r="A31" s="1" t="s">
        <v>283</v>
      </c>
    </row>
    <row r="32" spans="1:2">
      <c r="B32" s="1" t="s">
        <v>272</v>
      </c>
    </row>
    <row r="33" spans="1:4">
      <c r="A33" s="1" t="s">
        <v>436</v>
      </c>
    </row>
    <row r="34" spans="1:4">
      <c r="B34" s="1" t="s">
        <v>249</v>
      </c>
    </row>
    <row r="35" spans="1:4">
      <c r="A35" s="1" t="s">
        <v>59</v>
      </c>
    </row>
    <row r="36" spans="1:4">
      <c r="A36" s="1" t="s">
        <v>634</v>
      </c>
    </row>
    <row r="37" spans="1:4">
      <c r="A37" s="1" t="s">
        <v>640</v>
      </c>
    </row>
    <row r="38" spans="1:4">
      <c r="B38" s="1" t="s">
        <v>639</v>
      </c>
    </row>
    <row r="40" spans="1:4">
      <c r="A40" s="3" t="s">
        <v>635</v>
      </c>
    </row>
    <row r="41" spans="1:4">
      <c r="A41" s="1" t="s">
        <v>237</v>
      </c>
    </row>
    <row r="42" spans="1:4">
      <c r="A42" s="26" t="s">
        <v>632</v>
      </c>
      <c r="B42" s="2"/>
      <c r="C42" s="25"/>
    </row>
    <row r="43" spans="1:4">
      <c r="A43" s="26" t="s">
        <v>633</v>
      </c>
      <c r="B43" s="42"/>
      <c r="C43" s="43"/>
    </row>
    <row r="44" spans="1:4">
      <c r="A44" s="25"/>
      <c r="C44" s="38" t="s">
        <v>332</v>
      </c>
      <c r="D44" s="38" t="s">
        <v>459</v>
      </c>
    </row>
    <row r="45" spans="1:4">
      <c r="B45" s="37" t="s">
        <v>202</v>
      </c>
      <c r="C45" s="24">
        <v>40.1</v>
      </c>
      <c r="D45" s="27">
        <v>41.4</v>
      </c>
    </row>
    <row r="46" spans="1:4">
      <c r="B46" s="37" t="s">
        <v>200</v>
      </c>
      <c r="C46" s="24">
        <v>47.1</v>
      </c>
      <c r="D46" s="24">
        <v>47.5</v>
      </c>
    </row>
    <row r="47" spans="1:4">
      <c r="B47" s="37" t="s">
        <v>201</v>
      </c>
      <c r="C47" s="24">
        <v>52.3</v>
      </c>
      <c r="D47" s="24">
        <v>52.7</v>
      </c>
    </row>
    <row r="49" spans="1:10">
      <c r="A49" s="3" t="s">
        <v>636</v>
      </c>
    </row>
    <row r="50" spans="1:10">
      <c r="B50" s="1" t="s">
        <v>370</v>
      </c>
    </row>
    <row r="51" spans="1:10">
      <c r="B51" s="1" t="s">
        <v>641</v>
      </c>
    </row>
    <row r="52" spans="1:10">
      <c r="B52" s="1" t="s">
        <v>642</v>
      </c>
    </row>
    <row r="53" spans="1:10">
      <c r="B53" s="1" t="s">
        <v>643</v>
      </c>
    </row>
    <row r="55" spans="1:10">
      <c r="A55" s="3" t="s">
        <v>637</v>
      </c>
    </row>
    <row r="56" spans="1:10">
      <c r="A56" s="1" t="s">
        <v>317</v>
      </c>
    </row>
    <row r="57" spans="1:10">
      <c r="A57" s="1" t="s">
        <v>114</v>
      </c>
    </row>
    <row r="59" spans="1:10">
      <c r="D59" s="1" t="s">
        <v>362</v>
      </c>
    </row>
    <row r="60" spans="1:10">
      <c r="F60" s="1" t="s">
        <v>106</v>
      </c>
      <c r="H60" s="1" t="s">
        <v>106</v>
      </c>
      <c r="J60" s="8" t="s">
        <v>107</v>
      </c>
    </row>
    <row r="61" spans="1:10">
      <c r="D61" s="8" t="s">
        <v>108</v>
      </c>
      <c r="F61" s="1" t="s">
        <v>184</v>
      </c>
      <c r="H61" s="1" t="s">
        <v>442</v>
      </c>
      <c r="J61" s="8" t="s">
        <v>195</v>
      </c>
    </row>
    <row r="62" spans="1:10">
      <c r="C62" s="9" t="s">
        <v>315</v>
      </c>
      <c r="D62" s="9" t="s">
        <v>441</v>
      </c>
      <c r="E62" s="3"/>
      <c r="F62" s="3" t="s">
        <v>371</v>
      </c>
      <c r="G62" s="3"/>
      <c r="H62" s="3" t="s">
        <v>314</v>
      </c>
      <c r="I62" s="3"/>
      <c r="J62" s="9" t="s">
        <v>327</v>
      </c>
    </row>
    <row r="63" spans="1:10">
      <c r="C63" s="8" t="s">
        <v>429</v>
      </c>
      <c r="D63" s="7">
        <v>83.183852482928984</v>
      </c>
      <c r="E63" s="7"/>
      <c r="F63" s="7">
        <v>74.682598954443606</v>
      </c>
      <c r="G63" s="7"/>
      <c r="H63" s="7">
        <v>126.75130694548169</v>
      </c>
      <c r="J63" s="6">
        <v>3.3800771023151599</v>
      </c>
    </row>
    <row r="64" spans="1:10">
      <c r="C64" s="8" t="s">
        <v>110</v>
      </c>
      <c r="D64" s="7">
        <v>61.714970342775892</v>
      </c>
      <c r="E64" s="7"/>
      <c r="F64" s="7">
        <v>55.407801418439718</v>
      </c>
      <c r="G64" s="7"/>
      <c r="H64" s="7">
        <v>94.038120567375913</v>
      </c>
      <c r="J64" s="6">
        <v>2.5077145611702134</v>
      </c>
    </row>
    <row r="65" spans="1:10">
      <c r="C65" s="8" t="s">
        <v>109</v>
      </c>
      <c r="D65" s="7">
        <v>65.7127896605557</v>
      </c>
      <c r="E65" s="7"/>
      <c r="F65" s="7">
        <v>58.997050147492622</v>
      </c>
      <c r="G65" s="7"/>
      <c r="H65" s="7">
        <v>100.12979351032448</v>
      </c>
      <c r="J65" s="6">
        <v>2.6701612035398226</v>
      </c>
    </row>
    <row r="66" spans="1:10">
      <c r="C66" s="8" t="s">
        <v>325</v>
      </c>
      <c r="D66" s="7">
        <v>65.627609282725615</v>
      </c>
      <c r="E66" s="7"/>
      <c r="F66" s="7">
        <v>58.920575064812631</v>
      </c>
      <c r="G66" s="7"/>
      <c r="H66" s="7">
        <v>100</v>
      </c>
      <c r="J66" s="6">
        <v>2.6667000000000001</v>
      </c>
    </row>
    <row r="67" spans="1:10">
      <c r="C67" s="8" t="s">
        <v>136</v>
      </c>
      <c r="D67" s="7">
        <v>66.636660768556339</v>
      </c>
      <c r="E67" s="7"/>
      <c r="F67" s="7">
        <v>59.826503140891411</v>
      </c>
      <c r="G67" s="7"/>
      <c r="H67" s="7">
        <v>101.53754113072091</v>
      </c>
      <c r="J67" s="6">
        <v>2.7077016093329349</v>
      </c>
    </row>
    <row r="68" spans="1:10">
      <c r="C68" s="8" t="s">
        <v>326</v>
      </c>
      <c r="D68" s="7">
        <v>84.973434905890983</v>
      </c>
      <c r="E68" s="7"/>
      <c r="F68" s="7">
        <v>76.289288983826665</v>
      </c>
      <c r="G68" s="7"/>
      <c r="H68" s="7">
        <v>129.47818126335062</v>
      </c>
      <c r="J68" s="6">
        <v>3.4527946597497707</v>
      </c>
    </row>
    <row r="69" spans="1:10">
      <c r="C69" s="8" t="s">
        <v>137</v>
      </c>
      <c r="D69" s="7">
        <v>63.647530556938236</v>
      </c>
      <c r="E69" s="7"/>
      <c r="F69" s="7">
        <v>57.142857142857146</v>
      </c>
      <c r="G69" s="7"/>
      <c r="H69" s="7">
        <v>96.982857142857142</v>
      </c>
      <c r="J69" s="6">
        <v>2.5862418514285714</v>
      </c>
    </row>
    <row r="70" spans="1:10">
      <c r="C70" s="8" t="s">
        <v>138</v>
      </c>
      <c r="D70" s="7">
        <v>15.334009536969894</v>
      </c>
      <c r="E70" s="7"/>
      <c r="F70" s="7">
        <v>13.766898868360913</v>
      </c>
      <c r="G70" s="7"/>
      <c r="H70" s="7">
        <v>23.365180759382145</v>
      </c>
      <c r="J70" s="6">
        <v>0.62307927531044371</v>
      </c>
    </row>
    <row r="71" spans="1:10" ht="16" thickBot="1"/>
    <row r="72" spans="1:10" ht="16" thickBot="1">
      <c r="C72" s="8" t="s">
        <v>316</v>
      </c>
      <c r="D72" s="11">
        <v>111.38317847464192</v>
      </c>
      <c r="J72" s="10">
        <v>4.4400000000000004</v>
      </c>
    </row>
    <row r="74" spans="1:10">
      <c r="A74" s="1" t="s">
        <v>88</v>
      </c>
    </row>
    <row r="75" spans="1:10">
      <c r="A75" s="1" t="s">
        <v>568</v>
      </c>
    </row>
    <row r="76" spans="1:10">
      <c r="A76" s="1" t="s">
        <v>208</v>
      </c>
    </row>
    <row r="77" spans="1:10">
      <c r="A77" s="1" t="s">
        <v>638</v>
      </c>
    </row>
    <row r="79" spans="1:10">
      <c r="A79" s="1" t="s">
        <v>320</v>
      </c>
    </row>
    <row r="80" spans="1:10">
      <c r="A80" s="1" t="s">
        <v>162</v>
      </c>
    </row>
    <row r="81" spans="1:1">
      <c r="A81" s="1" t="s">
        <v>274</v>
      </c>
    </row>
    <row r="83" spans="1:1">
      <c r="A83" s="3" t="s">
        <v>572</v>
      </c>
    </row>
    <row r="84" spans="1:1">
      <c r="A84" s="1" t="s">
        <v>129</v>
      </c>
    </row>
    <row r="85" spans="1:1">
      <c r="A85" s="1" t="s">
        <v>166</v>
      </c>
    </row>
    <row r="86" spans="1:1">
      <c r="A86" s="1" t="s">
        <v>607</v>
      </c>
    </row>
    <row r="87" spans="1:1">
      <c r="A87" s="1" t="s">
        <v>17</v>
      </c>
    </row>
    <row r="88" spans="1:1">
      <c r="A88" s="1" t="s">
        <v>147</v>
      </c>
    </row>
    <row r="89" spans="1:1">
      <c r="A89" s="1" t="s">
        <v>291</v>
      </c>
    </row>
    <row r="90" spans="1:1">
      <c r="A90" s="1" t="s">
        <v>439</v>
      </c>
    </row>
    <row r="92" spans="1:1">
      <c r="A92" s="3" t="s">
        <v>573</v>
      </c>
    </row>
    <row r="93" spans="1:1">
      <c r="A93" s="1" t="s">
        <v>143</v>
      </c>
    </row>
    <row r="94" spans="1:1">
      <c r="A94" s="1" t="s">
        <v>182</v>
      </c>
    </row>
    <row r="95" spans="1:1">
      <c r="A95" s="1" t="s">
        <v>142</v>
      </c>
    </row>
    <row r="96" spans="1:1">
      <c r="A96" s="1" t="s">
        <v>267</v>
      </c>
    </row>
    <row r="97" spans="1:1">
      <c r="A97" s="1" t="s">
        <v>139</v>
      </c>
    </row>
    <row r="98" spans="1:1">
      <c r="A98" s="1" t="s">
        <v>268</v>
      </c>
    </row>
    <row r="99" spans="1:1">
      <c r="A99" s="1" t="s">
        <v>113</v>
      </c>
    </row>
    <row r="100" spans="1:1">
      <c r="A100" s="1" t="s">
        <v>11</v>
      </c>
    </row>
  </sheetData>
  <sheetCalcPr fullCalcOnLoad="1"/>
  <phoneticPr fontId="20" type="noConversion"/>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O71"/>
  <sheetViews>
    <sheetView topLeftCell="A31" zoomScale="125" workbookViewId="0">
      <selection activeCell="D29" sqref="D29"/>
    </sheetView>
  </sheetViews>
  <sheetFormatPr baseColWidth="10" defaultRowHeight="15"/>
  <cols>
    <col min="1" max="3" width="10.83203125" style="1"/>
    <col min="4" max="4" width="19.1640625" style="1" customWidth="1"/>
    <col min="5" max="5" width="10.83203125" style="1"/>
    <col min="6" max="6" width="12.83203125" style="1" customWidth="1"/>
    <col min="7" max="8" width="10.83203125" style="1"/>
    <col min="9" max="9" width="12.5" style="1" customWidth="1"/>
    <col min="10" max="11" width="10.83203125" style="1"/>
    <col min="12" max="12" width="16.33203125" style="1" customWidth="1"/>
    <col min="13" max="13" width="10.83203125" style="1"/>
    <col min="14" max="14" width="16" style="1" customWidth="1"/>
    <col min="15" max="16384" width="10.83203125" style="1"/>
  </cols>
  <sheetData>
    <row r="1" spans="1:8" ht="15" customHeight="1">
      <c r="C1" s="39" t="s">
        <v>75</v>
      </c>
    </row>
    <row r="2" spans="1:8" ht="15" customHeight="1">
      <c r="C2" s="1" t="s">
        <v>190</v>
      </c>
    </row>
    <row r="3" spans="1:8" ht="15" customHeight="1">
      <c r="C3" s="1" t="s">
        <v>122</v>
      </c>
    </row>
    <row r="4" spans="1:8" ht="15" customHeight="1">
      <c r="C4" s="1" t="s">
        <v>19</v>
      </c>
    </row>
    <row r="5" spans="1:8" ht="15" customHeight="1">
      <c r="C5" s="1" t="s">
        <v>93</v>
      </c>
    </row>
    <row r="6" spans="1:8" ht="15" customHeight="1"/>
    <row r="7" spans="1:8" ht="15" customHeight="1">
      <c r="B7" s="58"/>
    </row>
    <row r="8" spans="1:8" ht="15" customHeight="1">
      <c r="A8" s="48" t="s">
        <v>101</v>
      </c>
      <c r="B8" s="58"/>
    </row>
    <row r="9" spans="1:8" ht="15" customHeight="1">
      <c r="E9" s="8" t="s">
        <v>181</v>
      </c>
      <c r="F9" s="8" t="s">
        <v>298</v>
      </c>
      <c r="G9" s="8" t="s">
        <v>542</v>
      </c>
    </row>
    <row r="10" spans="1:8" ht="15" customHeight="1">
      <c r="B10" s="1" t="s">
        <v>438</v>
      </c>
      <c r="E10" s="8" t="s">
        <v>543</v>
      </c>
      <c r="F10" s="8" t="s">
        <v>544</v>
      </c>
      <c r="G10" s="8" t="s">
        <v>275</v>
      </c>
    </row>
    <row r="11" spans="1:8" ht="15" customHeight="1">
      <c r="B11" s="1" t="s">
        <v>222</v>
      </c>
      <c r="C11" s="1" t="s">
        <v>269</v>
      </c>
      <c r="E11" s="1">
        <v>26</v>
      </c>
      <c r="F11" s="1">
        <v>43</v>
      </c>
      <c r="G11" s="47">
        <v>1.6538461538461537</v>
      </c>
    </row>
    <row r="12" spans="1:8" ht="15" customHeight="1">
      <c r="B12" s="1" t="s">
        <v>194</v>
      </c>
      <c r="C12" s="1" t="s">
        <v>179</v>
      </c>
      <c r="E12" s="1">
        <v>242</v>
      </c>
      <c r="F12" s="1">
        <v>424</v>
      </c>
      <c r="G12" s="47">
        <v>1.7520661157024793</v>
      </c>
    </row>
    <row r="13" spans="1:8" ht="15" customHeight="1">
      <c r="B13" s="1" t="s">
        <v>428</v>
      </c>
      <c r="C13" s="1" t="s">
        <v>382</v>
      </c>
      <c r="E13" s="1">
        <v>180</v>
      </c>
      <c r="F13" s="1">
        <v>308</v>
      </c>
      <c r="G13" s="47">
        <v>1.711111111111111</v>
      </c>
    </row>
    <row r="14" spans="1:8" ht="15" customHeight="1">
      <c r="A14" s="58"/>
      <c r="B14" s="58" t="s">
        <v>328</v>
      </c>
      <c r="C14" s="58" t="s">
        <v>383</v>
      </c>
      <c r="D14" s="58"/>
      <c r="E14" s="1">
        <v>73</v>
      </c>
      <c r="F14" s="1">
        <v>102</v>
      </c>
      <c r="G14" s="47">
        <v>1.3972602739726028</v>
      </c>
    </row>
    <row r="15" spans="1:8" ht="15" customHeight="1">
      <c r="A15" s="58"/>
      <c r="B15" s="58" t="s">
        <v>334</v>
      </c>
      <c r="C15" s="58" t="s">
        <v>324</v>
      </c>
      <c r="D15" s="58"/>
      <c r="E15" s="1">
        <v>5</v>
      </c>
      <c r="F15" s="1">
        <v>11</v>
      </c>
      <c r="G15" s="47">
        <v>2.2000000000000002</v>
      </c>
      <c r="H15" s="1" t="s">
        <v>264</v>
      </c>
    </row>
    <row r="16" spans="1:8" ht="15" customHeight="1">
      <c r="B16" s="1" t="s">
        <v>98</v>
      </c>
      <c r="C16" s="1" t="s">
        <v>299</v>
      </c>
      <c r="E16" s="1">
        <v>46</v>
      </c>
      <c r="F16" s="1">
        <v>76</v>
      </c>
      <c r="G16" s="47">
        <v>1.6521739130434783</v>
      </c>
    </row>
    <row r="17" spans="1:15" ht="15" customHeight="1">
      <c r="B17" s="1" t="s">
        <v>515</v>
      </c>
      <c r="C17" s="1" t="s">
        <v>104</v>
      </c>
      <c r="E17" s="1">
        <v>3</v>
      </c>
      <c r="F17" s="1">
        <v>3</v>
      </c>
      <c r="G17" s="47">
        <v>1</v>
      </c>
      <c r="H17" s="1" t="s">
        <v>541</v>
      </c>
    </row>
    <row r="18" spans="1:15" ht="15" customHeight="1">
      <c r="D18" s="8" t="s">
        <v>469</v>
      </c>
      <c r="E18" s="1">
        <f>SUM(E11:E17)</f>
        <v>575</v>
      </c>
      <c r="F18" s="1">
        <f>SUM(F11:F17)</f>
        <v>967</v>
      </c>
      <c r="G18" s="47">
        <f>F18/E18</f>
        <v>1.6817391304347826</v>
      </c>
    </row>
    <row r="19" spans="1:15" ht="15" customHeight="1">
      <c r="D19" s="8"/>
      <c r="G19" s="47"/>
    </row>
    <row r="20" spans="1:15" ht="15" customHeight="1">
      <c r="A20" s="48" t="s">
        <v>68</v>
      </c>
      <c r="D20" s="8"/>
      <c r="G20" s="47"/>
    </row>
    <row r="21" spans="1:15" ht="15" customHeight="1">
      <c r="A21" s="1" t="s">
        <v>300</v>
      </c>
      <c r="B21" s="58"/>
    </row>
    <row r="22" spans="1:15" ht="15" customHeight="1">
      <c r="B22" s="58" t="s">
        <v>241</v>
      </c>
    </row>
    <row r="23" spans="1:15" ht="15" customHeight="1">
      <c r="B23" s="58"/>
    </row>
    <row r="24" spans="1:15" ht="15" customHeight="1">
      <c r="B24" s="58"/>
      <c r="L24" s="102" t="s">
        <v>289</v>
      </c>
      <c r="M24" s="8"/>
      <c r="N24" s="1" t="s">
        <v>251</v>
      </c>
    </row>
    <row r="25" spans="1:15" ht="15" customHeight="1">
      <c r="B25" s="58"/>
      <c r="E25" s="1" t="s">
        <v>376</v>
      </c>
      <c r="H25" s="1" t="s">
        <v>276</v>
      </c>
      <c r="L25" s="1" t="s">
        <v>290</v>
      </c>
      <c r="M25" s="1" t="s">
        <v>252</v>
      </c>
      <c r="N25" s="1" t="s">
        <v>290</v>
      </c>
      <c r="O25" s="1" t="s">
        <v>252</v>
      </c>
    </row>
    <row r="26" spans="1:15" ht="15" customHeight="1">
      <c r="E26" s="8" t="s">
        <v>304</v>
      </c>
      <c r="F26" s="8" t="s">
        <v>608</v>
      </c>
      <c r="G26" s="8" t="s">
        <v>609</v>
      </c>
      <c r="H26" s="1" t="s">
        <v>451</v>
      </c>
      <c r="I26" s="1" t="s">
        <v>452</v>
      </c>
      <c r="J26" s="1" t="s">
        <v>480</v>
      </c>
      <c r="K26" s="1" t="s">
        <v>481</v>
      </c>
      <c r="L26" s="8" t="s">
        <v>287</v>
      </c>
      <c r="M26" s="8" t="s">
        <v>253</v>
      </c>
      <c r="N26" s="8" t="s">
        <v>287</v>
      </c>
      <c r="O26" s="8" t="s">
        <v>253</v>
      </c>
    </row>
    <row r="27" spans="1:15" ht="15" customHeight="1">
      <c r="A27" s="58" t="s">
        <v>540</v>
      </c>
      <c r="E27" s="56">
        <v>3008</v>
      </c>
      <c r="F27" s="56">
        <f>0.05*3269</f>
        <v>163.45000000000002</v>
      </c>
      <c r="G27" s="56">
        <v>3171.45</v>
      </c>
      <c r="H27" s="56"/>
      <c r="I27" s="56">
        <f>0.95*3269</f>
        <v>3105.5499999999997</v>
      </c>
      <c r="J27" s="56">
        <v>1841</v>
      </c>
      <c r="K27" s="56">
        <v>1189</v>
      </c>
      <c r="L27" s="56">
        <f>SUM(G27:K27)</f>
        <v>9307</v>
      </c>
      <c r="M27" s="92">
        <f>L27-I27</f>
        <v>6201.4500000000007</v>
      </c>
      <c r="N27" s="47">
        <f>L27/G27</f>
        <v>2.9346198111274027</v>
      </c>
      <c r="O27" s="110">
        <f>M27/G27</f>
        <v>1.955398950007095</v>
      </c>
    </row>
    <row r="28" spans="1:15" ht="15" customHeight="1">
      <c r="A28" s="58" t="s">
        <v>453</v>
      </c>
      <c r="E28" s="56">
        <v>994</v>
      </c>
      <c r="F28" s="56"/>
      <c r="G28" s="56">
        <v>994</v>
      </c>
      <c r="H28" s="56"/>
      <c r="I28" s="56"/>
      <c r="J28" s="56"/>
      <c r="K28" s="56"/>
      <c r="L28" s="56">
        <f>G28</f>
        <v>994</v>
      </c>
      <c r="M28" s="92">
        <f>L28-I28</f>
        <v>994</v>
      </c>
      <c r="N28" s="47">
        <f>L28/G28</f>
        <v>1</v>
      </c>
      <c r="O28" s="110">
        <f>M28/G28</f>
        <v>1</v>
      </c>
    </row>
    <row r="29" spans="1:15" ht="15" customHeight="1">
      <c r="A29" s="58" t="s">
        <v>454</v>
      </c>
      <c r="E29" s="56"/>
      <c r="F29" s="56">
        <v>732</v>
      </c>
      <c r="G29" s="56">
        <v>732</v>
      </c>
      <c r="H29" s="56"/>
      <c r="I29" s="56"/>
      <c r="J29" s="56"/>
      <c r="K29" s="56"/>
      <c r="L29" s="56">
        <f>G29</f>
        <v>732</v>
      </c>
      <c r="M29" s="92">
        <f>L29-I29</f>
        <v>732</v>
      </c>
      <c r="N29" s="47">
        <f>L29/G29</f>
        <v>1</v>
      </c>
      <c r="O29" s="110">
        <f>M29/G29</f>
        <v>1</v>
      </c>
    </row>
    <row r="30" spans="1:15" ht="15" customHeight="1">
      <c r="A30" s="58" t="s">
        <v>443</v>
      </c>
      <c r="E30" s="56">
        <v>802</v>
      </c>
      <c r="F30" s="56"/>
      <c r="G30" s="56">
        <v>802</v>
      </c>
      <c r="H30" s="56"/>
      <c r="I30" s="56">
        <v>802</v>
      </c>
      <c r="J30" s="56">
        <v>452</v>
      </c>
      <c r="K30" s="56">
        <v>293</v>
      </c>
      <c r="L30" s="56">
        <f>SUM(G30:K30)</f>
        <v>2349</v>
      </c>
      <c r="M30" s="92">
        <f>L30-I30</f>
        <v>1547</v>
      </c>
      <c r="N30" s="47">
        <f>L30/G30</f>
        <v>2.9289276807980049</v>
      </c>
      <c r="O30" s="110">
        <f>M30/G30</f>
        <v>1.9289276807980049</v>
      </c>
    </row>
    <row r="31" spans="1:15" ht="15" customHeight="1">
      <c r="B31" s="58"/>
      <c r="D31" s="8" t="s">
        <v>246</v>
      </c>
      <c r="E31" s="56">
        <f>SUM(E27:E30)</f>
        <v>4804</v>
      </c>
      <c r="F31" s="56">
        <f t="shared" ref="F31:L31" si="0">SUM(F27:F30)</f>
        <v>895.45</v>
      </c>
      <c r="G31" s="56">
        <f t="shared" si="0"/>
        <v>5699.45</v>
      </c>
      <c r="H31" s="56">
        <f t="shared" si="0"/>
        <v>0</v>
      </c>
      <c r="I31" s="56">
        <f t="shared" si="0"/>
        <v>3907.5499999999997</v>
      </c>
      <c r="J31" s="56">
        <f t="shared" si="0"/>
        <v>2293</v>
      </c>
      <c r="K31" s="56">
        <f t="shared" si="0"/>
        <v>1482</v>
      </c>
      <c r="L31" s="56">
        <f t="shared" si="0"/>
        <v>13382</v>
      </c>
      <c r="M31" s="92">
        <f>L31-I31</f>
        <v>9474.4500000000007</v>
      </c>
      <c r="N31" s="63">
        <f>L31/G31</f>
        <v>2.3479458544245499</v>
      </c>
      <c r="O31" s="111">
        <f>M31/G31</f>
        <v>1.662344612199423</v>
      </c>
    </row>
    <row r="32" spans="1:15" ht="15" customHeight="1">
      <c r="B32" s="58"/>
      <c r="D32" s="8"/>
      <c r="E32" s="56"/>
      <c r="F32" s="56"/>
      <c r="G32" s="56"/>
      <c r="H32" s="56"/>
      <c r="I32" s="56"/>
      <c r="J32" s="56"/>
      <c r="K32" s="56"/>
      <c r="L32" s="56"/>
      <c r="M32" s="92"/>
      <c r="N32" s="47"/>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sheetData>
  <sheetCalcPr fullCalcOnLoad="1"/>
  <phoneticPr fontId="20"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CG76"/>
  <sheetViews>
    <sheetView topLeftCell="BJ8" workbookViewId="0">
      <pane xSplit="13680" ySplit="4020" topLeftCell="W26" activePane="bottomLeft"/>
      <selection activeCell="G13" sqref="G13:J14"/>
      <selection pane="topRight" activeCell="AV18" sqref="AV18"/>
      <selection pane="bottomLeft" activeCell="BO42" sqref="BO42"/>
      <selection pane="bottomRight" activeCell="X42" sqref="X42"/>
    </sheetView>
  </sheetViews>
  <sheetFormatPr baseColWidth="10" defaultRowHeight="15"/>
  <cols>
    <col min="1" max="1" width="7.1640625" style="1" customWidth="1"/>
    <col min="2" max="5" width="10.83203125" style="1"/>
    <col min="6" max="6" width="12.83203125" style="1" customWidth="1"/>
    <col min="7" max="9" width="10.83203125" style="67"/>
    <col min="10" max="10" width="9.83203125" style="1" customWidth="1"/>
    <col min="11" max="11" width="3.83203125" style="1" customWidth="1"/>
    <col min="12" max="12" width="13.6640625" style="69" customWidth="1"/>
    <col min="13" max="13" width="14.1640625" style="69" customWidth="1"/>
    <col min="14" max="14" width="13.1640625" style="69" customWidth="1"/>
    <col min="15" max="15" width="4.83203125" style="1" customWidth="1"/>
    <col min="16" max="18" width="12.83203125" style="1" customWidth="1"/>
    <col min="19" max="19" width="11.33203125" style="1" customWidth="1"/>
    <col min="20" max="20" width="6.6640625" style="1" customWidth="1"/>
    <col min="21" max="21" width="12" style="1" customWidth="1"/>
    <col min="22" max="22" width="19.83203125" style="1" customWidth="1"/>
    <col min="23" max="26" width="12.83203125" style="196" customWidth="1"/>
    <col min="27" max="27" width="4.83203125" style="1" customWidth="1"/>
    <col min="28" max="29" width="12.1640625" style="74" customWidth="1"/>
    <col min="30" max="30" width="12.6640625" style="74" customWidth="1"/>
    <col min="31" max="31" width="10.83203125" style="1"/>
    <col min="32" max="32" width="6.6640625" style="58" customWidth="1"/>
    <col min="33" max="34" width="15.1640625" style="1" customWidth="1"/>
    <col min="35" max="35" width="13.6640625" style="1" customWidth="1"/>
    <col min="36" max="36" width="4.83203125" style="1" customWidth="1"/>
    <col min="37" max="38" width="12.5" style="1" customWidth="1"/>
    <col min="39" max="40" width="12.33203125" style="1" customWidth="1"/>
    <col min="41" max="41" width="8" style="1" customWidth="1"/>
    <col min="42" max="42" width="17.5" style="249" customWidth="1"/>
    <col min="43" max="43" width="13.1640625" style="249" customWidth="1"/>
    <col min="44" max="44" width="11.33203125" style="249" customWidth="1"/>
    <col min="45" max="45" width="11.33203125" style="261" customWidth="1"/>
    <col min="46" max="46" width="4.83203125" style="261" customWidth="1"/>
    <col min="47" max="47" width="10.5" style="85" customWidth="1"/>
    <col min="48" max="48" width="13.83203125" style="85" customWidth="1"/>
    <col min="49" max="49" width="11.5" style="85" customWidth="1"/>
    <col min="50" max="50" width="8.5" style="1" customWidth="1"/>
    <col min="51" max="51" width="13.1640625" style="117" customWidth="1"/>
    <col min="52" max="52" width="15.1640625" style="117" customWidth="1"/>
    <col min="53" max="53" width="11.83203125" style="117" customWidth="1"/>
    <col min="54" max="54" width="16" style="1" customWidth="1"/>
    <col min="55" max="55" width="5" style="1" customWidth="1"/>
    <col min="56" max="58" width="12.83203125" style="103" customWidth="1"/>
    <col min="59" max="59" width="11.83203125" style="125" customWidth="1"/>
    <col min="60" max="60" width="4.83203125" style="1" customWidth="1"/>
    <col min="61" max="61" width="9.33203125" style="389" customWidth="1"/>
    <col min="62" max="64" width="9.33203125" style="1" customWidth="1"/>
    <col min="65" max="65" width="4.83203125" style="1" customWidth="1"/>
    <col min="66" max="69" width="15.1640625" style="1" customWidth="1"/>
    <col min="70" max="70" width="4.83203125" style="58" customWidth="1"/>
    <col min="71" max="74" width="15.33203125" style="1" customWidth="1"/>
    <col min="75" max="75" width="6.83203125" style="1" customWidth="1"/>
    <col min="76" max="79" width="11" style="1" customWidth="1"/>
    <col min="80" max="80" width="4.83203125" style="1" customWidth="1"/>
    <col min="81" max="84" width="12.83203125" style="1" customWidth="1"/>
    <col min="85" max="16384" width="10.83203125" style="1"/>
  </cols>
  <sheetData>
    <row r="1" spans="1:84" ht="18">
      <c r="B1" s="140" t="s">
        <v>260</v>
      </c>
    </row>
    <row r="2" spans="1:84" ht="18">
      <c r="B2" s="140" t="s">
        <v>271</v>
      </c>
      <c r="BN2" s="57" t="s">
        <v>612</v>
      </c>
    </row>
    <row r="3" spans="1:84">
      <c r="B3" s="1" t="s">
        <v>94</v>
      </c>
      <c r="W3" s="362" t="s">
        <v>611</v>
      </c>
      <c r="X3" s="362"/>
      <c r="Y3" s="362"/>
      <c r="Z3" s="362"/>
      <c r="BN3" s="362">
        <f>BN20+BN34</f>
        <v>100102.84681366663</v>
      </c>
      <c r="BO3" s="362">
        <f>BO20+BO34</f>
        <v>44848.421338890679</v>
      </c>
      <c r="BP3" s="362">
        <f>BP20+BP34</f>
        <v>146600.01607406538</v>
      </c>
      <c r="BQ3" s="362">
        <f>BQ20+BQ34</f>
        <v>291551.28422662267</v>
      </c>
    </row>
    <row r="4" spans="1:84">
      <c r="B4" s="1" t="s">
        <v>277</v>
      </c>
      <c r="L4" s="369"/>
      <c r="M4" s="369"/>
      <c r="N4" s="369"/>
      <c r="W4" s="362">
        <f>W20+W34</f>
        <v>93273.477444976161</v>
      </c>
      <c r="X4" s="362">
        <f>X20+X34</f>
        <v>41619.39691112248</v>
      </c>
      <c r="Y4" s="362">
        <f>Y20+Y34</f>
        <v>128626.97929714639</v>
      </c>
      <c r="Z4" s="362">
        <f>Z20+Z34</f>
        <v>263519.85365324508</v>
      </c>
      <c r="BN4" s="1" t="s">
        <v>613</v>
      </c>
    </row>
    <row r="5" spans="1:84">
      <c r="B5" s="139"/>
      <c r="C5" s="1" t="s">
        <v>435</v>
      </c>
      <c r="L5" s="369"/>
      <c r="M5" s="369"/>
      <c r="N5" s="369"/>
      <c r="AO5" s="8"/>
      <c r="BN5" s="1" t="s">
        <v>508</v>
      </c>
    </row>
    <row r="6" spans="1:84">
      <c r="B6" s="82"/>
      <c r="C6" s="1" t="s">
        <v>509</v>
      </c>
      <c r="H6" s="49" t="s">
        <v>536</v>
      </c>
      <c r="AO6" s="98"/>
      <c r="BN6" s="1" t="s">
        <v>591</v>
      </c>
    </row>
    <row r="7" spans="1:84">
      <c r="B7" s="83"/>
      <c r="C7" s="1" t="s">
        <v>535</v>
      </c>
      <c r="H7" s="49" t="s">
        <v>536</v>
      </c>
      <c r="AO7" s="8"/>
      <c r="AY7" s="186" t="s">
        <v>426</v>
      </c>
      <c r="BN7" s="1" t="s">
        <v>592</v>
      </c>
    </row>
    <row r="8" spans="1:84">
      <c r="B8" s="84"/>
      <c r="C8" s="1" t="s">
        <v>563</v>
      </c>
      <c r="H8" s="49" t="s">
        <v>536</v>
      </c>
      <c r="W8" s="260" t="s">
        <v>255</v>
      </c>
      <c r="AG8" s="1" t="s">
        <v>551</v>
      </c>
      <c r="AO8" s="8"/>
      <c r="AY8" s="186" t="s">
        <v>353</v>
      </c>
    </row>
    <row r="9" spans="1:84">
      <c r="G9" s="260" t="s">
        <v>164</v>
      </c>
      <c r="H9" s="190"/>
      <c r="I9" s="260"/>
      <c r="L9" s="240"/>
      <c r="M9" s="240"/>
      <c r="N9" s="240"/>
      <c r="W9" s="260" t="s">
        <v>259</v>
      </c>
      <c r="AB9" s="74" t="s">
        <v>180</v>
      </c>
      <c r="AG9" s="1" t="s">
        <v>358</v>
      </c>
      <c r="AO9" s="8"/>
      <c r="AP9" s="261" t="s">
        <v>360</v>
      </c>
      <c r="AQ9" s="260"/>
      <c r="AR9" s="260"/>
      <c r="AU9" s="240"/>
      <c r="AV9" s="240"/>
      <c r="AW9" s="240"/>
      <c r="AY9" s="240"/>
      <c r="AZ9" s="240"/>
      <c r="BA9" s="240"/>
      <c r="BD9" s="260"/>
      <c r="BE9" s="260"/>
      <c r="BF9" s="260"/>
      <c r="BG9" s="242"/>
    </row>
    <row r="10" spans="1:84" ht="16" thickBot="1">
      <c r="G10" s="113" t="s">
        <v>296</v>
      </c>
      <c r="H10" s="78"/>
      <c r="I10" s="78"/>
      <c r="J10" s="79"/>
      <c r="K10" s="79"/>
      <c r="L10" s="80"/>
      <c r="M10" s="80"/>
      <c r="N10" s="80"/>
      <c r="O10" s="79"/>
      <c r="P10" s="79"/>
      <c r="Q10" s="79"/>
      <c r="R10" s="79"/>
      <c r="S10" s="79"/>
      <c r="W10" s="197" t="s">
        <v>593</v>
      </c>
      <c r="X10" s="198"/>
      <c r="Y10" s="198"/>
      <c r="Z10" s="198"/>
      <c r="AB10" s="114" t="s">
        <v>329</v>
      </c>
      <c r="AC10" s="81"/>
      <c r="AD10" s="81"/>
      <c r="AE10" s="82"/>
      <c r="AG10" s="82"/>
      <c r="AH10" s="82"/>
      <c r="AI10" s="82"/>
      <c r="AJ10" s="82"/>
      <c r="AK10" s="82"/>
      <c r="AL10" s="82"/>
      <c r="AM10" s="82"/>
      <c r="AN10" s="82"/>
      <c r="AO10" s="8"/>
      <c r="AP10" s="250" t="s">
        <v>449</v>
      </c>
      <c r="AQ10" s="250"/>
      <c r="AR10" s="250"/>
      <c r="AS10" s="250"/>
      <c r="AT10" s="250"/>
      <c r="AU10" s="86"/>
      <c r="AV10" s="86"/>
      <c r="AW10" s="86"/>
      <c r="AX10" s="83"/>
      <c r="AY10" s="118"/>
      <c r="AZ10" s="118"/>
      <c r="BA10" s="118"/>
      <c r="BB10" s="83"/>
      <c r="BC10" s="83"/>
      <c r="BD10" s="104"/>
      <c r="BE10" s="104"/>
      <c r="BF10" s="104" t="s">
        <v>377</v>
      </c>
      <c r="BG10" s="126"/>
      <c r="BI10" s="389" t="s">
        <v>603</v>
      </c>
      <c r="BN10" s="91" t="s">
        <v>145</v>
      </c>
      <c r="BO10" s="84"/>
      <c r="BP10" s="84"/>
      <c r="BQ10" s="84"/>
      <c r="BS10" s="84"/>
      <c r="BT10" s="84"/>
      <c r="BU10" s="91" t="s">
        <v>140</v>
      </c>
      <c r="BV10" s="84"/>
      <c r="BW10" s="84"/>
      <c r="BX10" s="84"/>
      <c r="BY10" s="84"/>
      <c r="BZ10" s="84"/>
      <c r="CA10" s="91" t="s">
        <v>140</v>
      </c>
      <c r="CB10" s="84"/>
      <c r="CC10" s="84"/>
      <c r="CD10" s="84"/>
      <c r="CE10" s="84"/>
      <c r="CF10" s="84"/>
    </row>
    <row r="11" spans="1:84" ht="16" thickBot="1">
      <c r="A11" s="8"/>
      <c r="G11" s="105" t="s">
        <v>265</v>
      </c>
      <c r="H11" s="106"/>
      <c r="I11" s="106"/>
      <c r="J11" s="76"/>
      <c r="L11" s="70" t="s">
        <v>263</v>
      </c>
      <c r="M11" s="71"/>
      <c r="N11" s="72"/>
      <c r="P11" s="119" t="s">
        <v>333</v>
      </c>
      <c r="Q11" s="120"/>
      <c r="R11" s="65"/>
      <c r="S11" s="121"/>
      <c r="W11" s="199" t="s">
        <v>495</v>
      </c>
      <c r="X11" s="200"/>
      <c r="Y11" s="200"/>
      <c r="Z11" s="201"/>
      <c r="AB11" s="105" t="s">
        <v>510</v>
      </c>
      <c r="AC11" s="106"/>
      <c r="AD11" s="106"/>
      <c r="AE11" s="76"/>
      <c r="AG11" s="75" t="s">
        <v>170</v>
      </c>
      <c r="AH11" s="33"/>
      <c r="AI11" s="34"/>
      <c r="AK11" s="105" t="s">
        <v>196</v>
      </c>
      <c r="AL11" s="106"/>
      <c r="AM11" s="65"/>
      <c r="AN11" s="76"/>
      <c r="AO11" s="8"/>
      <c r="AP11" s="251" t="s">
        <v>355</v>
      </c>
      <c r="AQ11" s="255"/>
      <c r="AR11" s="255"/>
      <c r="AS11" s="252"/>
      <c r="AT11" s="252"/>
      <c r="AU11" s="112" t="s">
        <v>589</v>
      </c>
      <c r="AV11" s="112"/>
      <c r="AW11" s="112"/>
      <c r="AY11" s="209" t="s">
        <v>99</v>
      </c>
      <c r="AZ11" s="120"/>
      <c r="BA11" s="120"/>
      <c r="BB11" s="121"/>
      <c r="BD11" s="216" t="s">
        <v>35</v>
      </c>
      <c r="BE11" s="106"/>
      <c r="BF11" s="106"/>
      <c r="BG11" s="127"/>
      <c r="BI11" s="389" t="s">
        <v>602</v>
      </c>
      <c r="BN11" s="64" t="s">
        <v>36</v>
      </c>
      <c r="BO11" s="65"/>
      <c r="BP11" s="65"/>
      <c r="BQ11" s="66"/>
      <c r="BR11" s="288"/>
      <c r="BS11" s="64" t="s">
        <v>141</v>
      </c>
      <c r="BT11" s="65"/>
      <c r="BU11" s="65"/>
      <c r="BV11" s="66"/>
      <c r="BX11" s="64" t="s">
        <v>227</v>
      </c>
      <c r="BY11" s="65"/>
      <c r="BZ11" s="65"/>
      <c r="CA11" s="66"/>
      <c r="CC11" s="64" t="s">
        <v>217</v>
      </c>
      <c r="CD11" s="65"/>
      <c r="CE11" s="65"/>
      <c r="CF11" s="66"/>
    </row>
    <row r="12" spans="1:84">
      <c r="A12" s="8" t="s">
        <v>294</v>
      </c>
      <c r="G12" s="44"/>
      <c r="H12" s="44"/>
      <c r="I12" s="44"/>
      <c r="J12" s="44"/>
      <c r="L12" s="248" t="s">
        <v>594</v>
      </c>
      <c r="M12" s="248"/>
      <c r="N12" s="248"/>
      <c r="P12" s="248"/>
      <c r="Q12" s="248"/>
      <c r="R12" s="90"/>
      <c r="S12" s="248"/>
      <c r="W12" s="44"/>
      <c r="X12" s="44"/>
      <c r="Y12" s="44"/>
      <c r="Z12" s="44"/>
      <c r="AB12" s="44"/>
      <c r="AC12" s="44"/>
      <c r="AD12" s="44"/>
      <c r="AE12" s="44"/>
      <c r="AG12" s="44"/>
      <c r="AH12" s="44"/>
      <c r="AI12" s="44"/>
      <c r="AK12" s="44"/>
      <c r="AL12" s="44"/>
      <c r="AM12" s="90"/>
      <c r="AN12" s="44"/>
      <c r="AO12" s="8"/>
      <c r="AP12" s="252"/>
      <c r="AQ12" s="252"/>
      <c r="AR12" s="252"/>
      <c r="AS12" s="252"/>
      <c r="AT12" s="252"/>
      <c r="AU12" s="248"/>
      <c r="AV12" s="248"/>
      <c r="AW12" s="248"/>
      <c r="AY12" s="248"/>
      <c r="AZ12" s="248"/>
      <c r="BA12" s="248"/>
      <c r="BB12" s="248"/>
      <c r="BD12" s="44"/>
      <c r="BE12" s="44"/>
      <c r="BF12" s="44"/>
      <c r="BG12" s="170"/>
      <c r="BN12" s="90"/>
      <c r="BO12" s="90"/>
      <c r="BP12" s="90"/>
      <c r="BQ12" s="90"/>
      <c r="BR12" s="288"/>
      <c r="BS12" s="90"/>
      <c r="BT12" s="90"/>
      <c r="BU12" s="90"/>
      <c r="BV12" s="90"/>
      <c r="BX12" s="90"/>
      <c r="BY12" s="90"/>
      <c r="BZ12" s="90"/>
      <c r="CA12" s="90"/>
      <c r="CC12" s="90"/>
      <c r="CD12" s="90"/>
      <c r="CE12" s="90"/>
      <c r="CF12" s="90"/>
    </row>
    <row r="13" spans="1:84">
      <c r="A13" s="8" t="s">
        <v>295</v>
      </c>
      <c r="B13" s="27" t="s">
        <v>115</v>
      </c>
      <c r="C13" s="1" t="s">
        <v>285</v>
      </c>
      <c r="G13" s="68" t="s">
        <v>174</v>
      </c>
      <c r="H13" s="68" t="s">
        <v>215</v>
      </c>
      <c r="I13" s="68"/>
      <c r="J13" s="8" t="s">
        <v>564</v>
      </c>
      <c r="L13" s="73" t="s">
        <v>174</v>
      </c>
      <c r="M13" s="73" t="s">
        <v>215</v>
      </c>
      <c r="N13" s="73"/>
      <c r="P13" s="87" t="s">
        <v>174</v>
      </c>
      <c r="Q13" s="87" t="s">
        <v>215</v>
      </c>
      <c r="R13" s="87"/>
      <c r="S13" s="8" t="s">
        <v>564</v>
      </c>
      <c r="W13" s="202" t="s">
        <v>174</v>
      </c>
      <c r="X13" s="202" t="s">
        <v>215</v>
      </c>
      <c r="Y13" s="202"/>
      <c r="Z13" s="202" t="s">
        <v>564</v>
      </c>
      <c r="AB13" s="77" t="s">
        <v>174</v>
      </c>
      <c r="AC13" s="77" t="s">
        <v>215</v>
      </c>
      <c r="AD13" s="77"/>
      <c r="AE13" s="8" t="s">
        <v>564</v>
      </c>
      <c r="AG13" s="51" t="s">
        <v>174</v>
      </c>
      <c r="AH13" s="51" t="s">
        <v>215</v>
      </c>
      <c r="AI13" s="51"/>
      <c r="AK13" s="77" t="s">
        <v>174</v>
      </c>
      <c r="AL13" s="77" t="s">
        <v>215</v>
      </c>
      <c r="AM13" s="77"/>
      <c r="AN13" s="107" t="s">
        <v>292</v>
      </c>
      <c r="AO13" s="8"/>
      <c r="AP13" s="256" t="s">
        <v>548</v>
      </c>
      <c r="AQ13" s="257" t="s">
        <v>21</v>
      </c>
      <c r="AR13" s="257" t="s">
        <v>465</v>
      </c>
      <c r="AS13" s="259" t="s">
        <v>462</v>
      </c>
      <c r="AT13" s="236"/>
      <c r="AU13" s="256" t="s">
        <v>547</v>
      </c>
      <c r="AV13" s="257" t="s">
        <v>21</v>
      </c>
      <c r="AW13" s="259" t="s">
        <v>465</v>
      </c>
      <c r="AY13" s="122" t="s">
        <v>174</v>
      </c>
      <c r="AZ13" s="122" t="s">
        <v>215</v>
      </c>
      <c r="BA13" s="122"/>
      <c r="BB13" s="8" t="s">
        <v>305</v>
      </c>
      <c r="BD13" s="107" t="s">
        <v>174</v>
      </c>
      <c r="BE13" s="107" t="s">
        <v>215</v>
      </c>
      <c r="BF13" s="107"/>
      <c r="BG13" s="128" t="s">
        <v>305</v>
      </c>
      <c r="BI13" s="390" t="s">
        <v>174</v>
      </c>
      <c r="BJ13" s="375" t="s">
        <v>215</v>
      </c>
      <c r="BK13" s="375"/>
      <c r="BL13" s="8" t="s">
        <v>564</v>
      </c>
      <c r="BN13" s="51" t="s">
        <v>174</v>
      </c>
      <c r="BO13" s="51" t="s">
        <v>215</v>
      </c>
      <c r="BP13" s="51"/>
      <c r="BQ13" s="77" t="s">
        <v>305</v>
      </c>
      <c r="BS13" s="51" t="s">
        <v>174</v>
      </c>
      <c r="BT13" s="51" t="s">
        <v>215</v>
      </c>
      <c r="BU13" s="51"/>
      <c r="BV13" s="77" t="s">
        <v>305</v>
      </c>
      <c r="BX13" s="174" t="s">
        <v>174</v>
      </c>
      <c r="BY13" s="174" t="s">
        <v>215</v>
      </c>
      <c r="BZ13" s="174"/>
      <c r="CA13" s="174" t="s">
        <v>305</v>
      </c>
      <c r="CC13" s="107" t="s">
        <v>174</v>
      </c>
      <c r="CD13" s="107" t="s">
        <v>215</v>
      </c>
      <c r="CE13" s="107"/>
      <c r="CF13" s="107" t="s">
        <v>305</v>
      </c>
    </row>
    <row r="14" spans="1:84">
      <c r="A14" s="8" t="s">
        <v>185</v>
      </c>
      <c r="B14" s="27" t="s">
        <v>369</v>
      </c>
      <c r="C14" s="1" t="s">
        <v>167</v>
      </c>
      <c r="D14" s="1" t="s">
        <v>471</v>
      </c>
      <c r="G14" s="68" t="s">
        <v>338</v>
      </c>
      <c r="H14" s="68" t="s">
        <v>301</v>
      </c>
      <c r="I14" s="68" t="s">
        <v>387</v>
      </c>
      <c r="J14" s="8" t="s">
        <v>306</v>
      </c>
      <c r="L14" s="73" t="s">
        <v>338</v>
      </c>
      <c r="M14" s="73" t="s">
        <v>301</v>
      </c>
      <c r="N14" s="73" t="s">
        <v>387</v>
      </c>
      <c r="P14" s="87" t="s">
        <v>338</v>
      </c>
      <c r="Q14" s="87" t="s">
        <v>301</v>
      </c>
      <c r="R14" s="87" t="s">
        <v>387</v>
      </c>
      <c r="S14" s="8" t="s">
        <v>306</v>
      </c>
      <c r="W14" s="202" t="s">
        <v>338</v>
      </c>
      <c r="X14" s="202" t="s">
        <v>301</v>
      </c>
      <c r="Y14" s="202" t="s">
        <v>387</v>
      </c>
      <c r="Z14" s="202" t="s">
        <v>306</v>
      </c>
      <c r="AB14" s="77" t="s">
        <v>338</v>
      </c>
      <c r="AC14" s="77" t="s">
        <v>301</v>
      </c>
      <c r="AD14" s="77" t="s">
        <v>387</v>
      </c>
      <c r="AE14" s="8" t="s">
        <v>306</v>
      </c>
      <c r="AG14" s="51" t="s">
        <v>338</v>
      </c>
      <c r="AH14" s="51" t="s">
        <v>301</v>
      </c>
      <c r="AI14" s="51" t="s">
        <v>387</v>
      </c>
      <c r="AK14" s="77" t="s">
        <v>338</v>
      </c>
      <c r="AL14" s="77" t="s">
        <v>301</v>
      </c>
      <c r="AM14" s="77" t="s">
        <v>387</v>
      </c>
      <c r="AN14" s="107" t="s">
        <v>306</v>
      </c>
      <c r="AO14" s="8"/>
      <c r="AP14" s="249" t="s">
        <v>450</v>
      </c>
      <c r="AS14" s="252"/>
      <c r="AT14" s="252"/>
      <c r="AU14" s="258" t="s">
        <v>479</v>
      </c>
      <c r="AV14" s="158"/>
      <c r="AW14" s="87"/>
      <c r="AY14" s="122" t="s">
        <v>338</v>
      </c>
      <c r="AZ14" s="122" t="s">
        <v>301</v>
      </c>
      <c r="BA14" s="122" t="s">
        <v>387</v>
      </c>
      <c r="BB14" s="8" t="s">
        <v>306</v>
      </c>
      <c r="BD14" s="107" t="s">
        <v>338</v>
      </c>
      <c r="BE14" s="107" t="s">
        <v>301</v>
      </c>
      <c r="BF14" s="107" t="s">
        <v>387</v>
      </c>
      <c r="BG14" s="128" t="s">
        <v>306</v>
      </c>
      <c r="BI14" s="390" t="s">
        <v>338</v>
      </c>
      <c r="BJ14" s="375" t="s">
        <v>301</v>
      </c>
      <c r="BK14" s="375" t="s">
        <v>172</v>
      </c>
      <c r="BL14" s="8" t="s">
        <v>306</v>
      </c>
      <c r="BN14" s="51" t="s">
        <v>338</v>
      </c>
      <c r="BO14" s="51" t="s">
        <v>301</v>
      </c>
      <c r="BP14" s="51" t="s">
        <v>387</v>
      </c>
      <c r="BQ14" s="77" t="s">
        <v>306</v>
      </c>
      <c r="BS14" s="51" t="s">
        <v>338</v>
      </c>
      <c r="BT14" s="51" t="s">
        <v>301</v>
      </c>
      <c r="BU14" s="51" t="s">
        <v>387</v>
      </c>
      <c r="BV14" s="77" t="s">
        <v>306</v>
      </c>
      <c r="BX14" s="174" t="s">
        <v>338</v>
      </c>
      <c r="BY14" s="174" t="s">
        <v>301</v>
      </c>
      <c r="BZ14" s="174" t="s">
        <v>387</v>
      </c>
      <c r="CA14" s="174" t="s">
        <v>306</v>
      </c>
      <c r="CC14" s="107" t="s">
        <v>338</v>
      </c>
      <c r="CD14" s="107" t="s">
        <v>301</v>
      </c>
      <c r="CE14" s="107" t="s">
        <v>387</v>
      </c>
      <c r="CF14" s="107" t="s">
        <v>306</v>
      </c>
    </row>
    <row r="15" spans="1:84">
      <c r="A15" s="1">
        <v>1</v>
      </c>
      <c r="B15" s="13" t="s">
        <v>330</v>
      </c>
      <c r="C15" s="43" t="s">
        <v>331</v>
      </c>
      <c r="D15" s="43" t="s">
        <v>243</v>
      </c>
      <c r="G15" s="93">
        <f>SUM(G16:G26)</f>
        <v>2036.7271116484985</v>
      </c>
      <c r="H15" s="93">
        <f>SUM(H16:H26)</f>
        <v>9385.3938245611353</v>
      </c>
      <c r="I15" s="93">
        <f>SUM(I16:I26)</f>
        <v>3696.0366600576413</v>
      </c>
      <c r="J15" s="373">
        <f>G15+H15+I15</f>
        <v>15118.157596267276</v>
      </c>
      <c r="K15" s="136"/>
      <c r="L15" s="94">
        <f>P15/G15</f>
        <v>212.70271745163438</v>
      </c>
      <c r="M15" s="94">
        <f>Q15/H15</f>
        <v>438.37014227341558</v>
      </c>
      <c r="N15" s="94">
        <f>R15/I15</f>
        <v>962.85281739352433</v>
      </c>
      <c r="O15" s="58"/>
      <c r="P15" s="137">
        <f>SUM(P16:P26)</f>
        <v>433217.39135505399</v>
      </c>
      <c r="Q15" s="137">
        <f>SUM(Q16:Q26)</f>
        <v>4114276.4261649009</v>
      </c>
      <c r="R15" s="137">
        <f>SUM(R16:R26)</f>
        <v>3558739.3113262518</v>
      </c>
      <c r="S15" s="137">
        <f t="shared" ref="S15:S26" si="0">P15+Q15+R15</f>
        <v>8106233.1288462076</v>
      </c>
      <c r="T15" s="13" t="s">
        <v>511</v>
      </c>
      <c r="U15" s="43" t="s">
        <v>512</v>
      </c>
      <c r="V15" s="43" t="s">
        <v>433</v>
      </c>
      <c r="W15" s="203">
        <v>3437.1615697741563</v>
      </c>
      <c r="X15" s="203">
        <f>SUM(X16:X26)</f>
        <v>13795.452725362811</v>
      </c>
      <c r="Y15" s="203">
        <f>SUM(Y16:Y25)</f>
        <v>6445.6587433078648</v>
      </c>
      <c r="Z15" s="203">
        <f>W15+X15+Y15</f>
        <v>23678.273038444833</v>
      </c>
      <c r="AA15" s="58"/>
      <c r="AB15" s="93">
        <f>SUM(AB16:AB26)</f>
        <v>1400.4344581256578</v>
      </c>
      <c r="AC15" s="136">
        <f>SUM(AC16:AC26)</f>
        <v>4410.0589008016741</v>
      </c>
      <c r="AD15" s="136">
        <f>SUM(AD16:AD25)</f>
        <v>2749.622083250224</v>
      </c>
      <c r="AE15" s="136">
        <f>AB15+AC15+AD15</f>
        <v>8560.1154421775555</v>
      </c>
      <c r="AG15" s="95">
        <f>AK15/AB15</f>
        <v>147.87979041622401</v>
      </c>
      <c r="AH15" s="95">
        <f>AL15/AC15</f>
        <v>262.71024511206502</v>
      </c>
      <c r="AI15" s="95">
        <f>AM15/AD15</f>
        <v>188.74983954643406</v>
      </c>
      <c r="AJ15" s="58"/>
      <c r="AK15" s="130">
        <f>SUM(AK17:AK22)+AK26</f>
        <v>207095.95415928052</v>
      </c>
      <c r="AL15" s="130">
        <f>SUM(AL17:AL22)+AL26</f>
        <v>1158567.6547882517</v>
      </c>
      <c r="AM15" s="130">
        <f>SUM(AM17:AM22)+AM26</f>
        <v>518990.72702681151</v>
      </c>
      <c r="AN15" s="132">
        <f>AK15+AL15+AM15</f>
        <v>1884654.3359743438</v>
      </c>
      <c r="AO15" s="93"/>
      <c r="AP15" s="253">
        <f>SUM(AB17:AB22)+AP26</f>
        <v>1400.4344581256578</v>
      </c>
      <c r="AQ15" s="253">
        <f>SUM(AC17:AC22)+AQ26</f>
        <v>4410.0589008016741</v>
      </c>
      <c r="AR15" s="253">
        <f>SUM(AD17:AD22)</f>
        <v>2749.622083250224</v>
      </c>
      <c r="AS15" s="253">
        <f>AP15+AQ15+AR15</f>
        <v>8560.1154421775555</v>
      </c>
      <c r="AT15" s="252"/>
      <c r="AY15" s="1"/>
      <c r="AZ15" s="1"/>
      <c r="BA15" s="1"/>
      <c r="BD15" s="124">
        <f>SUM(BD16:BD26)</f>
        <v>207095.95415928055</v>
      </c>
      <c r="BE15" s="124">
        <f>SUM(BE16:BE26)</f>
        <v>1158567.654788252</v>
      </c>
      <c r="BF15" s="124">
        <f>SUM(BF16:BF26)</f>
        <v>518990.72702681145</v>
      </c>
      <c r="BG15" s="125">
        <f>BD15+BE15+BF15</f>
        <v>1884654.3359743441</v>
      </c>
      <c r="BH15" s="43"/>
      <c r="BI15" s="391">
        <f>(AP15-AB15)/G15</f>
        <v>0</v>
      </c>
      <c r="BJ15" s="391">
        <f>(AQ15-AC15)/H15</f>
        <v>0</v>
      </c>
      <c r="BK15" s="391">
        <f>(AR15-AD15)/I15</f>
        <v>0</v>
      </c>
      <c r="BL15" s="391">
        <f>(AS15-AE15)/J15</f>
        <v>0</v>
      </c>
      <c r="BM15" s="43"/>
      <c r="BN15" s="115">
        <f>SUM(BN16:BN26)</f>
        <v>3437.1615697741568</v>
      </c>
      <c r="BO15" s="249">
        <f>SUM(BO16:BO26)</f>
        <v>13795.452725362811</v>
      </c>
      <c r="BP15" s="249">
        <f>SUM(BP16:BP26)</f>
        <v>6445.6587433078648</v>
      </c>
      <c r="BQ15" s="115">
        <f t="shared" ref="BQ15:BQ26" si="1">BN15+BO15+BP15</f>
        <v>23678.273038444833</v>
      </c>
      <c r="BS15" s="145">
        <f>CC15/BN15</f>
        <v>186.29131407296839</v>
      </c>
      <c r="BT15" s="145">
        <f>CD15/BO15</f>
        <v>382.2160958341787</v>
      </c>
      <c r="BU15" s="145">
        <f>CE15/BP15</f>
        <v>632.63200872784682</v>
      </c>
      <c r="BV15" s="145">
        <f>CF15/BQ15</f>
        <v>421.94324934926692</v>
      </c>
      <c r="BX15" s="183">
        <f t="shared" ref="BX15:BX24" si="2">CC15/G15</f>
        <v>314.38347427705907</v>
      </c>
      <c r="BY15" s="183">
        <f t="shared" ref="BY15:BY24" si="3">CD15/H15</f>
        <v>561.81383323035084</v>
      </c>
      <c r="BZ15" s="183">
        <f t="shared" ref="BZ15:BZ24" si="4">CE15/I15</f>
        <v>1103.2709936079123</v>
      </c>
      <c r="CA15" s="183">
        <f t="shared" ref="CA15:CA24" si="5">CF15/J15</f>
        <v>660.85350686431104</v>
      </c>
      <c r="CC15" s="138">
        <f>SUM(CC16:CC26)</f>
        <v>640313.34551433451</v>
      </c>
      <c r="CD15" s="185">
        <f>SUM(CD16:CD26)</f>
        <v>5272844.0809531538</v>
      </c>
      <c r="CE15" s="185">
        <f>SUM(CE16:CE26)</f>
        <v>4077730.0383530636</v>
      </c>
      <c r="CF15" s="138">
        <f>CC15+CD15+CE15</f>
        <v>9990887.4648205526</v>
      </c>
    </row>
    <row r="16" spans="1:84">
      <c r="A16" s="1">
        <v>2</v>
      </c>
      <c r="B16" s="14" t="s">
        <v>221</v>
      </c>
      <c r="C16" s="5" t="s">
        <v>222</v>
      </c>
      <c r="D16" s="42" t="s">
        <v>367</v>
      </c>
      <c r="G16" s="93">
        <v>73.068323586118268</v>
      </c>
      <c r="H16" s="93">
        <v>418.37451309653005</v>
      </c>
      <c r="I16" s="93">
        <v>882.38165577173538</v>
      </c>
      <c r="J16" s="373">
        <f t="shared" ref="J16:J26" si="6">G16+H16+I16</f>
        <v>1373.8244924543837</v>
      </c>
      <c r="K16" s="136"/>
      <c r="L16" s="94">
        <v>2116.8633333333332</v>
      </c>
      <c r="M16" s="94">
        <v>1966.2857142857142</v>
      </c>
      <c r="N16" s="94">
        <v>3080.25</v>
      </c>
      <c r="O16" s="58"/>
      <c r="P16" s="137">
        <f t="shared" ref="P16:P24" si="7">G16*L16</f>
        <v>154675.65502758892</v>
      </c>
      <c r="Q16" s="137">
        <f t="shared" ref="Q16:Q24" si="8">H16*M16</f>
        <v>822643.82832294854</v>
      </c>
      <c r="R16" s="137">
        <f t="shared" ref="R16:R24" si="9">I16*N16</f>
        <v>2717956.0951908878</v>
      </c>
      <c r="S16" s="137">
        <f t="shared" si="0"/>
        <v>3695275.5785414251</v>
      </c>
      <c r="T16" s="14" t="s">
        <v>434</v>
      </c>
      <c r="U16" s="5" t="s">
        <v>173</v>
      </c>
      <c r="V16" s="42" t="s">
        <v>367</v>
      </c>
      <c r="W16" s="203">
        <v>73.068323586118268</v>
      </c>
      <c r="X16" s="203">
        <v>418.37451309653005</v>
      </c>
      <c r="Y16" s="203">
        <v>882.38165577173538</v>
      </c>
      <c r="Z16" s="203">
        <v>1373.8244924543837</v>
      </c>
      <c r="AA16" s="58"/>
      <c r="AB16" s="58"/>
      <c r="AC16" s="58"/>
      <c r="AD16" s="58"/>
      <c r="AE16" s="58"/>
      <c r="AG16" s="58"/>
      <c r="AH16" s="58"/>
      <c r="AI16" s="58"/>
      <c r="AJ16" s="58"/>
      <c r="AK16" s="130"/>
      <c r="AL16" s="130"/>
      <c r="AM16" s="130"/>
      <c r="AN16" s="132"/>
      <c r="AO16" s="93"/>
      <c r="AP16" s="249">
        <f t="shared" ref="AP16:AQ21" si="10">(AP$15-AP$26)*G16/SUM(G$16:G$21)</f>
        <v>91.27365339766807</v>
      </c>
      <c r="AQ16" s="261">
        <f t="shared" si="10"/>
        <v>195.49692947159321</v>
      </c>
      <c r="AR16" s="261">
        <f t="shared" ref="AR16:AR21" si="11">(AR$15)*I16/SUM(I$16:I$21)</f>
        <v>850.98126028872059</v>
      </c>
      <c r="AS16" s="252">
        <f t="shared" ref="AS16:AS46" si="12">AP16+AQ16+AR16</f>
        <v>1137.751843157982</v>
      </c>
      <c r="AU16" s="240">
        <f t="shared" ref="AU16:AW21" si="13">AP16/G16</f>
        <v>1.2491548857021881</v>
      </c>
      <c r="AV16" s="240">
        <f t="shared" si="13"/>
        <v>0.46727733968461627</v>
      </c>
      <c r="AW16" s="240">
        <f t="shared" si="13"/>
        <v>0.96441404320044277</v>
      </c>
      <c r="AY16" s="117">
        <v>147.87979041622401</v>
      </c>
      <c r="AZ16" s="186">
        <v>346.15642689572292</v>
      </c>
      <c r="BA16" s="186">
        <v>188.74983954643406</v>
      </c>
      <c r="BD16" s="124">
        <f t="shared" ref="BD16:BF21" si="14">AP16*AY16</f>
        <v>13497.528734970227</v>
      </c>
      <c r="BE16" s="242">
        <f t="shared" si="14"/>
        <v>67672.518574971851</v>
      </c>
      <c r="BF16" s="242">
        <f t="shared" si="14"/>
        <v>160622.57633651825</v>
      </c>
      <c r="BG16" s="125">
        <f t="shared" ref="BG16:BG21" si="15">BD16+BE16+BF16</f>
        <v>241792.62364646033</v>
      </c>
      <c r="BH16" s="5"/>
      <c r="BI16" s="391">
        <f t="shared" ref="BI16:BI46" si="16">(AP16-AB16)/G16</f>
        <v>1.2491548857021881</v>
      </c>
      <c r="BJ16" s="391">
        <f t="shared" ref="BJ16:BJ46" si="17">(AQ16-AC16)/H16</f>
        <v>0.46727733968461627</v>
      </c>
      <c r="BK16" s="391">
        <f t="shared" ref="BK16:BK22" si="18">(AR16-AD16)/I16</f>
        <v>0.96441404320044277</v>
      </c>
      <c r="BL16" s="391">
        <f t="shared" ref="BL16:BL46" si="19">(AS16-AE16)/J16</f>
        <v>0.82816389532068246</v>
      </c>
      <c r="BM16" s="5"/>
      <c r="BN16" s="115">
        <f t="shared" ref="BN16:BN25" si="20">G16+AP16</f>
        <v>164.34197698378634</v>
      </c>
      <c r="BO16" s="249">
        <f t="shared" ref="BO16:BO25" si="21">H16+AQ16</f>
        <v>613.87144256812326</v>
      </c>
      <c r="BP16" s="249">
        <f t="shared" ref="BP16:BP25" si="22">I16+AR16</f>
        <v>1733.362916060456</v>
      </c>
      <c r="BQ16" s="115">
        <f t="shared" si="1"/>
        <v>2511.5763356123657</v>
      </c>
      <c r="BS16" s="145">
        <f t="shared" ref="BS16:BS25" si="23">CC16/BN16</f>
        <v>1023.3124053214401</v>
      </c>
      <c r="BT16" s="145">
        <f t="shared" ref="BT16:BT26" si="24">CD16/BO16</f>
        <v>1450.3302893082848</v>
      </c>
      <c r="BU16" s="145">
        <f t="shared" ref="BU16:BU24" si="25">CE16/BP16</f>
        <v>1660.6901214142554</v>
      </c>
      <c r="BV16" s="145">
        <f t="shared" ref="BV16:BV26" si="26">CF16/BQ16</f>
        <v>1567.5686007879033</v>
      </c>
      <c r="BX16" s="183">
        <f t="shared" si="2"/>
        <v>2301.5880960283748</v>
      </c>
      <c r="BY16" s="183">
        <f t="shared" si="3"/>
        <v>2128.0367685602801</v>
      </c>
      <c r="BZ16" s="183">
        <f t="shared" si="4"/>
        <v>3262.2829959104115</v>
      </c>
      <c r="CA16" s="183">
        <f t="shared" si="5"/>
        <v>2865.7723193988049</v>
      </c>
      <c r="CC16" s="138">
        <f t="shared" ref="CC16:CC24" si="27">P16+BD16</f>
        <v>168173.18376255914</v>
      </c>
      <c r="CD16" s="242">
        <f t="shared" ref="CD16:CD24" si="28">Q16+BE16</f>
        <v>890316.34689792036</v>
      </c>
      <c r="CE16" s="242">
        <f t="shared" ref="CE16:CE24" si="29">R16+BF16</f>
        <v>2878578.6715274062</v>
      </c>
      <c r="CF16" s="138">
        <f>CC16+CD16+CE16</f>
        <v>3937068.2021878855</v>
      </c>
    </row>
    <row r="17" spans="1:84">
      <c r="A17" s="1">
        <v>3</v>
      </c>
      <c r="B17" s="14"/>
      <c r="C17" s="5" t="s">
        <v>223</v>
      </c>
      <c r="D17" s="42" t="s">
        <v>384</v>
      </c>
      <c r="G17" s="93">
        <v>405.1970671593831</v>
      </c>
      <c r="H17" s="93">
        <v>2386.8172746096379</v>
      </c>
      <c r="I17" s="93">
        <v>930.99772496026071</v>
      </c>
      <c r="J17" s="373">
        <f t="shared" si="6"/>
        <v>3723.0120667292817</v>
      </c>
      <c r="K17" s="136"/>
      <c r="L17" s="94">
        <v>229.96091895105462</v>
      </c>
      <c r="M17" s="94">
        <v>914.50019809548371</v>
      </c>
      <c r="N17" s="94">
        <v>325.24250368319986</v>
      </c>
      <c r="O17" s="58"/>
      <c r="P17" s="137">
        <f t="shared" si="7"/>
        <v>93179.489920243926</v>
      </c>
      <c r="Q17" s="137">
        <f t="shared" si="8"/>
        <v>2182744.8704482364</v>
      </c>
      <c r="R17" s="137">
        <f t="shared" si="9"/>
        <v>302800.0309894383</v>
      </c>
      <c r="S17" s="137">
        <f t="shared" si="0"/>
        <v>2578724.3913579187</v>
      </c>
      <c r="T17" s="14"/>
      <c r="U17" s="5" t="s">
        <v>244</v>
      </c>
      <c r="V17" s="42" t="s">
        <v>416</v>
      </c>
      <c r="W17" s="203">
        <v>667.41576279998208</v>
      </c>
      <c r="X17" s="203">
        <v>3080.2713886087968</v>
      </c>
      <c r="Y17" s="203">
        <v>1178.1666052207909</v>
      </c>
      <c r="Z17" s="203">
        <v>4925.8537566295699</v>
      </c>
      <c r="AA17" s="58"/>
      <c r="AB17" s="136">
        <f t="shared" ref="AB17:AE22" si="30">W17-G17</f>
        <v>262.21869564059898</v>
      </c>
      <c r="AC17" s="136">
        <f t="shared" si="30"/>
        <v>693.45411399915884</v>
      </c>
      <c r="AD17" s="136">
        <f t="shared" si="30"/>
        <v>247.16888026053016</v>
      </c>
      <c r="AE17" s="136">
        <f t="shared" si="30"/>
        <v>1202.8416899002882</v>
      </c>
      <c r="AG17" s="269">
        <f t="shared" ref="AG17:AI22" si="31">L17</f>
        <v>229.96091895105462</v>
      </c>
      <c r="AH17" s="269">
        <f t="shared" si="31"/>
        <v>914.50019809548371</v>
      </c>
      <c r="AI17" s="269">
        <f t="shared" si="31"/>
        <v>325.24250368319986</v>
      </c>
      <c r="AJ17" s="58"/>
      <c r="AK17" s="130">
        <f t="shared" ref="AK17:AM22" si="32">AB17*AG17</f>
        <v>60300.052215659045</v>
      </c>
      <c r="AL17" s="130">
        <f t="shared" si="32"/>
        <v>634163.92462235887</v>
      </c>
      <c r="AM17" s="130">
        <f t="shared" si="32"/>
        <v>80389.825448507865</v>
      </c>
      <c r="AN17" s="132">
        <f t="shared" ref="AN17:AN26" si="33">AK17+AL17+AM17</f>
        <v>774853.80228652584</v>
      </c>
      <c r="AO17" s="93"/>
      <c r="AP17" s="261">
        <f t="shared" si="10"/>
        <v>506.15389611434102</v>
      </c>
      <c r="AQ17" s="261">
        <f t="shared" si="10"/>
        <v>1115.3056263928777</v>
      </c>
      <c r="AR17" s="261">
        <f t="shared" si="11"/>
        <v>897.86728013933885</v>
      </c>
      <c r="AS17" s="252">
        <f t="shared" si="12"/>
        <v>2519.3268026465576</v>
      </c>
      <c r="AU17" s="240">
        <f t="shared" si="13"/>
        <v>1.2491548857021881</v>
      </c>
      <c r="AV17" s="240">
        <f t="shared" si="13"/>
        <v>0.46727733968461621</v>
      </c>
      <c r="AW17" s="240">
        <f t="shared" si="13"/>
        <v>0.96441404320044277</v>
      </c>
      <c r="AY17" s="240">
        <v>147.87979041622401</v>
      </c>
      <c r="AZ17" s="240">
        <v>346.15642689572292</v>
      </c>
      <c r="BA17" s="240">
        <v>188.74983954643406</v>
      </c>
      <c r="BD17" s="242">
        <f t="shared" si="14"/>
        <v>74849.932075743971</v>
      </c>
      <c r="BE17" s="242">
        <f t="shared" si="14"/>
        <v>386070.21052885463</v>
      </c>
      <c r="BF17" s="242">
        <f t="shared" si="14"/>
        <v>169472.30506029338</v>
      </c>
      <c r="BG17" s="125">
        <f t="shared" si="15"/>
        <v>630392.44766489195</v>
      </c>
      <c r="BH17" s="5"/>
      <c r="BI17" s="391">
        <f t="shared" si="16"/>
        <v>0.60201620456890137</v>
      </c>
      <c r="BJ17" s="391">
        <f t="shared" si="17"/>
        <v>0.17674227385618044</v>
      </c>
      <c r="BK17" s="391">
        <f t="shared" si="18"/>
        <v>0.69892587536299677</v>
      </c>
      <c r="BL17" s="391">
        <f t="shared" si="19"/>
        <v>0.35360753313454069</v>
      </c>
      <c r="BM17" s="5"/>
      <c r="BN17" s="261">
        <f t="shared" si="20"/>
        <v>911.35096327372412</v>
      </c>
      <c r="BO17" s="261">
        <f t="shared" si="21"/>
        <v>3502.1229010025154</v>
      </c>
      <c r="BP17" s="261">
        <f t="shared" si="22"/>
        <v>1828.8650050995996</v>
      </c>
      <c r="BQ17" s="115">
        <f t="shared" si="1"/>
        <v>6242.3388693758388</v>
      </c>
      <c r="BS17" s="145">
        <f t="shared" si="23"/>
        <v>184.37399944407616</v>
      </c>
      <c r="BT17" s="145">
        <f t="shared" si="24"/>
        <v>733.50226522368587</v>
      </c>
      <c r="BU17" s="145">
        <f t="shared" si="25"/>
        <v>258.23247464020005</v>
      </c>
      <c r="BV17" s="145">
        <f t="shared" si="26"/>
        <v>514.08885454238157</v>
      </c>
      <c r="BX17" s="183">
        <f t="shared" si="2"/>
        <v>414.68568164609638</v>
      </c>
      <c r="BY17" s="183">
        <f t="shared" si="3"/>
        <v>1076.2512523700495</v>
      </c>
      <c r="BZ17" s="183">
        <f t="shared" si="4"/>
        <v>507.27549959361124</v>
      </c>
      <c r="CA17" s="183">
        <f t="shared" si="5"/>
        <v>861.96788554651789</v>
      </c>
      <c r="CC17" s="242">
        <f t="shared" si="27"/>
        <v>168029.42199598788</v>
      </c>
      <c r="CD17" s="242">
        <f t="shared" si="28"/>
        <v>2568815.0809770911</v>
      </c>
      <c r="CE17" s="242">
        <f t="shared" si="29"/>
        <v>472272.3360497317</v>
      </c>
      <c r="CF17" s="138">
        <f t="shared" ref="CF17:CF26" si="34">CC17+CD17+CE17</f>
        <v>3209116.8390228106</v>
      </c>
    </row>
    <row r="18" spans="1:84">
      <c r="A18" s="1">
        <v>4</v>
      </c>
      <c r="B18" s="14" t="s">
        <v>386</v>
      </c>
      <c r="C18" s="5" t="s">
        <v>428</v>
      </c>
      <c r="D18" s="43" t="s">
        <v>372</v>
      </c>
      <c r="G18" s="93">
        <v>273</v>
      </c>
      <c r="H18" s="93">
        <v>1514</v>
      </c>
      <c r="I18" s="93">
        <v>299</v>
      </c>
      <c r="J18" s="373">
        <f t="shared" si="6"/>
        <v>2086</v>
      </c>
      <c r="K18" s="136"/>
      <c r="L18" s="94">
        <v>175.4366666666667</v>
      </c>
      <c r="M18" s="94">
        <v>213.27200000000002</v>
      </c>
      <c r="N18" s="94">
        <v>196.49</v>
      </c>
      <c r="O18" s="58"/>
      <c r="P18" s="137">
        <f t="shared" si="7"/>
        <v>47894.210000000006</v>
      </c>
      <c r="Q18" s="137">
        <f t="shared" si="8"/>
        <v>322893.80800000002</v>
      </c>
      <c r="R18" s="137">
        <f t="shared" si="9"/>
        <v>58750.51</v>
      </c>
      <c r="S18" s="137">
        <f t="shared" si="0"/>
        <v>429538.52800000005</v>
      </c>
      <c r="T18" s="14" t="s">
        <v>531</v>
      </c>
      <c r="U18" s="5" t="s">
        <v>532</v>
      </c>
      <c r="V18" s="43" t="s">
        <v>400</v>
      </c>
      <c r="W18" s="203">
        <v>449.66885994938718</v>
      </c>
      <c r="X18" s="203">
        <v>1938.4069781944418</v>
      </c>
      <c r="Y18" s="203">
        <v>378.38096218339638</v>
      </c>
      <c r="Z18" s="203">
        <v>2766.4568003272252</v>
      </c>
      <c r="AA18" s="58"/>
      <c r="AB18" s="136">
        <f t="shared" si="30"/>
        <v>176.66885994938718</v>
      </c>
      <c r="AC18" s="136">
        <f t="shared" si="30"/>
        <v>424.40697819444176</v>
      </c>
      <c r="AD18" s="136">
        <f t="shared" si="30"/>
        <v>79.380962183396377</v>
      </c>
      <c r="AE18" s="136">
        <f t="shared" si="30"/>
        <v>680.45680032722521</v>
      </c>
      <c r="AG18" s="269">
        <f t="shared" si="31"/>
        <v>175.4366666666667</v>
      </c>
      <c r="AH18" s="269">
        <f t="shared" si="31"/>
        <v>213.27200000000002</v>
      </c>
      <c r="AI18" s="269">
        <f t="shared" si="31"/>
        <v>196.49</v>
      </c>
      <c r="AJ18" s="58"/>
      <c r="AK18" s="130">
        <f t="shared" si="32"/>
        <v>30994.195893320662</v>
      </c>
      <c r="AL18" s="130">
        <f t="shared" si="32"/>
        <v>90514.125053484997</v>
      </c>
      <c r="AM18" s="130">
        <f t="shared" si="32"/>
        <v>15597.565259415554</v>
      </c>
      <c r="AN18" s="132">
        <f t="shared" si="33"/>
        <v>137105.88620622121</v>
      </c>
      <c r="AO18" s="93"/>
      <c r="AP18" s="261">
        <f t="shared" si="10"/>
        <v>341.01928379669738</v>
      </c>
      <c r="AQ18" s="261">
        <f t="shared" si="10"/>
        <v>707.45789228250908</v>
      </c>
      <c r="AR18" s="261">
        <f t="shared" si="11"/>
        <v>288.35979891693239</v>
      </c>
      <c r="AS18" s="252">
        <f t="shared" si="12"/>
        <v>1336.8369749961389</v>
      </c>
      <c r="AU18" s="240">
        <f t="shared" si="13"/>
        <v>1.2491548857021881</v>
      </c>
      <c r="AV18" s="240">
        <f t="shared" si="13"/>
        <v>0.46727733968461632</v>
      </c>
      <c r="AW18" s="240">
        <f t="shared" si="13"/>
        <v>0.96441404320044277</v>
      </c>
      <c r="AY18" s="240">
        <v>147.87979041622401</v>
      </c>
      <c r="AZ18" s="240">
        <v>346.15642689572292</v>
      </c>
      <c r="BA18" s="240">
        <v>188.74983954643406</v>
      </c>
      <c r="BD18" s="242">
        <f t="shared" si="14"/>
        <v>50429.860215746427</v>
      </c>
      <c r="BE18" s="242">
        <f t="shared" si="14"/>
        <v>244891.09617169257</v>
      </c>
      <c r="BF18" s="242">
        <f t="shared" si="14"/>
        <v>54427.865777212981</v>
      </c>
      <c r="BG18" s="125">
        <f t="shared" si="15"/>
        <v>349748.82216465194</v>
      </c>
      <c r="BH18" s="5"/>
      <c r="BI18" s="391">
        <f t="shared" si="16"/>
        <v>0.60201620456890181</v>
      </c>
      <c r="BJ18" s="391">
        <f t="shared" si="17"/>
        <v>0.18695568962223733</v>
      </c>
      <c r="BK18" s="391">
        <f t="shared" si="18"/>
        <v>0.69892587536299666</v>
      </c>
      <c r="BL18" s="391">
        <f t="shared" si="19"/>
        <v>0.31465971940024628</v>
      </c>
      <c r="BM18" s="5"/>
      <c r="BN18" s="261">
        <f t="shared" si="20"/>
        <v>614.01928379669744</v>
      </c>
      <c r="BO18" s="261">
        <f t="shared" si="21"/>
        <v>2221.457892282509</v>
      </c>
      <c r="BP18" s="261">
        <f t="shared" si="22"/>
        <v>587.35979891693239</v>
      </c>
      <c r="BQ18" s="115">
        <f t="shared" si="1"/>
        <v>3422.8369749961389</v>
      </c>
      <c r="BS18" s="145">
        <f t="shared" si="23"/>
        <v>160.13189293954107</v>
      </c>
      <c r="BT18" s="145">
        <f t="shared" si="24"/>
        <v>255.59111705165094</v>
      </c>
      <c r="BU18" s="145">
        <f t="shared" si="25"/>
        <v>192.690027451503</v>
      </c>
      <c r="BV18" s="145">
        <f t="shared" si="26"/>
        <v>227.67293793346118</v>
      </c>
      <c r="BX18" s="183">
        <f t="shared" si="2"/>
        <v>360.1614293617086</v>
      </c>
      <c r="BY18" s="183">
        <f t="shared" si="3"/>
        <v>375.02305427456577</v>
      </c>
      <c r="BZ18" s="183">
        <f t="shared" si="4"/>
        <v>378.52299591041134</v>
      </c>
      <c r="CA18" s="183">
        <f t="shared" si="5"/>
        <v>373.57974600414764</v>
      </c>
      <c r="CC18" s="242">
        <f t="shared" si="27"/>
        <v>98324.07021574644</v>
      </c>
      <c r="CD18" s="242">
        <f t="shared" si="28"/>
        <v>567784.90417169256</v>
      </c>
      <c r="CE18" s="242">
        <f t="shared" si="29"/>
        <v>113178.37577721299</v>
      </c>
      <c r="CF18" s="138">
        <f t="shared" si="34"/>
        <v>779287.35016465199</v>
      </c>
    </row>
    <row r="19" spans="1:84">
      <c r="A19" s="1">
        <v>5</v>
      </c>
      <c r="B19" s="14" t="s">
        <v>220</v>
      </c>
      <c r="C19" s="5" t="s">
        <v>328</v>
      </c>
      <c r="D19" s="43" t="s">
        <v>288</v>
      </c>
      <c r="G19" s="93">
        <v>197.82570688946015</v>
      </c>
      <c r="H19" s="93">
        <v>685.91208771434367</v>
      </c>
      <c r="I19" s="93">
        <v>216.02648296594066</v>
      </c>
      <c r="J19" s="373">
        <f t="shared" si="6"/>
        <v>1099.7642775697445</v>
      </c>
      <c r="K19" s="136"/>
      <c r="L19" s="94">
        <v>240.37777777777779</v>
      </c>
      <c r="M19" s="94">
        <v>304.6033333333333</v>
      </c>
      <c r="N19" s="94">
        <v>310</v>
      </c>
      <c r="O19" s="58"/>
      <c r="P19" s="137">
        <f t="shared" si="7"/>
        <v>47552.90380940646</v>
      </c>
      <c r="Q19" s="137">
        <f t="shared" si="8"/>
        <v>208931.10829141477</v>
      </c>
      <c r="R19" s="137">
        <f t="shared" si="9"/>
        <v>66968.209719441598</v>
      </c>
      <c r="S19" s="137">
        <f t="shared" si="0"/>
        <v>323452.22182026284</v>
      </c>
      <c r="T19" s="14" t="s">
        <v>401</v>
      </c>
      <c r="U19" s="5" t="s">
        <v>402</v>
      </c>
      <c r="V19" s="43" t="s">
        <v>288</v>
      </c>
      <c r="W19" s="203">
        <v>326.13345886439072</v>
      </c>
      <c r="X19" s="203">
        <v>882.49936485751607</v>
      </c>
      <c r="Y19" s="203">
        <v>273.37895813293551</v>
      </c>
      <c r="Z19" s="203">
        <v>1481.5985400232112</v>
      </c>
      <c r="AA19" s="58"/>
      <c r="AB19" s="136">
        <f t="shared" si="30"/>
        <v>128.30775197493057</v>
      </c>
      <c r="AC19" s="136">
        <f t="shared" si="30"/>
        <v>196.5872771431724</v>
      </c>
      <c r="AD19" s="136">
        <f t="shared" si="30"/>
        <v>57.35247516699485</v>
      </c>
      <c r="AE19" s="136">
        <f t="shared" si="30"/>
        <v>381.83426245346664</v>
      </c>
      <c r="AG19" s="269">
        <f t="shared" si="31"/>
        <v>240.37777777777779</v>
      </c>
      <c r="AH19" s="269">
        <f t="shared" si="31"/>
        <v>304.6033333333333</v>
      </c>
      <c r="AI19" s="269">
        <f t="shared" si="31"/>
        <v>310</v>
      </c>
      <c r="AJ19" s="58"/>
      <c r="AK19" s="130">
        <f t="shared" si="32"/>
        <v>30842.332291396091</v>
      </c>
      <c r="AL19" s="130">
        <f t="shared" si="32"/>
        <v>59881.13990873412</v>
      </c>
      <c r="AM19" s="130">
        <f t="shared" si="32"/>
        <v>17779.267301768403</v>
      </c>
      <c r="AN19" s="132">
        <f t="shared" si="33"/>
        <v>108502.73950189861</v>
      </c>
      <c r="AO19" s="99"/>
      <c r="AP19" s="261">
        <f t="shared" si="10"/>
        <v>247.11494827845817</v>
      </c>
      <c r="AQ19" s="261">
        <f t="shared" si="10"/>
        <v>320.51117560467964</v>
      </c>
      <c r="AR19" s="261">
        <f t="shared" si="11"/>
        <v>208.33897387555439</v>
      </c>
      <c r="AS19" s="252">
        <f t="shared" si="12"/>
        <v>775.9650977586922</v>
      </c>
      <c r="AU19" s="240">
        <f t="shared" si="13"/>
        <v>1.2491548857021881</v>
      </c>
      <c r="AV19" s="240">
        <f t="shared" si="13"/>
        <v>0.46727733968461621</v>
      </c>
      <c r="AW19" s="240">
        <f t="shared" si="13"/>
        <v>0.96441404320044266</v>
      </c>
      <c r="AY19" s="240">
        <v>147.87979041622401</v>
      </c>
      <c r="AZ19" s="240">
        <v>346.15642689572292</v>
      </c>
      <c r="BA19" s="240">
        <v>188.74983954643406</v>
      </c>
      <c r="BD19" s="242">
        <f t="shared" si="14"/>
        <v>36543.30676013443</v>
      </c>
      <c r="BE19" s="242">
        <f t="shared" si="14"/>
        <v>110947.00332746349</v>
      </c>
      <c r="BF19" s="242">
        <f t="shared" si="14"/>
        <v>39323.947890279611</v>
      </c>
      <c r="BG19" s="125">
        <f t="shared" si="15"/>
        <v>186814.25797787754</v>
      </c>
      <c r="BH19" s="5"/>
      <c r="BI19" s="391">
        <f t="shared" si="16"/>
        <v>0.60056500326276585</v>
      </c>
      <c r="BJ19" s="391">
        <f t="shared" si="17"/>
        <v>0.18067023556102838</v>
      </c>
      <c r="BK19" s="391">
        <f t="shared" si="18"/>
        <v>0.69892587536299655</v>
      </c>
      <c r="BL19" s="391">
        <f t="shared" si="19"/>
        <v>0.3583775572126916</v>
      </c>
      <c r="BM19" s="5"/>
      <c r="BN19" s="261">
        <f t="shared" si="20"/>
        <v>444.94065516791829</v>
      </c>
      <c r="BO19" s="261">
        <f t="shared" si="21"/>
        <v>1006.4232633190234</v>
      </c>
      <c r="BP19" s="261">
        <f t="shared" si="22"/>
        <v>424.36545684149507</v>
      </c>
      <c r="BQ19" s="115">
        <f t="shared" si="1"/>
        <v>1875.7293753284366</v>
      </c>
      <c r="BS19" s="145">
        <f t="shared" si="23"/>
        <v>189.00545408196831</v>
      </c>
      <c r="BT19" s="145">
        <f t="shared" si="24"/>
        <v>317.83656367796118</v>
      </c>
      <c r="BU19" s="145">
        <f t="shared" si="25"/>
        <v>250.47316150763524</v>
      </c>
      <c r="BV19" s="145">
        <f t="shared" si="26"/>
        <v>272.03630039050472</v>
      </c>
      <c r="BX19" s="183">
        <f t="shared" si="2"/>
        <v>425.10254047281961</v>
      </c>
      <c r="BY19" s="183">
        <f t="shared" si="3"/>
        <v>466.35438760789901</v>
      </c>
      <c r="BZ19" s="183">
        <f t="shared" si="4"/>
        <v>492.03299591041127</v>
      </c>
      <c r="CA19" s="183">
        <f t="shared" si="5"/>
        <v>463.97804530051252</v>
      </c>
      <c r="CC19" s="242">
        <f t="shared" si="27"/>
        <v>84096.210569540883</v>
      </c>
      <c r="CD19" s="242">
        <f t="shared" si="28"/>
        <v>319878.11161887826</v>
      </c>
      <c r="CE19" s="242">
        <f t="shared" si="29"/>
        <v>106292.15760972121</v>
      </c>
      <c r="CF19" s="138">
        <f t="shared" si="34"/>
        <v>510266.47979814035</v>
      </c>
    </row>
    <row r="20" spans="1:84">
      <c r="A20" s="1">
        <v>6</v>
      </c>
      <c r="B20" s="14" t="s">
        <v>250</v>
      </c>
      <c r="C20" s="5" t="s">
        <v>334</v>
      </c>
      <c r="D20" s="43" t="s">
        <v>13</v>
      </c>
      <c r="G20" s="93">
        <v>8.0144387200686378</v>
      </c>
      <c r="H20" s="93">
        <v>254.68015419186904</v>
      </c>
      <c r="I20" s="93">
        <v>384.67464745420693</v>
      </c>
      <c r="J20" s="373">
        <f t="shared" si="6"/>
        <v>647.3692403661446</v>
      </c>
      <c r="K20" s="136"/>
      <c r="L20" s="94">
        <v>170.36926315789475</v>
      </c>
      <c r="M20" s="94">
        <v>204.88916202343211</v>
      </c>
      <c r="N20" s="94">
        <v>640</v>
      </c>
      <c r="O20" s="58"/>
      <c r="P20" s="137">
        <f t="shared" si="7"/>
        <v>1365.4140193621949</v>
      </c>
      <c r="Q20" s="137">
        <f t="shared" si="8"/>
        <v>52181.203376370526</v>
      </c>
      <c r="R20" s="137">
        <f t="shared" si="9"/>
        <v>246191.77437069244</v>
      </c>
      <c r="S20" s="137">
        <f t="shared" si="0"/>
        <v>299738.39176642516</v>
      </c>
      <c r="T20" s="14" t="s">
        <v>404</v>
      </c>
      <c r="U20" s="5" t="s">
        <v>410</v>
      </c>
      <c r="V20" s="43" t="s">
        <v>411</v>
      </c>
      <c r="W20" s="203">
        <v>13.200892023397401</v>
      </c>
      <c r="X20" s="203">
        <v>334.94565559160827</v>
      </c>
      <c r="Y20" s="203">
        <v>486.80121482033985</v>
      </c>
      <c r="Z20" s="203">
        <v>834.94776243534545</v>
      </c>
      <c r="AA20" s="58"/>
      <c r="AB20" s="136">
        <f t="shared" si="30"/>
        <v>5.1864533033287632</v>
      </c>
      <c r="AC20" s="136">
        <f t="shared" si="30"/>
        <v>80.265501399739236</v>
      </c>
      <c r="AD20" s="136">
        <f t="shared" si="30"/>
        <v>102.12656736613292</v>
      </c>
      <c r="AE20" s="136">
        <f t="shared" si="30"/>
        <v>187.57852206920086</v>
      </c>
      <c r="AG20" s="269">
        <f t="shared" si="31"/>
        <v>170.36926315789475</v>
      </c>
      <c r="AH20" s="269">
        <f t="shared" si="31"/>
        <v>204.88916202343211</v>
      </c>
      <c r="AI20" s="269">
        <f t="shared" si="31"/>
        <v>640</v>
      </c>
      <c r="AJ20" s="58"/>
      <c r="AK20" s="130">
        <f t="shared" si="32"/>
        <v>883.61222769095059</v>
      </c>
      <c r="AL20" s="130">
        <f t="shared" si="32"/>
        <v>16445.531321183189</v>
      </c>
      <c r="AM20" s="130">
        <f t="shared" si="32"/>
        <v>65361.003114325067</v>
      </c>
      <c r="AN20" s="132">
        <f t="shared" si="33"/>
        <v>82690.146663199208</v>
      </c>
      <c r="AO20" s="93"/>
      <c r="AP20" s="261">
        <f t="shared" si="10"/>
        <v>10.01127528333453</v>
      </c>
      <c r="AQ20" s="261">
        <f t="shared" si="10"/>
        <v>119.00626492124444</v>
      </c>
      <c r="AR20" s="261">
        <f t="shared" si="11"/>
        <v>370.98563206801657</v>
      </c>
      <c r="AS20" s="252">
        <f t="shared" si="12"/>
        <v>500.00317227259552</v>
      </c>
      <c r="AU20" s="240">
        <f t="shared" si="13"/>
        <v>1.2491548857021881</v>
      </c>
      <c r="AV20" s="240">
        <f t="shared" si="13"/>
        <v>0.46727733968461627</v>
      </c>
      <c r="AW20" s="240">
        <f t="shared" si="13"/>
        <v>0.96441404320044266</v>
      </c>
      <c r="AY20" s="240">
        <v>147.87979041622401</v>
      </c>
      <c r="AZ20" s="240">
        <v>346.15642689572292</v>
      </c>
      <c r="BA20" s="240">
        <v>188.74983954643406</v>
      </c>
      <c r="BD20" s="242">
        <f t="shared" si="14"/>
        <v>1480.4652906986339</v>
      </c>
      <c r="BE20" s="242">
        <f t="shared" si="14"/>
        <v>41194.783443343782</v>
      </c>
      <c r="BF20" s="242">
        <f t="shared" si="14"/>
        <v>70023.478526870545</v>
      </c>
      <c r="BG20" s="125">
        <f t="shared" si="15"/>
        <v>112698.72726091296</v>
      </c>
      <c r="BH20" s="5"/>
      <c r="BI20" s="391">
        <f t="shared" si="16"/>
        <v>0.60201620456890159</v>
      </c>
      <c r="BJ20" s="391">
        <f t="shared" si="17"/>
        <v>0.15211536071365409</v>
      </c>
      <c r="BK20" s="391">
        <f t="shared" si="18"/>
        <v>0.69892587536299655</v>
      </c>
      <c r="BL20" s="391">
        <f t="shared" si="19"/>
        <v>0.48260657245112676</v>
      </c>
      <c r="BM20" s="5"/>
      <c r="BN20" s="261">
        <f t="shared" si="20"/>
        <v>18.025714003403166</v>
      </c>
      <c r="BO20" s="261">
        <f t="shared" si="21"/>
        <v>373.68641911311346</v>
      </c>
      <c r="BP20" s="261">
        <f t="shared" si="22"/>
        <v>755.6602795222235</v>
      </c>
      <c r="BQ20" s="115">
        <f t="shared" si="1"/>
        <v>1147.3724126387401</v>
      </c>
      <c r="BS20" s="145">
        <f t="shared" si="23"/>
        <v>157.87886735158125</v>
      </c>
      <c r="BT20" s="145">
        <f t="shared" si="24"/>
        <v>249.87792449435995</v>
      </c>
      <c r="BU20" s="145">
        <f t="shared" si="25"/>
        <v>418.46218660254891</v>
      </c>
      <c r="BV20" s="145">
        <f t="shared" si="26"/>
        <v>359.46229357110872</v>
      </c>
      <c r="BX20" s="183">
        <f t="shared" si="2"/>
        <v>355.09402585293662</v>
      </c>
      <c r="BY20" s="183">
        <f t="shared" si="3"/>
        <v>366.64021629799782</v>
      </c>
      <c r="BZ20" s="183">
        <f t="shared" si="4"/>
        <v>822.03299591041127</v>
      </c>
      <c r="CA20" s="183">
        <f t="shared" si="5"/>
        <v>637.09718242724728</v>
      </c>
      <c r="CC20" s="242">
        <f t="shared" si="27"/>
        <v>2845.8793100608291</v>
      </c>
      <c r="CD20" s="242">
        <f t="shared" si="28"/>
        <v>93375.986819714308</v>
      </c>
      <c r="CE20" s="242">
        <f t="shared" si="29"/>
        <v>316215.25289756298</v>
      </c>
      <c r="CF20" s="138">
        <f t="shared" si="34"/>
        <v>412437.11902733811</v>
      </c>
    </row>
    <row r="21" spans="1:84">
      <c r="A21" s="1">
        <v>7</v>
      </c>
      <c r="B21" s="14" t="s">
        <v>97</v>
      </c>
      <c r="C21" s="5" t="s">
        <v>98</v>
      </c>
      <c r="D21" s="43" t="s">
        <v>336</v>
      </c>
      <c r="G21" s="93">
        <v>164</v>
      </c>
      <c r="H21" s="93">
        <v>860</v>
      </c>
      <c r="I21" s="93">
        <v>138</v>
      </c>
      <c r="J21" s="373">
        <f t="shared" si="6"/>
        <v>1162</v>
      </c>
      <c r="K21" s="136"/>
      <c r="L21" s="94">
        <v>125.36571428571428</v>
      </c>
      <c r="M21" s="94">
        <v>157.16200000000001</v>
      </c>
      <c r="N21" s="94">
        <v>179.68</v>
      </c>
      <c r="O21" s="58"/>
      <c r="P21" s="137">
        <f t="shared" si="7"/>
        <v>20559.97714285714</v>
      </c>
      <c r="Q21" s="137">
        <f t="shared" si="8"/>
        <v>135159.32</v>
      </c>
      <c r="R21" s="137">
        <f t="shared" si="9"/>
        <v>24795.84</v>
      </c>
      <c r="S21" s="137">
        <f t="shared" si="0"/>
        <v>180515.13714285716</v>
      </c>
      <c r="T21" s="14" t="s">
        <v>586</v>
      </c>
      <c r="U21" s="5" t="s">
        <v>587</v>
      </c>
      <c r="V21" s="43" t="s">
        <v>588</v>
      </c>
      <c r="W21" s="203">
        <v>711.72801376061216</v>
      </c>
      <c r="X21" s="203">
        <v>1899.5727444877259</v>
      </c>
      <c r="Y21" s="203">
        <v>1843.2220611182631</v>
      </c>
      <c r="Z21" s="203">
        <v>4454.5228193666007</v>
      </c>
      <c r="AA21" s="58"/>
      <c r="AB21" s="136">
        <f t="shared" si="30"/>
        <v>547.72801376061216</v>
      </c>
      <c r="AC21" s="136">
        <f t="shared" si="30"/>
        <v>1039.5727444877259</v>
      </c>
      <c r="AD21" s="136">
        <f t="shared" si="30"/>
        <v>1705.2220611182631</v>
      </c>
      <c r="AE21" s="136">
        <f t="shared" si="30"/>
        <v>3292.5228193666007</v>
      </c>
      <c r="AG21" s="269">
        <f t="shared" si="31"/>
        <v>125.36571428571428</v>
      </c>
      <c r="AH21" s="269">
        <f t="shared" si="31"/>
        <v>157.16200000000001</v>
      </c>
      <c r="AI21" s="269">
        <f t="shared" si="31"/>
        <v>179.68</v>
      </c>
      <c r="AJ21" s="58"/>
      <c r="AK21" s="130">
        <f t="shared" si="32"/>
        <v>68666.313679394676</v>
      </c>
      <c r="AL21" s="130">
        <f t="shared" si="32"/>
        <v>163381.33166917998</v>
      </c>
      <c r="AM21" s="130">
        <f t="shared" si="32"/>
        <v>306394.29994172952</v>
      </c>
      <c r="AN21" s="132">
        <f t="shared" si="33"/>
        <v>538441.94529030425</v>
      </c>
      <c r="AO21" s="93"/>
      <c r="AP21" s="261">
        <f t="shared" si="10"/>
        <v>204.86140125515885</v>
      </c>
      <c r="AQ21" s="261">
        <f t="shared" si="10"/>
        <v>401.85851212876997</v>
      </c>
      <c r="AR21" s="261">
        <f t="shared" si="11"/>
        <v>133.08913796166109</v>
      </c>
      <c r="AS21" s="252">
        <f t="shared" si="12"/>
        <v>739.80905134558986</v>
      </c>
      <c r="AU21" s="240">
        <f t="shared" si="13"/>
        <v>1.2491548857021881</v>
      </c>
      <c r="AV21" s="240">
        <f t="shared" si="13"/>
        <v>0.46727733968461627</v>
      </c>
      <c r="AW21" s="240">
        <f t="shared" si="13"/>
        <v>0.96441404320044266</v>
      </c>
      <c r="AY21" s="240">
        <v>147.87979041622401</v>
      </c>
      <c r="AZ21" s="240">
        <v>346.15642689572292</v>
      </c>
      <c r="BA21" s="240">
        <v>188.74983954643406</v>
      </c>
      <c r="BD21" s="242">
        <f t="shared" si="14"/>
        <v>30294.861081986863</v>
      </c>
      <c r="BE21" s="242">
        <f t="shared" si="14"/>
        <v>139105.90667612656</v>
      </c>
      <c r="BF21" s="242">
        <f t="shared" si="14"/>
        <v>25120.553435636757</v>
      </c>
      <c r="BG21" s="125">
        <f t="shared" si="15"/>
        <v>194521.32119375019</v>
      </c>
      <c r="BH21" s="5"/>
      <c r="BI21" s="391">
        <f t="shared" si="16"/>
        <v>-2.0906500762527642</v>
      </c>
      <c r="BJ21" s="391">
        <f t="shared" si="17"/>
        <v>-0.74152817716157671</v>
      </c>
      <c r="BK21" s="391">
        <f t="shared" si="18"/>
        <v>-11.392267559105811</v>
      </c>
      <c r="BL21" s="391">
        <f t="shared" si="19"/>
        <v>-2.1968276833227289</v>
      </c>
      <c r="BM21" s="5"/>
      <c r="BN21" s="261">
        <f t="shared" si="20"/>
        <v>368.86140125515885</v>
      </c>
      <c r="BO21" s="261">
        <f t="shared" si="21"/>
        <v>1261.8585121287699</v>
      </c>
      <c r="BP21" s="261">
        <f t="shared" si="22"/>
        <v>271.08913796166109</v>
      </c>
      <c r="BQ21" s="115">
        <f t="shared" si="1"/>
        <v>1901.80905134559</v>
      </c>
      <c r="BS21" s="145">
        <f t="shared" si="23"/>
        <v>137.86977453264433</v>
      </c>
      <c r="BT21" s="145">
        <f t="shared" si="24"/>
        <v>217.35022115390575</v>
      </c>
      <c r="BU21" s="145">
        <f t="shared" si="25"/>
        <v>184.13276832469845</v>
      </c>
      <c r="BV21" s="145">
        <f t="shared" si="26"/>
        <v>197.19984930729888</v>
      </c>
      <c r="BX21" s="183">
        <f t="shared" si="2"/>
        <v>310.09047698075614</v>
      </c>
      <c r="BY21" s="183">
        <f t="shared" si="3"/>
        <v>318.91305427456581</v>
      </c>
      <c r="BZ21" s="183">
        <f t="shared" si="4"/>
        <v>361.71299591041128</v>
      </c>
      <c r="CA21" s="183">
        <f t="shared" si="5"/>
        <v>322.75082473029897</v>
      </c>
      <c r="CC21" s="242">
        <f t="shared" si="27"/>
        <v>50854.838224844003</v>
      </c>
      <c r="CD21" s="242">
        <f t="shared" si="28"/>
        <v>274265.22667612659</v>
      </c>
      <c r="CE21" s="242">
        <f t="shared" si="29"/>
        <v>49916.393435636754</v>
      </c>
      <c r="CF21" s="138">
        <f t="shared" si="34"/>
        <v>375036.45833660738</v>
      </c>
    </row>
    <row r="22" spans="1:84">
      <c r="A22" s="1">
        <v>8</v>
      </c>
      <c r="B22" s="14"/>
      <c r="C22" s="5" t="s">
        <v>337</v>
      </c>
      <c r="D22" s="43" t="s">
        <v>323</v>
      </c>
      <c r="G22" s="93">
        <v>40.591306041131133</v>
      </c>
      <c r="H22" s="93">
        <v>235.94180362566135</v>
      </c>
      <c r="I22" s="93">
        <v>88.064721726642944</v>
      </c>
      <c r="J22" s="373">
        <f t="shared" si="6"/>
        <v>364.5978313934354</v>
      </c>
      <c r="K22" s="136"/>
      <c r="L22" s="94">
        <v>54.97</v>
      </c>
      <c r="M22" s="94">
        <v>59.94</v>
      </c>
      <c r="N22" s="94">
        <v>59.94</v>
      </c>
      <c r="O22" s="58"/>
      <c r="P22" s="137">
        <f t="shared" si="7"/>
        <v>2231.3040930809784</v>
      </c>
      <c r="Q22" s="137">
        <f t="shared" si="8"/>
        <v>14142.351709322142</v>
      </c>
      <c r="R22" s="137">
        <f t="shared" si="9"/>
        <v>5278.5994202949778</v>
      </c>
      <c r="S22" s="137">
        <f t="shared" si="0"/>
        <v>21652.255222698099</v>
      </c>
      <c r="T22" s="14"/>
      <c r="U22" s="5" t="s">
        <v>135</v>
      </c>
      <c r="V22" s="43" t="s">
        <v>552</v>
      </c>
      <c r="W22" s="203">
        <v>320.91598953793118</v>
      </c>
      <c r="X22" s="203">
        <v>661.2915892030976</v>
      </c>
      <c r="Y22" s="203">
        <v>646.43585888154973</v>
      </c>
      <c r="Z22" s="203">
        <v>1627.8955185969853</v>
      </c>
      <c r="AA22" s="58"/>
      <c r="AB22" s="136">
        <f t="shared" si="30"/>
        <v>280.32468349680005</v>
      </c>
      <c r="AC22" s="136">
        <f t="shared" si="30"/>
        <v>425.34978557743625</v>
      </c>
      <c r="AD22" s="136">
        <f t="shared" si="30"/>
        <v>558.37113715490682</v>
      </c>
      <c r="AE22" s="136">
        <f t="shared" si="30"/>
        <v>1263.2976872035499</v>
      </c>
      <c r="AG22" s="269">
        <f t="shared" si="31"/>
        <v>54.97</v>
      </c>
      <c r="AH22" s="269">
        <f t="shared" si="31"/>
        <v>59.94</v>
      </c>
      <c r="AI22" s="269">
        <f t="shared" si="31"/>
        <v>59.94</v>
      </c>
      <c r="AJ22" s="58"/>
      <c r="AK22" s="130">
        <f t="shared" si="32"/>
        <v>15409.447851819099</v>
      </c>
      <c r="AL22" s="130">
        <f t="shared" si="32"/>
        <v>25495.466147511528</v>
      </c>
      <c r="AM22" s="130">
        <f t="shared" si="32"/>
        <v>33468.76596106511</v>
      </c>
      <c r="AN22" s="132">
        <f t="shared" si="33"/>
        <v>74373.679960395733</v>
      </c>
      <c r="AO22" s="99"/>
      <c r="AS22" s="252">
        <f t="shared" si="12"/>
        <v>0</v>
      </c>
      <c r="AU22" s="249"/>
      <c r="AV22" s="249"/>
      <c r="AW22" s="249"/>
      <c r="AY22" s="1"/>
      <c r="AZ22" s="1"/>
      <c r="BA22" s="1"/>
      <c r="BD22" s="1"/>
      <c r="BE22" s="1"/>
      <c r="BF22" s="1"/>
      <c r="BG22" s="1"/>
      <c r="BH22" s="5"/>
      <c r="BI22" s="391">
        <f t="shared" si="16"/>
        <v>-6.9060276900858355</v>
      </c>
      <c r="BJ22" s="391">
        <f t="shared" si="17"/>
        <v>-1.8027741546482552</v>
      </c>
      <c r="BK22" s="391">
        <f t="shared" si="18"/>
        <v>-6.3404633116098088</v>
      </c>
      <c r="BL22" s="391">
        <f t="shared" si="19"/>
        <v>-3.4649072990243126</v>
      </c>
      <c r="BM22" s="5"/>
      <c r="BN22" s="261">
        <f t="shared" si="20"/>
        <v>40.591306041131133</v>
      </c>
      <c r="BO22" s="261">
        <f t="shared" si="21"/>
        <v>235.94180362566135</v>
      </c>
      <c r="BP22" s="261">
        <f t="shared" si="22"/>
        <v>88.064721726642944</v>
      </c>
      <c r="BQ22" s="115">
        <f t="shared" si="1"/>
        <v>364.5978313934354</v>
      </c>
      <c r="BS22" s="145">
        <f t="shared" si="23"/>
        <v>54.97</v>
      </c>
      <c r="BT22" s="145">
        <f t="shared" si="24"/>
        <v>59.940000000000005</v>
      </c>
      <c r="BU22" s="145">
        <f t="shared" si="25"/>
        <v>59.94</v>
      </c>
      <c r="BV22" s="145">
        <f t="shared" si="26"/>
        <v>59.386681319377558</v>
      </c>
      <c r="BX22" s="183">
        <f t="shared" si="2"/>
        <v>54.97</v>
      </c>
      <c r="BY22" s="183">
        <f t="shared" si="3"/>
        <v>59.940000000000005</v>
      </c>
      <c r="BZ22" s="183">
        <f t="shared" si="4"/>
        <v>59.94</v>
      </c>
      <c r="CA22" s="183">
        <f t="shared" si="5"/>
        <v>59.386681319377558</v>
      </c>
      <c r="CC22" s="242">
        <f t="shared" si="27"/>
        <v>2231.3040930809784</v>
      </c>
      <c r="CD22" s="242">
        <f t="shared" si="28"/>
        <v>14142.351709322142</v>
      </c>
      <c r="CE22" s="242">
        <f t="shared" si="29"/>
        <v>5278.5994202949778</v>
      </c>
      <c r="CF22" s="138">
        <f t="shared" si="34"/>
        <v>21652.255222698099</v>
      </c>
    </row>
    <row r="23" spans="1:84">
      <c r="A23" s="1">
        <v>9</v>
      </c>
      <c r="B23" s="14"/>
      <c r="C23" s="43" t="s">
        <v>515</v>
      </c>
      <c r="D23" s="42" t="s">
        <v>256</v>
      </c>
      <c r="G23" s="93">
        <v>104.9526829691517</v>
      </c>
      <c r="H23" s="93">
        <v>1139.8754213249404</v>
      </c>
      <c r="I23" s="93">
        <v>563.64255215446599</v>
      </c>
      <c r="J23" s="373">
        <f t="shared" si="6"/>
        <v>1808.4706564485582</v>
      </c>
      <c r="K23" s="136"/>
      <c r="L23" s="94">
        <v>125.36571428571428</v>
      </c>
      <c r="M23" s="94">
        <v>157.16200000000001</v>
      </c>
      <c r="N23" s="94">
        <v>179.68</v>
      </c>
      <c r="O23" s="58"/>
      <c r="P23" s="137">
        <f t="shared" si="7"/>
        <v>13157.468066629823</v>
      </c>
      <c r="Q23" s="137">
        <f t="shared" si="8"/>
        <v>179145.10096627029</v>
      </c>
      <c r="R23" s="137">
        <f t="shared" si="9"/>
        <v>101275.29377111445</v>
      </c>
      <c r="S23" s="137">
        <f t="shared" si="0"/>
        <v>293577.86280401453</v>
      </c>
      <c r="T23" s="14"/>
      <c r="U23" s="43" t="s">
        <v>553</v>
      </c>
      <c r="V23" s="42" t="s">
        <v>448</v>
      </c>
      <c r="W23" s="203">
        <v>104.9526829691517</v>
      </c>
      <c r="X23" s="203">
        <v>1139.8754213249404</v>
      </c>
      <c r="Y23" s="203">
        <v>563.64255215446599</v>
      </c>
      <c r="Z23" s="203">
        <v>1808.4706564485582</v>
      </c>
      <c r="AA23" s="58"/>
      <c r="AB23" s="136"/>
      <c r="AC23" s="136"/>
      <c r="AD23" s="136"/>
      <c r="AE23" s="136"/>
      <c r="AG23" s="58"/>
      <c r="AH23" s="58"/>
      <c r="AI23" s="58"/>
      <c r="AJ23" s="58"/>
      <c r="AK23" s="130"/>
      <c r="AL23" s="130"/>
      <c r="AM23" s="130"/>
      <c r="AN23" s="132"/>
      <c r="AO23" s="93"/>
      <c r="AS23" s="252">
        <f t="shared" si="12"/>
        <v>0</v>
      </c>
      <c r="AU23" s="249"/>
      <c r="AV23" s="249"/>
      <c r="AW23" s="249"/>
      <c r="AY23" s="1"/>
      <c r="AZ23" s="1"/>
      <c r="BA23" s="1"/>
      <c r="BD23" s="1"/>
      <c r="BE23" s="1"/>
      <c r="BF23" s="1"/>
      <c r="BG23" s="1"/>
      <c r="BH23" s="43"/>
      <c r="BI23" s="43"/>
      <c r="BJ23" s="43"/>
      <c r="BK23" s="43"/>
      <c r="BL23" s="43"/>
      <c r="BM23" s="43"/>
      <c r="BN23" s="261">
        <f t="shared" si="20"/>
        <v>104.9526829691517</v>
      </c>
      <c r="BO23" s="261">
        <f t="shared" si="21"/>
        <v>1139.8754213249404</v>
      </c>
      <c r="BP23" s="261">
        <f t="shared" si="22"/>
        <v>563.64255215446599</v>
      </c>
      <c r="BQ23" s="115">
        <f t="shared" si="1"/>
        <v>1808.4706564485582</v>
      </c>
      <c r="BS23" s="145">
        <f t="shared" si="23"/>
        <v>125.36571428571428</v>
      </c>
      <c r="BT23" s="145">
        <f t="shared" si="24"/>
        <v>157.16200000000001</v>
      </c>
      <c r="BU23" s="145">
        <f t="shared" si="25"/>
        <v>179.68</v>
      </c>
      <c r="BV23" s="145">
        <f t="shared" si="26"/>
        <v>162.33487768086732</v>
      </c>
      <c r="BX23" s="183">
        <f t="shared" si="2"/>
        <v>125.36571428571428</v>
      </c>
      <c r="BY23" s="183">
        <f t="shared" si="3"/>
        <v>157.16200000000001</v>
      </c>
      <c r="BZ23" s="183">
        <f t="shared" si="4"/>
        <v>179.68</v>
      </c>
      <c r="CA23" s="183">
        <f t="shared" si="5"/>
        <v>162.33487768086732</v>
      </c>
      <c r="CC23" s="242">
        <f t="shared" si="27"/>
        <v>13157.468066629823</v>
      </c>
      <c r="CD23" s="242">
        <f t="shared" si="28"/>
        <v>179145.10096627029</v>
      </c>
      <c r="CE23" s="242">
        <f t="shared" si="29"/>
        <v>101275.29377111445</v>
      </c>
      <c r="CF23" s="138">
        <f t="shared" si="34"/>
        <v>293577.86280401453</v>
      </c>
    </row>
    <row r="24" spans="1:84">
      <c r="A24" s="1">
        <v>10</v>
      </c>
      <c r="B24" s="14"/>
      <c r="C24" s="43" t="s">
        <v>539</v>
      </c>
      <c r="D24" s="42" t="s">
        <v>457</v>
      </c>
      <c r="G24" s="93">
        <v>69.082778663239068</v>
      </c>
      <c r="H24" s="93">
        <v>230.56324860782343</v>
      </c>
      <c r="I24" s="93">
        <v>193.24887502438833</v>
      </c>
      <c r="J24" s="373">
        <f t="shared" si="6"/>
        <v>492.89490229545083</v>
      </c>
      <c r="K24" s="136"/>
      <c r="L24" s="94">
        <v>125.36571428571428</v>
      </c>
      <c r="M24" s="94">
        <v>157.16200000000001</v>
      </c>
      <c r="N24" s="94">
        <v>179.68</v>
      </c>
      <c r="O24" s="58"/>
      <c r="P24" s="137">
        <f t="shared" si="7"/>
        <v>8660.611891958868</v>
      </c>
      <c r="Q24" s="137">
        <f t="shared" si="8"/>
        <v>36235.781277702743</v>
      </c>
      <c r="R24" s="137">
        <f t="shared" si="9"/>
        <v>34722.957864382093</v>
      </c>
      <c r="S24" s="137">
        <f t="shared" si="0"/>
        <v>79619.351034043706</v>
      </c>
      <c r="T24" s="14"/>
      <c r="U24" s="43" t="s">
        <v>466</v>
      </c>
      <c r="V24" s="42" t="s">
        <v>447</v>
      </c>
      <c r="W24" s="203">
        <v>69.082778663239068</v>
      </c>
      <c r="X24" s="203">
        <v>230.56324860782343</v>
      </c>
      <c r="Y24" s="203">
        <v>193.24887502438833</v>
      </c>
      <c r="Z24" s="203">
        <v>492.89490229545083</v>
      </c>
      <c r="AA24" s="58"/>
      <c r="AB24" s="136"/>
      <c r="AC24" s="136"/>
      <c r="AD24" s="136"/>
      <c r="AE24" s="136"/>
      <c r="AG24" s="58"/>
      <c r="AH24" s="58"/>
      <c r="AI24" s="58"/>
      <c r="AJ24" s="58"/>
      <c r="AK24" s="130"/>
      <c r="AL24" s="130"/>
      <c r="AM24" s="130"/>
      <c r="AN24" s="132"/>
      <c r="AO24" s="93"/>
      <c r="AS24" s="252">
        <f t="shared" si="12"/>
        <v>0</v>
      </c>
      <c r="AU24" s="249"/>
      <c r="AV24" s="249"/>
      <c r="AW24" s="249"/>
      <c r="AY24" s="1"/>
      <c r="AZ24" s="1"/>
      <c r="BA24" s="1"/>
      <c r="BD24" s="1"/>
      <c r="BE24" s="1"/>
      <c r="BF24" s="1"/>
      <c r="BG24" s="1"/>
      <c r="BH24" s="43"/>
      <c r="BI24" s="43"/>
      <c r="BJ24" s="43"/>
      <c r="BK24" s="43"/>
      <c r="BL24" s="43"/>
      <c r="BM24" s="43"/>
      <c r="BN24" s="261">
        <f t="shared" si="20"/>
        <v>69.082778663239068</v>
      </c>
      <c r="BO24" s="261">
        <f t="shared" si="21"/>
        <v>230.56324860782343</v>
      </c>
      <c r="BP24" s="261">
        <f t="shared" si="22"/>
        <v>193.24887502438833</v>
      </c>
      <c r="BQ24" s="115">
        <f t="shared" si="1"/>
        <v>492.89490229545083</v>
      </c>
      <c r="BS24" s="145">
        <f t="shared" si="23"/>
        <v>125.36571428571429</v>
      </c>
      <c r="BT24" s="145">
        <f t="shared" si="24"/>
        <v>157.16199999999998</v>
      </c>
      <c r="BU24" s="145">
        <f t="shared" si="25"/>
        <v>179.68</v>
      </c>
      <c r="BV24" s="145">
        <f t="shared" si="26"/>
        <v>161.53413367281757</v>
      </c>
      <c r="BX24" s="183">
        <f t="shared" si="2"/>
        <v>125.36571428571429</v>
      </c>
      <c r="BY24" s="183">
        <f t="shared" si="3"/>
        <v>157.16199999999998</v>
      </c>
      <c r="BZ24" s="183">
        <f t="shared" si="4"/>
        <v>179.68</v>
      </c>
      <c r="CA24" s="183">
        <f t="shared" si="5"/>
        <v>161.53413367281757</v>
      </c>
      <c r="CC24" s="242">
        <f t="shared" si="27"/>
        <v>8660.611891958868</v>
      </c>
      <c r="CD24" s="242">
        <f t="shared" si="28"/>
        <v>36235.781277702743</v>
      </c>
      <c r="CE24" s="242">
        <f t="shared" si="29"/>
        <v>34722.957864382093</v>
      </c>
      <c r="CF24" s="138">
        <f t="shared" si="34"/>
        <v>79619.351034043706</v>
      </c>
    </row>
    <row r="25" spans="1:84">
      <c r="A25" s="1">
        <v>11</v>
      </c>
      <c r="B25" s="14" t="s">
        <v>330</v>
      </c>
      <c r="C25" s="5" t="s">
        <v>430</v>
      </c>
      <c r="D25" s="43" t="s">
        <v>431</v>
      </c>
      <c r="G25" s="93">
        <v>700.99480761994664</v>
      </c>
      <c r="H25" s="93">
        <v>672.59682139033032</v>
      </c>
      <c r="I25" s="93"/>
      <c r="J25" s="373">
        <f t="shared" si="6"/>
        <v>1373.5916290102768</v>
      </c>
      <c r="K25" s="136"/>
      <c r="L25" s="94">
        <v>62.682857142857003</v>
      </c>
      <c r="M25" s="94">
        <v>78.581000000000003</v>
      </c>
      <c r="N25" s="94">
        <v>89.84</v>
      </c>
      <c r="O25" s="58"/>
      <c r="P25" s="137">
        <f>G25*L25</f>
        <v>43940.357383925642</v>
      </c>
      <c r="Q25" s="137">
        <f>H25*M25</f>
        <v>52853.330821673546</v>
      </c>
      <c r="R25" s="137"/>
      <c r="S25" s="137">
        <f t="shared" si="0"/>
        <v>96793.688205599188</v>
      </c>
      <c r="T25" s="14" t="s">
        <v>513</v>
      </c>
      <c r="U25" s="5" t="s">
        <v>514</v>
      </c>
      <c r="V25" s="43" t="s">
        <v>417</v>
      </c>
      <c r="W25" s="203">
        <v>700.99480761994664</v>
      </c>
      <c r="X25" s="203">
        <v>672.59682139033032</v>
      </c>
      <c r="Y25" s="203">
        <v>0</v>
      </c>
      <c r="Z25" s="203">
        <v>1373.5916290102768</v>
      </c>
      <c r="AA25" s="58"/>
      <c r="AB25" s="136"/>
      <c r="AC25" s="136"/>
      <c r="AD25" s="136"/>
      <c r="AE25" s="136"/>
      <c r="AG25" s="58"/>
      <c r="AH25" s="58"/>
      <c r="AI25" s="58"/>
      <c r="AJ25" s="58"/>
      <c r="AK25" s="130"/>
      <c r="AL25" s="130"/>
      <c r="AM25" s="130"/>
      <c r="AN25" s="132"/>
      <c r="AO25" s="93"/>
      <c r="AS25" s="252">
        <f t="shared" si="12"/>
        <v>0</v>
      </c>
      <c r="AU25" s="249"/>
      <c r="AV25" s="249"/>
      <c r="AW25" s="249"/>
      <c r="AY25" s="1"/>
      <c r="AZ25" s="1"/>
      <c r="BA25" s="1"/>
      <c r="BD25" s="1"/>
      <c r="BE25" s="1"/>
      <c r="BF25" s="1"/>
      <c r="BG25" s="1"/>
      <c r="BH25" s="5"/>
      <c r="BI25" s="5"/>
      <c r="BJ25" s="5"/>
      <c r="BK25" s="5"/>
      <c r="BL25" s="5"/>
      <c r="BM25" s="5"/>
      <c r="BN25" s="261">
        <f t="shared" si="20"/>
        <v>700.99480761994664</v>
      </c>
      <c r="BO25" s="261">
        <f t="shared" si="21"/>
        <v>672.59682139033032</v>
      </c>
      <c r="BP25" s="261">
        <f t="shared" si="22"/>
        <v>0</v>
      </c>
      <c r="BQ25" s="115">
        <f t="shared" si="1"/>
        <v>1373.5916290102768</v>
      </c>
      <c r="BS25" s="145">
        <f t="shared" si="23"/>
        <v>62.682857142857003</v>
      </c>
      <c r="BT25" s="145">
        <f t="shared" si="24"/>
        <v>78.581000000000003</v>
      </c>
      <c r="BU25" s="145"/>
      <c r="BV25" s="145">
        <f t="shared" si="26"/>
        <v>70.467587426506512</v>
      </c>
      <c r="BX25" s="183">
        <f>CC25/G25</f>
        <v>62.682857142857003</v>
      </c>
      <c r="BY25" s="183">
        <f>CD25/H25</f>
        <v>78.581000000000003</v>
      </c>
      <c r="BZ25" s="183"/>
      <c r="CA25" s="183">
        <f>CF25/J25</f>
        <v>70.467587426506512</v>
      </c>
      <c r="CC25" s="242">
        <f>P25+BD25</f>
        <v>43940.357383925642</v>
      </c>
      <c r="CD25" s="242">
        <f>Q25+BE25</f>
        <v>52853.330821673546</v>
      </c>
      <c r="CE25" s="242"/>
      <c r="CF25" s="138">
        <f t="shared" si="34"/>
        <v>96793.688205599188</v>
      </c>
    </row>
    <row r="26" spans="1:84">
      <c r="A26" s="1">
        <v>12</v>
      </c>
      <c r="B26" s="15" t="s">
        <v>221</v>
      </c>
      <c r="C26" s="5" t="s">
        <v>343</v>
      </c>
      <c r="D26" s="43" t="s">
        <v>236</v>
      </c>
      <c r="G26" s="93">
        <v>0</v>
      </c>
      <c r="H26" s="133">
        <f>0.35*X26/0.9</f>
        <v>986.63250000000005</v>
      </c>
      <c r="I26" s="93"/>
      <c r="J26" s="373">
        <f t="shared" si="6"/>
        <v>986.63250000000005</v>
      </c>
      <c r="K26" s="136"/>
      <c r="L26" s="94"/>
      <c r="M26" s="94">
        <v>108.8001084</v>
      </c>
      <c r="N26" s="94">
        <v>108.80010839999998</v>
      </c>
      <c r="O26" s="123"/>
      <c r="P26" s="137"/>
      <c r="Q26" s="403">
        <f>H26*M26</f>
        <v>107345.722950963</v>
      </c>
      <c r="R26" s="137"/>
      <c r="S26" s="137">
        <f t="shared" si="0"/>
        <v>107345.722950963</v>
      </c>
      <c r="T26" s="15" t="s">
        <v>418</v>
      </c>
      <c r="U26" s="5" t="s">
        <v>419</v>
      </c>
      <c r="V26" s="43" t="s">
        <v>356</v>
      </c>
      <c r="W26" s="203">
        <v>0</v>
      </c>
      <c r="X26" s="203">
        <v>2537.0550000000003</v>
      </c>
      <c r="Y26" s="373" t="s">
        <v>493</v>
      </c>
      <c r="Z26" s="203">
        <v>2537.0550000000003</v>
      </c>
      <c r="AA26" s="58"/>
      <c r="AB26" s="136"/>
      <c r="AC26" s="136">
        <f>X26-H26</f>
        <v>1550.4225000000001</v>
      </c>
      <c r="AD26" s="203" t="s">
        <v>493</v>
      </c>
      <c r="AE26" s="136">
        <f>Z26-J26</f>
        <v>1550.4225000000001</v>
      </c>
      <c r="AG26" s="94"/>
      <c r="AH26" s="94">
        <f>M26</f>
        <v>108.8001084</v>
      </c>
      <c r="AI26" s="94">
        <v>108.8001084</v>
      </c>
      <c r="AJ26" s="58"/>
      <c r="AK26" s="130"/>
      <c r="AL26" s="130">
        <f>AC26*AH26</f>
        <v>168686.13606579902</v>
      </c>
      <c r="AM26" s="130"/>
      <c r="AN26" s="132">
        <f t="shared" si="33"/>
        <v>168686.13606579902</v>
      </c>
      <c r="AO26" s="93"/>
      <c r="AP26" s="252">
        <f>AB26</f>
        <v>0</v>
      </c>
      <c r="AQ26" s="252">
        <f>AC26</f>
        <v>1550.4225000000001</v>
      </c>
      <c r="AR26" s="252" t="str">
        <f>AD26</f>
        <v>(rural only)</v>
      </c>
      <c r="AS26" s="252">
        <f>AP26+AQ26</f>
        <v>1550.4225000000001</v>
      </c>
      <c r="AT26" s="252"/>
      <c r="AU26" s="240"/>
      <c r="AV26" s="240">
        <f>AQ26/H26</f>
        <v>1.5714285714285714</v>
      </c>
      <c r="AW26" s="249"/>
      <c r="AZ26" s="96">
        <v>108.8001084</v>
      </c>
      <c r="BA26" s="96">
        <v>108.8001084</v>
      </c>
      <c r="BD26" s="260">
        <f>AP26*AY26</f>
        <v>0</v>
      </c>
      <c r="BE26" s="242">
        <f>AQ26*AZ26</f>
        <v>168686.13606579902</v>
      </c>
      <c r="BF26" s="242"/>
      <c r="BH26" s="5"/>
      <c r="BI26" s="5"/>
      <c r="BJ26" s="5"/>
      <c r="BK26" s="5"/>
      <c r="BL26" s="5"/>
      <c r="BM26" s="5"/>
      <c r="BN26" s="261">
        <f>G26+AP26</f>
        <v>0</v>
      </c>
      <c r="BO26" s="261">
        <f>H26+AQ26</f>
        <v>2537.0550000000003</v>
      </c>
      <c r="BP26" s="249"/>
      <c r="BQ26" s="115">
        <f t="shared" si="1"/>
        <v>2537.0550000000003</v>
      </c>
      <c r="BS26" s="145"/>
      <c r="BT26" s="145">
        <f t="shared" si="24"/>
        <v>108.80010839999998</v>
      </c>
      <c r="BU26" s="145"/>
      <c r="BV26" s="145">
        <f t="shared" si="26"/>
        <v>108.80010839999998</v>
      </c>
      <c r="BX26" s="183"/>
      <c r="BY26" s="183">
        <f>CD26/H26</f>
        <v>279.77170731428572</v>
      </c>
      <c r="BZ26" s="183"/>
      <c r="CA26" s="183">
        <f>CF26/J26</f>
        <v>279.77170731428572</v>
      </c>
      <c r="CC26" s="278">
        <f>P26+BD26</f>
        <v>0</v>
      </c>
      <c r="CD26" s="242">
        <f>Q26+BE26</f>
        <v>276031.859016762</v>
      </c>
      <c r="CE26" s="242"/>
      <c r="CF26" s="138">
        <f t="shared" si="34"/>
        <v>276031.859016762</v>
      </c>
    </row>
    <row r="27" spans="1:84">
      <c r="B27" s="129"/>
      <c r="C27" s="5"/>
      <c r="D27" s="43"/>
      <c r="G27" s="203"/>
      <c r="H27" s="203"/>
      <c r="I27" s="203"/>
      <c r="J27" s="373"/>
      <c r="K27" s="203"/>
      <c r="L27" s="123"/>
      <c r="M27" s="123"/>
      <c r="N27" s="123"/>
      <c r="O27" s="123"/>
      <c r="P27" s="137"/>
      <c r="Q27" s="137"/>
      <c r="R27" s="137"/>
      <c r="S27" s="137"/>
      <c r="T27" s="137"/>
      <c r="U27" s="5"/>
      <c r="V27" s="43"/>
      <c r="W27" s="203"/>
      <c r="X27" s="203"/>
      <c r="Y27" s="203"/>
      <c r="Z27" s="203"/>
      <c r="AA27" s="58"/>
      <c r="AB27" s="203"/>
      <c r="AC27" s="203"/>
      <c r="AD27" s="203"/>
      <c r="AE27" s="203"/>
      <c r="AG27" s="123"/>
      <c r="AH27" s="123"/>
      <c r="AI27" s="123"/>
      <c r="AJ27" s="58"/>
      <c r="AK27" s="137"/>
      <c r="AL27" s="137"/>
      <c r="AM27" s="137"/>
      <c r="AN27" s="137"/>
      <c r="AO27" s="203" t="s">
        <v>590</v>
      </c>
      <c r="AP27" s="254">
        <f>SUM(AP16:AP22)-(AP15-AP26)</f>
        <v>0</v>
      </c>
      <c r="AQ27" s="254">
        <f>SUM(AQ16:AQ22)-(AQ15-AQ26)</f>
        <v>0</v>
      </c>
      <c r="AR27" s="254">
        <f>SUM(AR16:AR22)-AR15</f>
        <v>0</v>
      </c>
      <c r="AS27" s="252">
        <f t="shared" si="12"/>
        <v>0</v>
      </c>
      <c r="AT27" s="254"/>
      <c r="AU27" s="240"/>
      <c r="AV27" s="240"/>
      <c r="AW27" s="249"/>
      <c r="AY27" s="240"/>
      <c r="AZ27" s="123"/>
      <c r="BA27" s="123"/>
      <c r="BD27" s="1"/>
      <c r="BE27" s="242"/>
      <c r="BF27" s="242"/>
      <c r="BG27" s="242"/>
      <c r="BH27" s="5"/>
      <c r="BI27" s="5"/>
      <c r="BJ27" s="5"/>
      <c r="BK27" s="5"/>
      <c r="BL27" s="5"/>
      <c r="BM27" s="5"/>
      <c r="BN27" s="243"/>
      <c r="BO27" s="243"/>
      <c r="BP27" s="243"/>
      <c r="BQ27" s="243"/>
      <c r="BS27" s="240"/>
      <c r="BT27" s="240"/>
      <c r="BU27" s="240"/>
      <c r="BV27" s="240"/>
      <c r="BX27" s="240"/>
      <c r="BY27" s="240"/>
      <c r="BZ27" s="240"/>
      <c r="CA27" s="240"/>
      <c r="CC27" s="243"/>
      <c r="CD27" s="242"/>
      <c r="CE27" s="242"/>
      <c r="CF27" s="242"/>
    </row>
    <row r="28" spans="1:84">
      <c r="C28" s="5"/>
      <c r="D28" s="43"/>
      <c r="G28" s="203"/>
      <c r="H28" s="203"/>
      <c r="I28" s="203"/>
      <c r="J28" s="374"/>
      <c r="K28" s="135"/>
      <c r="L28" s="343"/>
      <c r="M28" s="343"/>
      <c r="N28" s="123"/>
      <c r="O28" s="58"/>
      <c r="P28" s="137"/>
      <c r="Q28" s="137"/>
      <c r="R28" s="137"/>
      <c r="S28" s="137"/>
      <c r="T28" s="137"/>
      <c r="U28" s="5"/>
      <c r="V28" s="43"/>
      <c r="W28" s="203"/>
      <c r="X28" s="203"/>
      <c r="Y28" s="203"/>
      <c r="Z28" s="203"/>
      <c r="AA28" s="58"/>
      <c r="AB28" s="203"/>
      <c r="AC28" s="203"/>
      <c r="AD28" s="203"/>
      <c r="AE28" s="203"/>
      <c r="AF28" s="203"/>
      <c r="AG28" s="123"/>
      <c r="AH28" s="123"/>
      <c r="AI28" s="123"/>
      <c r="AJ28" s="58"/>
      <c r="AK28" s="137"/>
      <c r="AL28" s="137"/>
      <c r="AM28" s="137"/>
      <c r="AN28" s="137"/>
      <c r="AO28" s="263"/>
      <c r="AP28" s="254"/>
      <c r="AQ28" s="254"/>
      <c r="AR28" s="254"/>
      <c r="AS28" s="252">
        <f t="shared" si="12"/>
        <v>0</v>
      </c>
      <c r="AT28" s="254"/>
      <c r="AU28" s="240"/>
      <c r="AV28" s="240"/>
      <c r="AW28" s="240"/>
      <c r="AY28" s="123"/>
      <c r="AZ28" s="123"/>
      <c r="BA28" s="123"/>
      <c r="BD28" s="1"/>
      <c r="BE28" s="242"/>
      <c r="BF28" s="242"/>
      <c r="BG28" s="242"/>
      <c r="BH28" s="5"/>
      <c r="BI28" s="5"/>
      <c r="BJ28" s="5"/>
      <c r="BK28" s="5"/>
      <c r="BL28" s="5"/>
      <c r="BM28" s="5"/>
      <c r="BN28" s="243"/>
      <c r="BO28" s="243"/>
      <c r="BP28" s="243"/>
      <c r="BQ28" s="243"/>
      <c r="BS28" s="240"/>
      <c r="BT28" s="240"/>
      <c r="BU28" s="240"/>
      <c r="BV28" s="240"/>
      <c r="BX28" s="240"/>
      <c r="BY28" s="240"/>
      <c r="BZ28" s="240"/>
      <c r="CA28" s="240"/>
      <c r="CC28" s="242"/>
      <c r="CD28" s="242"/>
      <c r="CE28" s="242"/>
      <c r="CF28" s="242"/>
    </row>
    <row r="29" spans="1:84">
      <c r="B29" s="16" t="s">
        <v>385</v>
      </c>
      <c r="C29" s="43" t="s">
        <v>331</v>
      </c>
      <c r="D29" s="43" t="s">
        <v>165</v>
      </c>
      <c r="G29" s="1">
        <f>SUM(G30:G42)</f>
        <v>127732.99477882113</v>
      </c>
      <c r="H29" s="261">
        <f>SUM(H30:H42)</f>
        <v>122891.83270143793</v>
      </c>
      <c r="I29" s="261">
        <f>SUM(I30:I42)</f>
        <v>236525.54562868353</v>
      </c>
      <c r="J29" s="375">
        <f>G29+H29+I29</f>
        <v>487150.37310894259</v>
      </c>
      <c r="K29" s="135"/>
      <c r="L29" s="343">
        <f>P29/G29</f>
        <v>154.67965846283576</v>
      </c>
      <c r="M29" s="343">
        <f>Q29/H29</f>
        <v>158.89556248247061</v>
      </c>
      <c r="N29" s="269">
        <f>R29/I29</f>
        <v>224.71979629113261</v>
      </c>
      <c r="O29" s="58"/>
      <c r="P29" s="203">
        <f>SUM(P30:P42)</f>
        <v>19757696.006823234</v>
      </c>
      <c r="Q29" s="203">
        <f>SUM(Q30:Q42)</f>
        <v>19526966.881596655</v>
      </c>
      <c r="R29" s="203">
        <f>SUM(R30:R42)</f>
        <v>53151972.431326754</v>
      </c>
      <c r="S29" s="203">
        <f>SUM(S30:S42)</f>
        <v>92436635.319746643</v>
      </c>
      <c r="T29" s="16" t="s">
        <v>385</v>
      </c>
      <c r="U29" s="43" t="s">
        <v>537</v>
      </c>
      <c r="V29" s="43" t="s">
        <v>412</v>
      </c>
      <c r="W29" s="203">
        <f>SUM(W30:W42)</f>
        <v>184792.73827464585</v>
      </c>
      <c r="X29" s="203">
        <f>SUM(X30:X42)</f>
        <v>161859.50909360161</v>
      </c>
      <c r="Y29" s="203">
        <f>SUM(Y30:Y42)</f>
        <v>429690.74483502645</v>
      </c>
      <c r="Z29" s="203">
        <f>W29+X29+Y29</f>
        <v>776342.99220327393</v>
      </c>
      <c r="AA29" s="58"/>
      <c r="AB29" s="203">
        <f>SUM(AB30:AB42)</f>
        <v>57059.74349582474</v>
      </c>
      <c r="AC29" s="203">
        <f>SUM(AC30:AC42)</f>
        <v>38967.676392163681</v>
      </c>
      <c r="AD29" s="203">
        <f>SUM(AD30:AD42)</f>
        <v>193165.19920634295</v>
      </c>
      <c r="AE29" s="203">
        <f>AB29+AC29+AD29</f>
        <v>289192.6190943314</v>
      </c>
      <c r="AF29" s="203"/>
      <c r="AG29" s="123">
        <f>AK29/AB29</f>
        <v>189.72803467873328</v>
      </c>
      <c r="AH29" s="123">
        <f>AL29/AC29</f>
        <v>131.13362789122564</v>
      </c>
      <c r="AI29" s="123">
        <f>AM29/AD29</f>
        <v>91.908426358531642</v>
      </c>
      <c r="AJ29" s="58"/>
      <c r="AK29" s="137">
        <f>SUM(AK31:AK42)</f>
        <v>10825832.992735462</v>
      </c>
      <c r="AL29" s="137">
        <f>SUM(AL31:AL42)</f>
        <v>5109972.7757956907</v>
      </c>
      <c r="AM29" s="137">
        <f>SUM(AM31:AM42)</f>
        <v>17753509.486287266</v>
      </c>
      <c r="AN29" s="137">
        <f>AK29+AL29+AM29</f>
        <v>33689315.254818417</v>
      </c>
      <c r="AO29" s="203"/>
      <c r="AP29" s="266">
        <f>SUM(AB31:AB36)+AP42</f>
        <v>57059.74349582474</v>
      </c>
      <c r="AQ29" s="266">
        <f>SUM(AC31:AC36)+AQ42</f>
        <v>38967.676392163681</v>
      </c>
      <c r="AR29" s="266">
        <f>SUM(AD31:AD36)+AR42</f>
        <v>193165.19920634295</v>
      </c>
      <c r="AS29" s="252">
        <f t="shared" si="12"/>
        <v>289192.6190943314</v>
      </c>
      <c r="AT29" s="270"/>
      <c r="AU29" s="240"/>
      <c r="AV29" s="240"/>
      <c r="AW29" s="240"/>
      <c r="AY29" s="123"/>
      <c r="AZ29" s="123"/>
      <c r="BA29" s="123"/>
      <c r="BD29" s="242">
        <f>SUM(BD30:BD35)+BD42</f>
        <v>10825832.992735464</v>
      </c>
      <c r="BE29" s="276">
        <f>SUM(BE30:BE35)+BE42</f>
        <v>5109972.7757956898</v>
      </c>
      <c r="BF29" s="276">
        <f>SUM(BF30:BF35)+BF42</f>
        <v>17753509.486287266</v>
      </c>
      <c r="BG29" s="242">
        <f t="shared" ref="BG29:BG34" si="35">BD29+BE29+BF29</f>
        <v>33689315.254818425</v>
      </c>
      <c r="BH29" s="5"/>
      <c r="BI29" s="391">
        <f t="shared" si="16"/>
        <v>0</v>
      </c>
      <c r="BJ29" s="391">
        <f t="shared" si="17"/>
        <v>0</v>
      </c>
      <c r="BK29" s="391">
        <f t="shared" ref="BK29:BK36" si="36">(AR29-AD29)/I29</f>
        <v>0</v>
      </c>
      <c r="BL29" s="391">
        <f t="shared" si="19"/>
        <v>0</v>
      </c>
      <c r="BM29" s="5"/>
      <c r="BN29" s="261">
        <f>SUM(BN30:BN42)</f>
        <v>184792.73827464582</v>
      </c>
      <c r="BO29" s="261">
        <f>SUM(BO30:BO42)</f>
        <v>161859.50909360158</v>
      </c>
      <c r="BP29" s="261">
        <f>SUM(BP30:BP42)</f>
        <v>429690.7448350265</v>
      </c>
      <c r="BQ29" s="261">
        <f t="shared" ref="BQ29:BQ39" si="37">BN29+BO29+BP29</f>
        <v>776342.99220327381</v>
      </c>
      <c r="BS29" s="240"/>
      <c r="BT29" s="240"/>
      <c r="BU29" s="240"/>
      <c r="BV29" s="240"/>
      <c r="BX29" s="240"/>
      <c r="BY29" s="240"/>
      <c r="BZ29" s="240"/>
      <c r="CA29" s="240"/>
      <c r="CC29" s="242">
        <f>SUM(CC30:CC42)</f>
        <v>30583528.999558698</v>
      </c>
      <c r="CD29" s="242">
        <f>SUM(CD30:CD42)</f>
        <v>24636939.657392349</v>
      </c>
      <c r="CE29" s="242">
        <f>SUM(CE30:CE42)</f>
        <v>70905481.917614028</v>
      </c>
      <c r="CF29" s="242">
        <f>CC29+CD29+CE29</f>
        <v>126125950.57456508</v>
      </c>
    </row>
    <row r="30" spans="1:84">
      <c r="B30" s="17" t="s">
        <v>461</v>
      </c>
      <c r="C30" s="5" t="s">
        <v>222</v>
      </c>
      <c r="D30" s="42" t="s">
        <v>367</v>
      </c>
      <c r="G30" s="203">
        <v>536.22582205709273</v>
      </c>
      <c r="H30" s="203">
        <v>1352.9526393621529</v>
      </c>
      <c r="I30" s="203">
        <v>6823.2121432489412</v>
      </c>
      <c r="J30" s="375">
        <f t="shared" ref="J30:J42" si="38">G30+H30+I30</f>
        <v>8712.3906046681877</v>
      </c>
      <c r="K30" s="135"/>
      <c r="L30" s="343">
        <v>1051.3858333333335</v>
      </c>
      <c r="M30" s="343">
        <v>1381.1571428571426</v>
      </c>
      <c r="N30" s="123">
        <v>1677.0662499999999</v>
      </c>
      <c r="O30" s="58"/>
      <c r="P30" s="203">
        <f>L30*G30</f>
        <v>563780.23277834826</v>
      </c>
      <c r="Q30" s="203">
        <f>M30*H30</f>
        <v>1868640.2018024612</v>
      </c>
      <c r="R30" s="203">
        <f>N30*I30</f>
        <v>11442978.802032964</v>
      </c>
      <c r="S30" s="203">
        <f>P30+Q30+R30</f>
        <v>13875399.236613773</v>
      </c>
      <c r="T30" s="17" t="s">
        <v>506</v>
      </c>
      <c r="U30" s="5" t="s">
        <v>405</v>
      </c>
      <c r="V30" s="42" t="s">
        <v>171</v>
      </c>
      <c r="W30" s="203">
        <v>536.22582205709284</v>
      </c>
      <c r="X30" s="203">
        <v>1352.9526393621529</v>
      </c>
      <c r="Y30" s="203">
        <v>6823.2121432489412</v>
      </c>
      <c r="Z30" s="203">
        <f t="shared" ref="Z30:Z42" si="39">W30+X30+Y30</f>
        <v>8712.3906046681877</v>
      </c>
      <c r="AA30" s="58"/>
      <c r="AB30" s="58"/>
      <c r="AC30" s="58"/>
      <c r="AD30" s="58"/>
      <c r="AE30" s="58"/>
      <c r="AF30" s="203"/>
      <c r="AG30" s="123"/>
      <c r="AH30" s="123"/>
      <c r="AI30" s="123"/>
      <c r="AJ30" s="58"/>
      <c r="AK30" s="137"/>
      <c r="AL30" s="137"/>
      <c r="AM30" s="137"/>
      <c r="AN30" s="137"/>
      <c r="AO30" s="203"/>
      <c r="AP30" s="203">
        <f t="shared" ref="AP30:AR35" si="40">(AP$29-AP$42)*G30/SUM(G$30:G$35)</f>
        <v>411.64555302279939</v>
      </c>
      <c r="AQ30" s="203">
        <f t="shared" si="40"/>
        <v>525.4709130998026</v>
      </c>
      <c r="AR30" s="203">
        <f t="shared" si="40"/>
        <v>3004.4737307379487</v>
      </c>
      <c r="AS30" s="252">
        <f t="shared" si="12"/>
        <v>3941.5901968605508</v>
      </c>
      <c r="AT30" s="203"/>
      <c r="AU30" s="240">
        <f t="shared" ref="AU30:AW35" si="41">AP30/G30</f>
        <v>0.76767200699814653</v>
      </c>
      <c r="AV30" s="240">
        <f t="shared" si="41"/>
        <v>0.38838825381761694</v>
      </c>
      <c r="AW30" s="240">
        <f t="shared" si="41"/>
        <v>0.4403312791191244</v>
      </c>
      <c r="AY30" s="123">
        <v>193.13570182389293</v>
      </c>
      <c r="AZ30" s="123">
        <v>159.52294539758608</v>
      </c>
      <c r="BA30" s="123">
        <v>213.25347078940703</v>
      </c>
      <c r="BD30" s="242">
        <f t="shared" ref="BD30:BF35" si="42">AP30*AY30</f>
        <v>79503.452785742891</v>
      </c>
      <c r="BE30" s="242">
        <f t="shared" si="42"/>
        <v>83824.667778439514</v>
      </c>
      <c r="BF30" s="242">
        <f t="shared" si="42"/>
        <v>640714.45097546594</v>
      </c>
      <c r="BG30" s="242">
        <f t="shared" si="35"/>
        <v>804042.57153964834</v>
      </c>
      <c r="BH30" s="5"/>
      <c r="BI30" s="391">
        <f t="shared" si="16"/>
        <v>0.76767200699814653</v>
      </c>
      <c r="BJ30" s="391">
        <f t="shared" si="17"/>
        <v>0.38838825381761694</v>
      </c>
      <c r="BK30" s="391">
        <f t="shared" si="36"/>
        <v>0.4403312791191244</v>
      </c>
      <c r="BL30" s="391">
        <f t="shared" si="19"/>
        <v>0.45241201591083469</v>
      </c>
      <c r="BM30" s="5"/>
      <c r="BN30" s="261">
        <f t="shared" ref="BN30:BN39" si="43">G30+AP30</f>
        <v>947.87137507989212</v>
      </c>
      <c r="BO30" s="261">
        <f t="shared" ref="BO30:BO39" si="44">H30+AQ30</f>
        <v>1878.4235524619555</v>
      </c>
      <c r="BP30" s="261">
        <f t="shared" ref="BP30:BP39" si="45">I30+AR30</f>
        <v>9827.6858739868894</v>
      </c>
      <c r="BQ30" s="261">
        <f t="shared" si="37"/>
        <v>12653.980801528738</v>
      </c>
      <c r="BS30" s="285">
        <f>CC30/BN30</f>
        <v>678.66136954486205</v>
      </c>
      <c r="BT30" s="285">
        <f>CD30/BO30</f>
        <v>1039.4167316641142</v>
      </c>
      <c r="BU30" s="285">
        <f>CE30/BP30</f>
        <v>1229.5563175246591</v>
      </c>
      <c r="BV30" s="285">
        <f>CF30/BQ30</f>
        <v>1160.0651240422292</v>
      </c>
      <c r="BX30" s="285">
        <f t="shared" ref="BX30:BX38" si="46">CC30/G30</f>
        <v>1199.650705175477</v>
      </c>
      <c r="BY30" s="285">
        <f t="shared" ref="BY30:BY38" si="47">CD30/H30</f>
        <v>1443.1139810639543</v>
      </c>
      <c r="BZ30" s="285">
        <f t="shared" ref="BZ30:BZ38" si="48">CE30/I30</f>
        <v>1770.9684235692926</v>
      </c>
      <c r="CA30" s="285">
        <f t="shared" ref="CA30:CA38" si="49">CF30/J30</f>
        <v>1684.8925253980265</v>
      </c>
      <c r="CC30" s="242">
        <f t="shared" ref="CC30:CC38" si="50">P30+BD30</f>
        <v>643283.6855640912</v>
      </c>
      <c r="CD30" s="242">
        <f t="shared" ref="CD30:CD38" si="51">Q30+BE30</f>
        <v>1952464.8695809008</v>
      </c>
      <c r="CE30" s="242">
        <f t="shared" ref="CE30:CE38" si="52">R30+BF30</f>
        <v>12083693.253008431</v>
      </c>
      <c r="CF30" s="242">
        <f t="shared" ref="CF30:CF42" si="53">CC30+CD30+CE30</f>
        <v>14679441.808153423</v>
      </c>
    </row>
    <row r="31" spans="1:84">
      <c r="B31" s="17"/>
      <c r="C31" s="5" t="s">
        <v>223</v>
      </c>
      <c r="D31" s="42" t="s">
        <v>384</v>
      </c>
      <c r="G31" s="203">
        <v>2560.0967590580822</v>
      </c>
      <c r="H31" s="203">
        <v>6350.08945843726</v>
      </c>
      <c r="I31" s="203">
        <v>3133.7904367373903</v>
      </c>
      <c r="J31" s="375">
        <f t="shared" si="38"/>
        <v>12043.976654232732</v>
      </c>
      <c r="K31" s="135"/>
      <c r="L31" s="343">
        <v>243.27697072286281</v>
      </c>
      <c r="M31" s="343">
        <v>190.35213639964442</v>
      </c>
      <c r="N31" s="123">
        <v>325.40297097411241</v>
      </c>
      <c r="O31" s="58"/>
      <c r="P31" s="203">
        <f t="shared" ref="P31:P42" si="54">L31*G31</f>
        <v>622812.58430106903</v>
      </c>
      <c r="Q31" s="203">
        <f t="shared" ref="Q31:Q42" si="55">M31*H31</f>
        <v>1208753.0947423936</v>
      </c>
      <c r="R31" s="203">
        <f t="shared" ref="R31:R42" si="56">N31*I31</f>
        <v>1019744.7185246081</v>
      </c>
      <c r="S31" s="203">
        <f t="shared" ref="S31:S42" si="57">P31+Q31+R31</f>
        <v>2851310.3975680703</v>
      </c>
      <c r="T31" s="17" t="s">
        <v>507</v>
      </c>
      <c r="U31" s="5" t="s">
        <v>413</v>
      </c>
      <c r="V31" s="42" t="s">
        <v>414</v>
      </c>
      <c r="W31" s="203">
        <v>4216.8343992885302</v>
      </c>
      <c r="X31" s="203">
        <v>8153.3545780310897</v>
      </c>
      <c r="Y31" s="203">
        <v>3965.7747181733102</v>
      </c>
      <c r="Z31" s="203">
        <f t="shared" si="39"/>
        <v>16335.96369549293</v>
      </c>
      <c r="AA31" s="58"/>
      <c r="AB31" s="203">
        <f t="shared" ref="AB31:AD36" si="58">W31-G31</f>
        <v>1656.7376402304481</v>
      </c>
      <c r="AC31" s="203">
        <f t="shared" si="58"/>
        <v>1803.2651195938297</v>
      </c>
      <c r="AD31" s="203">
        <f t="shared" si="58"/>
        <v>831.98428143591991</v>
      </c>
      <c r="AE31" s="203">
        <f t="shared" ref="AE31:AE42" si="59">AB31+AC31+AD31</f>
        <v>4291.9870412601977</v>
      </c>
      <c r="AF31" s="203"/>
      <c r="AG31" s="123">
        <f t="shared" ref="AG31:AI36" si="60">L31</f>
        <v>243.27697072286281</v>
      </c>
      <c r="AH31" s="269">
        <f t="shared" si="60"/>
        <v>190.35213639964442</v>
      </c>
      <c r="AI31" s="269">
        <f t="shared" si="60"/>
        <v>325.40297097411241</v>
      </c>
      <c r="AJ31" s="58"/>
      <c r="AK31" s="137">
        <f t="shared" ref="AK31:AM36" si="61">AB31*AG31</f>
        <v>403046.11439780751</v>
      </c>
      <c r="AL31" s="137">
        <f t="shared" si="61"/>
        <v>343255.36800964578</v>
      </c>
      <c r="AM31" s="137">
        <f t="shared" si="61"/>
        <v>270730.15698301041</v>
      </c>
      <c r="AN31" s="137">
        <f t="shared" ref="AN31:AN42" si="62">AK31+AL31+AM31</f>
        <v>1017031.6393904637</v>
      </c>
      <c r="AO31" s="203"/>
      <c r="AP31" s="203">
        <f t="shared" si="40"/>
        <v>1965.3146171355684</v>
      </c>
      <c r="AQ31" s="203">
        <f t="shared" si="40"/>
        <v>2466.3001563481039</v>
      </c>
      <c r="AR31" s="203">
        <f t="shared" si="40"/>
        <v>1379.9059514998546</v>
      </c>
      <c r="AS31" s="252">
        <f t="shared" si="12"/>
        <v>5811.5207249835266</v>
      </c>
      <c r="AT31" s="203"/>
      <c r="AU31" s="240">
        <f t="shared" si="41"/>
        <v>0.76767200699814653</v>
      </c>
      <c r="AV31" s="240">
        <f t="shared" si="41"/>
        <v>0.38838825381761688</v>
      </c>
      <c r="AW31" s="240">
        <f t="shared" si="41"/>
        <v>0.4403312791191244</v>
      </c>
      <c r="AY31" s="269">
        <v>193.13570182389293</v>
      </c>
      <c r="AZ31" s="343">
        <v>159.52294539758608</v>
      </c>
      <c r="BA31" s="269">
        <v>213.25347078940703</v>
      </c>
      <c r="BD31" s="242">
        <f t="shared" si="42"/>
        <v>379572.41788523342</v>
      </c>
      <c r="BE31" s="242">
        <f t="shared" si="42"/>
        <v>393431.46517517662</v>
      </c>
      <c r="BF31" s="242">
        <f t="shared" si="42"/>
        <v>294269.73352030315</v>
      </c>
      <c r="BG31" s="242">
        <f t="shared" si="35"/>
        <v>1067273.6165807131</v>
      </c>
      <c r="BH31" s="5"/>
      <c r="BI31" s="391">
        <f t="shared" si="16"/>
        <v>0.12053332586486021</v>
      </c>
      <c r="BJ31" s="391">
        <f t="shared" si="17"/>
        <v>0.10441349544663664</v>
      </c>
      <c r="BK31" s="391">
        <f t="shared" si="36"/>
        <v>0.17484311128167829</v>
      </c>
      <c r="BL31" s="391">
        <f t="shared" si="19"/>
        <v>0.12616544579479108</v>
      </c>
      <c r="BM31" s="5"/>
      <c r="BN31" s="261">
        <f t="shared" si="43"/>
        <v>4525.4113761936505</v>
      </c>
      <c r="BO31" s="261">
        <f t="shared" si="44"/>
        <v>8816.3896147853629</v>
      </c>
      <c r="BP31" s="261">
        <f t="shared" si="45"/>
        <v>4513.6963882372447</v>
      </c>
      <c r="BQ31" s="261">
        <f t="shared" si="37"/>
        <v>17855.497379216256</v>
      </c>
      <c r="BS31" s="285">
        <f t="shared" ref="BS31:BS42" si="63">CC31/BN31</f>
        <v>221.50141033795126</v>
      </c>
      <c r="BT31" s="285">
        <f t="shared" ref="BT31:BT42" si="64">CD31/BO31</f>
        <v>181.7279668800771</v>
      </c>
      <c r="BU31" s="285">
        <f t="shared" ref="BU31:BU42" si="65">CE31/BP31</f>
        <v>291.11715521434962</v>
      </c>
      <c r="BV31" s="285">
        <f t="shared" ref="BV31:BV42" si="66">CF31/BQ31</f>
        <v>219.46092740659265</v>
      </c>
      <c r="BX31" s="285">
        <f t="shared" si="46"/>
        <v>391.54184256500628</v>
      </c>
      <c r="BY31" s="285">
        <f t="shared" si="47"/>
        <v>252.30897460645593</v>
      </c>
      <c r="BZ31" s="285">
        <f t="shared" si="48"/>
        <v>419.30514454340482</v>
      </c>
      <c r="CA31" s="285">
        <f t="shared" si="49"/>
        <v>325.35632761888803</v>
      </c>
      <c r="CC31" s="242">
        <f t="shared" si="50"/>
        <v>1002385.0021863024</v>
      </c>
      <c r="CD31" s="242">
        <f t="shared" si="51"/>
        <v>1602184.5599175701</v>
      </c>
      <c r="CE31" s="242">
        <f t="shared" si="52"/>
        <v>1314014.4520449112</v>
      </c>
      <c r="CF31" s="242">
        <f t="shared" si="53"/>
        <v>3918584.0141487839</v>
      </c>
    </row>
    <row r="32" spans="1:84">
      <c r="B32" s="17"/>
      <c r="C32" s="5" t="s">
        <v>428</v>
      </c>
      <c r="D32" s="43" t="s">
        <v>372</v>
      </c>
      <c r="G32" s="203">
        <v>6524</v>
      </c>
      <c r="H32" s="203">
        <v>17516</v>
      </c>
      <c r="I32" s="203">
        <v>4819</v>
      </c>
      <c r="J32" s="375">
        <f t="shared" si="38"/>
        <v>28859</v>
      </c>
      <c r="K32" s="135"/>
      <c r="L32" s="343">
        <v>188.7</v>
      </c>
      <c r="M32" s="343">
        <v>144.51</v>
      </c>
      <c r="N32" s="123">
        <v>188.73</v>
      </c>
      <c r="O32" s="58"/>
      <c r="P32" s="203">
        <f t="shared" si="54"/>
        <v>1231078.7999999998</v>
      </c>
      <c r="Q32" s="203">
        <f t="shared" si="55"/>
        <v>2531237.1599999997</v>
      </c>
      <c r="R32" s="203">
        <f t="shared" si="56"/>
        <v>909489.87</v>
      </c>
      <c r="S32" s="203">
        <f t="shared" si="57"/>
        <v>4671805.8299999991</v>
      </c>
      <c r="T32" s="17"/>
      <c r="U32" s="5" t="s">
        <v>415</v>
      </c>
      <c r="V32" s="43" t="s">
        <v>311</v>
      </c>
      <c r="W32" s="203">
        <v>10745.932755713562</v>
      </c>
      <c r="X32" s="203">
        <v>22489.81823933448</v>
      </c>
      <c r="Y32" s="203">
        <v>6098.387480808653</v>
      </c>
      <c r="Z32" s="203">
        <f t="shared" si="39"/>
        <v>39334.1384758567</v>
      </c>
      <c r="AA32" s="58"/>
      <c r="AB32" s="203">
        <f t="shared" si="58"/>
        <v>4221.9327557135621</v>
      </c>
      <c r="AC32" s="203">
        <f t="shared" si="58"/>
        <v>4973.8182393344796</v>
      </c>
      <c r="AD32" s="203">
        <f t="shared" si="58"/>
        <v>1279.387480808653</v>
      </c>
      <c r="AE32" s="203">
        <f t="shared" si="59"/>
        <v>10475.138475856695</v>
      </c>
      <c r="AF32" s="203"/>
      <c r="AG32" s="269">
        <f t="shared" si="60"/>
        <v>188.7</v>
      </c>
      <c r="AH32" s="269">
        <f t="shared" si="60"/>
        <v>144.51</v>
      </c>
      <c r="AI32" s="269">
        <f t="shared" si="60"/>
        <v>188.73</v>
      </c>
      <c r="AJ32" s="58"/>
      <c r="AK32" s="137">
        <f t="shared" si="61"/>
        <v>796678.71100314916</v>
      </c>
      <c r="AL32" s="137">
        <f t="shared" si="61"/>
        <v>718766.47376622562</v>
      </c>
      <c r="AM32" s="137">
        <f t="shared" si="61"/>
        <v>241458.79925301706</v>
      </c>
      <c r="AN32" s="137">
        <f t="shared" si="62"/>
        <v>1756903.984022392</v>
      </c>
      <c r="AO32" s="203"/>
      <c r="AP32" s="203">
        <f t="shared" si="40"/>
        <v>5008.2921736559083</v>
      </c>
      <c r="AQ32" s="203">
        <f t="shared" si="40"/>
        <v>6803.0086538693777</v>
      </c>
      <c r="AR32" s="203">
        <f t="shared" si="40"/>
        <v>2121.9564340750603</v>
      </c>
      <c r="AS32" s="252">
        <f t="shared" si="12"/>
        <v>13933.257261600347</v>
      </c>
      <c r="AT32" s="203"/>
      <c r="AU32" s="240">
        <f t="shared" si="41"/>
        <v>0.76767200699814653</v>
      </c>
      <c r="AV32" s="240">
        <f t="shared" si="41"/>
        <v>0.38838825381761688</v>
      </c>
      <c r="AW32" s="240">
        <f t="shared" si="41"/>
        <v>0.44033127911912434</v>
      </c>
      <c r="AY32" s="269">
        <v>193.13570182389293</v>
      </c>
      <c r="AZ32" s="343">
        <v>159.52294539758608</v>
      </c>
      <c r="BA32" s="269">
        <v>213.25347078940703</v>
      </c>
      <c r="BD32" s="242">
        <f t="shared" si="42"/>
        <v>967280.02389814414</v>
      </c>
      <c r="BE32" s="242">
        <f t="shared" si="42"/>
        <v>1085235.9780305102</v>
      </c>
      <c r="BF32" s="242">
        <f t="shared" si="42"/>
        <v>452514.57443042018</v>
      </c>
      <c r="BG32" s="242">
        <f t="shared" si="35"/>
        <v>2505030.5763590746</v>
      </c>
      <c r="BH32" s="5"/>
      <c r="BI32" s="391">
        <f t="shared" si="16"/>
        <v>0.12053332586485993</v>
      </c>
      <c r="BJ32" s="391">
        <f t="shared" si="17"/>
        <v>0.10442968797299029</v>
      </c>
      <c r="BK32" s="391">
        <f t="shared" si="36"/>
        <v>0.17484311128167823</v>
      </c>
      <c r="BL32" s="391">
        <f t="shared" si="19"/>
        <v>0.11982808779734754</v>
      </c>
      <c r="BM32" s="5"/>
      <c r="BN32" s="261">
        <f t="shared" si="43"/>
        <v>11532.292173655907</v>
      </c>
      <c r="BO32" s="261">
        <f t="shared" si="44"/>
        <v>24319.008653869379</v>
      </c>
      <c r="BP32" s="261">
        <f t="shared" si="45"/>
        <v>6940.9564340750603</v>
      </c>
      <c r="BQ32" s="261">
        <f t="shared" si="37"/>
        <v>42792.257261600345</v>
      </c>
      <c r="BS32" s="285">
        <f t="shared" si="63"/>
        <v>190.62635517681579</v>
      </c>
      <c r="BT32" s="285">
        <f t="shared" si="64"/>
        <v>148.70972700834562</v>
      </c>
      <c r="BU32" s="285">
        <f t="shared" si="65"/>
        <v>196.22719971904255</v>
      </c>
      <c r="BV32" s="285">
        <f t="shared" si="66"/>
        <v>167.71343382250632</v>
      </c>
      <c r="BX32" s="285">
        <f t="shared" si="46"/>
        <v>336.96487184214345</v>
      </c>
      <c r="BY32" s="285">
        <f t="shared" si="47"/>
        <v>206.46683820681147</v>
      </c>
      <c r="BZ32" s="285">
        <f t="shared" si="48"/>
        <v>282.63217356929243</v>
      </c>
      <c r="CA32" s="285">
        <f t="shared" si="49"/>
        <v>248.68624714505265</v>
      </c>
      <c r="CC32" s="242">
        <f t="shared" si="50"/>
        <v>2198358.8238981441</v>
      </c>
      <c r="CD32" s="242">
        <f t="shared" si="51"/>
        <v>3616473.1380305099</v>
      </c>
      <c r="CE32" s="242">
        <f t="shared" si="52"/>
        <v>1362004.4444304202</v>
      </c>
      <c r="CF32" s="242">
        <f t="shared" si="53"/>
        <v>7176836.4063590746</v>
      </c>
    </row>
    <row r="33" spans="2:85">
      <c r="B33" s="17"/>
      <c r="C33" s="5" t="s">
        <v>328</v>
      </c>
      <c r="D33" s="43" t="s">
        <v>288</v>
      </c>
      <c r="G33" s="203">
        <v>3640.4232384296024</v>
      </c>
      <c r="H33" s="203">
        <v>10381.402867192013</v>
      </c>
      <c r="I33" s="203">
        <v>2953.5588889558767</v>
      </c>
      <c r="J33" s="375">
        <f t="shared" si="38"/>
        <v>16975.384994577493</v>
      </c>
      <c r="K33" s="135"/>
      <c r="L33" s="343">
        <v>240.11000000000004</v>
      </c>
      <c r="M33" s="343">
        <v>210.65</v>
      </c>
      <c r="N33" s="123">
        <v>250.81000000000003</v>
      </c>
      <c r="O33" s="58"/>
      <c r="P33" s="203">
        <f t="shared" si="54"/>
        <v>874102.02377933194</v>
      </c>
      <c r="Q33" s="203">
        <f t="shared" si="55"/>
        <v>2186842.5139739974</v>
      </c>
      <c r="R33" s="203">
        <f t="shared" si="56"/>
        <v>740782.1049390235</v>
      </c>
      <c r="S33" s="203">
        <f t="shared" si="57"/>
        <v>3801726.6426923531</v>
      </c>
      <c r="T33" s="17"/>
      <c r="U33" s="5" t="s">
        <v>312</v>
      </c>
      <c r="V33" s="43" t="s">
        <v>288</v>
      </c>
      <c r="W33" s="203">
        <v>5995.5847993251627</v>
      </c>
      <c r="X33" s="203">
        <v>13314.670036342497</v>
      </c>
      <c r="Y33" s="203">
        <v>3737.6938269847751</v>
      </c>
      <c r="Z33" s="203">
        <f t="shared" si="39"/>
        <v>23047.948662652434</v>
      </c>
      <c r="AA33" s="58"/>
      <c r="AB33" s="203">
        <f t="shared" si="58"/>
        <v>2355.1615608955603</v>
      </c>
      <c r="AC33" s="203">
        <f t="shared" si="58"/>
        <v>2933.2671691504838</v>
      </c>
      <c r="AD33" s="203">
        <f t="shared" si="58"/>
        <v>784.13493802889843</v>
      </c>
      <c r="AE33" s="203">
        <f t="shared" si="59"/>
        <v>6072.5636680749421</v>
      </c>
      <c r="AF33" s="203"/>
      <c r="AG33" s="269">
        <f t="shared" si="60"/>
        <v>240.11000000000004</v>
      </c>
      <c r="AH33" s="269">
        <f t="shared" si="60"/>
        <v>210.65</v>
      </c>
      <c r="AI33" s="269">
        <f t="shared" si="60"/>
        <v>250.81000000000003</v>
      </c>
      <c r="AJ33" s="58"/>
      <c r="AK33" s="137">
        <f t="shared" si="61"/>
        <v>565497.84238663304</v>
      </c>
      <c r="AL33" s="137">
        <f t="shared" si="61"/>
        <v>617892.7291815494</v>
      </c>
      <c r="AM33" s="137">
        <f t="shared" si="61"/>
        <v>196668.88380702803</v>
      </c>
      <c r="AN33" s="137">
        <f t="shared" si="62"/>
        <v>1380059.4553752104</v>
      </c>
      <c r="AO33" s="203"/>
      <c r="AP33" s="203">
        <f t="shared" si="40"/>
        <v>2794.6510137679452</v>
      </c>
      <c r="AQ33" s="203">
        <f t="shared" si="40"/>
        <v>4032.0149317659084</v>
      </c>
      <c r="AR33" s="203">
        <f t="shared" si="40"/>
        <v>1300.544363527601</v>
      </c>
      <c r="AS33" s="252">
        <f t="shared" si="12"/>
        <v>8127.2103090614546</v>
      </c>
      <c r="AT33" s="203"/>
      <c r="AU33" s="240">
        <f t="shared" si="41"/>
        <v>0.76767200699814664</v>
      </c>
      <c r="AV33" s="240">
        <f t="shared" si="41"/>
        <v>0.38838825381761699</v>
      </c>
      <c r="AW33" s="240">
        <f t="shared" si="41"/>
        <v>0.4403312791191244</v>
      </c>
      <c r="AY33" s="269">
        <v>193.13570182389293</v>
      </c>
      <c r="AZ33" s="343">
        <v>159.52294539758608</v>
      </c>
      <c r="BA33" s="269">
        <v>213.25347078940703</v>
      </c>
      <c r="BD33" s="242">
        <f t="shared" si="42"/>
        <v>539746.884896926</v>
      </c>
      <c r="BE33" s="242">
        <f t="shared" si="42"/>
        <v>643198.89780234476</v>
      </c>
      <c r="BF33" s="242">
        <f t="shared" si="42"/>
        <v>277345.59943786124</v>
      </c>
      <c r="BG33" s="242">
        <f t="shared" si="35"/>
        <v>1460291.3821371319</v>
      </c>
      <c r="BH33" s="5"/>
      <c r="BI33" s="391">
        <f t="shared" si="16"/>
        <v>0.12072482348562603</v>
      </c>
      <c r="BJ33" s="391">
        <f t="shared" si="17"/>
        <v>0.10583808148778803</v>
      </c>
      <c r="BK33" s="391">
        <f t="shared" si="36"/>
        <v>0.17484311128167834</v>
      </c>
      <c r="BL33" s="391">
        <f t="shared" si="19"/>
        <v>0.12103682135296699</v>
      </c>
      <c r="BM33" s="5"/>
      <c r="BN33" s="261">
        <f t="shared" si="43"/>
        <v>6435.074252197548</v>
      </c>
      <c r="BO33" s="261">
        <f t="shared" si="44"/>
        <v>14413.417798957922</v>
      </c>
      <c r="BP33" s="261">
        <f t="shared" si="45"/>
        <v>4254.1032524834773</v>
      </c>
      <c r="BQ33" s="261">
        <f t="shared" si="37"/>
        <v>25102.595303638947</v>
      </c>
      <c r="BS33" s="285">
        <f t="shared" si="63"/>
        <v>219.709804932466</v>
      </c>
      <c r="BT33" s="285">
        <f t="shared" si="64"/>
        <v>196.34769846059356</v>
      </c>
      <c r="BU33" s="285">
        <f t="shared" si="65"/>
        <v>239.32839518705103</v>
      </c>
      <c r="BV33" s="285">
        <f t="shared" si="66"/>
        <v>209.62047792989307</v>
      </c>
      <c r="BX33" s="285">
        <f t="shared" si="46"/>
        <v>388.37487184214348</v>
      </c>
      <c r="BY33" s="285">
        <f t="shared" si="47"/>
        <v>272.60683820681152</v>
      </c>
      <c r="BZ33" s="285">
        <f t="shared" si="48"/>
        <v>344.71217356929247</v>
      </c>
      <c r="CA33" s="285">
        <f t="shared" si="49"/>
        <v>309.97930394570437</v>
      </c>
      <c r="CC33" s="242">
        <f t="shared" si="50"/>
        <v>1413848.9086762578</v>
      </c>
      <c r="CD33" s="242">
        <f t="shared" si="51"/>
        <v>2830041.4117763424</v>
      </c>
      <c r="CE33" s="242">
        <f t="shared" si="52"/>
        <v>1018127.7043768847</v>
      </c>
      <c r="CF33" s="242">
        <f t="shared" si="53"/>
        <v>5262018.0248294855</v>
      </c>
    </row>
    <row r="34" spans="2:85">
      <c r="B34" s="17"/>
      <c r="C34" s="5" t="s">
        <v>334</v>
      </c>
      <c r="D34" s="43" t="s">
        <v>13</v>
      </c>
      <c r="G34" s="203">
        <v>56619.56556614078</v>
      </c>
      <c r="H34" s="203">
        <v>32033.355797621083</v>
      </c>
      <c r="I34" s="203">
        <v>101257.50784481918</v>
      </c>
      <c r="J34" s="375">
        <f t="shared" si="38"/>
        <v>189910.42920858104</v>
      </c>
      <c r="K34" s="135"/>
      <c r="L34" s="343">
        <v>208.17399999999998</v>
      </c>
      <c r="M34" s="343">
        <v>204.88916202343208</v>
      </c>
      <c r="N34" s="123">
        <v>310</v>
      </c>
      <c r="O34" s="58"/>
      <c r="P34" s="203">
        <f t="shared" si="54"/>
        <v>11786721.44216579</v>
      </c>
      <c r="Q34" s="203">
        <f t="shared" si="55"/>
        <v>6563287.4261730332</v>
      </c>
      <c r="R34" s="203">
        <f t="shared" si="56"/>
        <v>31389827.431893945</v>
      </c>
      <c r="S34" s="203">
        <f t="shared" si="57"/>
        <v>49739836.300232768</v>
      </c>
      <c r="T34" s="17"/>
      <c r="U34" s="5" t="s">
        <v>410</v>
      </c>
      <c r="V34" s="43" t="s">
        <v>411</v>
      </c>
      <c r="W34" s="203">
        <v>93260.276552952768</v>
      </c>
      <c r="X34" s="203">
        <v>41284.451255530868</v>
      </c>
      <c r="Y34" s="203">
        <v>128140.17808232605</v>
      </c>
      <c r="Z34" s="203">
        <f t="shared" si="39"/>
        <v>262684.90589080972</v>
      </c>
      <c r="AA34" s="58"/>
      <c r="AB34" s="203">
        <f t="shared" si="58"/>
        <v>36640.710986811988</v>
      </c>
      <c r="AC34" s="203">
        <f t="shared" si="58"/>
        <v>9251.0954579097852</v>
      </c>
      <c r="AD34" s="203">
        <f t="shared" si="58"/>
        <v>26882.670237506871</v>
      </c>
      <c r="AE34" s="203">
        <f t="shared" si="59"/>
        <v>72774.476682228647</v>
      </c>
      <c r="AF34" s="203"/>
      <c r="AG34" s="269">
        <f t="shared" si="60"/>
        <v>208.17399999999998</v>
      </c>
      <c r="AH34" s="269">
        <f t="shared" si="60"/>
        <v>204.88916202343208</v>
      </c>
      <c r="AI34" s="269">
        <f t="shared" si="60"/>
        <v>310</v>
      </c>
      <c r="AJ34" s="58"/>
      <c r="AK34" s="137">
        <f t="shared" si="61"/>
        <v>7627643.3689685976</v>
      </c>
      <c r="AL34" s="137">
        <f t="shared" si="61"/>
        <v>1895449.1961699144</v>
      </c>
      <c r="AM34" s="137">
        <f t="shared" si="61"/>
        <v>8333627.7736271303</v>
      </c>
      <c r="AN34" s="137">
        <f t="shared" si="62"/>
        <v>17856720.338765644</v>
      </c>
      <c r="AO34" s="203"/>
      <c r="AP34" s="203">
        <f t="shared" si="40"/>
        <v>43465.255533522446</v>
      </c>
      <c r="AQ34" s="203">
        <f t="shared" si="40"/>
        <v>12441.379122156488</v>
      </c>
      <c r="AR34" s="203">
        <f t="shared" si="40"/>
        <v>44586.847949724004</v>
      </c>
      <c r="AS34" s="252">
        <f t="shared" si="12"/>
        <v>100493.48260540294</v>
      </c>
      <c r="AT34" s="203"/>
      <c r="AU34" s="240">
        <f t="shared" si="41"/>
        <v>0.76767200699814664</v>
      </c>
      <c r="AV34" s="240">
        <f t="shared" si="41"/>
        <v>0.38838825381761694</v>
      </c>
      <c r="AW34" s="240">
        <f t="shared" si="41"/>
        <v>0.4403312791191244</v>
      </c>
      <c r="AY34" s="269">
        <v>193.13570182389293</v>
      </c>
      <c r="AZ34" s="343">
        <v>159.52294539758608</v>
      </c>
      <c r="BA34" s="269">
        <v>213.25347078940703</v>
      </c>
      <c r="BD34" s="242">
        <f t="shared" si="42"/>
        <v>8394692.632421704</v>
      </c>
      <c r="BE34" s="242">
        <f t="shared" si="42"/>
        <v>1984685.4423744369</v>
      </c>
      <c r="BF34" s="242">
        <f t="shared" si="42"/>
        <v>9508300.0768382009</v>
      </c>
      <c r="BG34" s="242">
        <f t="shared" si="35"/>
        <v>19887678.151634343</v>
      </c>
      <c r="BH34" s="5"/>
      <c r="BI34" s="391">
        <f t="shared" si="16"/>
        <v>0.1205333258648601</v>
      </c>
      <c r="BJ34" s="393">
        <f t="shared" si="17"/>
        <v>9.9592552350810062E-2</v>
      </c>
      <c r="BK34" s="391">
        <f t="shared" si="36"/>
        <v>0.17484311128167832</v>
      </c>
      <c r="BL34" s="391">
        <f t="shared" si="19"/>
        <v>0.1459583132884722</v>
      </c>
      <c r="BM34" s="5"/>
      <c r="BN34" s="261">
        <f t="shared" si="43"/>
        <v>100084.82109966323</v>
      </c>
      <c r="BO34" s="261">
        <f t="shared" si="44"/>
        <v>44474.734919777569</v>
      </c>
      <c r="BP34" s="261">
        <f t="shared" si="45"/>
        <v>145844.35579454317</v>
      </c>
      <c r="BQ34" s="261">
        <f t="shared" si="37"/>
        <v>290403.91181398393</v>
      </c>
      <c r="BS34" s="285">
        <f t="shared" si="63"/>
        <v>201.64310484694869</v>
      </c>
      <c r="BT34" s="285">
        <f t="shared" si="64"/>
        <v>192.19839947255656</v>
      </c>
      <c r="BU34" s="285">
        <f t="shared" si="65"/>
        <v>280.42310781191281</v>
      </c>
      <c r="BV34" s="285">
        <f t="shared" si="66"/>
        <v>239.76093853882551</v>
      </c>
      <c r="BX34" s="285">
        <f t="shared" si="46"/>
        <v>356.4388718421435</v>
      </c>
      <c r="BY34" s="285">
        <f t="shared" si="47"/>
        <v>266.84600023024353</v>
      </c>
      <c r="BZ34" s="285">
        <f t="shared" si="48"/>
        <v>403.90217356929247</v>
      </c>
      <c r="CA34" s="285">
        <f t="shared" si="49"/>
        <v>366.63344262886329</v>
      </c>
      <c r="CC34" s="242">
        <f t="shared" si="50"/>
        <v>20181414.074587494</v>
      </c>
      <c r="CD34" s="242">
        <f t="shared" si="51"/>
        <v>8547972.8685474694</v>
      </c>
      <c r="CE34" s="242">
        <f t="shared" si="52"/>
        <v>40898127.508732148</v>
      </c>
      <c r="CF34" s="242">
        <f t="shared" si="53"/>
        <v>69627514.451867104</v>
      </c>
    </row>
    <row r="35" spans="2:85">
      <c r="B35" s="17"/>
      <c r="C35" s="5" t="s">
        <v>98</v>
      </c>
      <c r="D35" s="43" t="s">
        <v>336</v>
      </c>
      <c r="G35" s="203">
        <v>2559</v>
      </c>
      <c r="H35" s="203">
        <v>7141</v>
      </c>
      <c r="I35" s="203">
        <v>2297</v>
      </c>
      <c r="J35" s="375">
        <f t="shared" si="38"/>
        <v>11997</v>
      </c>
      <c r="K35" s="135"/>
      <c r="L35" s="343">
        <v>159.732</v>
      </c>
      <c r="M35" s="343">
        <v>124.252</v>
      </c>
      <c r="N35" s="123">
        <v>114.84</v>
      </c>
      <c r="O35" s="58"/>
      <c r="P35" s="203">
        <f t="shared" si="54"/>
        <v>408754.18800000002</v>
      </c>
      <c r="Q35" s="203">
        <f t="shared" si="55"/>
        <v>887283.53200000001</v>
      </c>
      <c r="R35" s="203">
        <f t="shared" si="56"/>
        <v>263787.48</v>
      </c>
      <c r="S35" s="203">
        <f t="shared" si="57"/>
        <v>1559825.2</v>
      </c>
      <c r="T35" s="17"/>
      <c r="U35" s="5" t="s">
        <v>587</v>
      </c>
      <c r="V35" s="43" t="s">
        <v>588</v>
      </c>
      <c r="W35" s="203">
        <v>9989.6149376420053</v>
      </c>
      <c r="X35" s="203">
        <v>14644.79583276974</v>
      </c>
      <c r="Y35" s="203">
        <v>20388.139406585877</v>
      </c>
      <c r="Z35" s="203">
        <f t="shared" si="39"/>
        <v>45022.550176997625</v>
      </c>
      <c r="AA35" s="58"/>
      <c r="AB35" s="203">
        <f t="shared" si="58"/>
        <v>7430.6149376420053</v>
      </c>
      <c r="AC35" s="203">
        <f t="shared" si="58"/>
        <v>7503.7958327697397</v>
      </c>
      <c r="AD35" s="203">
        <f t="shared" si="58"/>
        <v>18091.139406585877</v>
      </c>
      <c r="AE35" s="203">
        <f t="shared" si="59"/>
        <v>33025.550176997625</v>
      </c>
      <c r="AF35" s="203"/>
      <c r="AG35" s="269">
        <f t="shared" si="60"/>
        <v>159.732</v>
      </c>
      <c r="AH35" s="269">
        <f t="shared" si="60"/>
        <v>124.252</v>
      </c>
      <c r="AI35" s="269">
        <f t="shared" si="60"/>
        <v>114.84</v>
      </c>
      <c r="AJ35" s="58"/>
      <c r="AK35" s="137">
        <f t="shared" si="61"/>
        <v>1186906.9852194327</v>
      </c>
      <c r="AL35" s="137">
        <f t="shared" si="61"/>
        <v>932361.63981330569</v>
      </c>
      <c r="AM35" s="137">
        <f t="shared" si="61"/>
        <v>2077586.4494523222</v>
      </c>
      <c r="AN35" s="137">
        <f t="shared" si="62"/>
        <v>4196855.0744850608</v>
      </c>
      <c r="AO35" s="203"/>
      <c r="AP35" s="203">
        <f t="shared" si="40"/>
        <v>1964.4726659082569</v>
      </c>
      <c r="AQ35" s="203">
        <f t="shared" si="40"/>
        <v>2773.4805205116027</v>
      </c>
      <c r="AR35" s="203">
        <f t="shared" si="40"/>
        <v>1011.4409481366288</v>
      </c>
      <c r="AS35" s="252">
        <f t="shared" si="12"/>
        <v>5749.394134556489</v>
      </c>
      <c r="AT35" s="203"/>
      <c r="AU35" s="240">
        <f t="shared" si="41"/>
        <v>0.76767200699814653</v>
      </c>
      <c r="AV35" s="240">
        <f t="shared" si="41"/>
        <v>0.38838825381761694</v>
      </c>
      <c r="AW35" s="240">
        <f t="shared" si="41"/>
        <v>0.4403312791191244</v>
      </c>
      <c r="AY35" s="269">
        <v>193.13570182389293</v>
      </c>
      <c r="AZ35" s="343">
        <v>159.52294539758608</v>
      </c>
      <c r="BA35" s="269">
        <v>213.25347078940703</v>
      </c>
      <c r="BD35" s="276">
        <f t="shared" si="42"/>
        <v>379409.80704404513</v>
      </c>
      <c r="BE35" s="276">
        <f t="shared" si="42"/>
        <v>442433.781634841</v>
      </c>
      <c r="BF35" s="276">
        <f t="shared" si="42"/>
        <v>215693.29268866472</v>
      </c>
      <c r="BG35" s="276">
        <f>BD35+BE35+BF35</f>
        <v>1037536.8813675509</v>
      </c>
      <c r="BH35" s="5"/>
      <c r="BI35" s="391">
        <f t="shared" si="16"/>
        <v>-2.136046217949882</v>
      </c>
      <c r="BJ35" s="391">
        <f t="shared" si="17"/>
        <v>-0.66241637197285208</v>
      </c>
      <c r="BK35" s="391">
        <f t="shared" si="36"/>
        <v>-7.4356545313231388</v>
      </c>
      <c r="BL35" s="391">
        <f t="shared" si="19"/>
        <v>-2.273581398886483</v>
      </c>
      <c r="BM35" s="5"/>
      <c r="BN35" s="261">
        <f t="shared" si="43"/>
        <v>4523.4726659082571</v>
      </c>
      <c r="BO35" s="261">
        <f t="shared" si="44"/>
        <v>9914.4805205116027</v>
      </c>
      <c r="BP35" s="261">
        <f t="shared" si="45"/>
        <v>3308.4409481366288</v>
      </c>
      <c r="BQ35" s="261">
        <f t="shared" si="37"/>
        <v>17746.394134556489</v>
      </c>
      <c r="BS35" s="285">
        <f t="shared" si="63"/>
        <v>174.23869961327412</v>
      </c>
      <c r="BT35" s="285">
        <f t="shared" si="64"/>
        <v>134.11870756958484</v>
      </c>
      <c r="BU35" s="285">
        <f t="shared" si="65"/>
        <v>144.92650169824449</v>
      </c>
      <c r="BV35" s="285">
        <f t="shared" si="66"/>
        <v>146.35999074932428</v>
      </c>
      <c r="BX35" s="285">
        <f t="shared" si="46"/>
        <v>307.99687184214349</v>
      </c>
      <c r="BY35" s="285">
        <f t="shared" si="47"/>
        <v>186.20883820681152</v>
      </c>
      <c r="BZ35" s="285">
        <f t="shared" si="48"/>
        <v>208.74217356929245</v>
      </c>
      <c r="CA35" s="285">
        <f t="shared" si="49"/>
        <v>216.50096535530136</v>
      </c>
      <c r="CC35" s="242">
        <f t="shared" si="50"/>
        <v>788163.99504404515</v>
      </c>
      <c r="CD35" s="242">
        <f t="shared" si="51"/>
        <v>1329717.313634841</v>
      </c>
      <c r="CE35" s="242">
        <f t="shared" si="52"/>
        <v>479480.77268866473</v>
      </c>
      <c r="CF35" s="242">
        <f t="shared" si="53"/>
        <v>2597362.0813675504</v>
      </c>
    </row>
    <row r="36" spans="2:85">
      <c r="B36" s="17"/>
      <c r="C36" s="5" t="s">
        <v>337</v>
      </c>
      <c r="D36" s="43" t="s">
        <v>323</v>
      </c>
      <c r="G36" s="203">
        <v>201.631472433412</v>
      </c>
      <c r="H36" s="203">
        <v>415.55032600872619</v>
      </c>
      <c r="I36" s="203">
        <v>159.4840128206024</v>
      </c>
      <c r="J36" s="375">
        <f t="shared" si="38"/>
        <v>776.66581126274059</v>
      </c>
      <c r="K36" s="135"/>
      <c r="L36" s="343">
        <v>48.55</v>
      </c>
      <c r="M36" s="343">
        <v>48.550000000000004</v>
      </c>
      <c r="N36" s="123">
        <v>48.55</v>
      </c>
      <c r="O36" s="58"/>
      <c r="P36" s="203">
        <f t="shared" si="54"/>
        <v>9789.2079866421518</v>
      </c>
      <c r="Q36" s="203">
        <f t="shared" si="55"/>
        <v>20174.968327723658</v>
      </c>
      <c r="R36" s="203">
        <f t="shared" si="56"/>
        <v>7742.9488224402457</v>
      </c>
      <c r="S36" s="203">
        <f t="shared" si="57"/>
        <v>37707.125136806055</v>
      </c>
      <c r="T36" s="17"/>
      <c r="U36" s="5" t="s">
        <v>135</v>
      </c>
      <c r="V36" s="246" t="s">
        <v>552</v>
      </c>
      <c r="W36" s="203">
        <v>3506.105148152772</v>
      </c>
      <c r="X36" s="203">
        <v>2991.962805001695</v>
      </c>
      <c r="Y36" s="203">
        <v>5695.3370461554823</v>
      </c>
      <c r="Z36" s="203">
        <f t="shared" si="39"/>
        <v>12193.404999309949</v>
      </c>
      <c r="AA36" s="58"/>
      <c r="AB36" s="203">
        <f t="shared" si="58"/>
        <v>3304.47367571936</v>
      </c>
      <c r="AC36" s="203">
        <f t="shared" si="58"/>
        <v>2576.4124789929688</v>
      </c>
      <c r="AD36" s="203">
        <f t="shared" si="58"/>
        <v>5535.8530333348799</v>
      </c>
      <c r="AE36" s="203">
        <f t="shared" si="59"/>
        <v>11416.73918804721</v>
      </c>
      <c r="AF36" s="203"/>
      <c r="AG36" s="269">
        <f t="shared" si="60"/>
        <v>48.55</v>
      </c>
      <c r="AH36" s="269">
        <f t="shared" si="60"/>
        <v>48.550000000000004</v>
      </c>
      <c r="AI36" s="269">
        <f t="shared" si="60"/>
        <v>48.55</v>
      </c>
      <c r="AJ36" s="58"/>
      <c r="AK36" s="137">
        <f t="shared" si="61"/>
        <v>160432.19695617491</v>
      </c>
      <c r="AL36" s="137">
        <f t="shared" si="61"/>
        <v>125084.82585510865</v>
      </c>
      <c r="AM36" s="137">
        <f t="shared" si="61"/>
        <v>268765.6647684084</v>
      </c>
      <c r="AN36" s="137">
        <f t="shared" si="62"/>
        <v>554282.68757969199</v>
      </c>
      <c r="AO36" s="203"/>
      <c r="AP36" s="254"/>
      <c r="AQ36" s="254"/>
      <c r="AR36" s="254"/>
      <c r="AS36" s="254"/>
      <c r="AT36" s="254"/>
      <c r="AU36" s="240"/>
      <c r="AV36" s="240"/>
      <c r="AW36" s="240"/>
      <c r="AY36" s="123"/>
      <c r="AZ36" s="123"/>
      <c r="BA36" s="123"/>
      <c r="BD36" s="1"/>
      <c r="BE36" s="1"/>
      <c r="BF36" s="1"/>
      <c r="BG36" s="242"/>
      <c r="BH36" s="5"/>
      <c r="BI36" s="391">
        <f t="shared" si="16"/>
        <v>-16.388679980555363</v>
      </c>
      <c r="BJ36" s="391">
        <f t="shared" si="17"/>
        <v>-6.2000011015245029</v>
      </c>
      <c r="BK36" s="391">
        <f t="shared" si="36"/>
        <v>-34.711021722045295</v>
      </c>
      <c r="BL36" s="391">
        <f t="shared" si="19"/>
        <v>-14.699680380529854</v>
      </c>
      <c r="BM36" s="5"/>
      <c r="BN36" s="261">
        <f t="shared" si="43"/>
        <v>201.631472433412</v>
      </c>
      <c r="BO36" s="261">
        <f t="shared" si="44"/>
        <v>415.55032600872619</v>
      </c>
      <c r="BP36" s="261">
        <f t="shared" si="45"/>
        <v>159.4840128206024</v>
      </c>
      <c r="BQ36" s="261">
        <f t="shared" si="37"/>
        <v>776.66581126274059</v>
      </c>
      <c r="BS36" s="285">
        <f t="shared" si="63"/>
        <v>48.55</v>
      </c>
      <c r="BT36" s="285">
        <f t="shared" si="64"/>
        <v>48.550000000000004</v>
      </c>
      <c r="BU36" s="285">
        <f t="shared" si="65"/>
        <v>48.55</v>
      </c>
      <c r="BV36" s="285">
        <f t="shared" si="66"/>
        <v>48.55</v>
      </c>
      <c r="BX36" s="285">
        <f t="shared" si="46"/>
        <v>48.55</v>
      </c>
      <c r="BY36" s="285">
        <f t="shared" si="47"/>
        <v>48.550000000000004</v>
      </c>
      <c r="BZ36" s="285">
        <f t="shared" si="48"/>
        <v>48.55</v>
      </c>
      <c r="CA36" s="285">
        <f t="shared" si="49"/>
        <v>48.55</v>
      </c>
      <c r="CC36" s="242">
        <f t="shared" si="50"/>
        <v>9789.2079866421518</v>
      </c>
      <c r="CD36" s="242">
        <f t="shared" si="51"/>
        <v>20174.968327723658</v>
      </c>
      <c r="CE36" s="242">
        <f t="shared" si="52"/>
        <v>7742.9488224402457</v>
      </c>
      <c r="CF36" s="242">
        <f t="shared" si="53"/>
        <v>37707.125136806055</v>
      </c>
    </row>
    <row r="37" spans="2:85">
      <c r="B37" s="17"/>
      <c r="C37" s="43" t="s">
        <v>515</v>
      </c>
      <c r="D37" s="42" t="s">
        <v>256</v>
      </c>
      <c r="G37" s="203">
        <v>20644.363654471883</v>
      </c>
      <c r="H37" s="203">
        <v>32433.40982316939</v>
      </c>
      <c r="I37" s="203">
        <v>6921.9195493771931</v>
      </c>
      <c r="J37" s="375">
        <f t="shared" si="38"/>
        <v>59999.69302701846</v>
      </c>
      <c r="K37" s="135"/>
      <c r="L37" s="343">
        <v>111.34355725743856</v>
      </c>
      <c r="M37" s="343">
        <v>104.4330788124533</v>
      </c>
      <c r="N37" s="123">
        <v>106.84</v>
      </c>
      <c r="O37" s="58"/>
      <c r="P37" s="203">
        <f t="shared" si="54"/>
        <v>2298616.8866050737</v>
      </c>
      <c r="Q37" s="203">
        <f t="shared" si="55"/>
        <v>3387120.844219646</v>
      </c>
      <c r="R37" s="203">
        <f t="shared" si="56"/>
        <v>739537.88465545932</v>
      </c>
      <c r="S37" s="203">
        <f t="shared" si="57"/>
        <v>6425275.615480179</v>
      </c>
      <c r="T37" s="17"/>
      <c r="U37" s="246" t="s">
        <v>553</v>
      </c>
      <c r="V37" s="247" t="s">
        <v>448</v>
      </c>
      <c r="W37" s="203">
        <v>20644.363654471883</v>
      </c>
      <c r="X37" s="203">
        <v>32433.40982316939</v>
      </c>
      <c r="Y37" s="203">
        <v>6921.9195493771931</v>
      </c>
      <c r="Z37" s="203">
        <f t="shared" si="39"/>
        <v>59999.69302701846</v>
      </c>
      <c r="AA37" s="58"/>
      <c r="AB37" s="58"/>
      <c r="AC37" s="58"/>
      <c r="AD37" s="58"/>
      <c r="AE37" s="58"/>
      <c r="AF37" s="203"/>
      <c r="AG37" s="203"/>
      <c r="AH37" s="203"/>
      <c r="AI37" s="203"/>
      <c r="AJ37" s="58"/>
      <c r="AK37" s="137"/>
      <c r="AL37" s="137"/>
      <c r="AM37" s="137"/>
      <c r="AN37" s="137"/>
      <c r="AO37" s="203"/>
      <c r="AP37" s="254"/>
      <c r="AQ37" s="254"/>
      <c r="AR37" s="254"/>
      <c r="AS37" s="254"/>
      <c r="AT37" s="254"/>
      <c r="AU37" s="240"/>
      <c r="AV37" s="240"/>
      <c r="AW37" s="240"/>
      <c r="AY37" s="123"/>
      <c r="AZ37" s="123"/>
      <c r="BA37" s="123"/>
      <c r="BD37" s="1"/>
      <c r="BE37" s="1"/>
      <c r="BF37" s="1"/>
      <c r="BG37" s="242"/>
      <c r="BH37" s="371"/>
      <c r="BI37" s="371"/>
      <c r="BJ37" s="371"/>
      <c r="BK37" s="371"/>
      <c r="BL37" s="371"/>
      <c r="BM37" s="5"/>
      <c r="BN37" s="261">
        <f t="shared" si="43"/>
        <v>20644.363654471883</v>
      </c>
      <c r="BO37" s="261">
        <f t="shared" si="44"/>
        <v>32433.40982316939</v>
      </c>
      <c r="BP37" s="261">
        <f t="shared" si="45"/>
        <v>6921.9195493771931</v>
      </c>
      <c r="BQ37" s="261">
        <f t="shared" si="37"/>
        <v>59999.69302701846</v>
      </c>
      <c r="BS37" s="285">
        <f t="shared" si="63"/>
        <v>111.34355725743856</v>
      </c>
      <c r="BT37" s="285">
        <f t="shared" si="64"/>
        <v>104.4330788124533</v>
      </c>
      <c r="BU37" s="285">
        <f t="shared" si="65"/>
        <v>106.84</v>
      </c>
      <c r="BV37" s="285">
        <f t="shared" si="66"/>
        <v>107.08847481247635</v>
      </c>
      <c r="BX37" s="285">
        <f t="shared" si="46"/>
        <v>111.34355725743856</v>
      </c>
      <c r="BY37" s="285">
        <f t="shared" si="47"/>
        <v>104.4330788124533</v>
      </c>
      <c r="BZ37" s="285">
        <f t="shared" si="48"/>
        <v>106.84</v>
      </c>
      <c r="CA37" s="285">
        <f t="shared" si="49"/>
        <v>107.08847481247635</v>
      </c>
      <c r="CC37" s="242">
        <f t="shared" si="50"/>
        <v>2298616.8866050737</v>
      </c>
      <c r="CD37" s="242">
        <f t="shared" si="51"/>
        <v>3387120.844219646</v>
      </c>
      <c r="CE37" s="242">
        <f t="shared" si="52"/>
        <v>739537.88465545932</v>
      </c>
      <c r="CF37" s="242">
        <f t="shared" si="53"/>
        <v>6425275.615480179</v>
      </c>
    </row>
    <row r="38" spans="2:85">
      <c r="B38" s="17"/>
      <c r="C38" s="43" t="s">
        <v>539</v>
      </c>
      <c r="D38" s="42" t="s">
        <v>457</v>
      </c>
      <c r="G38" s="203">
        <v>755.51977508935306</v>
      </c>
      <c r="H38" s="203">
        <v>2003.1246358252829</v>
      </c>
      <c r="I38" s="203">
        <v>7721.8719526795594</v>
      </c>
      <c r="J38" s="375">
        <f t="shared" si="38"/>
        <v>10480.516363594195</v>
      </c>
      <c r="K38" s="135"/>
      <c r="L38" s="343">
        <v>112.82318494448573</v>
      </c>
      <c r="M38" s="343">
        <v>104.1336143104833</v>
      </c>
      <c r="N38" s="123">
        <v>106.84</v>
      </c>
      <c r="O38" s="58"/>
      <c r="P38" s="203">
        <f t="shared" si="54"/>
        <v>85240.14731412234</v>
      </c>
      <c r="Q38" s="203">
        <f t="shared" si="55"/>
        <v>208592.60824285733</v>
      </c>
      <c r="R38" s="203">
        <f t="shared" si="56"/>
        <v>825004.79942428414</v>
      </c>
      <c r="S38" s="203">
        <f t="shared" si="57"/>
        <v>1118837.5549812638</v>
      </c>
      <c r="T38" s="17"/>
      <c r="U38" s="246" t="s">
        <v>466</v>
      </c>
      <c r="V38" s="247" t="s">
        <v>447</v>
      </c>
      <c r="W38" s="203">
        <v>755.51977508935306</v>
      </c>
      <c r="X38" s="203">
        <v>2003.1246358252829</v>
      </c>
      <c r="Y38" s="203">
        <v>7721.8719526795594</v>
      </c>
      <c r="Z38" s="203">
        <f t="shared" si="39"/>
        <v>10480.516363594195</v>
      </c>
      <c r="AA38" s="58"/>
      <c r="AB38" s="58"/>
      <c r="AC38" s="58"/>
      <c r="AD38" s="58"/>
      <c r="AE38" s="58"/>
      <c r="AF38" s="203"/>
      <c r="AG38" s="203"/>
      <c r="AH38" s="203"/>
      <c r="AI38" s="203"/>
      <c r="AJ38" s="58"/>
      <c r="AK38" s="137"/>
      <c r="AL38" s="137"/>
      <c r="AM38" s="137"/>
      <c r="AN38" s="137"/>
      <c r="AO38" s="203"/>
      <c r="AP38" s="254"/>
      <c r="AQ38" s="254"/>
      <c r="AR38" s="254"/>
      <c r="AS38" s="254"/>
      <c r="AT38" s="254"/>
      <c r="AU38" s="240"/>
      <c r="AV38" s="240"/>
      <c r="AW38" s="240"/>
      <c r="AY38" s="123"/>
      <c r="AZ38" s="123"/>
      <c r="BA38" s="123"/>
      <c r="BD38" s="1"/>
      <c r="BE38" s="1"/>
      <c r="BF38" s="1"/>
      <c r="BG38" s="242"/>
      <c r="BH38" s="371"/>
      <c r="BI38" s="371"/>
      <c r="BJ38" s="371"/>
      <c r="BK38" s="371"/>
      <c r="BL38" s="371"/>
      <c r="BM38" s="5"/>
      <c r="BN38" s="261">
        <f t="shared" si="43"/>
        <v>755.51977508935306</v>
      </c>
      <c r="BO38" s="261">
        <f t="shared" si="44"/>
        <v>2003.1246358252829</v>
      </c>
      <c r="BP38" s="261">
        <f t="shared" si="45"/>
        <v>7721.8719526795594</v>
      </c>
      <c r="BQ38" s="261">
        <f t="shared" si="37"/>
        <v>10480.516363594195</v>
      </c>
      <c r="BS38" s="285">
        <f t="shared" si="63"/>
        <v>112.82318494448573</v>
      </c>
      <c r="BT38" s="285">
        <f t="shared" si="64"/>
        <v>104.1336143104833</v>
      </c>
      <c r="BU38" s="285">
        <f t="shared" si="65"/>
        <v>106.84</v>
      </c>
      <c r="BV38" s="285">
        <f t="shared" si="66"/>
        <v>106.75404876688432</v>
      </c>
      <c r="BX38" s="285">
        <f t="shared" si="46"/>
        <v>112.82318494448573</v>
      </c>
      <c r="BY38" s="285">
        <f t="shared" si="47"/>
        <v>104.1336143104833</v>
      </c>
      <c r="BZ38" s="285">
        <f t="shared" si="48"/>
        <v>106.84</v>
      </c>
      <c r="CA38" s="285">
        <f t="shared" si="49"/>
        <v>106.75404876688432</v>
      </c>
      <c r="CC38" s="242">
        <f t="shared" si="50"/>
        <v>85240.14731412234</v>
      </c>
      <c r="CD38" s="242">
        <f t="shared" si="51"/>
        <v>208592.60824285733</v>
      </c>
      <c r="CE38" s="242">
        <f t="shared" si="52"/>
        <v>825004.79942428414</v>
      </c>
      <c r="CF38" s="242">
        <f t="shared" si="53"/>
        <v>1118837.5549812638</v>
      </c>
    </row>
    <row r="39" spans="2:85">
      <c r="B39" s="17"/>
      <c r="C39" s="5" t="s">
        <v>430</v>
      </c>
      <c r="D39" s="43" t="s">
        <v>431</v>
      </c>
      <c r="G39" s="203">
        <v>32911.338985626855</v>
      </c>
      <c r="H39" s="203">
        <v>6948.3876391959402</v>
      </c>
      <c r="I39" s="203">
        <v>0</v>
      </c>
      <c r="J39" s="375">
        <f t="shared" si="38"/>
        <v>39859.726624822797</v>
      </c>
      <c r="K39" s="135"/>
      <c r="L39" s="343">
        <v>55.625</v>
      </c>
      <c r="M39" s="343">
        <v>52.01</v>
      </c>
      <c r="N39" s="123"/>
      <c r="O39" s="58"/>
      <c r="P39" s="203">
        <f t="shared" si="54"/>
        <v>1830693.2310754939</v>
      </c>
      <c r="Q39" s="203">
        <f t="shared" si="55"/>
        <v>361385.64111458085</v>
      </c>
      <c r="R39" s="203">
        <f t="shared" si="56"/>
        <v>0</v>
      </c>
      <c r="S39" s="203">
        <f t="shared" si="57"/>
        <v>2192078.8721900745</v>
      </c>
      <c r="T39" s="17"/>
      <c r="U39" s="5" t="s">
        <v>514</v>
      </c>
      <c r="V39" s="246" t="s">
        <v>417</v>
      </c>
      <c r="W39" s="203">
        <v>32911.338985626855</v>
      </c>
      <c r="X39" s="203">
        <v>6948.3876391959402</v>
      </c>
      <c r="Y39" s="203">
        <v>0</v>
      </c>
      <c r="Z39" s="203">
        <f t="shared" si="39"/>
        <v>39859.726624822797</v>
      </c>
      <c r="AA39" s="58"/>
      <c r="AB39" s="58"/>
      <c r="AC39" s="58"/>
      <c r="AD39" s="58"/>
      <c r="AE39" s="58"/>
      <c r="AF39" s="203"/>
      <c r="AG39" s="203"/>
      <c r="AH39" s="203"/>
      <c r="AI39" s="203"/>
      <c r="AJ39" s="58"/>
      <c r="AK39" s="137"/>
      <c r="AL39" s="137"/>
      <c r="AM39" s="137"/>
      <c r="AN39" s="137"/>
      <c r="AO39" s="203"/>
      <c r="AP39" s="254"/>
      <c r="AQ39" s="254"/>
      <c r="AR39" s="254"/>
      <c r="AS39" s="254"/>
      <c r="AT39" s="254"/>
      <c r="AU39" s="240"/>
      <c r="AV39" s="240"/>
      <c r="AW39" s="240"/>
      <c r="AY39" s="123"/>
      <c r="AZ39" s="123"/>
      <c r="BA39" s="123"/>
      <c r="BD39" s="1"/>
      <c r="BE39" s="1"/>
      <c r="BF39" s="1"/>
      <c r="BG39" s="242"/>
      <c r="BH39" s="371"/>
      <c r="BI39" s="371"/>
      <c r="BJ39" s="371"/>
      <c r="BK39" s="371"/>
      <c r="BL39" s="371"/>
      <c r="BM39" s="5"/>
      <c r="BN39" s="261">
        <f t="shared" si="43"/>
        <v>32911.338985626855</v>
      </c>
      <c r="BO39" s="261">
        <f t="shared" si="44"/>
        <v>6948.3876391959402</v>
      </c>
      <c r="BP39" s="261">
        <f t="shared" si="45"/>
        <v>0</v>
      </c>
      <c r="BQ39" s="261">
        <f t="shared" si="37"/>
        <v>39859.726624822797</v>
      </c>
      <c r="BS39" s="285">
        <f t="shared" si="63"/>
        <v>55.625</v>
      </c>
      <c r="BT39" s="285">
        <f t="shared" si="64"/>
        <v>52.01</v>
      </c>
      <c r="BU39" s="285"/>
      <c r="BV39" s="285">
        <f t="shared" si="66"/>
        <v>54.994829563756944</v>
      </c>
      <c r="BX39" s="285">
        <f>CC39/G39</f>
        <v>55.625</v>
      </c>
      <c r="BY39" s="285">
        <f>CD39/H39</f>
        <v>52.01</v>
      </c>
      <c r="BZ39" s="285"/>
      <c r="CA39" s="285">
        <f>CF39/J39</f>
        <v>54.994829563756944</v>
      </c>
      <c r="CC39" s="242">
        <f>P39+BD39</f>
        <v>1830693.2310754939</v>
      </c>
      <c r="CD39" s="242">
        <f>Q39+BE39</f>
        <v>361385.64111458085</v>
      </c>
      <c r="CE39" s="242"/>
      <c r="CF39" s="242">
        <f t="shared" si="53"/>
        <v>2192078.8721900745</v>
      </c>
    </row>
    <row r="40" spans="2:85">
      <c r="B40" s="17"/>
      <c r="C40" s="42" t="s">
        <v>293</v>
      </c>
      <c r="D40" s="42" t="s">
        <v>335</v>
      </c>
      <c r="G40" s="203"/>
      <c r="H40" s="203"/>
      <c r="I40" s="203">
        <v>10810</v>
      </c>
      <c r="J40" s="375">
        <f t="shared" si="38"/>
        <v>10810</v>
      </c>
      <c r="K40" s="135"/>
      <c r="L40" s="343"/>
      <c r="M40" s="343"/>
      <c r="N40" s="123">
        <v>153.28962840000003</v>
      </c>
      <c r="O40" s="58"/>
      <c r="P40" s="203">
        <f t="shared" si="54"/>
        <v>0</v>
      </c>
      <c r="Q40" s="203">
        <f t="shared" si="55"/>
        <v>0</v>
      </c>
      <c r="R40" s="203">
        <f t="shared" si="56"/>
        <v>1657060.8830040002</v>
      </c>
      <c r="S40" s="203">
        <f t="shared" si="57"/>
        <v>1657060.8830040002</v>
      </c>
      <c r="T40" s="17" t="s">
        <v>112</v>
      </c>
      <c r="U40" s="247" t="s">
        <v>313</v>
      </c>
      <c r="V40" s="247" t="s">
        <v>483</v>
      </c>
      <c r="W40" s="203"/>
      <c r="X40" s="203"/>
      <c r="Y40" s="203">
        <v>10810</v>
      </c>
      <c r="Z40" s="203">
        <f t="shared" si="39"/>
        <v>10810</v>
      </c>
      <c r="AA40" s="58"/>
      <c r="AB40" s="58"/>
      <c r="AC40" s="58"/>
      <c r="AD40" s="58"/>
      <c r="AE40" s="58"/>
      <c r="AF40" s="203"/>
      <c r="AG40" s="203"/>
      <c r="AH40" s="203"/>
      <c r="AI40" s="203"/>
      <c r="AJ40" s="58"/>
      <c r="AK40" s="137"/>
      <c r="AL40" s="137"/>
      <c r="AM40" s="137"/>
      <c r="AN40" s="137"/>
      <c r="AO40" s="203"/>
      <c r="AP40" s="254"/>
      <c r="AQ40" s="254"/>
      <c r="AR40" s="254"/>
      <c r="AS40" s="254"/>
      <c r="AT40" s="254"/>
      <c r="AU40" s="240"/>
      <c r="AV40" s="240"/>
      <c r="AW40" s="240"/>
      <c r="AY40" s="123"/>
      <c r="AZ40" s="123"/>
      <c r="BA40" s="123"/>
      <c r="BD40" s="1"/>
      <c r="BE40" s="1"/>
      <c r="BF40" s="1"/>
      <c r="BG40" s="242"/>
      <c r="BH40" s="371"/>
      <c r="BI40" s="371"/>
      <c r="BJ40" s="371"/>
      <c r="BK40" s="391">
        <f>(AR40-AD40)/I40</f>
        <v>0</v>
      </c>
      <c r="BL40" s="391">
        <f>(AS40-AE40)/J40</f>
        <v>0</v>
      </c>
      <c r="BM40" s="5"/>
      <c r="BN40" s="260"/>
      <c r="BO40" s="260"/>
      <c r="BP40" s="261">
        <f>I40+AR40</f>
        <v>10810</v>
      </c>
      <c r="BQ40" s="261">
        <f>BN40+BO40+BP40</f>
        <v>10810</v>
      </c>
      <c r="BS40" s="58"/>
      <c r="BT40" s="58"/>
      <c r="BU40" s="285">
        <f t="shared" si="65"/>
        <v>153.28962840000003</v>
      </c>
      <c r="BV40" s="285">
        <f t="shared" si="66"/>
        <v>153.28962840000003</v>
      </c>
      <c r="BZ40" s="285">
        <f>CE40/I40</f>
        <v>153.28962840000003</v>
      </c>
      <c r="CA40" s="285">
        <f>CF40/J40</f>
        <v>153.28962840000003</v>
      </c>
      <c r="CC40" s="242"/>
      <c r="CD40" s="242"/>
      <c r="CE40" s="242">
        <f>R40+BF40</f>
        <v>1657060.8830040002</v>
      </c>
      <c r="CF40" s="242">
        <f t="shared" si="53"/>
        <v>1657060.8830040002</v>
      </c>
    </row>
    <row r="41" spans="2:85">
      <c r="B41" s="17" t="s">
        <v>385</v>
      </c>
      <c r="C41" s="42" t="s">
        <v>352</v>
      </c>
      <c r="D41" s="42" t="s">
        <v>424</v>
      </c>
      <c r="G41" s="203"/>
      <c r="H41" s="203"/>
      <c r="I41" s="203">
        <v>690</v>
      </c>
      <c r="J41" s="375">
        <f t="shared" si="38"/>
        <v>690</v>
      </c>
      <c r="K41" s="135"/>
      <c r="L41" s="123"/>
      <c r="M41" s="123"/>
      <c r="N41" s="123">
        <v>153.28962840000003</v>
      </c>
      <c r="O41" s="58"/>
      <c r="P41" s="203">
        <f t="shared" si="54"/>
        <v>0</v>
      </c>
      <c r="Q41" s="203">
        <f t="shared" si="55"/>
        <v>0</v>
      </c>
      <c r="R41" s="203">
        <f t="shared" si="56"/>
        <v>105769.84359600002</v>
      </c>
      <c r="S41" s="203">
        <f t="shared" si="57"/>
        <v>105769.84359600002</v>
      </c>
      <c r="T41" s="17" t="s">
        <v>309</v>
      </c>
      <c r="U41" s="42" t="s">
        <v>484</v>
      </c>
      <c r="V41" s="42" t="s">
        <v>485</v>
      </c>
      <c r="W41" s="203"/>
      <c r="X41" s="203"/>
      <c r="Y41" s="203">
        <v>690</v>
      </c>
      <c r="Z41" s="203">
        <f t="shared" si="39"/>
        <v>690</v>
      </c>
      <c r="AA41" s="58"/>
      <c r="AB41" s="58"/>
      <c r="AC41" s="58"/>
      <c r="AD41" s="58"/>
      <c r="AE41" s="58"/>
      <c r="AF41" s="203"/>
      <c r="AG41" s="203"/>
      <c r="AH41" s="203"/>
      <c r="AI41" s="203"/>
      <c r="AJ41" s="58"/>
      <c r="AK41" s="137"/>
      <c r="AL41" s="137"/>
      <c r="AM41" s="137"/>
      <c r="AN41" s="137"/>
      <c r="AO41" s="203"/>
      <c r="AP41" s="254"/>
      <c r="AQ41" s="254"/>
      <c r="AR41" s="254"/>
      <c r="AS41" s="254"/>
      <c r="AT41" s="254"/>
      <c r="AU41" s="240"/>
      <c r="AV41" s="240"/>
      <c r="AW41" s="240"/>
      <c r="AY41" s="123"/>
      <c r="AZ41" s="123"/>
      <c r="BA41" s="123"/>
      <c r="BD41" s="1"/>
      <c r="BE41" s="1"/>
      <c r="BF41" s="1"/>
      <c r="BG41" s="242"/>
      <c r="BH41" s="371"/>
      <c r="BI41" s="371"/>
      <c r="BJ41" s="371"/>
      <c r="BK41" s="391">
        <f>(AR41-AD41)/I41</f>
        <v>0</v>
      </c>
      <c r="BL41" s="391">
        <f>(AS41-AE41)/J41</f>
        <v>0</v>
      </c>
      <c r="BM41" s="5"/>
      <c r="BN41" s="260"/>
      <c r="BO41" s="260"/>
      <c r="BP41" s="261">
        <f>I41+AR41</f>
        <v>690</v>
      </c>
      <c r="BQ41" s="261">
        <f>BN41+BO41+BP41</f>
        <v>690</v>
      </c>
      <c r="BS41" s="58"/>
      <c r="BT41" s="58"/>
      <c r="BU41" s="285">
        <f t="shared" si="65"/>
        <v>153.28962840000003</v>
      </c>
      <c r="BV41" s="285">
        <f t="shared" si="66"/>
        <v>153.28962840000003</v>
      </c>
      <c r="BZ41" s="285">
        <f>CE41/I41</f>
        <v>153.28962840000003</v>
      </c>
      <c r="CA41" s="285">
        <f>CF41/J41</f>
        <v>153.28962840000003</v>
      </c>
      <c r="CC41" s="242"/>
      <c r="CD41" s="242"/>
      <c r="CE41" s="242">
        <f>R41+BF41</f>
        <v>105769.84359600002</v>
      </c>
      <c r="CF41" s="242">
        <f t="shared" si="53"/>
        <v>105769.84359600002</v>
      </c>
    </row>
    <row r="42" spans="2:85">
      <c r="B42" s="18" t="s">
        <v>461</v>
      </c>
      <c r="C42" s="5" t="s">
        <v>343</v>
      </c>
      <c r="D42" s="43" t="s">
        <v>236</v>
      </c>
      <c r="G42" s="260">
        <v>780.82950551405679</v>
      </c>
      <c r="H42" s="133">
        <f>0.35*X42/0.9</f>
        <v>6316.5595146260684</v>
      </c>
      <c r="I42" s="133">
        <f>0.35*Y42/0.9</f>
        <v>88938.200800044797</v>
      </c>
      <c r="J42" s="375">
        <f t="shared" si="38"/>
        <v>96035.58982018492</v>
      </c>
      <c r="K42" s="135"/>
      <c r="L42" s="123">
        <v>59.049078565500004</v>
      </c>
      <c r="M42" s="123">
        <v>48.07188</v>
      </c>
      <c r="N42" s="123">
        <v>45.54</v>
      </c>
      <c r="O42" s="58"/>
      <c r="P42" s="203">
        <f t="shared" si="54"/>
        <v>46107.262817360061</v>
      </c>
      <c r="Q42" s="133">
        <f t="shared" si="55"/>
        <v>303648.89099996263</v>
      </c>
      <c r="R42" s="133">
        <f t="shared" si="56"/>
        <v>4050245.66443404</v>
      </c>
      <c r="S42" s="203">
        <f t="shared" si="57"/>
        <v>4400001.818251363</v>
      </c>
      <c r="T42" s="18" t="s">
        <v>310</v>
      </c>
      <c r="U42" s="5" t="s">
        <v>419</v>
      </c>
      <c r="V42" s="43" t="s">
        <v>356</v>
      </c>
      <c r="W42" s="203">
        <v>2230.9414443258765</v>
      </c>
      <c r="X42" s="133">
        <v>16242.581609038461</v>
      </c>
      <c r="Y42" s="133">
        <v>228698.23062868664</v>
      </c>
      <c r="Z42" s="203">
        <f t="shared" si="39"/>
        <v>247171.75368205097</v>
      </c>
      <c r="AA42" s="58"/>
      <c r="AB42" s="203">
        <f>W42-G42</f>
        <v>1450.1119388118198</v>
      </c>
      <c r="AC42" s="203">
        <f>X42-H42</f>
        <v>9926.0220944123939</v>
      </c>
      <c r="AD42" s="203">
        <f>Y42-I42</f>
        <v>139760.02982864185</v>
      </c>
      <c r="AE42" s="203">
        <f t="shared" si="59"/>
        <v>151136.16386186608</v>
      </c>
      <c r="AF42" s="203"/>
      <c r="AG42" s="269">
        <f>L42</f>
        <v>59.049078565500004</v>
      </c>
      <c r="AH42" s="269">
        <f>M42</f>
        <v>48.07188</v>
      </c>
      <c r="AI42" s="269">
        <f>N42</f>
        <v>45.54</v>
      </c>
      <c r="AJ42" s="58"/>
      <c r="AK42" s="137">
        <f>AB42*AG42</f>
        <v>85627.773803668679</v>
      </c>
      <c r="AL42" s="137">
        <f>AC42*AH42</f>
        <v>477162.54299994127</v>
      </c>
      <c r="AM42" s="137">
        <f>AD42*AI42</f>
        <v>6364671.7583963498</v>
      </c>
      <c r="AN42" s="137">
        <f t="shared" si="62"/>
        <v>6927462.0751999598</v>
      </c>
      <c r="AO42" s="203"/>
      <c r="AP42" s="267">
        <f>AB42</f>
        <v>1450.1119388118198</v>
      </c>
      <c r="AQ42" s="267">
        <f>AC42</f>
        <v>9926.0220944123939</v>
      </c>
      <c r="AR42" s="267">
        <f>AD42</f>
        <v>139760.02982864185</v>
      </c>
      <c r="AS42" s="252">
        <f t="shared" si="12"/>
        <v>151136.16386186608</v>
      </c>
      <c r="AT42" s="267"/>
      <c r="AU42" s="240">
        <f>AP42/G42</f>
        <v>1.8571428571428572</v>
      </c>
      <c r="AV42" s="240">
        <f>AQ42/H42</f>
        <v>1.5714285714285716</v>
      </c>
      <c r="AW42" s="240">
        <f>AR42/I42</f>
        <v>1.5714285714285718</v>
      </c>
      <c r="AY42" s="264">
        <f>AG42</f>
        <v>59.049078565500004</v>
      </c>
      <c r="AZ42" s="269">
        <f>AH42</f>
        <v>48.07188</v>
      </c>
      <c r="BA42" s="269">
        <f>AI42</f>
        <v>45.54</v>
      </c>
      <c r="BD42" s="242">
        <f>AP42*AY42</f>
        <v>85627.773803668679</v>
      </c>
      <c r="BE42" s="242">
        <f>AQ42*AZ42</f>
        <v>477162.54299994127</v>
      </c>
      <c r="BF42" s="242">
        <f>AR42*BA42</f>
        <v>6364671.7583963498</v>
      </c>
      <c r="BG42" s="242">
        <f>BD42+BE42+BF42</f>
        <v>6927462.0751999598</v>
      </c>
      <c r="BH42" s="5"/>
      <c r="BI42" s="391">
        <f t="shared" si="16"/>
        <v>0</v>
      </c>
      <c r="BJ42" s="391">
        <f t="shared" si="17"/>
        <v>0</v>
      </c>
      <c r="BK42" s="391">
        <f>(AR42-AD42)/I42</f>
        <v>0</v>
      </c>
      <c r="BL42" s="391">
        <f t="shared" si="19"/>
        <v>0</v>
      </c>
      <c r="BM42" s="5"/>
      <c r="BN42" s="261">
        <f>G42+AP42</f>
        <v>2230.9414443258765</v>
      </c>
      <c r="BO42" s="261">
        <f>H42+AQ42</f>
        <v>16242.581609038461</v>
      </c>
      <c r="BP42" s="261">
        <f>I42+AR42</f>
        <v>228698.23062868667</v>
      </c>
      <c r="BQ42" s="261">
        <f>BN42+BO42+BP42</f>
        <v>247171.753682051</v>
      </c>
      <c r="BS42" s="285">
        <f t="shared" si="63"/>
        <v>59.049078565500004</v>
      </c>
      <c r="BT42" s="285">
        <f t="shared" si="64"/>
        <v>48.071880000000007</v>
      </c>
      <c r="BU42" s="285">
        <f t="shared" si="65"/>
        <v>45.54</v>
      </c>
      <c r="BV42" s="285">
        <f t="shared" si="66"/>
        <v>45.828310576387253</v>
      </c>
      <c r="BX42" s="285">
        <f>CC42/G42</f>
        <v>168.71165304428573</v>
      </c>
      <c r="BY42" s="285">
        <f>CD42/H42</f>
        <v>123.61340571428573</v>
      </c>
      <c r="BZ42" s="285">
        <f>CE42/I42</f>
        <v>117.10285714285716</v>
      </c>
      <c r="CA42" s="285">
        <f>CF42/J42</f>
        <v>117.95068801743848</v>
      </c>
      <c r="CC42" s="242">
        <f>P42+BD42</f>
        <v>131735.03662102873</v>
      </c>
      <c r="CD42" s="242">
        <f>Q42+BE42</f>
        <v>780811.43399990397</v>
      </c>
      <c r="CE42" s="242">
        <f>R42+BF42</f>
        <v>10414917.42283039</v>
      </c>
      <c r="CF42" s="242">
        <f t="shared" si="53"/>
        <v>11327463.893451322</v>
      </c>
    </row>
    <row r="43" spans="2:85">
      <c r="B43" s="129"/>
      <c r="C43" s="5"/>
      <c r="D43" s="43"/>
      <c r="G43" s="1"/>
      <c r="H43" s="142"/>
      <c r="I43" s="1"/>
      <c r="J43" s="97"/>
      <c r="K43" s="136"/>
      <c r="L43" s="96"/>
      <c r="M43" s="96"/>
      <c r="N43" s="96"/>
      <c r="O43" s="58"/>
      <c r="P43" s="137"/>
      <c r="Q43" s="137"/>
      <c r="R43" s="137"/>
      <c r="S43" s="137"/>
      <c r="T43" s="58"/>
      <c r="U43" s="58"/>
      <c r="V43" s="58"/>
      <c r="W43" s="203"/>
      <c r="X43" s="203"/>
      <c r="Y43" s="203"/>
      <c r="Z43" s="203"/>
      <c r="AA43" s="58"/>
      <c r="AB43" s="97"/>
      <c r="AC43" s="97"/>
      <c r="AD43" s="97"/>
      <c r="AE43" s="97"/>
      <c r="AF43" s="203"/>
      <c r="AG43" s="264"/>
      <c r="AH43" s="264"/>
      <c r="AI43" s="264"/>
      <c r="AJ43" s="58"/>
      <c r="AK43" s="130"/>
      <c r="AL43" s="130"/>
      <c r="AM43" s="130"/>
      <c r="AN43" s="132"/>
      <c r="AO43" s="97"/>
      <c r="AU43" s="116"/>
      <c r="AV43" s="240"/>
      <c r="AW43" s="240"/>
      <c r="AY43" s="123"/>
      <c r="AZ43" s="123"/>
      <c r="BA43" s="123"/>
      <c r="BD43" s="124"/>
      <c r="BE43" s="124"/>
      <c r="BF43" s="124"/>
      <c r="BH43" s="371"/>
      <c r="BI43" s="371"/>
      <c r="BJ43" s="371"/>
      <c r="BK43" s="371"/>
      <c r="BL43" s="371"/>
      <c r="BM43" s="353"/>
    </row>
    <row r="44" spans="2:85">
      <c r="B44" s="27"/>
      <c r="C44" s="5"/>
      <c r="D44" s="5"/>
      <c r="E44" s="5"/>
      <c r="F44" s="370" t="s">
        <v>534</v>
      </c>
      <c r="G44" s="135">
        <f>G46-G25-G26-SUM(G39:G42)</f>
        <v>95376.558591708759</v>
      </c>
      <c r="H44" s="135">
        <f>H46-H25-H26-SUM(H39:H42)</f>
        <v>117353.05005078674</v>
      </c>
      <c r="I44" s="135">
        <f>I46-I25-I26-SUM(I39:I42)</f>
        <v>139783.38148869638</v>
      </c>
      <c r="J44" s="203">
        <f>SUM(G44:I44)</f>
        <v>352512.99013119191</v>
      </c>
      <c r="K44" s="133"/>
      <c r="L44" s="94"/>
      <c r="M44" s="94"/>
      <c r="N44" s="94"/>
      <c r="O44" s="58"/>
      <c r="P44" s="137"/>
      <c r="Q44" s="137"/>
      <c r="R44" s="137"/>
      <c r="S44" s="137" t="s">
        <v>232</v>
      </c>
      <c r="T44" s="58"/>
      <c r="U44" s="58"/>
      <c r="V44" s="58"/>
      <c r="W44" s="203"/>
      <c r="X44" s="203"/>
      <c r="Y44" s="203"/>
      <c r="Z44" s="203"/>
      <c r="AA44" s="58"/>
      <c r="AB44" s="97"/>
      <c r="AC44" s="97"/>
      <c r="AD44" s="97"/>
      <c r="AE44" s="97"/>
      <c r="AF44" s="133"/>
      <c r="AG44" s="58"/>
      <c r="AH44" s="58"/>
      <c r="AI44" s="58"/>
      <c r="AJ44" s="58"/>
      <c r="AK44" s="130"/>
      <c r="AL44" s="130"/>
      <c r="AM44" s="130"/>
      <c r="AN44" s="132"/>
      <c r="AV44" s="240"/>
      <c r="AW44" s="240"/>
      <c r="AY44" s="264"/>
      <c r="AZ44" s="264"/>
      <c r="BA44" s="264"/>
      <c r="BD44" s="242"/>
      <c r="BE44" s="242"/>
      <c r="BF44" s="242"/>
      <c r="BG44" s="242"/>
      <c r="BH44" s="108"/>
      <c r="BI44" s="391">
        <f t="shared" si="16"/>
        <v>0</v>
      </c>
      <c r="BJ44" s="391">
        <f t="shared" si="17"/>
        <v>0</v>
      </c>
      <c r="BK44" s="391">
        <f>(AR44-AD44)/I44</f>
        <v>0</v>
      </c>
      <c r="BL44" s="391">
        <f t="shared" si="19"/>
        <v>0</v>
      </c>
      <c r="BM44" s="204"/>
    </row>
    <row r="45" spans="2:85" ht="16" thickBot="1">
      <c r="D45" s="43"/>
      <c r="F45" s="8" t="s">
        <v>307</v>
      </c>
      <c r="G45" s="93">
        <f>G46-G26-SUM(G40:G42)</f>
        <v>128988.89238495556</v>
      </c>
      <c r="H45" s="203">
        <f>H46-H26-SUM(H40:H42)</f>
        <v>124974.034511373</v>
      </c>
      <c r="I45" s="203">
        <f>I46-I26-SUM(I40:I42)</f>
        <v>139783.38148869638</v>
      </c>
      <c r="J45" s="93">
        <f>SUM(G45:I45)</f>
        <v>393746.30838502495</v>
      </c>
      <c r="K45" s="136"/>
      <c r="L45" s="94">
        <f t="shared" ref="L45:N46" si="67">P45/G45</f>
        <v>156.17473538140473</v>
      </c>
      <c r="M45" s="269">
        <f>Q45/H45</f>
        <v>185.88060139561722</v>
      </c>
      <c r="N45" s="269">
        <f>R45/I45</f>
        <v>364.11792882356912</v>
      </c>
      <c r="P45" s="203">
        <f>P46-P26-SUM(P40:P42)</f>
        <v>20144806.135360926</v>
      </c>
      <c r="Q45" s="203">
        <f>Q46-Q26-SUM(Q40:Q42)</f>
        <v>23230248.693810634</v>
      </c>
      <c r="R45" s="203">
        <f>R46-R26-SUM(R40:R42)</f>
        <v>50897635.35161896</v>
      </c>
      <c r="S45" s="97">
        <f>SUM(P45:R45)</f>
        <v>94272690.180790514</v>
      </c>
      <c r="T45" s="102" t="s">
        <v>307</v>
      </c>
      <c r="U45" s="8"/>
      <c r="V45" s="8"/>
      <c r="W45" s="203">
        <f>W46-W26-SUM(W40:W42)</f>
        <v>185998.95840009412</v>
      </c>
      <c r="X45" s="203">
        <f>X46-X26-SUM(X40:X42)</f>
        <v>156875.32520992597</v>
      </c>
      <c r="Y45" s="203">
        <f>Y46-SUM(Y40:Y42)</f>
        <v>195938.17294964768</v>
      </c>
      <c r="Z45" s="203">
        <f>Z46-Z26-SUM(Z40:Z42)</f>
        <v>538812.45655966771</v>
      </c>
      <c r="AA45" s="8"/>
      <c r="AB45" s="97">
        <f>AB46-AB26-SUM(AB40:AB42)</f>
        <v>57010.066015138582</v>
      </c>
      <c r="AC45" s="203">
        <f>AC46-AC26-SUM(AC40:AC42)</f>
        <v>31901.290698552963</v>
      </c>
      <c r="AD45" s="203">
        <f>AD46-SUM(AD40:AD42)</f>
        <v>56154.791460951325</v>
      </c>
      <c r="AE45" s="203">
        <f>AE46-AE26-SUM(AE40:AE42)</f>
        <v>145066.14817464285</v>
      </c>
      <c r="AF45" s="101"/>
      <c r="AG45" s="264">
        <f t="shared" ref="AG45:AI46" si="68">AK45/AB45</f>
        <v>192.02400450096135</v>
      </c>
      <c r="AH45" s="264">
        <f t="shared" si="68"/>
        <v>176.25279819080322</v>
      </c>
      <c r="AI45" s="264">
        <f t="shared" si="68"/>
        <v>212.05364929897644</v>
      </c>
      <c r="AK45" s="203">
        <f>AK46-AK26-SUM(AK40:AK42)</f>
        <v>10947301.173091074</v>
      </c>
      <c r="AL45" s="203">
        <f>AL46-AL26-SUM(AL40:AL42)</f>
        <v>5622691.7515182029</v>
      </c>
      <c r="AM45" s="203">
        <f>AM46-AM26-SUM(AM40:AM42)</f>
        <v>11907828.454917729</v>
      </c>
      <c r="AN45" s="275">
        <f>SUM(AK45:AM45)</f>
        <v>28477821.379527006</v>
      </c>
      <c r="AO45" s="102" t="s">
        <v>307</v>
      </c>
      <c r="AP45" s="249">
        <f>AP46-AP26-AP42</f>
        <v>57010.066015138582</v>
      </c>
      <c r="AQ45" s="261">
        <f>AQ46-AQ26-AQ42</f>
        <v>31901.290698552963</v>
      </c>
      <c r="AR45" s="261">
        <f>AR46-AR42</f>
        <v>56154.791460951325</v>
      </c>
      <c r="AS45" s="252">
        <f t="shared" si="12"/>
        <v>145066.14817464288</v>
      </c>
      <c r="AU45" s="240">
        <f t="shared" ref="AU45:AW46" si="69">AP45/G45</f>
        <v>0.44197655287245396</v>
      </c>
      <c r="AV45" s="290">
        <f t="shared" si="69"/>
        <v>0.25526334988929122</v>
      </c>
      <c r="AW45" s="240">
        <f t="shared" si="69"/>
        <v>0.40172723583376968</v>
      </c>
      <c r="AY45" s="264"/>
      <c r="AZ45" s="264"/>
      <c r="BA45" s="264"/>
      <c r="BD45" s="203">
        <f>BD46-BD26-SUM(BD40:BD42)</f>
        <v>10947301.173091076</v>
      </c>
      <c r="BE45" s="203">
        <f>BE46-BE26-SUM(BE40:BE42)</f>
        <v>5622691.751518202</v>
      </c>
      <c r="BF45" s="203">
        <f>BF46-BF26-SUM(BF40:BF42)</f>
        <v>11907828.454917729</v>
      </c>
      <c r="BG45" s="242">
        <f>BD45+BE45+BF45</f>
        <v>28477821.379527006</v>
      </c>
      <c r="BH45" s="8" t="s">
        <v>344</v>
      </c>
      <c r="BI45" s="391">
        <f t="shared" si="16"/>
        <v>0</v>
      </c>
      <c r="BJ45" s="391">
        <f t="shared" si="17"/>
        <v>0</v>
      </c>
      <c r="BK45" s="391">
        <f>(AR45-AD45)/I45</f>
        <v>0</v>
      </c>
      <c r="BL45" s="391">
        <f t="shared" si="19"/>
        <v>7.3915183042870624E-17</v>
      </c>
      <c r="BM45" s="8"/>
      <c r="BN45" s="141">
        <f>BN46-BN26-SUM(BN40:BN42)</f>
        <v>185998.9584000941</v>
      </c>
      <c r="BO45" s="242">
        <f>BO46-BO26-SUM(BO40:BO42)</f>
        <v>156875.32520992594</v>
      </c>
      <c r="BP45" s="242">
        <f>BP46-BP26-SUM(BP40:BP42)</f>
        <v>195938.17294964771</v>
      </c>
      <c r="BQ45" s="261">
        <f>BN45+BO45+BP45</f>
        <v>538812.45655966783</v>
      </c>
      <c r="BS45" s="145">
        <f t="shared" ref="BS45:BV46" si="70">CC45/BN45</f>
        <v>167.1628033613562</v>
      </c>
      <c r="BT45" s="145">
        <f t="shared" si="70"/>
        <v>183.92274506343611</v>
      </c>
      <c r="BU45" s="145">
        <f t="shared" si="70"/>
        <v>320.53715139354944</v>
      </c>
      <c r="BV45" s="145">
        <f t="shared" si="70"/>
        <v>227.81676642014347</v>
      </c>
      <c r="BW45" s="8" t="s">
        <v>357</v>
      </c>
      <c r="BX45" s="285">
        <f t="shared" ref="BX45:CA46" si="71">CC45/G45</f>
        <v>241.04484295950422</v>
      </c>
      <c r="BY45" s="285">
        <f t="shared" si="71"/>
        <v>230.87148108916287</v>
      </c>
      <c r="BZ45" s="285">
        <f t="shared" si="71"/>
        <v>449.30565520491064</v>
      </c>
      <c r="CA45" s="285">
        <f t="shared" si="71"/>
        <v>311.75025377072467</v>
      </c>
      <c r="CB45" s="8"/>
      <c r="CC45" s="141">
        <f>CC46-CC26-SUM(CC40:CC42)</f>
        <v>31092107.308452003</v>
      </c>
      <c r="CD45" s="276">
        <f>CD46-CD26-SUM(CD40:CD42)</f>
        <v>28852940.445328839</v>
      </c>
      <c r="CE45" s="276">
        <f>CE46-CE26-SUM(CE40:CE42)</f>
        <v>62805463.806536704</v>
      </c>
      <c r="CF45" s="242">
        <f>CC45+CD45+CE45</f>
        <v>122750511.56031755</v>
      </c>
    </row>
    <row r="46" spans="2:85" ht="16" thickBot="1">
      <c r="F46" s="8" t="s">
        <v>308</v>
      </c>
      <c r="G46" s="89">
        <f>G15+G29</f>
        <v>129769.72189046962</v>
      </c>
      <c r="H46" s="260">
        <f>H15+H29</f>
        <v>132277.22652599908</v>
      </c>
      <c r="I46" s="260">
        <f>I15+I29</f>
        <v>240221.58228874116</v>
      </c>
      <c r="J46" s="151">
        <f>SUM(G46:I46)</f>
        <v>502268.53070520982</v>
      </c>
      <c r="K46" s="189"/>
      <c r="L46" s="123">
        <f t="shared" si="67"/>
        <v>155.59032649557616</v>
      </c>
      <c r="M46" s="123">
        <f t="shared" si="67"/>
        <v>178.72496973706106</v>
      </c>
      <c r="N46" s="123">
        <f t="shared" si="67"/>
        <v>236.07667222209847</v>
      </c>
      <c r="P46" s="115">
        <f>P15+P29</f>
        <v>20190913.398178287</v>
      </c>
      <c r="Q46" s="260">
        <f>Q15+Q29</f>
        <v>23641243.307761557</v>
      </c>
      <c r="R46" s="260">
        <f>R15+R29</f>
        <v>56710711.742653005</v>
      </c>
      <c r="S46" s="115">
        <f>SUM(P46:R46)</f>
        <v>100542868.44859284</v>
      </c>
      <c r="T46" s="102" t="s">
        <v>308</v>
      </c>
      <c r="U46" s="8"/>
      <c r="V46" s="8"/>
      <c r="W46" s="260">
        <f>W15+W29</f>
        <v>188229.89984442</v>
      </c>
      <c r="X46" s="260">
        <f>X15+X29</f>
        <v>175654.96181896442</v>
      </c>
      <c r="Y46" s="260">
        <f>Y15+Y29</f>
        <v>436136.40357833431</v>
      </c>
      <c r="Z46" s="194">
        <f>Z15+Z29</f>
        <v>800021.26524171873</v>
      </c>
      <c r="AA46" s="8"/>
      <c r="AB46" s="115">
        <f>AB15+AB29</f>
        <v>58460.177953950399</v>
      </c>
      <c r="AC46" s="261">
        <f>AC15+AC29</f>
        <v>43377.735292965357</v>
      </c>
      <c r="AD46" s="261">
        <f>AD15+AD29</f>
        <v>195914.82128959318</v>
      </c>
      <c r="AE46" s="115">
        <f>SUM(AB46:AD46)</f>
        <v>297752.73453650891</v>
      </c>
      <c r="AF46" s="262"/>
      <c r="AG46" s="264">
        <f t="shared" si="68"/>
        <v>188.72554502973765</v>
      </c>
      <c r="AH46" s="264">
        <f t="shared" si="68"/>
        <v>144.51055105222432</v>
      </c>
      <c r="AI46" s="264">
        <f t="shared" si="68"/>
        <v>93.267574617565174</v>
      </c>
      <c r="AK46" s="276">
        <f>AK15+AK29</f>
        <v>11032928.946894743</v>
      </c>
      <c r="AL46" s="276">
        <f>AL15+AL29</f>
        <v>6268540.4305839427</v>
      </c>
      <c r="AM46" s="276">
        <f>AM15+AM29</f>
        <v>18272500.213314079</v>
      </c>
      <c r="AN46" s="276">
        <f>SUM(AK46:AM46)</f>
        <v>35573969.59079276</v>
      </c>
      <c r="AO46" s="102" t="s">
        <v>308</v>
      </c>
      <c r="AP46" s="249">
        <f>AP15+AP29</f>
        <v>58460.177953950399</v>
      </c>
      <c r="AQ46" s="261">
        <f>AQ15+AQ29</f>
        <v>43377.735292965357</v>
      </c>
      <c r="AR46" s="261">
        <f>AR15+AR29</f>
        <v>195914.82128959318</v>
      </c>
      <c r="AS46" s="252">
        <f t="shared" si="12"/>
        <v>297752.73453650891</v>
      </c>
      <c r="AU46" s="240">
        <f t="shared" si="69"/>
        <v>0.45049166402077151</v>
      </c>
      <c r="AV46" s="240">
        <f t="shared" si="69"/>
        <v>0.32793048684339832</v>
      </c>
      <c r="AW46" s="240">
        <f t="shared" si="69"/>
        <v>0.81555878294943451</v>
      </c>
      <c r="AY46" s="264"/>
      <c r="AZ46" s="264"/>
      <c r="BA46" s="264"/>
      <c r="BD46" s="261">
        <f>BD15+BD29</f>
        <v>11032928.946894744</v>
      </c>
      <c r="BE46" s="261">
        <f>BE15+BE29</f>
        <v>6268540.4305839418</v>
      </c>
      <c r="BF46" s="261">
        <f>BF15+BF29</f>
        <v>18272500.213314079</v>
      </c>
      <c r="BG46" s="242">
        <f>BD46+BE46+BF46</f>
        <v>35573969.59079276</v>
      </c>
      <c r="BH46" s="8" t="s">
        <v>345</v>
      </c>
      <c r="BI46" s="391">
        <f t="shared" si="16"/>
        <v>0</v>
      </c>
      <c r="BJ46" s="391">
        <f t="shared" si="17"/>
        <v>0</v>
      </c>
      <c r="BK46" s="391">
        <f>(AR46-AD46)/I46</f>
        <v>0</v>
      </c>
      <c r="BL46" s="391">
        <f t="shared" si="19"/>
        <v>0</v>
      </c>
      <c r="BM46" s="8"/>
      <c r="BN46" s="141">
        <f>BN15+BN29</f>
        <v>188229.89984441997</v>
      </c>
      <c r="BO46" s="242">
        <f>BO15+BO29</f>
        <v>175654.9618189644</v>
      </c>
      <c r="BP46" s="242">
        <f>BP15+BP29</f>
        <v>436136.40357833437</v>
      </c>
      <c r="BQ46" s="273">
        <f>BN46+BO46+BP46</f>
        <v>800021.26524171873</v>
      </c>
      <c r="BS46" s="145">
        <f t="shared" si="70"/>
        <v>165.88141613463571</v>
      </c>
      <c r="BT46" s="145">
        <f t="shared" si="70"/>
        <v>170.27576920469505</v>
      </c>
      <c r="BU46" s="145">
        <f t="shared" si="70"/>
        <v>171.92605648315109</v>
      </c>
      <c r="BV46" s="145">
        <f t="shared" si="70"/>
        <v>170.14152492341466</v>
      </c>
      <c r="BW46" s="8" t="s">
        <v>345</v>
      </c>
      <c r="BX46" s="285">
        <f t="shared" si="71"/>
        <v>240.60961131924975</v>
      </c>
      <c r="BY46" s="285">
        <f t="shared" si="71"/>
        <v>226.11438509762479</v>
      </c>
      <c r="BZ46" s="285">
        <f t="shared" si="71"/>
        <v>312.14186186584556</v>
      </c>
      <c r="CA46" s="285">
        <f t="shared" si="71"/>
        <v>271.00411377211083</v>
      </c>
      <c r="CB46" s="8"/>
      <c r="CC46" s="141">
        <f>CC15+CC29</f>
        <v>31223842.345073033</v>
      </c>
      <c r="CD46" s="242">
        <f>CD15+CD29</f>
        <v>29909783.738345504</v>
      </c>
      <c r="CE46" s="242">
        <f>CE15+CE29</f>
        <v>74983211.955967098</v>
      </c>
      <c r="CF46" s="242">
        <f>CC46+CD46+CE46</f>
        <v>136116838.03938562</v>
      </c>
    </row>
    <row r="47" spans="2:85">
      <c r="F47" s="134"/>
      <c r="G47" s="109">
        <f>G46-G45-G26-G42</f>
        <v>5.6843418860808015E-12</v>
      </c>
      <c r="H47" s="109">
        <f>H46-H45-(H26+SUM(H40:H42))</f>
        <v>1.3642420526593924E-11</v>
      </c>
      <c r="I47" s="254">
        <f>I46-I45-(I26+SUM(I40:I42))</f>
        <v>0</v>
      </c>
      <c r="J47" s="254">
        <f>J46-J45-(J26+SUM(J40:J42))</f>
        <v>0</v>
      </c>
      <c r="O47" s="134"/>
      <c r="P47" s="254">
        <f>P46-P45-(P26+SUM(P40:P42))</f>
        <v>4.0017766878008842E-10</v>
      </c>
      <c r="Q47" s="254">
        <f>Q46-Q45-(Q26+SUM(Q40:Q42))</f>
        <v>-2.5611370801925659E-9</v>
      </c>
      <c r="R47" s="254">
        <f>R46-R45-(R26+SUM(R40:R42))</f>
        <v>0</v>
      </c>
      <c r="S47" s="254">
        <f>S46-S45-(S26+SUM(S40:S42))</f>
        <v>0</v>
      </c>
      <c r="T47" s="134"/>
      <c r="U47" s="134"/>
      <c r="V47" s="134"/>
      <c r="W47" s="204"/>
      <c r="X47" s="204"/>
      <c r="Y47" s="204"/>
      <c r="Z47" s="272" t="s">
        <v>570</v>
      </c>
      <c r="AA47" s="134"/>
      <c r="AB47" s="254">
        <f>AB46-AB45-(AB26+SUM(AB40:AB42))</f>
        <v>-2.9558577807620168E-12</v>
      </c>
      <c r="AC47" s="254">
        <f>AC46-AC45-(AC26+SUM(AC40:AC42))</f>
        <v>0</v>
      </c>
      <c r="AD47" s="254">
        <f>AD46-AD45-(SUM(AD40:AD42))</f>
        <v>0</v>
      </c>
      <c r="AE47" s="254">
        <f>AE46-AE45-(AE26+SUM(AE40:AE42))</f>
        <v>0</v>
      </c>
      <c r="AG47" s="58"/>
      <c r="AH47" s="58"/>
      <c r="AI47" s="268"/>
      <c r="AJ47" s="134"/>
      <c r="AK47" s="254">
        <f>AK46-AK45-(AK26+SUM(AK40:AK42))</f>
        <v>-5.8207660913467407E-10</v>
      </c>
      <c r="AL47" s="254">
        <f>AL46-AL45-(AL26+SUM(AL40:AL42))</f>
        <v>0</v>
      </c>
      <c r="AM47" s="254">
        <f>AM46-AM45-(AM26+SUM(AM40:AM42))</f>
        <v>0</v>
      </c>
      <c r="AN47" s="254">
        <f>AN46-AN45-(AN26+SUM(AN40:AN42))</f>
        <v>0</v>
      </c>
      <c r="AO47" s="134" t="s">
        <v>228</v>
      </c>
      <c r="AP47" s="254">
        <f>AP46-AB46</f>
        <v>0</v>
      </c>
      <c r="AQ47" s="254">
        <f>AQ46-AC46</f>
        <v>0</v>
      </c>
      <c r="AR47" s="254">
        <f>AR46-AD46</f>
        <v>0</v>
      </c>
      <c r="AS47" s="254">
        <f>AS46-AE46</f>
        <v>0</v>
      </c>
      <c r="AT47" s="254"/>
      <c r="AV47" s="186"/>
      <c r="AW47" s="186"/>
      <c r="AY47" s="264"/>
      <c r="AZ47" s="264"/>
      <c r="BA47" s="264"/>
      <c r="BC47" s="134" t="s">
        <v>571</v>
      </c>
      <c r="BD47" s="195">
        <f>BD46-AK46</f>
        <v>0</v>
      </c>
      <c r="BE47" s="195">
        <f>BE46-AL46</f>
        <v>0</v>
      </c>
      <c r="BF47" s="195">
        <f>BF46-AM46</f>
        <v>0</v>
      </c>
      <c r="BG47" s="195">
        <f>BG46-AN46</f>
        <v>0</v>
      </c>
      <c r="CF47" s="57" t="s">
        <v>440</v>
      </c>
      <c r="CG47" s="57"/>
    </row>
    <row r="48" spans="2:85" ht="16" thickBot="1">
      <c r="F48" s="134"/>
      <c r="G48" s="176"/>
      <c r="H48" s="176"/>
      <c r="I48" s="176"/>
      <c r="J48" s="176"/>
      <c r="L48" s="297" t="s">
        <v>595</v>
      </c>
      <c r="M48" s="186"/>
      <c r="N48" s="186"/>
      <c r="X48" s="254" t="s">
        <v>584</v>
      </c>
      <c r="AB48" s="1"/>
      <c r="AC48" s="1"/>
      <c r="AD48" s="1"/>
      <c r="AF48" s="8" t="s">
        <v>229</v>
      </c>
      <c r="AG48" s="279">
        <f>(AK15-AK26)/(AB15-AB26)</f>
        <v>147.87979041622401</v>
      </c>
      <c r="AH48" s="280">
        <f>(AL15-AL26)/(AC15-AC26)</f>
        <v>346.15642689572286</v>
      </c>
      <c r="AI48" s="281">
        <f>(AM15)/(AD15)</f>
        <v>188.74983954643406</v>
      </c>
      <c r="AK48" s="131"/>
      <c r="AL48" s="131"/>
      <c r="AN48" s="274" t="s">
        <v>359</v>
      </c>
      <c r="AO48" s="92"/>
      <c r="AS48" s="261" t="s">
        <v>464</v>
      </c>
      <c r="AU48" s="369"/>
      <c r="AV48" s="369"/>
      <c r="AW48" s="369"/>
      <c r="AY48" s="264"/>
      <c r="AZ48" s="264"/>
      <c r="BA48" s="264"/>
      <c r="BD48" s="242"/>
      <c r="BE48" s="242"/>
      <c r="BF48" s="242"/>
      <c r="BG48" s="242"/>
      <c r="BI48" s="392"/>
      <c r="BJ48" s="134"/>
      <c r="BK48" s="134"/>
      <c r="BL48" s="134"/>
      <c r="BM48" s="134" t="s">
        <v>619</v>
      </c>
      <c r="BN48" s="195">
        <v>188229.89984442003</v>
      </c>
      <c r="BO48" s="195">
        <v>175654.96181896442</v>
      </c>
      <c r="BP48" s="195">
        <v>436136.40357833437</v>
      </c>
      <c r="BQ48" s="194">
        <v>800021.26524171885</v>
      </c>
      <c r="BR48" s="268" t="s">
        <v>629</v>
      </c>
      <c r="CC48" s="193">
        <v>31223842.345073033</v>
      </c>
      <c r="CD48" s="193">
        <v>29909783.738345496</v>
      </c>
      <c r="CE48" s="193">
        <v>74983211.955967098</v>
      </c>
      <c r="CF48" s="152">
        <v>136116838.03938562</v>
      </c>
      <c r="CG48" s="57" t="s">
        <v>565</v>
      </c>
    </row>
    <row r="49" spans="1:85" ht="16" thickBot="1">
      <c r="F49" s="134"/>
      <c r="G49" s="176"/>
      <c r="H49" s="176"/>
      <c r="I49" s="176"/>
      <c r="J49" s="176"/>
      <c r="L49" s="297" t="s">
        <v>596</v>
      </c>
      <c r="M49" s="186"/>
      <c r="N49" s="186"/>
      <c r="X49" s="254" t="s">
        <v>585</v>
      </c>
      <c r="AB49" s="1"/>
      <c r="AC49" s="1"/>
      <c r="AD49" s="1"/>
      <c r="AF49" s="8" t="s">
        <v>69</v>
      </c>
      <c r="AG49" s="282">
        <f>(AK29-AK42)/(AB29-AB42)</f>
        <v>193.13570182389293</v>
      </c>
      <c r="AH49" s="283">
        <f>(AL29-AL42)/(AC29-AC42)</f>
        <v>159.52294539758608</v>
      </c>
      <c r="AI49" s="284">
        <f>(AM29-AM42)/(AD29-AD42)</f>
        <v>213.25347078940703</v>
      </c>
      <c r="AK49" s="131"/>
      <c r="AL49" s="131"/>
      <c r="AN49" s="274">
        <f>AN46+S46</f>
        <v>136116838.03938562</v>
      </c>
      <c r="AO49" s="100"/>
      <c r="AS49" s="271">
        <f>AS46+J46</f>
        <v>800021.26524171873</v>
      </c>
      <c r="AT49" s="278"/>
      <c r="AU49" s="369"/>
      <c r="AV49" s="369"/>
      <c r="AW49" s="369"/>
      <c r="AY49" s="269"/>
      <c r="AZ49" s="264"/>
      <c r="BA49" s="264"/>
      <c r="BD49" s="242"/>
      <c r="BE49" s="242"/>
      <c r="BF49" s="242"/>
      <c r="BG49" s="242"/>
      <c r="BI49" s="392"/>
      <c r="BJ49" s="134"/>
      <c r="BK49" s="134"/>
      <c r="BL49" s="134"/>
      <c r="BM49" s="134" t="s">
        <v>494</v>
      </c>
      <c r="BN49" s="192">
        <f>100*(BN46-BN48)/BN48</f>
        <v>-3.0923706043289882E-14</v>
      </c>
      <c r="BO49" s="192">
        <f>100*(BO46-BO48)/BO48</f>
        <v>-1.6568749413824721E-14</v>
      </c>
      <c r="BP49" s="192">
        <f>100*(BP46-BP48)/BP48</f>
        <v>0</v>
      </c>
      <c r="BQ49" s="286">
        <f>100*(BQ46-BQ48)/BQ48</f>
        <v>-1.4551528426155151E-14</v>
      </c>
      <c r="BR49" s="289" t="s">
        <v>494</v>
      </c>
      <c r="CB49" s="134" t="s">
        <v>214</v>
      </c>
      <c r="CC49" s="192">
        <f>100*(CC46-CC48)/CC48</f>
        <v>0</v>
      </c>
      <c r="CD49" s="192">
        <f>100*(CD46-CD48)/CD48</f>
        <v>2.4910178763251625E-14</v>
      </c>
      <c r="CE49" s="192">
        <f>100*(CE46-CE48)/CE48</f>
        <v>0</v>
      </c>
      <c r="CF49" s="144">
        <f>100*((CF46/CF48)-1)</f>
        <v>0</v>
      </c>
      <c r="CG49" s="143" t="s">
        <v>494</v>
      </c>
    </row>
    <row r="50" spans="1:85" ht="16" thickBot="1">
      <c r="A50" s="48" t="s">
        <v>1</v>
      </c>
      <c r="AB50" s="1"/>
      <c r="AC50" s="1"/>
      <c r="AD50" s="1"/>
      <c r="AF50" s="1"/>
      <c r="AG50" s="58"/>
      <c r="AH50" s="58" t="s">
        <v>630</v>
      </c>
      <c r="AI50" s="58"/>
      <c r="AM50" s="134" t="s">
        <v>156</v>
      </c>
      <c r="AN50" s="195">
        <v>136116838.03938562</v>
      </c>
      <c r="AS50" s="235" t="s">
        <v>463</v>
      </c>
      <c r="AU50" s="369"/>
      <c r="AV50" s="369"/>
      <c r="AW50" s="369"/>
      <c r="AY50" s="264"/>
      <c r="AZ50" s="264"/>
      <c r="BA50" s="264"/>
      <c r="BD50" s="242"/>
      <c r="BE50" s="242"/>
      <c r="BF50" s="242"/>
      <c r="BG50" s="242"/>
    </row>
    <row r="51" spans="1:85" ht="16" thickBot="1">
      <c r="A51" s="48" t="s">
        <v>0</v>
      </c>
      <c r="AD51" s="235" t="s">
        <v>583</v>
      </c>
      <c r="AE51" s="273">
        <f>AE46+J46</f>
        <v>800021.26524171873</v>
      </c>
      <c r="AG51" s="58"/>
      <c r="AH51" s="58">
        <v>161.34305344220078</v>
      </c>
      <c r="AI51" s="58"/>
      <c r="AM51" s="57" t="s">
        <v>157</v>
      </c>
      <c r="AN51" s="277">
        <f>100*(AN49-AN50)/AN50</f>
        <v>0</v>
      </c>
      <c r="AU51" s="369"/>
      <c r="AV51" s="369"/>
      <c r="AW51" s="369"/>
      <c r="AY51" s="264"/>
      <c r="AZ51" s="264"/>
      <c r="BA51" s="264"/>
      <c r="BD51" s="285">
        <f>100*BD47/BD46</f>
        <v>0</v>
      </c>
      <c r="BE51" s="285">
        <f>100*BE47/BE46</f>
        <v>0</v>
      </c>
      <c r="BF51" s="285">
        <f>100*BF47/BF46</f>
        <v>0</v>
      </c>
      <c r="BG51" s="285">
        <f>100*BG47/BG46</f>
        <v>0</v>
      </c>
      <c r="CC51" s="287">
        <f>CC46-CC48</f>
        <v>0</v>
      </c>
      <c r="CD51" s="287">
        <f>CD46-CD48</f>
        <v>0</v>
      </c>
      <c r="CE51" s="287">
        <f>CE46-CE48</f>
        <v>0</v>
      </c>
      <c r="CF51" s="287">
        <f>CF46-CF48</f>
        <v>0</v>
      </c>
      <c r="CG51" s="57" t="s">
        <v>53</v>
      </c>
    </row>
    <row r="52" spans="1:85">
      <c r="B52" s="1" t="s">
        <v>432</v>
      </c>
      <c r="AG52" s="58"/>
      <c r="AH52" s="283" t="s">
        <v>631</v>
      </c>
      <c r="AI52" s="58"/>
      <c r="AU52" s="369"/>
      <c r="AV52" s="369"/>
      <c r="AW52" s="369"/>
      <c r="AY52" s="264"/>
      <c r="AZ52" s="264"/>
      <c r="BA52" s="264"/>
      <c r="BD52" s="242"/>
      <c r="BE52" s="242"/>
      <c r="BF52" s="242"/>
      <c r="BG52" s="242"/>
    </row>
    <row r="53" spans="1:85">
      <c r="AD53" s="362" t="s">
        <v>617</v>
      </c>
      <c r="AE53" s="362">
        <f>Z46-AE51</f>
        <v>0</v>
      </c>
      <c r="AU53" s="369"/>
      <c r="AV53" s="369"/>
      <c r="AW53" s="369"/>
      <c r="AY53" s="264"/>
      <c r="AZ53" s="264"/>
      <c r="BA53" s="264"/>
      <c r="BD53" s="242"/>
      <c r="BE53" s="242"/>
      <c r="BF53" s="242"/>
      <c r="BG53" s="242"/>
    </row>
    <row r="54" spans="1:85">
      <c r="A54" s="3" t="s">
        <v>183</v>
      </c>
      <c r="AU54" s="369"/>
      <c r="AV54" s="369"/>
      <c r="AW54" s="369"/>
      <c r="AY54" s="264"/>
      <c r="AZ54" s="264"/>
      <c r="BA54" s="264"/>
      <c r="BD54" s="242"/>
      <c r="BE54" s="242"/>
      <c r="BF54" s="242"/>
      <c r="BG54" s="242"/>
    </row>
    <row r="55" spans="1:85">
      <c r="A55" s="1" t="s">
        <v>129</v>
      </c>
      <c r="AU55" s="369"/>
      <c r="AV55" s="369"/>
      <c r="AW55" s="369"/>
      <c r="AY55" s="264"/>
      <c r="AZ55" s="264"/>
      <c r="BA55" s="264"/>
      <c r="BD55" s="242"/>
      <c r="BE55" s="242"/>
      <c r="BF55" s="242"/>
      <c r="BG55" s="242"/>
    </row>
    <row r="56" spans="1:85">
      <c r="A56" s="1" t="s">
        <v>166</v>
      </c>
      <c r="AU56" s="369"/>
      <c r="AV56" s="369"/>
      <c r="AW56" s="369"/>
      <c r="AY56" s="264"/>
      <c r="AZ56" s="264"/>
      <c r="BA56" s="264"/>
      <c r="BD56" s="242"/>
      <c r="BE56" s="242"/>
      <c r="BF56" s="242"/>
      <c r="BG56" s="242"/>
    </row>
    <row r="57" spans="1:85">
      <c r="A57" s="1" t="s">
        <v>607</v>
      </c>
      <c r="AU57" s="369"/>
      <c r="AV57" s="369"/>
      <c r="AW57" s="369"/>
      <c r="AY57" s="264"/>
      <c r="AZ57" s="264"/>
      <c r="BA57" s="264"/>
      <c r="BD57" s="242"/>
      <c r="BE57" s="242"/>
      <c r="BF57" s="242"/>
      <c r="BG57" s="242"/>
    </row>
    <row r="58" spans="1:85">
      <c r="A58" s="1" t="s">
        <v>17</v>
      </c>
      <c r="AY58" s="264"/>
      <c r="AZ58" s="264"/>
      <c r="BA58" s="269"/>
      <c r="BD58" s="276"/>
      <c r="BE58" s="276"/>
      <c r="BF58" s="276"/>
      <c r="BG58" s="276"/>
    </row>
    <row r="59" spans="1:85">
      <c r="A59" s="1" t="s">
        <v>147</v>
      </c>
      <c r="AY59" s="264"/>
      <c r="AZ59" s="264"/>
      <c r="BA59" s="269"/>
      <c r="BD59" s="276"/>
      <c r="BE59" s="276"/>
      <c r="BF59" s="276"/>
      <c r="BG59" s="276"/>
    </row>
    <row r="60" spans="1:85">
      <c r="A60" s="1" t="s">
        <v>460</v>
      </c>
      <c r="AY60" s="264"/>
      <c r="BA60" s="269"/>
      <c r="BD60" s="276"/>
      <c r="BE60" s="276"/>
      <c r="BF60" s="276"/>
      <c r="BG60" s="276"/>
    </row>
    <row r="61" spans="1:85">
      <c r="A61" s="1" t="s">
        <v>439</v>
      </c>
      <c r="BA61" s="269"/>
      <c r="BD61" s="276"/>
      <c r="BE61" s="276"/>
      <c r="BF61" s="276"/>
      <c r="BG61" s="276"/>
    </row>
    <row r="62" spans="1:85">
      <c r="BA62" s="269"/>
      <c r="BD62" s="276"/>
      <c r="BE62" s="276"/>
      <c r="BF62" s="276"/>
      <c r="BG62" s="276"/>
    </row>
    <row r="63" spans="1:85">
      <c r="BA63" s="269"/>
      <c r="BD63" s="276"/>
      <c r="BE63" s="276"/>
      <c r="BF63" s="276"/>
      <c r="BG63" s="276"/>
    </row>
    <row r="64" spans="1:85">
      <c r="I64" s="205"/>
      <c r="BA64" s="269"/>
      <c r="BD64" s="276"/>
      <c r="BE64" s="276"/>
      <c r="BF64" s="276"/>
      <c r="BG64" s="276"/>
    </row>
    <row r="65" spans="53:59">
      <c r="BA65" s="269"/>
      <c r="BD65" s="276"/>
      <c r="BE65" s="276"/>
      <c r="BF65" s="276"/>
      <c r="BG65" s="276"/>
    </row>
    <row r="66" spans="53:59">
      <c r="BA66" s="269"/>
      <c r="BD66" s="276"/>
      <c r="BE66" s="276"/>
      <c r="BF66" s="276"/>
      <c r="BG66" s="276"/>
    </row>
    <row r="67" spans="53:59">
      <c r="BA67" s="269"/>
      <c r="BD67" s="276"/>
      <c r="BE67" s="276"/>
      <c r="BF67" s="276"/>
      <c r="BG67" s="276"/>
    </row>
    <row r="68" spans="53:59">
      <c r="BA68" s="269"/>
      <c r="BD68" s="276"/>
      <c r="BE68" s="276"/>
      <c r="BF68" s="276"/>
      <c r="BG68" s="276"/>
    </row>
    <row r="69" spans="53:59">
      <c r="BA69" s="269"/>
      <c r="BD69" s="276"/>
      <c r="BE69" s="276"/>
      <c r="BF69" s="276"/>
      <c r="BG69" s="276"/>
    </row>
    <row r="70" spans="53:59">
      <c r="BA70" s="269"/>
      <c r="BD70" s="276"/>
      <c r="BE70" s="276"/>
      <c r="BF70" s="276"/>
      <c r="BG70" s="276"/>
    </row>
    <row r="71" spans="53:59">
      <c r="BD71" s="276"/>
      <c r="BE71" s="276"/>
      <c r="BF71" s="276"/>
      <c r="BG71" s="276"/>
    </row>
    <row r="72" spans="53:59">
      <c r="BD72" s="276"/>
      <c r="BE72" s="276"/>
      <c r="BF72" s="276"/>
      <c r="BG72" s="276"/>
    </row>
    <row r="73" spans="53:59">
      <c r="BD73" s="276"/>
      <c r="BE73" s="276"/>
      <c r="BF73" s="276"/>
      <c r="BG73" s="276"/>
    </row>
    <row r="74" spans="53:59">
      <c r="BD74" s="276"/>
      <c r="BE74" s="276"/>
      <c r="BF74" s="276"/>
      <c r="BG74" s="276"/>
    </row>
    <row r="75" spans="53:59">
      <c r="BD75" s="276"/>
      <c r="BE75" s="276"/>
      <c r="BF75" s="276"/>
      <c r="BG75" s="276"/>
    </row>
    <row r="76" spans="53:59">
      <c r="BD76" s="276"/>
      <c r="BE76" s="276"/>
      <c r="BF76" s="276"/>
      <c r="BG76" s="276"/>
    </row>
  </sheetData>
  <sheetCalcPr fullCalcOnLoad="1"/>
  <phoneticPr fontId="20"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AT77"/>
  <sheetViews>
    <sheetView tabSelected="1" topLeftCell="B1" workbookViewId="0">
      <pane xSplit="10460" ySplit="4680" topLeftCell="AE4" activePane="topRight"/>
      <selection activeCell="E5" sqref="E5"/>
      <selection pane="topRight" activeCell="AF2" sqref="AF2:AI2"/>
      <selection pane="bottomLeft" activeCell="B29" sqref="A29:XFD33"/>
      <selection pane="bottomRight" activeCell="AF4" sqref="AF4"/>
    </sheetView>
  </sheetViews>
  <sheetFormatPr baseColWidth="10" defaultRowHeight="15"/>
  <cols>
    <col min="1" max="1" width="6.6640625" customWidth="1"/>
    <col min="2" max="2" width="12.83203125" customWidth="1"/>
    <col min="3" max="3" width="11.33203125" customWidth="1"/>
    <col min="6" max="6" width="13" customWidth="1"/>
    <col min="7" max="8" width="10.83203125" style="23"/>
    <col min="9" max="9" width="10.6640625" style="23" customWidth="1"/>
    <col min="10" max="10" width="10.83203125" style="23"/>
    <col min="11" max="11" width="3.83203125" customWidth="1"/>
    <col min="12" max="15" width="10.33203125" customWidth="1"/>
    <col min="16" max="16" width="11.83203125" style="182" customWidth="1"/>
    <col min="17" max="17" width="12.5" style="31" customWidth="1"/>
    <col min="18" max="18" width="13" style="31" customWidth="1"/>
    <col min="19" max="19" width="11.83203125" style="31" customWidth="1"/>
    <col min="20" max="20" width="13" style="31" customWidth="1"/>
    <col min="21" max="21" width="4.83203125" customWidth="1"/>
    <col min="22" max="25" width="13.6640625" style="36" customWidth="1"/>
    <col min="26" max="26" width="13.5" style="299" customWidth="1"/>
    <col min="27" max="27" width="10.1640625" style="208" customWidth="1"/>
    <col min="28" max="30" width="15.83203125" style="208" customWidth="1"/>
    <col min="31" max="31" width="5.5" style="1" customWidth="1"/>
    <col min="32" max="32" width="11" style="215" bestFit="1" customWidth="1"/>
    <col min="33" max="34" width="11.1640625" style="215" bestFit="1" customWidth="1"/>
    <col min="35" max="35" width="13.1640625" style="215" bestFit="1" customWidth="1"/>
    <col min="36" max="36" width="4.83203125" style="213" customWidth="1"/>
    <col min="41" max="41" width="6.1640625" customWidth="1"/>
    <col min="42" max="43" width="12" customWidth="1"/>
    <col min="44" max="44" width="12.83203125" customWidth="1"/>
    <col min="45" max="45" width="13.6640625" customWidth="1"/>
  </cols>
  <sheetData>
    <row r="1" spans="1:45" ht="18">
      <c r="A1" s="404" t="s">
        <v>27</v>
      </c>
      <c r="B1" s="405"/>
      <c r="C1" s="406"/>
      <c r="D1" s="140" t="s">
        <v>100</v>
      </c>
      <c r="E1" s="1"/>
      <c r="F1" s="1"/>
      <c r="G1" s="19"/>
      <c r="H1" s="19"/>
      <c r="I1" s="19"/>
      <c r="J1" s="19"/>
      <c r="K1" s="1"/>
      <c r="L1" s="1"/>
      <c r="M1" s="1"/>
      <c r="N1" s="1"/>
      <c r="O1" s="1"/>
      <c r="P1" s="90"/>
      <c r="Q1" s="28"/>
      <c r="R1" s="28"/>
      <c r="S1" s="28"/>
      <c r="T1" s="28"/>
      <c r="U1" s="1"/>
      <c r="V1" s="381" t="s">
        <v>63</v>
      </c>
      <c r="W1" s="382"/>
      <c r="X1" s="382"/>
      <c r="Y1" s="382"/>
      <c r="Z1" s="383"/>
      <c r="AA1" s="381" t="s">
        <v>64</v>
      </c>
      <c r="AB1" s="384"/>
      <c r="AC1" s="384"/>
      <c r="AD1" s="384"/>
      <c r="AE1" s="385"/>
      <c r="AF1" s="381" t="s">
        <v>65</v>
      </c>
      <c r="AG1" s="382"/>
      <c r="AH1" s="382"/>
      <c r="AI1" s="382"/>
      <c r="AJ1" s="384"/>
    </row>
    <row r="2" spans="1:45" ht="17">
      <c r="A2" s="407" t="s">
        <v>2</v>
      </c>
      <c r="B2" s="182"/>
      <c r="C2" s="408"/>
      <c r="D2" s="40"/>
      <c r="E2" s="1"/>
      <c r="F2" s="379" t="s">
        <v>561</v>
      </c>
      <c r="G2" s="380">
        <f>G16+SUM(G29:G33)</f>
        <v>56627.580004860851</v>
      </c>
      <c r="H2" s="380">
        <f>H16+SUM(H29:H33)</f>
        <v>32288.035954781852</v>
      </c>
      <c r="I2" s="380">
        <f>I16+SUM(I29:I33)</f>
        <v>101642.1824922732</v>
      </c>
      <c r="J2" s="380">
        <f>J16+SUM(J29:J33)</f>
        <v>190557.79845191591</v>
      </c>
      <c r="K2" s="1"/>
      <c r="L2" s="380">
        <f>L16+SUM(L28:L33)</f>
        <v>106537.92106586418</v>
      </c>
      <c r="M2" s="380">
        <f>M16+SUM(M28:M33)</f>
        <v>59261.839137848605</v>
      </c>
      <c r="N2" s="380">
        <f>N16+SUM(N28:N33)</f>
        <v>150854.11932654885</v>
      </c>
      <c r="O2" s="380">
        <f>O16+SUM(O28:O33)</f>
        <v>316653.87953026162</v>
      </c>
      <c r="P2" s="388"/>
      <c r="Q2" s="28"/>
      <c r="R2" s="28"/>
      <c r="S2" s="28"/>
      <c r="T2" s="28"/>
      <c r="U2" s="1"/>
      <c r="V2" s="386">
        <f>V16+SUM(V29:V33)</f>
        <v>20184259.953897554</v>
      </c>
      <c r="W2" s="386">
        <f>W16+SUM(W29:W33)</f>
        <v>8641348.8553671837</v>
      </c>
      <c r="X2" s="386">
        <f>X16+SUM(X29:X33)</f>
        <v>41214342.761629708</v>
      </c>
      <c r="Y2" s="386">
        <f>Y16+SUM(Y29:Y33)</f>
        <v>70039951.570894435</v>
      </c>
      <c r="Z2" s="383"/>
      <c r="AA2" s="387">
        <f>AF2/G2</f>
        <v>4.925671304553355E-2</v>
      </c>
      <c r="AB2" s="387">
        <f>AG2/H2</f>
        <v>0.25824791735091257</v>
      </c>
      <c r="AC2" s="387">
        <f>AH2/I2</f>
        <v>0.25031362523507728</v>
      </c>
      <c r="AD2" s="387">
        <f>AI2/J2</f>
        <v>0.19191043333296209</v>
      </c>
      <c r="AE2" s="385"/>
      <c r="AF2" s="386">
        <f>(AF16+SUM(AF29:AF33))/1000</f>
        <v>2789.2884587624244</v>
      </c>
      <c r="AG2" s="386">
        <f t="shared" ref="AG2:AI2" si="0">(AG16+SUM(AG29:AG33))/1000</f>
        <v>8338.3180406737974</v>
      </c>
      <c r="AH2" s="386">
        <f t="shared" si="0"/>
        <v>25442.423176446209</v>
      </c>
      <c r="AI2" s="386">
        <f t="shared" si="0"/>
        <v>36570.029675882433</v>
      </c>
      <c r="AJ2" s="384"/>
    </row>
    <row r="3" spans="1:45" ht="17">
      <c r="A3" s="409" t="s">
        <v>62</v>
      </c>
      <c r="B3" s="181"/>
      <c r="C3" s="408"/>
      <c r="D3" s="40"/>
      <c r="E3" s="1"/>
      <c r="F3" s="379" t="s">
        <v>546</v>
      </c>
      <c r="G3" s="362"/>
      <c r="H3" s="362"/>
      <c r="I3" s="362"/>
      <c r="J3" s="362"/>
      <c r="K3" s="1"/>
      <c r="L3" s="1"/>
      <c r="M3" s="1"/>
      <c r="N3" s="1"/>
      <c r="O3" s="1"/>
      <c r="P3" s="388"/>
      <c r="Q3" s="145"/>
      <c r="R3" s="145"/>
      <c r="S3" s="145"/>
      <c r="T3" s="145"/>
      <c r="U3" s="1"/>
      <c r="V3" s="142"/>
      <c r="W3" s="142"/>
      <c r="X3" s="142"/>
      <c r="Y3" s="142"/>
      <c r="Z3" s="58"/>
    </row>
    <row r="4" spans="1:45">
      <c r="A4" s="409" t="s">
        <v>3</v>
      </c>
      <c r="B4" s="181"/>
      <c r="C4" s="408"/>
      <c r="E4" s="1"/>
      <c r="P4" s="388"/>
      <c r="Q4" s="369"/>
      <c r="R4" s="369"/>
      <c r="S4" s="369"/>
      <c r="T4" s="369"/>
      <c r="U4" s="1"/>
      <c r="V4" s="353"/>
      <c r="W4" s="353"/>
      <c r="X4" s="353"/>
      <c r="Y4" s="353"/>
      <c r="Z4" s="58"/>
      <c r="AA4" s="369"/>
      <c r="AB4" s="369"/>
      <c r="AC4" s="369"/>
      <c r="AD4" s="369"/>
      <c r="AF4" s="353"/>
      <c r="AG4" s="353"/>
      <c r="AH4" s="353"/>
      <c r="AI4" s="353"/>
      <c r="AJ4" s="296"/>
    </row>
    <row r="5" spans="1:45">
      <c r="A5" s="410" t="s">
        <v>4</v>
      </c>
      <c r="B5" s="411"/>
      <c r="C5" s="412"/>
      <c r="E5" s="1"/>
      <c r="G5" s="142"/>
      <c r="H5" s="142"/>
      <c r="I5" s="142"/>
      <c r="J5" s="142"/>
      <c r="K5" s="1"/>
      <c r="L5" s="1"/>
      <c r="M5" s="1"/>
      <c r="N5" s="1"/>
      <c r="O5" s="1"/>
      <c r="P5" s="388"/>
      <c r="Q5" s="145" t="s">
        <v>389</v>
      </c>
      <c r="S5" s="145"/>
      <c r="T5" s="145"/>
      <c r="U5" s="1"/>
      <c r="V5" s="142"/>
      <c r="W5" s="142"/>
      <c r="X5" s="142"/>
      <c r="Y5" s="142"/>
      <c r="Z5" s="58"/>
      <c r="AA5" s="214" t="s">
        <v>216</v>
      </c>
      <c r="AP5" s="1" t="s">
        <v>224</v>
      </c>
    </row>
    <row r="6" spans="1:45" ht="16" thickBot="1">
      <c r="A6" s="1"/>
      <c r="B6" s="1"/>
      <c r="C6" s="1"/>
      <c r="D6" s="1"/>
      <c r="E6" s="1"/>
      <c r="F6" s="1"/>
      <c r="G6" s="1" t="s">
        <v>278</v>
      </c>
      <c r="H6" s="19"/>
      <c r="I6" s="19"/>
      <c r="J6" s="19"/>
      <c r="K6" s="1"/>
      <c r="L6" s="1" t="s">
        <v>278</v>
      </c>
      <c r="M6" s="1"/>
      <c r="N6" s="1"/>
      <c r="O6" s="1"/>
      <c r="P6" s="388"/>
      <c r="Q6" s="145" t="s">
        <v>491</v>
      </c>
      <c r="S6" s="28"/>
      <c r="T6" s="28"/>
      <c r="U6" s="1"/>
      <c r="V6" s="32"/>
      <c r="W6" s="32"/>
      <c r="X6" s="32"/>
      <c r="Y6" s="32"/>
      <c r="Z6" s="58"/>
      <c r="AA6" s="208" t="s">
        <v>606</v>
      </c>
    </row>
    <row r="7" spans="1:45" ht="16" thickBot="1">
      <c r="A7" s="8" t="s">
        <v>294</v>
      </c>
      <c r="B7" s="1"/>
      <c r="C7" s="1"/>
      <c r="D7" s="1"/>
      <c r="E7" s="1"/>
      <c r="F7" s="1"/>
      <c r="G7" s="105" t="s">
        <v>297</v>
      </c>
      <c r="H7" s="20"/>
      <c r="I7" s="20"/>
      <c r="J7" s="21"/>
      <c r="K7" s="1"/>
      <c r="L7" s="64" t="s">
        <v>14</v>
      </c>
      <c r="M7" s="65"/>
      <c r="N7" s="65"/>
      <c r="O7" s="394"/>
      <c r="P7" s="388"/>
      <c r="Q7" s="29" t="s">
        <v>567</v>
      </c>
      <c r="R7" s="210"/>
      <c r="S7" s="210"/>
      <c r="T7" s="211"/>
      <c r="U7" s="1"/>
      <c r="V7" s="216" t="s">
        <v>66</v>
      </c>
      <c r="W7" s="33"/>
      <c r="X7" s="33"/>
      <c r="Y7" s="34"/>
      <c r="Z7" s="58"/>
      <c r="AA7" s="209" t="s">
        <v>533</v>
      </c>
      <c r="AB7" s="210"/>
      <c r="AC7" s="210"/>
      <c r="AD7" s="211"/>
      <c r="AF7" s="216" t="s">
        <v>395</v>
      </c>
      <c r="AG7" s="217"/>
      <c r="AH7" s="217"/>
      <c r="AI7" s="218"/>
      <c r="AK7" s="209" t="s">
        <v>60</v>
      </c>
      <c r="AL7" s="210"/>
      <c r="AM7" s="210"/>
      <c r="AN7" s="211"/>
      <c r="AO7" s="1"/>
      <c r="AP7" s="216" t="s">
        <v>61</v>
      </c>
      <c r="AQ7" s="217"/>
      <c r="AR7" s="217"/>
      <c r="AS7" s="218"/>
    </row>
    <row r="8" spans="1:45">
      <c r="A8" s="8" t="s">
        <v>295</v>
      </c>
      <c r="B8" s="12" t="s">
        <v>115</v>
      </c>
      <c r="C8" s="1" t="s">
        <v>285</v>
      </c>
      <c r="D8" s="1"/>
      <c r="E8" s="1"/>
      <c r="F8" s="1"/>
      <c r="G8" s="22" t="s">
        <v>174</v>
      </c>
      <c r="H8" s="22" t="s">
        <v>215</v>
      </c>
      <c r="I8" s="22"/>
      <c r="J8" s="22" t="s">
        <v>368</v>
      </c>
      <c r="K8" s="1"/>
      <c r="L8" s="107" t="s">
        <v>174</v>
      </c>
      <c r="M8" s="107" t="s">
        <v>215</v>
      </c>
      <c r="N8" s="107"/>
      <c r="O8" s="107" t="s">
        <v>368</v>
      </c>
      <c r="P8" s="388"/>
      <c r="Q8" s="30" t="s">
        <v>174</v>
      </c>
      <c r="R8" s="30" t="s">
        <v>215</v>
      </c>
      <c r="S8" s="30"/>
      <c r="T8" s="30" t="s">
        <v>368</v>
      </c>
      <c r="U8" s="1"/>
      <c r="V8" s="35" t="s">
        <v>174</v>
      </c>
      <c r="W8" s="35" t="s">
        <v>215</v>
      </c>
      <c r="X8" s="35"/>
      <c r="Y8" s="35" t="s">
        <v>368</v>
      </c>
      <c r="Z8" s="58"/>
      <c r="AA8" s="207" t="s">
        <v>174</v>
      </c>
      <c r="AB8" s="207" t="s">
        <v>215</v>
      </c>
      <c r="AC8" s="207"/>
      <c r="AD8" s="207" t="s">
        <v>368</v>
      </c>
      <c r="AF8" s="219" t="s">
        <v>396</v>
      </c>
      <c r="AG8" s="219" t="s">
        <v>397</v>
      </c>
      <c r="AH8" s="219"/>
      <c r="AI8" s="219" t="s">
        <v>564</v>
      </c>
      <c r="AK8" s="207" t="s">
        <v>174</v>
      </c>
      <c r="AL8" s="207" t="s">
        <v>215</v>
      </c>
      <c r="AM8" s="207"/>
      <c r="AN8" s="207" t="s">
        <v>368</v>
      </c>
      <c r="AO8" s="1"/>
      <c r="AP8" s="219" t="s">
        <v>396</v>
      </c>
      <c r="AQ8" s="219" t="s">
        <v>397</v>
      </c>
      <c r="AR8" s="219"/>
      <c r="AS8" s="219" t="s">
        <v>564</v>
      </c>
    </row>
    <row r="9" spans="1:45">
      <c r="A9" s="8" t="s">
        <v>185</v>
      </c>
      <c r="B9" s="12" t="s">
        <v>369</v>
      </c>
      <c r="C9" s="1" t="s">
        <v>167</v>
      </c>
      <c r="D9" s="1" t="s">
        <v>186</v>
      </c>
      <c r="E9" s="1"/>
      <c r="F9" s="1"/>
      <c r="G9" s="22" t="s">
        <v>338</v>
      </c>
      <c r="H9" s="22" t="s">
        <v>301</v>
      </c>
      <c r="I9" s="22" t="s">
        <v>387</v>
      </c>
      <c r="J9" s="22" t="s">
        <v>301</v>
      </c>
      <c r="K9" s="1"/>
      <c r="L9" s="107" t="s">
        <v>338</v>
      </c>
      <c r="M9" s="107" t="s">
        <v>301</v>
      </c>
      <c r="N9" s="107" t="s">
        <v>387</v>
      </c>
      <c r="O9" s="107" t="s">
        <v>301</v>
      </c>
      <c r="P9" s="388"/>
      <c r="Q9" s="30" t="s">
        <v>338</v>
      </c>
      <c r="R9" s="30" t="s">
        <v>301</v>
      </c>
      <c r="S9" s="30" t="s">
        <v>387</v>
      </c>
      <c r="T9" s="30" t="s">
        <v>301</v>
      </c>
      <c r="U9" s="1"/>
      <c r="V9" s="35" t="s">
        <v>338</v>
      </c>
      <c r="W9" s="35" t="s">
        <v>301</v>
      </c>
      <c r="X9" s="35" t="s">
        <v>387</v>
      </c>
      <c r="Y9" s="35" t="s">
        <v>301</v>
      </c>
      <c r="Z9" s="58"/>
      <c r="AA9" s="207" t="s">
        <v>338</v>
      </c>
      <c r="AB9" s="207" t="s">
        <v>301</v>
      </c>
      <c r="AC9" s="207" t="s">
        <v>387</v>
      </c>
      <c r="AD9" s="207" t="s">
        <v>301</v>
      </c>
      <c r="AF9" s="219" t="s">
        <v>455</v>
      </c>
      <c r="AG9" s="219" t="s">
        <v>456</v>
      </c>
      <c r="AH9" s="219" t="s">
        <v>465</v>
      </c>
      <c r="AI9" s="219" t="s">
        <v>482</v>
      </c>
      <c r="AK9" s="207" t="s">
        <v>338</v>
      </c>
      <c r="AL9" s="207" t="s">
        <v>301</v>
      </c>
      <c r="AM9" s="207" t="s">
        <v>387</v>
      </c>
      <c r="AN9" s="207" t="s">
        <v>301</v>
      </c>
      <c r="AO9" s="1"/>
      <c r="AP9" s="219" t="s">
        <v>455</v>
      </c>
      <c r="AQ9" s="219" t="s">
        <v>456</v>
      </c>
      <c r="AR9" s="219" t="s">
        <v>465</v>
      </c>
      <c r="AS9" s="219" t="s">
        <v>482</v>
      </c>
    </row>
    <row r="10" spans="1:45">
      <c r="A10" s="1"/>
      <c r="B10" s="12"/>
      <c r="C10" s="1"/>
      <c r="D10" s="1"/>
      <c r="E10" s="1"/>
      <c r="F10" s="1"/>
      <c r="G10" s="1"/>
      <c r="H10" s="1"/>
      <c r="I10" s="1"/>
      <c r="J10" s="1"/>
      <c r="K10" s="1"/>
      <c r="L10" s="1"/>
      <c r="M10" s="1"/>
      <c r="N10" s="1"/>
      <c r="O10" s="1"/>
      <c r="P10" s="388"/>
      <c r="Q10" s="56"/>
      <c r="R10" s="56"/>
      <c r="S10" s="56"/>
      <c r="T10" s="56"/>
      <c r="U10" s="56"/>
      <c r="V10" s="56"/>
      <c r="W10" s="56"/>
      <c r="X10" s="56"/>
      <c r="Y10" s="56"/>
      <c r="Z10" s="203"/>
    </row>
    <row r="11" spans="1:45">
      <c r="A11" s="1">
        <v>1</v>
      </c>
      <c r="B11" s="13" t="s">
        <v>330</v>
      </c>
      <c r="C11" s="4" t="s">
        <v>331</v>
      </c>
      <c r="D11" s="43" t="s">
        <v>83</v>
      </c>
      <c r="E11" s="1"/>
      <c r="F11" s="1"/>
      <c r="G11" s="56">
        <f>SUM(G12:G22)</f>
        <v>2036.7271116484985</v>
      </c>
      <c r="H11" s="142">
        <f>SUM(H12:H22)</f>
        <v>9385.3938245611353</v>
      </c>
      <c r="I11" s="142">
        <f>SUM(I12:I22)</f>
        <v>3696.0366600576413</v>
      </c>
      <c r="J11" s="189">
        <f>G11+H11+I11</f>
        <v>15118.157596267276</v>
      </c>
      <c r="K11" s="142"/>
      <c r="L11" s="203">
        <f>SUM(L12:L22)</f>
        <v>3437.1615697741568</v>
      </c>
      <c r="M11" s="203">
        <f>SUM(M12:M22)</f>
        <v>13795.452725362811</v>
      </c>
      <c r="N11" s="203">
        <f>SUM(N12:N22)</f>
        <v>6445.6587433078648</v>
      </c>
      <c r="O11" s="203">
        <f t="shared" ref="O11:O21" si="1">L11+M11+N11</f>
        <v>23678.273038444833</v>
      </c>
      <c r="P11" s="388"/>
      <c r="Q11" s="154">
        <f t="shared" ref="Q11:Q20" si="2">V11/G11</f>
        <v>314.38347427705907</v>
      </c>
      <c r="R11" s="290">
        <f t="shared" ref="R11:R20" si="3">W11/H11</f>
        <v>561.81383323035072</v>
      </c>
      <c r="S11" s="290">
        <f t="shared" ref="S11:S20" si="4">X11/I11</f>
        <v>1103.2709936079123</v>
      </c>
      <c r="T11" s="290">
        <f t="shared" ref="T11:T20" si="5">Y11/J11</f>
        <v>660.85350686431093</v>
      </c>
      <c r="U11" s="56"/>
      <c r="V11" s="56">
        <f>SUM(V12:V22)</f>
        <v>640313.34551433451</v>
      </c>
      <c r="W11" s="278">
        <f>SUM(W12:W22)</f>
        <v>5272844.0809531529</v>
      </c>
      <c r="X11" s="278">
        <f>SUM(X12:X22)</f>
        <v>4077730.0383530636</v>
      </c>
      <c r="Y11" s="196">
        <f>V11+W11+X11</f>
        <v>9990887.4648205508</v>
      </c>
      <c r="Z11" s="203"/>
      <c r="AA11" s="208">
        <v>34.817546533857502</v>
      </c>
      <c r="AB11" s="208">
        <v>106.66509033367234</v>
      </c>
      <c r="AC11" s="208">
        <v>722.74005303342608</v>
      </c>
      <c r="AD11" s="208">
        <v>248.52750979981309</v>
      </c>
      <c r="AF11" s="215">
        <f>SUM(AF12:AF22)</f>
        <v>70913.840986590789</v>
      </c>
      <c r="AG11" s="215">
        <f>SUM(AG12:AG22)</f>
        <v>990569.95564004034</v>
      </c>
      <c r="AH11" s="215">
        <f>SUM(AH12:AH22)</f>
        <v>2671273.7317035468</v>
      </c>
      <c r="AI11" s="215">
        <f>AF11+AG11+AH11</f>
        <v>3732757.528330178</v>
      </c>
      <c r="AK11" s="222">
        <f t="shared" ref="AK11:AK20" si="6">AP11/G11</f>
        <v>349.20102081091659</v>
      </c>
      <c r="AL11" s="222">
        <f t="shared" ref="AL11:AL20" si="7">AQ11/H11</f>
        <v>667.35761478672657</v>
      </c>
      <c r="AM11" s="222">
        <f t="shared" ref="AM11:AM20" si="8">AR11/I11</f>
        <v>1826.011046641338</v>
      </c>
      <c r="AN11" s="222">
        <f t="shared" ref="AN11:AN20" si="9">AS11/J11</f>
        <v>907.75909073332718</v>
      </c>
      <c r="AP11" s="220">
        <f>SUM(AP12:AP22)</f>
        <v>711227.18650092534</v>
      </c>
      <c r="AQ11" s="220">
        <f>SUM(AQ12:AQ22)</f>
        <v>6263414.0365931923</v>
      </c>
      <c r="AR11" s="220">
        <f>SUM(AR12:AR22)</f>
        <v>6749003.7700566091</v>
      </c>
      <c r="AS11" s="220">
        <f>AP11+AQ11+AR11</f>
        <v>13723644.993150726</v>
      </c>
    </row>
    <row r="12" spans="1:45">
      <c r="A12" s="1">
        <v>2</v>
      </c>
      <c r="B12" s="14" t="s">
        <v>221</v>
      </c>
      <c r="C12" s="5" t="s">
        <v>222</v>
      </c>
      <c r="D12" s="2" t="s">
        <v>367</v>
      </c>
      <c r="E12" s="1"/>
      <c r="F12" s="1"/>
      <c r="G12" s="56">
        <f>'(2) Homes for non-HH earners'!G16</f>
        <v>73.068323586118268</v>
      </c>
      <c r="H12" s="189">
        <f>'(2) Homes for non-HH earners'!H16</f>
        <v>418.37451309653005</v>
      </c>
      <c r="I12" s="189">
        <f>'(2) Homes for non-HH earners'!I16</f>
        <v>882.38165577173538</v>
      </c>
      <c r="J12" s="56">
        <f>G12+H12+I12</f>
        <v>1373.8244924543837</v>
      </c>
      <c r="K12" s="56"/>
      <c r="L12" s="203">
        <v>164.34197698378634</v>
      </c>
      <c r="M12" s="203">
        <v>613.87144256812326</v>
      </c>
      <c r="N12" s="203">
        <v>1733.362916060456</v>
      </c>
      <c r="O12" s="203">
        <f t="shared" si="1"/>
        <v>2511.5763356123657</v>
      </c>
      <c r="P12" s="388"/>
      <c r="Q12" s="290">
        <f t="shared" si="2"/>
        <v>2301.5880960283748</v>
      </c>
      <c r="R12" s="290">
        <f t="shared" si="3"/>
        <v>2128.0367685602801</v>
      </c>
      <c r="S12" s="290">
        <f t="shared" si="4"/>
        <v>3262.2829959104115</v>
      </c>
      <c r="T12" s="290">
        <f t="shared" si="5"/>
        <v>2865.7723193988049</v>
      </c>
      <c r="U12" s="56"/>
      <c r="V12" s="196">
        <v>168173.18376255914</v>
      </c>
      <c r="W12" s="196">
        <v>890316.34689792036</v>
      </c>
      <c r="X12" s="196">
        <v>2878578.6715274062</v>
      </c>
      <c r="Y12" s="196">
        <f t="shared" ref="Y12:Y40" si="10">V12+W12+X12</f>
        <v>3937068.2021878855</v>
      </c>
      <c r="Z12" s="203"/>
      <c r="AA12" s="208">
        <v>315.83649442829267</v>
      </c>
      <c r="AB12" s="208">
        <v>310.2396773121431</v>
      </c>
      <c r="AC12" s="214">
        <v>2523.9979975472734</v>
      </c>
      <c r="AD12" s="208">
        <v>1732.3927200498772</v>
      </c>
      <c r="AF12" s="215">
        <f t="shared" ref="AF12:AF20" si="11">G12*AA12</f>
        <v>23077.64317519173</v>
      </c>
      <c r="AG12" s="215">
        <f t="shared" ref="AG12:AG20" si="12">H12*AB12</f>
        <v>129796.37393869247</v>
      </c>
      <c r="AH12" s="215">
        <f t="shared" ref="AH12:AH20" si="13">I12*AC12</f>
        <v>2227129.5322403074</v>
      </c>
      <c r="AI12" s="215">
        <f t="shared" ref="AI12:AI20" si="14">AF12+AG12+AH12</f>
        <v>2380003.5493541919</v>
      </c>
      <c r="AK12" s="222">
        <f t="shared" si="6"/>
        <v>2617.4245904566678</v>
      </c>
      <c r="AL12" s="222">
        <f t="shared" si="7"/>
        <v>2438.2764458724232</v>
      </c>
      <c r="AM12" s="222">
        <f t="shared" si="8"/>
        <v>5786.2809934576844</v>
      </c>
      <c r="AN12" s="222">
        <f t="shared" si="9"/>
        <v>4598.1650394486815</v>
      </c>
      <c r="AP12" s="220">
        <f>V12+AF12</f>
        <v>191250.82693775088</v>
      </c>
      <c r="AQ12" s="220">
        <f>W12+AG12</f>
        <v>1020112.7208366129</v>
      </c>
      <c r="AR12" s="220">
        <f>X12+AH12</f>
        <v>5105708.2037677132</v>
      </c>
      <c r="AS12" s="220">
        <f t="shared" ref="AS12:AS45" si="15">AP12+AQ12+AR12</f>
        <v>6317071.7515420765</v>
      </c>
    </row>
    <row r="13" spans="1:45">
      <c r="A13" s="1">
        <v>3</v>
      </c>
      <c r="B13" s="14"/>
      <c r="C13" s="5" t="s">
        <v>223</v>
      </c>
      <c r="D13" s="2" t="s">
        <v>384</v>
      </c>
      <c r="E13" s="1"/>
      <c r="F13" s="1"/>
      <c r="G13" s="189">
        <f>'(2) Homes for non-HH earners'!G17</f>
        <v>405.1970671593831</v>
      </c>
      <c r="H13" s="189">
        <f>'(2) Homes for non-HH earners'!H17</f>
        <v>2386.8172746096379</v>
      </c>
      <c r="I13" s="189">
        <f>'(2) Homes for non-HH earners'!I17</f>
        <v>930.99772496026071</v>
      </c>
      <c r="J13" s="189">
        <f t="shared" ref="J13:J22" si="16">G13+H13+I13</f>
        <v>3723.0120667292817</v>
      </c>
      <c r="K13" s="56"/>
      <c r="L13" s="203">
        <v>911.35096327372412</v>
      </c>
      <c r="M13" s="203">
        <v>3502.1229010025154</v>
      </c>
      <c r="N13" s="203">
        <v>1828.8650050995996</v>
      </c>
      <c r="O13" s="203">
        <f t="shared" si="1"/>
        <v>6242.3388693758388</v>
      </c>
      <c r="P13" s="388"/>
      <c r="Q13" s="290">
        <f t="shared" si="2"/>
        <v>414.68568164609638</v>
      </c>
      <c r="R13" s="290">
        <f t="shared" si="3"/>
        <v>1076.2512523700495</v>
      </c>
      <c r="S13" s="290">
        <f t="shared" si="4"/>
        <v>507.27549959361124</v>
      </c>
      <c r="T13" s="290">
        <f t="shared" si="5"/>
        <v>861.96788554651789</v>
      </c>
      <c r="U13" s="56"/>
      <c r="V13" s="196">
        <v>168029.42199598788</v>
      </c>
      <c r="W13" s="196">
        <v>2568815.0809770911</v>
      </c>
      <c r="X13" s="196">
        <v>472272.3360497317</v>
      </c>
      <c r="Y13" s="196">
        <f t="shared" si="10"/>
        <v>3209116.8390228106</v>
      </c>
      <c r="Z13" s="203"/>
      <c r="AA13" s="208">
        <v>51.415931963589024</v>
      </c>
      <c r="AB13" s="208">
        <v>206.52926226447693</v>
      </c>
      <c r="AC13" s="214">
        <v>77.529597062715425</v>
      </c>
      <c r="AD13" s="208">
        <v>157.38898066999803</v>
      </c>
      <c r="AF13" s="215">
        <f t="shared" si="11"/>
        <v>20833.584836912654</v>
      </c>
      <c r="AG13" s="215">
        <f t="shared" si="12"/>
        <v>492947.61088523798</v>
      </c>
      <c r="AH13" s="215">
        <f t="shared" si="13"/>
        <v>72179.878482473767</v>
      </c>
      <c r="AI13" s="215">
        <f t="shared" si="14"/>
        <v>585961.0742046244</v>
      </c>
      <c r="AK13" s="222">
        <f t="shared" si="6"/>
        <v>466.10161360968544</v>
      </c>
      <c r="AL13" s="222">
        <f t="shared" si="7"/>
        <v>1282.7805146345263</v>
      </c>
      <c r="AM13" s="222">
        <f t="shared" si="8"/>
        <v>584.80509665632667</v>
      </c>
      <c r="AN13" s="222">
        <f t="shared" si="9"/>
        <v>1019.3568662165159</v>
      </c>
      <c r="AP13" s="220">
        <f t="shared" ref="AP13:AP41" si="17">V13+AF13</f>
        <v>188863.00683290054</v>
      </c>
      <c r="AQ13" s="220">
        <f t="shared" ref="AQ13:AQ41" si="18">W13+AG13</f>
        <v>3061762.6918623289</v>
      </c>
      <c r="AR13" s="220">
        <f t="shared" ref="AR13:AR41" si="19">X13+AH13</f>
        <v>544452.21453220549</v>
      </c>
      <c r="AS13" s="220">
        <f t="shared" si="15"/>
        <v>3795077.9132274347</v>
      </c>
    </row>
    <row r="14" spans="1:45">
      <c r="A14" s="1">
        <v>4</v>
      </c>
      <c r="B14" s="14" t="s">
        <v>386</v>
      </c>
      <c r="C14" s="5" t="s">
        <v>428</v>
      </c>
      <c r="D14" s="43" t="s">
        <v>372</v>
      </c>
      <c r="E14" s="1"/>
      <c r="F14" s="1"/>
      <c r="G14" s="189">
        <f>'(2) Homes for non-HH earners'!G18</f>
        <v>273</v>
      </c>
      <c r="H14" s="189">
        <f>'(2) Homes for non-HH earners'!H18</f>
        <v>1514</v>
      </c>
      <c r="I14" s="189">
        <f>'(2) Homes for non-HH earners'!I18</f>
        <v>299</v>
      </c>
      <c r="J14" s="189">
        <f t="shared" si="16"/>
        <v>2086</v>
      </c>
      <c r="K14" s="56"/>
      <c r="L14" s="203">
        <v>614.01928379669744</v>
      </c>
      <c r="M14" s="203">
        <v>2221.457892282509</v>
      </c>
      <c r="N14" s="203">
        <v>587.35979891693239</v>
      </c>
      <c r="O14" s="203">
        <f t="shared" si="1"/>
        <v>3422.8369749961389</v>
      </c>
      <c r="P14" s="388"/>
      <c r="Q14" s="290">
        <f t="shared" si="2"/>
        <v>360.1614293617086</v>
      </c>
      <c r="R14" s="290">
        <f t="shared" si="3"/>
        <v>375.02305427456565</v>
      </c>
      <c r="S14" s="290">
        <f t="shared" si="4"/>
        <v>378.52299591041134</v>
      </c>
      <c r="T14" s="290">
        <f t="shared" si="5"/>
        <v>373.57974600414758</v>
      </c>
      <c r="U14" s="56"/>
      <c r="V14" s="196">
        <v>98324.07021574644</v>
      </c>
      <c r="W14" s="196">
        <v>567784.90417169244</v>
      </c>
      <c r="X14" s="196">
        <v>113178.37577721299</v>
      </c>
      <c r="Y14" s="196">
        <f t="shared" si="10"/>
        <v>779287.35016465187</v>
      </c>
      <c r="Z14" s="203"/>
      <c r="AA14" s="208">
        <v>47.600880591164575</v>
      </c>
      <c r="AB14" s="208">
        <v>140.20260245953304</v>
      </c>
      <c r="AC14" s="214">
        <v>233.50642595360472</v>
      </c>
      <c r="AD14" s="208">
        <v>141.45743139273671</v>
      </c>
      <c r="AF14" s="215">
        <f t="shared" si="11"/>
        <v>12995.040401387929</v>
      </c>
      <c r="AG14" s="215">
        <f t="shared" si="12"/>
        <v>212266.74012373303</v>
      </c>
      <c r="AH14" s="215">
        <f t="shared" si="13"/>
        <v>69818.421360127817</v>
      </c>
      <c r="AI14" s="215">
        <f t="shared" si="14"/>
        <v>295080.20188524877</v>
      </c>
      <c r="AK14" s="222">
        <f t="shared" si="6"/>
        <v>407.76230995287318</v>
      </c>
      <c r="AL14" s="222">
        <f t="shared" si="7"/>
        <v>515.22565673409872</v>
      </c>
      <c r="AM14" s="222">
        <f t="shared" si="8"/>
        <v>612.02942186401617</v>
      </c>
      <c r="AN14" s="222">
        <f t="shared" si="9"/>
        <v>515.03717739688432</v>
      </c>
      <c r="AP14" s="220">
        <f t="shared" si="17"/>
        <v>111319.11061713437</v>
      </c>
      <c r="AQ14" s="220">
        <f t="shared" si="18"/>
        <v>780051.6442954255</v>
      </c>
      <c r="AR14" s="220">
        <f t="shared" si="19"/>
        <v>182996.79713734082</v>
      </c>
      <c r="AS14" s="220">
        <f t="shared" si="15"/>
        <v>1074367.5520499006</v>
      </c>
    </row>
    <row r="15" spans="1:45">
      <c r="A15" s="1">
        <v>5</v>
      </c>
      <c r="B15" s="14" t="s">
        <v>220</v>
      </c>
      <c r="C15" s="5" t="s">
        <v>328</v>
      </c>
      <c r="D15" s="4" t="s">
        <v>288</v>
      </c>
      <c r="E15" s="1"/>
      <c r="F15" s="1"/>
      <c r="G15" s="189">
        <f>'(2) Homes for non-HH earners'!G19</f>
        <v>197.82570688946015</v>
      </c>
      <c r="H15" s="189">
        <f>'(2) Homes for non-HH earners'!H19</f>
        <v>685.91208771434367</v>
      </c>
      <c r="I15" s="189">
        <f>'(2) Homes for non-HH earners'!I19</f>
        <v>216.02648296594066</v>
      </c>
      <c r="J15" s="189">
        <f t="shared" si="16"/>
        <v>1099.7642775697445</v>
      </c>
      <c r="K15" s="56"/>
      <c r="L15" s="203">
        <v>444.94065516791829</v>
      </c>
      <c r="M15" s="203">
        <v>1006.4232633190234</v>
      </c>
      <c r="N15" s="203">
        <v>424.36545684149507</v>
      </c>
      <c r="O15" s="203">
        <f t="shared" si="1"/>
        <v>1875.7293753284366</v>
      </c>
      <c r="P15" s="388"/>
      <c r="Q15" s="290">
        <f t="shared" si="2"/>
        <v>425.10254047281961</v>
      </c>
      <c r="R15" s="290">
        <f t="shared" si="3"/>
        <v>466.35438760789901</v>
      </c>
      <c r="S15" s="290">
        <f t="shared" si="4"/>
        <v>492.03299591041127</v>
      </c>
      <c r="T15" s="290">
        <f t="shared" si="5"/>
        <v>463.97804530051252</v>
      </c>
      <c r="U15" s="56"/>
      <c r="V15" s="196">
        <v>84096.210569540883</v>
      </c>
      <c r="W15" s="196">
        <v>319878.11161887826</v>
      </c>
      <c r="X15" s="196">
        <v>106292.15760972121</v>
      </c>
      <c r="Y15" s="196">
        <f t="shared" si="10"/>
        <v>510266.47979814035</v>
      </c>
      <c r="Z15" s="203"/>
      <c r="AA15" s="208">
        <v>47.600880591164575</v>
      </c>
      <c r="AB15" s="208">
        <v>140.20260245953304</v>
      </c>
      <c r="AC15" s="214">
        <v>233.50642595360472</v>
      </c>
      <c r="AD15" s="208">
        <v>141.87304746886508</v>
      </c>
      <c r="AF15" s="215">
        <f t="shared" si="11"/>
        <v>9416.677851507915</v>
      </c>
      <c r="AG15" s="215">
        <f t="shared" si="12"/>
        <v>96166.659756002482</v>
      </c>
      <c r="AH15" s="215">
        <f t="shared" si="13"/>
        <v>50443.571948704077</v>
      </c>
      <c r="AI15" s="215">
        <f t="shared" si="14"/>
        <v>156026.90955621446</v>
      </c>
      <c r="AK15" s="222">
        <f t="shared" si="6"/>
        <v>472.70342106398419</v>
      </c>
      <c r="AL15" s="222">
        <f t="shared" si="7"/>
        <v>606.55699006743203</v>
      </c>
      <c r="AM15" s="222">
        <f t="shared" si="8"/>
        <v>725.53942186401605</v>
      </c>
      <c r="AN15" s="222">
        <f t="shared" si="9"/>
        <v>605.8510927693776</v>
      </c>
      <c r="AP15" s="220">
        <f t="shared" si="17"/>
        <v>93512.888421048803</v>
      </c>
      <c r="AQ15" s="220">
        <f t="shared" si="18"/>
        <v>416044.77137488074</v>
      </c>
      <c r="AR15" s="220">
        <f t="shared" si="19"/>
        <v>156735.72955842529</v>
      </c>
      <c r="AS15" s="220">
        <f t="shared" si="15"/>
        <v>666293.38935435482</v>
      </c>
    </row>
    <row r="16" spans="1:45">
      <c r="A16" s="1">
        <v>6</v>
      </c>
      <c r="B16" s="14" t="s">
        <v>250</v>
      </c>
      <c r="C16" s="5" t="s">
        <v>334</v>
      </c>
      <c r="D16" s="43" t="s">
        <v>13</v>
      </c>
      <c r="E16" s="1"/>
      <c r="F16" s="1"/>
      <c r="G16" s="189">
        <f>'(2) Homes for non-HH earners'!G20</f>
        <v>8.0144387200686378</v>
      </c>
      <c r="H16" s="189">
        <f>'(2) Homes for non-HH earners'!H20</f>
        <v>254.68015419186904</v>
      </c>
      <c r="I16" s="189">
        <f>'(2) Homes for non-HH earners'!I20</f>
        <v>384.67464745420693</v>
      </c>
      <c r="J16" s="189">
        <f t="shared" si="16"/>
        <v>647.3692403661446</v>
      </c>
      <c r="K16" s="56"/>
      <c r="L16" s="203">
        <v>18.025714003403166</v>
      </c>
      <c r="M16" s="203">
        <v>373.68641911311346</v>
      </c>
      <c r="N16" s="203">
        <v>755.6602795222235</v>
      </c>
      <c r="O16" s="203">
        <f t="shared" si="1"/>
        <v>1147.3724126387401</v>
      </c>
      <c r="P16" s="388"/>
      <c r="Q16" s="290">
        <f t="shared" si="2"/>
        <v>355.09402585293662</v>
      </c>
      <c r="R16" s="290">
        <f t="shared" si="3"/>
        <v>366.64021629799782</v>
      </c>
      <c r="S16" s="290">
        <f t="shared" si="4"/>
        <v>822.03299591041127</v>
      </c>
      <c r="T16" s="290">
        <f t="shared" si="5"/>
        <v>637.09718242724728</v>
      </c>
      <c r="U16" s="56"/>
      <c r="V16" s="196">
        <v>2845.8793100608291</v>
      </c>
      <c r="W16" s="196">
        <v>93375.986819714308</v>
      </c>
      <c r="X16" s="196">
        <v>316215.25289756298</v>
      </c>
      <c r="Y16" s="196">
        <f t="shared" si="10"/>
        <v>412437.11902733811</v>
      </c>
      <c r="Z16" s="203"/>
      <c r="AA16" s="208">
        <v>26.873229935943062</v>
      </c>
      <c r="AB16" s="208">
        <v>22.614155001121127</v>
      </c>
      <c r="AC16" s="214">
        <v>445.35760196587682</v>
      </c>
      <c r="AD16" s="208">
        <v>273.866161395213</v>
      </c>
      <c r="AF16" s="215">
        <f t="shared" si="11"/>
        <v>215.37385453192971</v>
      </c>
      <c r="AG16" s="215">
        <f t="shared" si="12"/>
        <v>5759.3764826043544</v>
      </c>
      <c r="AH16" s="215">
        <f t="shared" si="13"/>
        <v>171317.7785272747</v>
      </c>
      <c r="AI16" s="215">
        <f t="shared" si="14"/>
        <v>177292.528864411</v>
      </c>
      <c r="AK16" s="222">
        <f t="shared" si="6"/>
        <v>381.9672557888797</v>
      </c>
      <c r="AL16" s="222">
        <f t="shared" si="7"/>
        <v>389.25437129911893</v>
      </c>
      <c r="AM16" s="222">
        <f t="shared" si="8"/>
        <v>1267.390597876288</v>
      </c>
      <c r="AN16" s="222">
        <f t="shared" si="9"/>
        <v>910.96334382246016</v>
      </c>
      <c r="AP16" s="220">
        <f t="shared" si="17"/>
        <v>3061.2531645927588</v>
      </c>
      <c r="AQ16" s="220">
        <f t="shared" si="18"/>
        <v>99135.363302318656</v>
      </c>
      <c r="AR16" s="220">
        <f t="shared" si="19"/>
        <v>487533.03142483765</v>
      </c>
      <c r="AS16" s="220">
        <f t="shared" si="15"/>
        <v>589729.64789174905</v>
      </c>
    </row>
    <row r="17" spans="1:46">
      <c r="A17" s="1">
        <v>7</v>
      </c>
      <c r="B17" s="14" t="s">
        <v>97</v>
      </c>
      <c r="C17" s="5" t="s">
        <v>98</v>
      </c>
      <c r="D17" s="4" t="s">
        <v>336</v>
      </c>
      <c r="E17" s="1"/>
      <c r="F17" s="1"/>
      <c r="G17" s="189">
        <f>'(2) Homes for non-HH earners'!G21</f>
        <v>164</v>
      </c>
      <c r="H17" s="189">
        <f>'(2) Homes for non-HH earners'!H21</f>
        <v>860</v>
      </c>
      <c r="I17" s="189">
        <f>'(2) Homes for non-HH earners'!I21</f>
        <v>138</v>
      </c>
      <c r="J17" s="189">
        <f t="shared" si="16"/>
        <v>1162</v>
      </c>
      <c r="K17" s="56"/>
      <c r="L17" s="203">
        <v>368.86140125515885</v>
      </c>
      <c r="M17" s="203">
        <v>1261.8585121287699</v>
      </c>
      <c r="N17" s="203">
        <v>271.08913796166109</v>
      </c>
      <c r="O17" s="203">
        <f t="shared" si="1"/>
        <v>1901.80905134559</v>
      </c>
      <c r="P17" s="388"/>
      <c r="Q17" s="290">
        <f t="shared" si="2"/>
        <v>310.09047698075614</v>
      </c>
      <c r="R17" s="290">
        <f t="shared" si="3"/>
        <v>318.9130542745657</v>
      </c>
      <c r="S17" s="290">
        <f t="shared" si="4"/>
        <v>361.71299591041128</v>
      </c>
      <c r="T17" s="290">
        <f t="shared" si="5"/>
        <v>322.75082473029886</v>
      </c>
      <c r="U17" s="56"/>
      <c r="V17" s="196">
        <v>50854.838224844003</v>
      </c>
      <c r="W17" s="196">
        <v>274265.22667612648</v>
      </c>
      <c r="X17" s="196">
        <v>49916.393435636754</v>
      </c>
      <c r="Y17" s="196">
        <f t="shared" si="10"/>
        <v>375036.45833660726</v>
      </c>
      <c r="Z17" s="203"/>
      <c r="AA17" s="208">
        <v>12.28055180410783</v>
      </c>
      <c r="AB17" s="208">
        <v>45.283028455730417</v>
      </c>
      <c r="AC17" s="214">
        <v>64.549633279999995</v>
      </c>
      <c r="AD17" s="208">
        <v>42.913308399691772</v>
      </c>
      <c r="AF17" s="215">
        <f t="shared" si="11"/>
        <v>2014.0104958736842</v>
      </c>
      <c r="AG17" s="215">
        <f t="shared" si="12"/>
        <v>38943.404471928159</v>
      </c>
      <c r="AH17" s="215">
        <f t="shared" si="13"/>
        <v>8907.8493926399988</v>
      </c>
      <c r="AI17" s="215">
        <f t="shared" si="14"/>
        <v>49865.264360441841</v>
      </c>
      <c r="AK17" s="222">
        <f t="shared" si="6"/>
        <v>322.37102878486394</v>
      </c>
      <c r="AL17" s="222">
        <f t="shared" si="7"/>
        <v>364.19608273029604</v>
      </c>
      <c r="AM17" s="222">
        <f t="shared" si="8"/>
        <v>426.26262919041125</v>
      </c>
      <c r="AN17" s="222">
        <f t="shared" si="9"/>
        <v>365.6641331299906</v>
      </c>
      <c r="AP17" s="220">
        <f t="shared" si="17"/>
        <v>52868.848720717688</v>
      </c>
      <c r="AQ17" s="220">
        <f t="shared" si="18"/>
        <v>313208.63114805461</v>
      </c>
      <c r="AR17" s="220">
        <f t="shared" si="19"/>
        <v>58824.242828276751</v>
      </c>
      <c r="AS17" s="220">
        <f t="shared" si="15"/>
        <v>424901.72269704909</v>
      </c>
    </row>
    <row r="18" spans="1:46">
      <c r="A18" s="1">
        <v>8</v>
      </c>
      <c r="B18" s="14"/>
      <c r="C18" s="5" t="s">
        <v>337</v>
      </c>
      <c r="D18" s="4" t="s">
        <v>323</v>
      </c>
      <c r="E18" s="1"/>
      <c r="F18" s="1"/>
      <c r="G18" s="189">
        <f>'(2) Homes for non-HH earners'!G22</f>
        <v>40.591306041131133</v>
      </c>
      <c r="H18" s="189">
        <f>'(2) Homes for non-HH earners'!H22</f>
        <v>235.94180362566135</v>
      </c>
      <c r="I18" s="189">
        <f>'(2) Homes for non-HH earners'!I22</f>
        <v>88.064721726642944</v>
      </c>
      <c r="J18" s="189">
        <f t="shared" si="16"/>
        <v>364.5978313934354</v>
      </c>
      <c r="K18" s="56"/>
      <c r="L18" s="203">
        <v>40.591306041131133</v>
      </c>
      <c r="M18" s="203">
        <v>235.94180362566135</v>
      </c>
      <c r="N18" s="203">
        <v>88.064721726642944</v>
      </c>
      <c r="O18" s="203">
        <f t="shared" si="1"/>
        <v>364.5978313934354</v>
      </c>
      <c r="P18" s="388"/>
      <c r="Q18" s="290">
        <f t="shared" si="2"/>
        <v>54.97</v>
      </c>
      <c r="R18" s="290">
        <f t="shared" si="3"/>
        <v>59.940000000000005</v>
      </c>
      <c r="S18" s="290">
        <f t="shared" si="4"/>
        <v>59.94</v>
      </c>
      <c r="T18" s="290">
        <f t="shared" si="5"/>
        <v>59.386681319377558</v>
      </c>
      <c r="U18" s="56"/>
      <c r="V18" s="196">
        <v>2231.3040930809784</v>
      </c>
      <c r="W18" s="196">
        <v>14142.351709322142</v>
      </c>
      <c r="X18" s="196">
        <v>5278.5994202949778</v>
      </c>
      <c r="Y18" s="196">
        <f t="shared" si="10"/>
        <v>21652.255222698099</v>
      </c>
      <c r="Z18" s="203"/>
      <c r="AA18" s="214">
        <v>2.1769837604967823</v>
      </c>
      <c r="AB18" s="214">
        <v>8.5109865816269039</v>
      </c>
      <c r="AC18" s="214">
        <v>10.696615998175238</v>
      </c>
      <c r="AD18" s="208">
        <v>8.3337266117445097</v>
      </c>
      <c r="AF18" s="215">
        <f t="shared" si="11"/>
        <v>88.36661406889742</v>
      </c>
      <c r="AG18" s="215">
        <f t="shared" si="12"/>
        <v>2008.0975247028537</v>
      </c>
      <c r="AH18" s="215">
        <f t="shared" si="13"/>
        <v>941.99451129605939</v>
      </c>
      <c r="AI18" s="215">
        <f t="shared" si="14"/>
        <v>3038.4586500678106</v>
      </c>
      <c r="AK18" s="222">
        <f t="shared" si="6"/>
        <v>57.146983760496781</v>
      </c>
      <c r="AL18" s="222">
        <f t="shared" si="7"/>
        <v>68.450986581626907</v>
      </c>
      <c r="AM18" s="222">
        <f t="shared" si="8"/>
        <v>70.63661599817523</v>
      </c>
      <c r="AN18" s="222">
        <f t="shared" si="9"/>
        <v>67.720407931122068</v>
      </c>
      <c r="AP18" s="220">
        <f t="shared" si="17"/>
        <v>2319.6707071498759</v>
      </c>
      <c r="AQ18" s="220">
        <f t="shared" si="18"/>
        <v>16150.449234024996</v>
      </c>
      <c r="AR18" s="220">
        <f t="shared" si="19"/>
        <v>6220.5939315910373</v>
      </c>
      <c r="AS18" s="220">
        <f t="shared" si="15"/>
        <v>24690.713872765908</v>
      </c>
    </row>
    <row r="19" spans="1:46">
      <c r="A19" s="1">
        <v>9</v>
      </c>
      <c r="B19" s="14"/>
      <c r="C19" s="4" t="s">
        <v>515</v>
      </c>
      <c r="D19" s="42" t="s">
        <v>256</v>
      </c>
      <c r="E19" s="1"/>
      <c r="F19" s="1"/>
      <c r="G19" s="189">
        <f>'(2) Homes for non-HH earners'!G23</f>
        <v>104.9526829691517</v>
      </c>
      <c r="H19" s="189">
        <f>'(2) Homes for non-HH earners'!H23</f>
        <v>1139.8754213249404</v>
      </c>
      <c r="I19" s="189">
        <f>'(2) Homes for non-HH earners'!I23</f>
        <v>563.64255215446599</v>
      </c>
      <c r="J19" s="189">
        <f t="shared" si="16"/>
        <v>1808.4706564485582</v>
      </c>
      <c r="K19" s="56"/>
      <c r="L19" s="203">
        <v>104.9526829691517</v>
      </c>
      <c r="M19" s="203">
        <v>1139.8754213249404</v>
      </c>
      <c r="N19" s="203">
        <v>563.64255215446599</v>
      </c>
      <c r="O19" s="203">
        <f t="shared" si="1"/>
        <v>1808.4706564485582</v>
      </c>
      <c r="P19" s="388"/>
      <c r="Q19" s="290">
        <f t="shared" si="2"/>
        <v>125.36571428571428</v>
      </c>
      <c r="R19" s="290">
        <f t="shared" si="3"/>
        <v>157.16200000000001</v>
      </c>
      <c r="S19" s="290">
        <f t="shared" si="4"/>
        <v>179.68</v>
      </c>
      <c r="T19" s="290">
        <f t="shared" si="5"/>
        <v>162.33487768086732</v>
      </c>
      <c r="U19" s="56"/>
      <c r="V19" s="196">
        <v>13157.468066629823</v>
      </c>
      <c r="W19" s="196">
        <v>179145.10096627029</v>
      </c>
      <c r="X19" s="196">
        <v>101275.29377111445</v>
      </c>
      <c r="Y19" s="196">
        <f t="shared" si="10"/>
        <v>293577.86280401453</v>
      </c>
      <c r="Z19" s="203"/>
      <c r="AA19" s="208">
        <v>15.390594119999999</v>
      </c>
      <c r="AB19" s="208">
        <v>1.7042720512331457</v>
      </c>
      <c r="AC19" s="214">
        <v>55.068807800582213</v>
      </c>
      <c r="AD19" s="208">
        <v>19.13056494297782</v>
      </c>
      <c r="AF19" s="215">
        <f t="shared" si="11"/>
        <v>1615.2841453832502</v>
      </c>
      <c r="AG19" s="215">
        <f t="shared" si="12"/>
        <v>1942.6578224517023</v>
      </c>
      <c r="AH19" s="215">
        <f t="shared" si="13"/>
        <v>31039.123372823924</v>
      </c>
      <c r="AI19" s="215">
        <f t="shared" si="14"/>
        <v>34597.065340658875</v>
      </c>
      <c r="AK19" s="222">
        <f t="shared" si="6"/>
        <v>140.75630840571426</v>
      </c>
      <c r="AL19" s="222">
        <f t="shared" si="7"/>
        <v>158.86627205123315</v>
      </c>
      <c r="AM19" s="222">
        <f t="shared" si="8"/>
        <v>234.7488078005822</v>
      </c>
      <c r="AN19" s="222">
        <f t="shared" si="9"/>
        <v>181.46544262384515</v>
      </c>
      <c r="AP19" s="220">
        <f t="shared" si="17"/>
        <v>14772.752212013072</v>
      </c>
      <c r="AQ19" s="220">
        <f t="shared" si="18"/>
        <v>181087.75878872199</v>
      </c>
      <c r="AR19" s="220">
        <f t="shared" si="19"/>
        <v>132314.41714393836</v>
      </c>
      <c r="AS19" s="220">
        <f t="shared" si="15"/>
        <v>328174.92814467341</v>
      </c>
    </row>
    <row r="20" spans="1:46">
      <c r="A20" s="1">
        <v>10</v>
      </c>
      <c r="B20" s="14"/>
      <c r="C20" s="4" t="s">
        <v>539</v>
      </c>
      <c r="D20" s="42" t="s">
        <v>457</v>
      </c>
      <c r="E20" s="1"/>
      <c r="F20" s="1"/>
      <c r="G20" s="189">
        <f>'(2) Homes for non-HH earners'!G24</f>
        <v>69.082778663239068</v>
      </c>
      <c r="H20" s="189">
        <f>'(2) Homes for non-HH earners'!H24</f>
        <v>230.56324860782343</v>
      </c>
      <c r="I20" s="189">
        <f>'(2) Homes for non-HH earners'!I24</f>
        <v>193.24887502438833</v>
      </c>
      <c r="J20" s="189">
        <f t="shared" si="16"/>
        <v>492.89490229545083</v>
      </c>
      <c r="K20" s="56"/>
      <c r="L20" s="203">
        <v>69.082778663239068</v>
      </c>
      <c r="M20" s="203">
        <v>230.56324860782343</v>
      </c>
      <c r="N20" s="203">
        <v>193.24887502438833</v>
      </c>
      <c r="O20" s="203">
        <f t="shared" si="1"/>
        <v>492.89490229545083</v>
      </c>
      <c r="P20" s="388"/>
      <c r="Q20" s="290">
        <f t="shared" si="2"/>
        <v>125.36571428571429</v>
      </c>
      <c r="R20" s="290">
        <f t="shared" si="3"/>
        <v>157.16199999999998</v>
      </c>
      <c r="S20" s="290">
        <f t="shared" si="4"/>
        <v>179.68</v>
      </c>
      <c r="T20" s="290">
        <f t="shared" si="5"/>
        <v>161.53413367281757</v>
      </c>
      <c r="U20" s="56"/>
      <c r="V20" s="196">
        <v>8660.611891958868</v>
      </c>
      <c r="W20" s="196">
        <v>36235.781277702743</v>
      </c>
      <c r="X20" s="196">
        <v>34722.957864382093</v>
      </c>
      <c r="Y20" s="196">
        <f t="shared" si="10"/>
        <v>79619.351034043706</v>
      </c>
      <c r="Z20" s="203"/>
      <c r="AA20" s="208">
        <v>9.5227728887351333</v>
      </c>
      <c r="AB20" s="208">
        <v>46.577391234428333</v>
      </c>
      <c r="AC20" s="214">
        <v>204.37677509333335</v>
      </c>
      <c r="AD20" s="208">
        <v>103.25218596765542</v>
      </c>
      <c r="AF20" s="215">
        <f t="shared" si="11"/>
        <v>657.85961173278292</v>
      </c>
      <c r="AG20" s="215">
        <f t="shared" si="12"/>
        <v>10739.034634687356</v>
      </c>
      <c r="AH20" s="215">
        <f t="shared" si="13"/>
        <v>39495.581867899098</v>
      </c>
      <c r="AI20" s="215">
        <f t="shared" si="14"/>
        <v>50892.476114319237</v>
      </c>
      <c r="AK20" s="222">
        <f t="shared" si="6"/>
        <v>134.88848717444944</v>
      </c>
      <c r="AL20" s="222">
        <f t="shared" si="7"/>
        <v>203.73939123442833</v>
      </c>
      <c r="AM20" s="222">
        <f t="shared" si="8"/>
        <v>384.05677509333333</v>
      </c>
      <c r="AN20" s="222">
        <f t="shared" si="9"/>
        <v>264.78631964047298</v>
      </c>
      <c r="AP20" s="220">
        <f t="shared" si="17"/>
        <v>9318.4715036916514</v>
      </c>
      <c r="AQ20" s="220">
        <f t="shared" si="18"/>
        <v>46974.815912390099</v>
      </c>
      <c r="AR20" s="220">
        <f t="shared" si="19"/>
        <v>74218.539732281191</v>
      </c>
      <c r="AS20" s="220">
        <f t="shared" si="15"/>
        <v>130511.82714836294</v>
      </c>
    </row>
    <row r="21" spans="1:46">
      <c r="A21" s="1">
        <v>11</v>
      </c>
      <c r="B21" s="14" t="s">
        <v>330</v>
      </c>
      <c r="C21" s="5" t="s">
        <v>430</v>
      </c>
      <c r="D21" s="4" t="s">
        <v>431</v>
      </c>
      <c r="E21" s="1"/>
      <c r="F21" s="1"/>
      <c r="G21" s="189">
        <f>'(2) Homes for non-HH earners'!G25</f>
        <v>700.99480761994664</v>
      </c>
      <c r="H21" s="189">
        <f>'(2) Homes for non-HH earners'!H25</f>
        <v>672.59682139033032</v>
      </c>
      <c r="I21" s="189"/>
      <c r="J21" s="189">
        <f t="shared" si="16"/>
        <v>1373.5916290102768</v>
      </c>
      <c r="K21" s="56"/>
      <c r="L21" s="203">
        <v>700.99480761994664</v>
      </c>
      <c r="M21" s="203">
        <v>672.59682139033032</v>
      </c>
      <c r="N21" s="203">
        <v>0</v>
      </c>
      <c r="O21" s="203">
        <f t="shared" si="1"/>
        <v>1373.5916290102768</v>
      </c>
      <c r="P21" s="388"/>
      <c r="Q21" s="290">
        <f>V21/G21</f>
        <v>62.682857142857003</v>
      </c>
      <c r="R21" s="290">
        <f>W21/H21</f>
        <v>78.581000000000003</v>
      </c>
      <c r="S21" s="290"/>
      <c r="T21" s="290">
        <f>Y21/J21</f>
        <v>70.467587426506512</v>
      </c>
      <c r="U21" s="56"/>
      <c r="V21" s="196">
        <v>43940.357383925642</v>
      </c>
      <c r="W21" s="196">
        <v>52853.330821673546</v>
      </c>
      <c r="X21" s="196">
        <v>0</v>
      </c>
      <c r="Y21" s="196">
        <f t="shared" si="10"/>
        <v>96793.688205599188</v>
      </c>
      <c r="Z21" s="203"/>
      <c r="AA21" s="208">
        <v>0</v>
      </c>
      <c r="AB21" s="208">
        <v>0</v>
      </c>
      <c r="AC21" s="214">
        <v>0</v>
      </c>
      <c r="AD21" s="208">
        <v>0</v>
      </c>
      <c r="AF21" s="1"/>
      <c r="AG21" s="1"/>
      <c r="AH21" s="1"/>
      <c r="AI21" s="1"/>
      <c r="AJ21" s="1"/>
      <c r="AK21" s="222">
        <f>AP21/G21</f>
        <v>62.682857142857003</v>
      </c>
      <c r="AL21" s="222">
        <f>AQ21/H21</f>
        <v>78.581000000000003</v>
      </c>
      <c r="AM21" s="222"/>
      <c r="AN21" s="222">
        <f>AS21/J21</f>
        <v>70.467587426506512</v>
      </c>
      <c r="AP21" s="220">
        <f t="shared" si="17"/>
        <v>43940.357383925642</v>
      </c>
      <c r="AQ21" s="220">
        <f t="shared" si="18"/>
        <v>52853.330821673546</v>
      </c>
      <c r="AR21" s="220"/>
      <c r="AS21" s="220">
        <f t="shared" si="15"/>
        <v>96793.688205599188</v>
      </c>
    </row>
    <row r="22" spans="1:46">
      <c r="A22" s="1">
        <v>12</v>
      </c>
      <c r="B22" s="15" t="s">
        <v>221</v>
      </c>
      <c r="C22" s="5" t="s">
        <v>343</v>
      </c>
      <c r="D22" s="43" t="s">
        <v>236</v>
      </c>
      <c r="E22" s="1"/>
      <c r="F22" s="1"/>
      <c r="G22" s="189"/>
      <c r="H22" s="362">
        <f>'(2) Homes for non-HH earners'!H26</f>
        <v>986.63250000000005</v>
      </c>
      <c r="I22" s="189"/>
      <c r="J22" s="189">
        <f t="shared" si="16"/>
        <v>986.63250000000005</v>
      </c>
      <c r="K22" s="56"/>
      <c r="L22" s="203">
        <v>0</v>
      </c>
      <c r="M22" s="203">
        <v>2537.0550000000003</v>
      </c>
      <c r="N22" s="203"/>
      <c r="O22" s="203">
        <f>L22+M22</f>
        <v>2537.0550000000003</v>
      </c>
      <c r="P22" s="388"/>
      <c r="Q22" s="278"/>
      <c r="R22" s="290">
        <f>W22/H22</f>
        <v>279.77170731428572</v>
      </c>
      <c r="S22" s="290"/>
      <c r="T22" s="290">
        <f>Y22/J22</f>
        <v>279.77170731428572</v>
      </c>
      <c r="U22" s="56"/>
      <c r="V22" s="196">
        <v>0</v>
      </c>
      <c r="W22" s="196">
        <v>276031.859016762</v>
      </c>
      <c r="X22" s="196"/>
      <c r="Y22" s="196">
        <f t="shared" si="10"/>
        <v>276031.859016762</v>
      </c>
      <c r="Z22" s="203"/>
      <c r="AA22" s="208">
        <v>0</v>
      </c>
      <c r="AB22" s="208">
        <v>0</v>
      </c>
      <c r="AC22" s="214">
        <v>0</v>
      </c>
      <c r="AD22" s="208">
        <v>0</v>
      </c>
      <c r="AF22" s="1"/>
      <c r="AG22" s="1"/>
      <c r="AH22" s="1"/>
      <c r="AI22" s="1"/>
      <c r="AJ22" s="1"/>
      <c r="AK22" s="1"/>
      <c r="AL22" s="222">
        <f>AQ22/H22</f>
        <v>279.77170731428572</v>
      </c>
      <c r="AM22" s="222"/>
      <c r="AN22" s="222">
        <f>AS22/J22</f>
        <v>279.77170731428572</v>
      </c>
      <c r="AP22" s="220"/>
      <c r="AQ22" s="220">
        <f t="shared" si="18"/>
        <v>276031.859016762</v>
      </c>
      <c r="AR22" s="220"/>
      <c r="AS22" s="220">
        <f t="shared" si="15"/>
        <v>276031.859016762</v>
      </c>
    </row>
    <row r="23" spans="1:46">
      <c r="A23" s="1">
        <v>13</v>
      </c>
      <c r="B23" s="12"/>
      <c r="C23" s="5" t="s">
        <v>262</v>
      </c>
      <c r="D23" s="4"/>
      <c r="E23" s="1"/>
      <c r="F23" s="1"/>
      <c r="G23" s="56"/>
      <c r="H23" s="56"/>
      <c r="I23" s="189"/>
      <c r="J23" s="56"/>
      <c r="K23" s="56"/>
      <c r="L23" s="142"/>
      <c r="M23" s="203"/>
      <c r="N23" s="142"/>
      <c r="O23" s="142"/>
      <c r="P23" s="388"/>
      <c r="Q23" s="278"/>
      <c r="R23" s="290"/>
      <c r="S23" s="290"/>
      <c r="T23" s="290"/>
      <c r="U23" s="142"/>
      <c r="V23" s="215"/>
      <c r="W23" s="215"/>
      <c r="X23" s="215"/>
      <c r="Y23" s="215"/>
      <c r="Z23" s="203"/>
      <c r="AC23" s="212"/>
      <c r="AD23" s="212"/>
      <c r="AF23" s="212"/>
      <c r="AG23" s="212"/>
      <c r="AH23" s="212"/>
      <c r="AI23" s="212"/>
      <c r="AJ23" s="212"/>
      <c r="AK23" s="212"/>
      <c r="AL23" s="212"/>
      <c r="AM23" s="212"/>
      <c r="AN23" s="212"/>
      <c r="AP23" s="221"/>
      <c r="AQ23" s="221"/>
      <c r="AR23" s="221"/>
      <c r="AS23" s="220"/>
    </row>
    <row r="24" spans="1:46">
      <c r="A24" s="1">
        <v>27</v>
      </c>
      <c r="B24" s="16" t="s">
        <v>385</v>
      </c>
      <c r="C24" s="4" t="s">
        <v>331</v>
      </c>
      <c r="D24" s="43" t="s">
        <v>82</v>
      </c>
      <c r="E24" s="1"/>
      <c r="F24" s="1"/>
      <c r="G24" s="56">
        <f>SUM(G25:G41)</f>
        <v>127732.99477882113</v>
      </c>
      <c r="H24" s="142">
        <f>SUM(H25:H41)</f>
        <v>122891.83270440683</v>
      </c>
      <c r="I24" s="142">
        <f>SUM(I25:I41)</f>
        <v>236525.54562868335</v>
      </c>
      <c r="J24" s="142">
        <f>G24+H24+I24</f>
        <v>487150.37311191129</v>
      </c>
      <c r="K24" s="142"/>
      <c r="L24" s="142">
        <f>SUM(L25:L41)</f>
        <v>184792.73827464582</v>
      </c>
      <c r="M24" s="353">
        <f>SUM(M25:M41)</f>
        <v>161859.50909360158</v>
      </c>
      <c r="N24" s="353">
        <f>SUM(N25:N41)</f>
        <v>429690.74483502645</v>
      </c>
      <c r="O24" s="203">
        <f>L24+M24+N24</f>
        <v>776342.99220327381</v>
      </c>
      <c r="P24" s="388"/>
      <c r="Q24" s="290">
        <f t="shared" ref="Q24:Q28" si="20">V24/G24</f>
        <v>239.43327291837383</v>
      </c>
      <c r="R24" s="290">
        <f t="shared" ref="R24:R28" si="21">W24/H24</f>
        <v>200.47662334609225</v>
      </c>
      <c r="S24" s="290">
        <f t="shared" ref="S24:S28" si="22">X24/I24</f>
        <v>299.77938209231365</v>
      </c>
      <c r="T24" s="290">
        <f t="shared" ref="T24:T28" si="23">Y24/J24</f>
        <v>258.90558138932312</v>
      </c>
      <c r="U24" s="56"/>
      <c r="V24" s="196">
        <f>SUM(V25:V41)</f>
        <v>30583528.999558698</v>
      </c>
      <c r="W24" s="278">
        <f>SUM(W25:W41)</f>
        <v>24636939.657392349</v>
      </c>
      <c r="X24" s="278">
        <f>SUM(X25:X41)</f>
        <v>70905481.917614028</v>
      </c>
      <c r="Y24" s="196">
        <f t="shared" si="10"/>
        <v>126125950.57456508</v>
      </c>
      <c r="Z24" s="203"/>
      <c r="AA24" s="290">
        <f>AF24/G24</f>
        <v>32.406802394410192</v>
      </c>
      <c r="AB24" s="369">
        <f>AG24/H24</f>
        <v>103.17322113364457</v>
      </c>
      <c r="AC24" s="369">
        <f>AH24/I24</f>
        <v>139.81148584416238</v>
      </c>
      <c r="AD24" s="369">
        <f>AI24/J24</f>
        <v>102.40688477346411</v>
      </c>
      <c r="AF24" s="215">
        <f>SUM(AF25:AF37)</f>
        <v>4139417.9210434849</v>
      </c>
      <c r="AG24" s="353">
        <f>SUM(AG25:AG37)</f>
        <v>12679146.23113062</v>
      </c>
      <c r="AH24" s="353">
        <f>SUM(AH25:AH37)</f>
        <v>33068987.974447448</v>
      </c>
      <c r="AI24" s="215">
        <f>AF24+AG24+AH24</f>
        <v>49887552.126621552</v>
      </c>
      <c r="AK24" s="222">
        <f t="shared" ref="AK24:AK28" si="24">AP24/G24</f>
        <v>271.84007531278399</v>
      </c>
      <c r="AL24" s="222">
        <f t="shared" ref="AL24:AL28" si="25">AQ24/H24</f>
        <v>303.64984447973677</v>
      </c>
      <c r="AM24" s="222">
        <f t="shared" ref="AM24:AM28" si="26">AR24/I24</f>
        <v>439.59086793647595</v>
      </c>
      <c r="AN24" s="222">
        <f t="shared" ref="AN24:AN28" si="27">AS24/J24</f>
        <v>361.31246616278719</v>
      </c>
      <c r="AP24" s="220">
        <f>SUM(AP25:AP41)</f>
        <v>34722946.92060218</v>
      </c>
      <c r="AQ24" s="276">
        <f>SUM(AQ25:AQ41)</f>
        <v>37316085.88852296</v>
      </c>
      <c r="AR24" s="276">
        <f>SUM(AR25:AR41)</f>
        <v>103974469.89206146</v>
      </c>
      <c r="AS24" s="220">
        <f t="shared" si="15"/>
        <v>176013502.7011866</v>
      </c>
    </row>
    <row r="25" spans="1:46">
      <c r="A25" s="1">
        <v>28</v>
      </c>
      <c r="B25" s="17" t="s">
        <v>461</v>
      </c>
      <c r="C25" s="5" t="s">
        <v>222</v>
      </c>
      <c r="D25" s="2" t="s">
        <v>367</v>
      </c>
      <c r="E25" s="1"/>
      <c r="F25" s="1"/>
      <c r="G25" s="189">
        <v>536.22582205709273</v>
      </c>
      <c r="H25" s="189">
        <f>'(2) Homes for non-HH earners'!H30</f>
        <v>1352.9526393621529</v>
      </c>
      <c r="I25" s="136">
        <v>6823.2121432489412</v>
      </c>
      <c r="J25" s="189">
        <f t="shared" ref="J25:J41" si="28">G25+H25+I25</f>
        <v>8712.3906046681877</v>
      </c>
      <c r="K25" s="56"/>
      <c r="L25" s="142">
        <f>'(2) Homes for non-HH earners'!BN30</f>
        <v>947.87137507989212</v>
      </c>
      <c r="M25" s="353">
        <f>'(2) Homes for non-HH earners'!BO30</f>
        <v>1878.4235524619555</v>
      </c>
      <c r="N25" s="353">
        <f>'(2) Homes for non-HH earners'!BP30</f>
        <v>9827.6858739868894</v>
      </c>
      <c r="O25" s="203">
        <f t="shared" ref="O25:O41" si="29">L25+M25+N25</f>
        <v>12653.980801528738</v>
      </c>
      <c r="P25" s="388"/>
      <c r="Q25" s="290">
        <f t="shared" si="20"/>
        <v>1199.650705175477</v>
      </c>
      <c r="R25" s="290">
        <f t="shared" si="21"/>
        <v>1443.1139810639543</v>
      </c>
      <c r="S25" s="290">
        <f t="shared" si="22"/>
        <v>1770.9684235692926</v>
      </c>
      <c r="T25" s="290">
        <f t="shared" si="23"/>
        <v>1684.8925253980265</v>
      </c>
      <c r="U25" s="56"/>
      <c r="V25" s="196">
        <f>'(2) Homes for non-HH earners'!CC30</f>
        <v>643283.6855640912</v>
      </c>
      <c r="W25" s="353">
        <f>'(2) Homes for non-HH earners'!CD30</f>
        <v>1952464.8695809008</v>
      </c>
      <c r="X25" s="353">
        <f>'(2) Homes for non-HH earners'!CE30</f>
        <v>12083693.253008431</v>
      </c>
      <c r="Y25" s="196">
        <f t="shared" si="10"/>
        <v>14679441.808153423</v>
      </c>
      <c r="Z25" s="203"/>
      <c r="AA25" s="290">
        <v>11.000262326426654</v>
      </c>
      <c r="AB25" s="290">
        <v>212.5758040755575</v>
      </c>
      <c r="AC25" s="290">
        <v>823.66126575625265</v>
      </c>
      <c r="AD25" s="290">
        <v>681.01271038105563</v>
      </c>
      <c r="AF25" s="353">
        <f t="shared" ref="AF25:AH32" si="30">G25*AA25</f>
        <v>5898.6247088317996</v>
      </c>
      <c r="AG25" s="353">
        <f t="shared" si="30"/>
        <v>287604.99518855743</v>
      </c>
      <c r="AH25" s="353">
        <f t="shared" si="30"/>
        <v>5620015.550431856</v>
      </c>
      <c r="AI25" s="353">
        <f t="shared" ref="AI25:AI37" si="31">AF25+AG25+AH25</f>
        <v>5913519.1703292448</v>
      </c>
      <c r="AK25" s="222">
        <f t="shared" si="24"/>
        <v>1210.6509675019038</v>
      </c>
      <c r="AL25" s="222">
        <f t="shared" si="25"/>
        <v>1655.6897851395117</v>
      </c>
      <c r="AM25" s="222">
        <f t="shared" si="26"/>
        <v>2594.6296893255453</v>
      </c>
      <c r="AN25" s="222">
        <f t="shared" si="27"/>
        <v>2363.6406943748311</v>
      </c>
      <c r="AP25" s="220">
        <f t="shared" si="17"/>
        <v>649182.31027292297</v>
      </c>
      <c r="AQ25" s="220">
        <f t="shared" si="18"/>
        <v>2240069.8647694583</v>
      </c>
      <c r="AR25" s="220">
        <f t="shared" si="19"/>
        <v>17703708.803440288</v>
      </c>
      <c r="AS25" s="220">
        <f t="shared" si="15"/>
        <v>20592960.978482671</v>
      </c>
    </row>
    <row r="26" spans="1:46">
      <c r="A26" s="1">
        <v>29</v>
      </c>
      <c r="B26" s="17"/>
      <c r="C26" s="5" t="s">
        <v>223</v>
      </c>
      <c r="D26" s="2" t="s">
        <v>384</v>
      </c>
      <c r="E26" s="1"/>
      <c r="F26" s="1"/>
      <c r="G26" s="189">
        <v>2560.0967590580822</v>
      </c>
      <c r="H26" s="278">
        <f>'(2) Homes for non-HH earners'!H31</f>
        <v>6350.08945843726</v>
      </c>
      <c r="I26" s="136">
        <v>3133.7904367373903</v>
      </c>
      <c r="J26" s="189">
        <f t="shared" si="28"/>
        <v>12043.976654232732</v>
      </c>
      <c r="K26" s="56"/>
      <c r="L26" s="353">
        <f>'(2) Homes for non-HH earners'!BN31</f>
        <v>4525.4113761936505</v>
      </c>
      <c r="M26" s="353">
        <f>'(2) Homes for non-HH earners'!BO31</f>
        <v>8816.3896147853629</v>
      </c>
      <c r="N26" s="353">
        <f>'(2) Homes for non-HH earners'!BP31</f>
        <v>4513.6963882372447</v>
      </c>
      <c r="O26" s="203">
        <f t="shared" si="29"/>
        <v>17855.497379216256</v>
      </c>
      <c r="P26" s="388"/>
      <c r="Q26" s="290">
        <f t="shared" si="20"/>
        <v>391.54184256500628</v>
      </c>
      <c r="R26" s="290">
        <f t="shared" si="21"/>
        <v>252.30897460645593</v>
      </c>
      <c r="S26" s="290">
        <f t="shared" si="22"/>
        <v>419.30514454340482</v>
      </c>
      <c r="T26" s="290">
        <f t="shared" si="23"/>
        <v>325.35632761888803</v>
      </c>
      <c r="U26" s="56"/>
      <c r="V26" s="353">
        <f>'(2) Homes for non-HH earners'!CC31</f>
        <v>1002385.0021863024</v>
      </c>
      <c r="W26" s="353">
        <f>'(2) Homes for non-HH earners'!CD31</f>
        <v>1602184.5599175701</v>
      </c>
      <c r="X26" s="353">
        <f>'(2) Homes for non-HH earners'!CE31</f>
        <v>1314014.4520449112</v>
      </c>
      <c r="Y26" s="196">
        <f t="shared" si="10"/>
        <v>3918584.0141487839</v>
      </c>
      <c r="Z26" s="203"/>
      <c r="AA26" s="290">
        <v>149.83642119977739</v>
      </c>
      <c r="AB26" s="290">
        <v>206.22650252835862</v>
      </c>
      <c r="AC26" s="290">
        <v>88.589994427229385</v>
      </c>
      <c r="AD26" s="290">
        <v>160.15220341437765</v>
      </c>
      <c r="AF26" s="353">
        <f t="shared" si="30"/>
        <v>383595.73630241182</v>
      </c>
      <c r="AG26" s="353">
        <f t="shared" si="30"/>
        <v>1309556.739755715</v>
      </c>
      <c r="AH26" s="353">
        <f t="shared" si="30"/>
        <v>277622.47732667014</v>
      </c>
      <c r="AI26" s="353">
        <f t="shared" si="31"/>
        <v>1970774.9533847971</v>
      </c>
      <c r="AK26" s="222">
        <f t="shared" si="24"/>
        <v>541.3782637647837</v>
      </c>
      <c r="AL26" s="222">
        <f t="shared" si="25"/>
        <v>458.53547713481458</v>
      </c>
      <c r="AM26" s="222">
        <f t="shared" si="26"/>
        <v>507.89513897063421</v>
      </c>
      <c r="AN26" s="222">
        <f t="shared" si="27"/>
        <v>488.98790960905973</v>
      </c>
      <c r="AP26" s="220">
        <f t="shared" si="17"/>
        <v>1385980.7384887142</v>
      </c>
      <c r="AQ26" s="220">
        <f t="shared" si="18"/>
        <v>2911741.2996732853</v>
      </c>
      <c r="AR26" s="220">
        <f t="shared" si="19"/>
        <v>1591636.9293715814</v>
      </c>
      <c r="AS26" s="220">
        <f t="shared" si="15"/>
        <v>5889358.967533581</v>
      </c>
    </row>
    <row r="27" spans="1:46">
      <c r="A27" s="1">
        <v>30</v>
      </c>
      <c r="B27" s="17"/>
      <c r="C27" s="5" t="s">
        <v>428</v>
      </c>
      <c r="D27" s="43" t="s">
        <v>372</v>
      </c>
      <c r="E27" s="1"/>
      <c r="F27" s="1"/>
      <c r="G27" s="189">
        <v>6524</v>
      </c>
      <c r="H27" s="278">
        <f>'(2) Homes for non-HH earners'!H32</f>
        <v>17516</v>
      </c>
      <c r="I27" s="136">
        <v>4819</v>
      </c>
      <c r="J27" s="189">
        <f t="shared" si="28"/>
        <v>28859</v>
      </c>
      <c r="K27" s="56"/>
      <c r="L27" s="353">
        <f>'(2) Homes for non-HH earners'!BN32</f>
        <v>11532.292173655907</v>
      </c>
      <c r="M27" s="353">
        <f>'(2) Homes for non-HH earners'!BO32</f>
        <v>24319.008653869379</v>
      </c>
      <c r="N27" s="353">
        <f>'(2) Homes for non-HH earners'!BP32</f>
        <v>6940.9564340750603</v>
      </c>
      <c r="O27" s="203">
        <f t="shared" si="29"/>
        <v>42792.257261600345</v>
      </c>
      <c r="P27" s="388"/>
      <c r="Q27" s="290">
        <f t="shared" si="20"/>
        <v>336.96487184214345</v>
      </c>
      <c r="R27" s="290">
        <f t="shared" si="21"/>
        <v>206.46683820681147</v>
      </c>
      <c r="S27" s="290">
        <f t="shared" si="22"/>
        <v>282.63217356929243</v>
      </c>
      <c r="T27" s="290">
        <f t="shared" si="23"/>
        <v>248.68624714505265</v>
      </c>
      <c r="U27" s="56"/>
      <c r="V27" s="353">
        <f>'(2) Homes for non-HH earners'!CC32</f>
        <v>2198358.8238981441</v>
      </c>
      <c r="W27" s="353">
        <f>'(2) Homes for non-HH earners'!CD32</f>
        <v>3616473.1380305099</v>
      </c>
      <c r="X27" s="353">
        <f>'(2) Homes for non-HH earners'!CE32</f>
        <v>1362004.4444304202</v>
      </c>
      <c r="Y27" s="196">
        <f t="shared" si="10"/>
        <v>7176836.4063590746</v>
      </c>
      <c r="Z27" s="203"/>
      <c r="AA27" s="290">
        <v>41.93454970088132</v>
      </c>
      <c r="AB27" s="290">
        <v>67.431750379005322</v>
      </c>
      <c r="AC27" s="290">
        <v>47.710636781370447</v>
      </c>
      <c r="AD27" s="290">
        <v>59.404992287614519</v>
      </c>
      <c r="AF27" s="353">
        <f t="shared" si="30"/>
        <v>273581.00224854972</v>
      </c>
      <c r="AG27" s="353">
        <f t="shared" si="30"/>
        <v>1181134.5396386571</v>
      </c>
      <c r="AH27" s="353">
        <f t="shared" si="30"/>
        <v>229917.55864942417</v>
      </c>
      <c r="AI27" s="353">
        <f t="shared" si="31"/>
        <v>1684633.1005366312</v>
      </c>
      <c r="AK27" s="222">
        <f t="shared" si="24"/>
        <v>378.8994215430248</v>
      </c>
      <c r="AL27" s="222">
        <f t="shared" si="25"/>
        <v>273.89858858581681</v>
      </c>
      <c r="AM27" s="222">
        <f t="shared" si="26"/>
        <v>330.34281035066289</v>
      </c>
      <c r="AN27" s="222">
        <f t="shared" si="27"/>
        <v>307.06086513377824</v>
      </c>
      <c r="AP27" s="220">
        <f t="shared" si="17"/>
        <v>2471939.8261466939</v>
      </c>
      <c r="AQ27" s="220">
        <f t="shared" si="18"/>
        <v>4797607.6776691675</v>
      </c>
      <c r="AR27" s="220">
        <f t="shared" si="19"/>
        <v>1591922.0030798444</v>
      </c>
      <c r="AS27" s="220">
        <f t="shared" si="15"/>
        <v>8861469.5068957061</v>
      </c>
    </row>
    <row r="28" spans="1:46">
      <c r="A28" s="1">
        <v>31</v>
      </c>
      <c r="B28" s="17"/>
      <c r="C28" s="5" t="s">
        <v>328</v>
      </c>
      <c r="D28" s="4" t="s">
        <v>288</v>
      </c>
      <c r="E28" s="1"/>
      <c r="F28" s="1"/>
      <c r="G28" s="189">
        <v>3640.4232384296024</v>
      </c>
      <c r="H28" s="278">
        <f>'(2) Homes for non-HH earners'!H33</f>
        <v>10381.402867192013</v>
      </c>
      <c r="I28" s="136">
        <v>2953.5588889558767</v>
      </c>
      <c r="J28" s="189">
        <f t="shared" si="28"/>
        <v>16975.384994577493</v>
      </c>
      <c r="K28" s="56"/>
      <c r="L28" s="353">
        <f>'(2) Homes for non-HH earners'!BN33</f>
        <v>6435.074252197548</v>
      </c>
      <c r="M28" s="353">
        <f>'(2) Homes for non-HH earners'!BO33</f>
        <v>14413.417798957922</v>
      </c>
      <c r="N28" s="353">
        <f>'(2) Homes for non-HH earners'!BP33</f>
        <v>4254.1032524834773</v>
      </c>
      <c r="O28" s="203">
        <f t="shared" si="29"/>
        <v>25102.595303638947</v>
      </c>
      <c r="P28" s="388"/>
      <c r="Q28" s="290">
        <f t="shared" si="20"/>
        <v>388.37487184214348</v>
      </c>
      <c r="R28" s="290">
        <f t="shared" si="21"/>
        <v>272.60683820681152</v>
      </c>
      <c r="S28" s="290">
        <f t="shared" si="22"/>
        <v>344.71217356929247</v>
      </c>
      <c r="T28" s="290">
        <f t="shared" si="23"/>
        <v>309.97930394570437</v>
      </c>
      <c r="U28" s="56"/>
      <c r="V28" s="353">
        <f>'(2) Homes for non-HH earners'!CC33</f>
        <v>1413848.9086762578</v>
      </c>
      <c r="W28" s="353">
        <f>'(2) Homes for non-HH earners'!CD33</f>
        <v>2830041.4117763424</v>
      </c>
      <c r="X28" s="353">
        <f>'(2) Homes for non-HH earners'!CE33</f>
        <v>1018127.7043768847</v>
      </c>
      <c r="Y28" s="196">
        <f t="shared" si="10"/>
        <v>5262018.0248294855</v>
      </c>
      <c r="Z28" s="203"/>
      <c r="AA28" s="369">
        <v>41.93454970088132</v>
      </c>
      <c r="AB28" s="290">
        <v>68.174401027573197</v>
      </c>
      <c r="AC28" s="290">
        <v>47.710636781370454</v>
      </c>
      <c r="AD28" s="290">
        <v>59.456608171915597</v>
      </c>
      <c r="AF28" s="353">
        <f t="shared" si="30"/>
        <v>152659.50922416948</v>
      </c>
      <c r="AG28" s="353">
        <f t="shared" si="30"/>
        <v>707745.92229674652</v>
      </c>
      <c r="AH28" s="353">
        <f t="shared" si="30"/>
        <v>140916.17536336189</v>
      </c>
      <c r="AI28" s="353">
        <f t="shared" si="31"/>
        <v>1001321.6068842779</v>
      </c>
      <c r="AK28" s="222">
        <f t="shared" si="24"/>
        <v>430.30942154302477</v>
      </c>
      <c r="AL28" s="222">
        <f t="shared" si="25"/>
        <v>340.78123923438471</v>
      </c>
      <c r="AM28" s="222">
        <f t="shared" si="26"/>
        <v>392.42281035066287</v>
      </c>
      <c r="AN28" s="222">
        <f t="shared" si="27"/>
        <v>368.96598420091703</v>
      </c>
      <c r="AP28" s="220">
        <f t="shared" si="17"/>
        <v>1566508.4179004272</v>
      </c>
      <c r="AQ28" s="220">
        <f t="shared" si="18"/>
        <v>3537787.3340730891</v>
      </c>
      <c r="AR28" s="220">
        <f t="shared" si="19"/>
        <v>1159043.8797402466</v>
      </c>
      <c r="AS28" s="220">
        <f t="shared" si="15"/>
        <v>6263339.6317137629</v>
      </c>
    </row>
    <row r="29" spans="1:46">
      <c r="A29" s="1">
        <v>32</v>
      </c>
      <c r="B29" s="17"/>
      <c r="C29" s="5" t="s">
        <v>318</v>
      </c>
      <c r="D29" s="43" t="s">
        <v>266</v>
      </c>
      <c r="E29" s="1"/>
      <c r="F29" s="1"/>
      <c r="G29" s="189">
        <v>1132.3913113228157</v>
      </c>
      <c r="H29" s="189">
        <f>0.02*21307.43275</f>
        <v>426.14865500000002</v>
      </c>
      <c r="I29" s="189">
        <f>0.02*101257.507844819</f>
        <v>2025.1501568963802</v>
      </c>
      <c r="J29" s="189">
        <f t="shared" si="28"/>
        <v>3583.6901232191958</v>
      </c>
      <c r="K29" s="56"/>
      <c r="L29" s="353">
        <f>'(2) Homes for non-HH earners'!BN34</f>
        <v>100084.82109966323</v>
      </c>
      <c r="M29" s="353">
        <f>'(2) Homes for non-HH earners'!BO34</f>
        <v>44474.734919777569</v>
      </c>
      <c r="N29" s="353">
        <f>'(2) Homes for non-HH earners'!BP34</f>
        <v>145844.35579454317</v>
      </c>
      <c r="O29" s="203">
        <f t="shared" si="29"/>
        <v>290403.91181398393</v>
      </c>
      <c r="P29" s="388" t="s">
        <v>45</v>
      </c>
      <c r="Q29" s="290"/>
      <c r="R29" s="290"/>
      <c r="S29" s="290"/>
      <c r="T29" s="290"/>
      <c r="U29" s="203"/>
      <c r="V29" s="353">
        <f>'(2) Homes for non-HH earners'!CC34</f>
        <v>20181414.074587494</v>
      </c>
      <c r="W29" s="353">
        <f>'(2) Homes for non-HH earners'!CD34</f>
        <v>8547972.8685474694</v>
      </c>
      <c r="X29" s="353">
        <f>'(2) Homes for non-HH earners'!CE34</f>
        <v>40898127.508732148</v>
      </c>
      <c r="Y29" s="203">
        <f t="shared" si="10"/>
        <v>69627514.451867104</v>
      </c>
      <c r="Z29" s="388" t="s">
        <v>45</v>
      </c>
      <c r="AA29" s="290">
        <v>398.05646519420822</v>
      </c>
      <c r="AB29" s="290">
        <v>1324.9121246495508</v>
      </c>
      <c r="AC29" s="290">
        <v>3108.7424357682357</v>
      </c>
      <c r="AD29" s="290">
        <v>2040.1991435837683</v>
      </c>
      <c r="AF29" s="353">
        <f t="shared" si="30"/>
        <v>450755.68260179419</v>
      </c>
      <c r="AG29" s="353">
        <f t="shared" si="30"/>
        <v>564609.51991259842</v>
      </c>
      <c r="AH29" s="353">
        <f t="shared" si="30"/>
        <v>6295670.2315464774</v>
      </c>
      <c r="AI29" s="353">
        <f t="shared" si="31"/>
        <v>7311035.4340608697</v>
      </c>
      <c r="AK29" s="222">
        <f>AP29/SUM(G29:G33)</f>
        <v>405.69875324568068</v>
      </c>
      <c r="AL29" s="297">
        <f>AQ29/SUM(H29:H33)</f>
        <v>526.96731612576673</v>
      </c>
      <c r="AM29" s="369">
        <f>AR29/SUM(I29:I33)</f>
        <v>653.47483179279857</v>
      </c>
      <c r="AN29" s="369">
        <f>AS29/SUM(J29:J33)</f>
        <v>558.26450416150874</v>
      </c>
      <c r="AP29" s="220">
        <f>V29+SUM(AF29:AF33)</f>
        <v>22970487.159495387</v>
      </c>
      <c r="AQ29" s="371">
        <f>W29+SUM(AG29:AG33)</f>
        <v>16880531.532738663</v>
      </c>
      <c r="AR29" s="371">
        <f>X29+SUM(AH29:AH33)</f>
        <v>66169232.90665108</v>
      </c>
      <c r="AS29" s="371">
        <f>Y29+SUM(AI29:AI33)</f>
        <v>106020251.59888512</v>
      </c>
      <c r="AT29" s="388" t="s">
        <v>45</v>
      </c>
    </row>
    <row r="30" spans="1:46">
      <c r="A30" s="1">
        <v>33</v>
      </c>
      <c r="B30" s="17"/>
      <c r="C30" s="5" t="s">
        <v>95</v>
      </c>
      <c r="D30" s="43" t="s">
        <v>87</v>
      </c>
      <c r="E30" s="1"/>
      <c r="F30" s="1"/>
      <c r="G30" s="189">
        <v>10191.521801905341</v>
      </c>
      <c r="H30" s="278">
        <f>0.18*21307.43275</f>
        <v>3835.3378949999997</v>
      </c>
      <c r="I30" s="189">
        <f>0.18*101257.507844819</f>
        <v>18226.351412067419</v>
      </c>
      <c r="J30" s="189">
        <f t="shared" si="28"/>
        <v>32253.211108972759</v>
      </c>
      <c r="K30" s="142"/>
      <c r="L30" s="353"/>
      <c r="M30" s="353"/>
      <c r="N30" s="353"/>
      <c r="O30" s="353"/>
      <c r="P30" s="388"/>
      <c r="Q30" s="388"/>
      <c r="R30" s="388"/>
      <c r="S30" s="388"/>
      <c r="T30" s="388"/>
      <c r="U30" s="203"/>
      <c r="V30" s="203"/>
      <c r="W30" s="203"/>
      <c r="X30" s="203"/>
      <c r="Y30" s="203"/>
      <c r="Z30" s="203"/>
      <c r="AA30" s="290">
        <v>99.609204880132367</v>
      </c>
      <c r="AB30" s="290">
        <v>741.61826212961171</v>
      </c>
      <c r="AC30" s="290">
        <v>649.10219971303138</v>
      </c>
      <c r="AD30" s="290">
        <v>486.5005631807739</v>
      </c>
      <c r="AF30" s="353">
        <f t="shared" si="30"/>
        <v>1015169.3832063249</v>
      </c>
      <c r="AG30" s="353">
        <f t="shared" si="30"/>
        <v>2844356.6243697428</v>
      </c>
      <c r="AH30" s="353">
        <f t="shared" si="30"/>
        <v>11830764.794315677</v>
      </c>
      <c r="AI30" s="353">
        <f t="shared" si="31"/>
        <v>15690290.801891744</v>
      </c>
      <c r="AK30" s="296"/>
      <c r="AL30" s="296"/>
      <c r="AM30" s="296"/>
      <c r="AN30" s="296"/>
    </row>
    <row r="31" spans="1:46">
      <c r="A31" s="1">
        <v>34</v>
      </c>
      <c r="B31" s="17"/>
      <c r="C31" s="5" t="s">
        <v>96</v>
      </c>
      <c r="D31" s="43" t="s">
        <v>28</v>
      </c>
      <c r="E31" s="1"/>
      <c r="F31" s="1"/>
      <c r="G31" s="189">
        <v>22647.826226456313</v>
      </c>
      <c r="H31" s="278">
        <f>0.4*21307.43275</f>
        <v>8522.9731000000011</v>
      </c>
      <c r="I31" s="189">
        <f>0.4*101257.507844819</f>
        <v>40503.003137927604</v>
      </c>
      <c r="J31" s="189">
        <f t="shared" si="28"/>
        <v>71673.802464383916</v>
      </c>
      <c r="K31" s="142"/>
      <c r="L31" s="353"/>
      <c r="M31" s="353"/>
      <c r="N31" s="353"/>
      <c r="O31" s="353"/>
      <c r="P31" s="388"/>
      <c r="Q31" s="388"/>
      <c r="R31" s="388"/>
      <c r="S31" s="388"/>
      <c r="T31" s="388"/>
      <c r="U31" s="203"/>
      <c r="V31" s="203"/>
      <c r="W31" s="203"/>
      <c r="X31" s="203"/>
      <c r="Y31" s="203"/>
      <c r="Z31" s="203"/>
      <c r="AA31" s="290">
        <v>47.091283202926299</v>
      </c>
      <c r="AB31" s="290">
        <v>302.61441022892041</v>
      </c>
      <c r="AC31" s="290">
        <v>131.38299928489937</v>
      </c>
      <c r="AD31" s="290">
        <v>125.12321413504705</v>
      </c>
      <c r="AF31" s="353">
        <f t="shared" si="30"/>
        <v>1066515.1987607158</v>
      </c>
      <c r="AG31" s="353">
        <f t="shared" si="30"/>
        <v>2579174.4780534538</v>
      </c>
      <c r="AH31" s="353">
        <f t="shared" si="30"/>
        <v>5321406.032306619</v>
      </c>
      <c r="AI31" s="353">
        <f t="shared" si="31"/>
        <v>8967095.7091207877</v>
      </c>
      <c r="AK31" s="296"/>
      <c r="AL31" s="296"/>
      <c r="AM31" s="296"/>
      <c r="AN31" s="296"/>
    </row>
    <row r="32" spans="1:46">
      <c r="A32" s="1">
        <v>35</v>
      </c>
      <c r="B32" s="17"/>
      <c r="C32" s="5" t="s">
        <v>286</v>
      </c>
      <c r="D32" s="43" t="s">
        <v>29</v>
      </c>
      <c r="E32" s="1"/>
      <c r="F32" s="1"/>
      <c r="G32" s="189">
        <v>22647.826226456313</v>
      </c>
      <c r="H32" s="278">
        <f>0.4*21307.43275</f>
        <v>8522.9731000000011</v>
      </c>
      <c r="I32" s="189">
        <f>0.4*101257.507844819</f>
        <v>40503.003137927604</v>
      </c>
      <c r="J32" s="189">
        <f t="shared" si="28"/>
        <v>71673.802464383916</v>
      </c>
      <c r="K32" s="142"/>
      <c r="L32" s="353"/>
      <c r="M32" s="353"/>
      <c r="N32" s="353"/>
      <c r="O32" s="353"/>
      <c r="P32" s="388"/>
      <c r="Q32" s="388"/>
      <c r="R32" s="388"/>
      <c r="S32" s="388"/>
      <c r="T32" s="388"/>
      <c r="U32" s="203"/>
      <c r="V32" s="203"/>
      <c r="W32" s="203"/>
      <c r="X32" s="203"/>
      <c r="Y32" s="203"/>
      <c r="Z32" s="203"/>
      <c r="AA32" s="290">
        <v>11.331454850146699</v>
      </c>
      <c r="AB32" s="290">
        <v>82.955466521489171</v>
      </c>
      <c r="AC32" s="290">
        <v>45.015534614588447</v>
      </c>
      <c r="AD32" s="290">
        <v>38.886670926575441</v>
      </c>
      <c r="AF32" s="353">
        <f t="shared" si="30"/>
        <v>256632.820339058</v>
      </c>
      <c r="AG32" s="353">
        <f t="shared" si="30"/>
        <v>707027.20966060285</v>
      </c>
      <c r="AH32" s="353">
        <f t="shared" si="30"/>
        <v>1823264.3397501644</v>
      </c>
      <c r="AI32" s="353">
        <f t="shared" si="31"/>
        <v>2786924.3697498254</v>
      </c>
      <c r="AK32" s="296"/>
      <c r="AL32" s="296"/>
      <c r="AM32" s="296"/>
      <c r="AN32" s="296"/>
    </row>
    <row r="33" spans="1:45">
      <c r="A33" s="1">
        <v>36</v>
      </c>
      <c r="B33" s="17"/>
      <c r="C33" s="5" t="s">
        <v>350</v>
      </c>
      <c r="D33" s="43" t="s">
        <v>37</v>
      </c>
      <c r="E33" s="1"/>
      <c r="F33" s="1"/>
      <c r="G33" s="189"/>
      <c r="H33" s="278">
        <v>10725.923050589983</v>
      </c>
      <c r="I33" s="189"/>
      <c r="J33" s="189">
        <f t="shared" si="28"/>
        <v>10725.923050589983</v>
      </c>
      <c r="K33" s="142"/>
      <c r="L33" s="353"/>
      <c r="M33" s="353"/>
      <c r="N33" s="353"/>
      <c r="O33" s="353"/>
      <c r="P33" s="388"/>
      <c r="Q33" s="388"/>
      <c r="R33" s="388"/>
      <c r="S33" s="388"/>
      <c r="T33" s="388"/>
      <c r="U33" s="203"/>
      <c r="V33" s="203"/>
      <c r="W33" s="203"/>
      <c r="X33" s="203"/>
      <c r="Y33" s="203"/>
      <c r="Z33" s="203"/>
      <c r="AA33" s="290"/>
      <c r="AB33" s="290">
        <v>152.65733536142895</v>
      </c>
      <c r="AC33" s="290"/>
      <c r="AD33" s="290">
        <v>152.65733536142895</v>
      </c>
      <c r="AF33" s="353"/>
      <c r="AG33" s="353">
        <f>H33*AB33</f>
        <v>1637390.8321947961</v>
      </c>
      <c r="AH33" s="353"/>
      <c r="AI33" s="353">
        <f t="shared" si="31"/>
        <v>1637390.8321947961</v>
      </c>
      <c r="AK33" s="296"/>
      <c r="AL33" s="296"/>
      <c r="AM33" s="296"/>
      <c r="AN33" s="296"/>
    </row>
    <row r="34" spans="1:45">
      <c r="A34" s="1">
        <v>37</v>
      </c>
      <c r="B34" s="17"/>
      <c r="C34" s="5" t="s">
        <v>98</v>
      </c>
      <c r="D34" s="4" t="s">
        <v>336</v>
      </c>
      <c r="E34" s="1"/>
      <c r="F34" s="1"/>
      <c r="G34" s="189">
        <v>2559</v>
      </c>
      <c r="H34" s="278">
        <f>'(2) Homes for non-HH earners'!H35</f>
        <v>7141</v>
      </c>
      <c r="I34" s="189">
        <v>2297</v>
      </c>
      <c r="J34" s="189">
        <f t="shared" si="28"/>
        <v>11997</v>
      </c>
      <c r="K34" s="56"/>
      <c r="L34" s="353">
        <f>'(2) Homes for non-HH earners'!BN35</f>
        <v>4523.4726659082571</v>
      </c>
      <c r="M34" s="353">
        <f>'(2) Homes for non-HH earners'!BO35</f>
        <v>9914.4805205116027</v>
      </c>
      <c r="N34" s="353">
        <f>'(2) Homes for non-HH earners'!BP35</f>
        <v>3308.4409481366288</v>
      </c>
      <c r="O34" s="203">
        <f t="shared" si="29"/>
        <v>17746.394134556489</v>
      </c>
      <c r="P34" s="388"/>
      <c r="Q34" s="290">
        <f>V34/G34</f>
        <v>307.99687184214349</v>
      </c>
      <c r="R34" s="290">
        <f t="shared" ref="R34:R38" si="32">W34/H34</f>
        <v>186.20883820681152</v>
      </c>
      <c r="S34" s="290">
        <f>X34/I34</f>
        <v>208.74217356929245</v>
      </c>
      <c r="T34" s="290">
        <f t="shared" ref="T34:T41" si="33">Y34/J34</f>
        <v>216.50096535530136</v>
      </c>
      <c r="U34" s="56"/>
      <c r="V34" s="196">
        <f>'(2) Homes for non-HH earners'!CC35</f>
        <v>788163.99504404515</v>
      </c>
      <c r="W34" s="353">
        <f>'(2) Homes for non-HH earners'!CD35</f>
        <v>1329717.313634841</v>
      </c>
      <c r="X34" s="353">
        <f>'(2) Homes for non-HH earners'!CE35</f>
        <v>479480.77268866473</v>
      </c>
      <c r="Y34" s="196">
        <f t="shared" si="10"/>
        <v>2597362.0813675504</v>
      </c>
      <c r="Z34" s="203"/>
      <c r="AA34" s="290">
        <v>36.472484516037177</v>
      </c>
      <c r="AB34" s="290">
        <v>36.158979790344837</v>
      </c>
      <c r="AC34" s="290">
        <v>110.09107429635115</v>
      </c>
      <c r="AD34" s="290">
        <v>50.163074044969541</v>
      </c>
      <c r="AF34" s="353">
        <f>G34*AA34</f>
        <v>93333.087876539139</v>
      </c>
      <c r="AG34" s="353">
        <f>H34*AB34</f>
        <v>258211.27468285247</v>
      </c>
      <c r="AH34" s="353">
        <f>I34*AC34</f>
        <v>252879.19765871859</v>
      </c>
      <c r="AI34" s="353">
        <f t="shared" si="31"/>
        <v>604423.56021811021</v>
      </c>
      <c r="AK34" s="222">
        <f>AP34/G34</f>
        <v>344.46935635818062</v>
      </c>
      <c r="AL34" s="222">
        <f t="shared" ref="AL34:AL38" si="34">AQ34/H34</f>
        <v>222.36781799715635</v>
      </c>
      <c r="AM34" s="222">
        <f>AR34/I34</f>
        <v>318.83324786564356</v>
      </c>
      <c r="AN34" s="222">
        <f t="shared" ref="AN34:AN41" si="35">AS34/J34</f>
        <v>266.88219067980839</v>
      </c>
      <c r="AP34" s="220">
        <f t="shared" si="17"/>
        <v>881497.08292058425</v>
      </c>
      <c r="AQ34" s="220">
        <f t="shared" si="18"/>
        <v>1587928.5883176934</v>
      </c>
      <c r="AR34" s="220">
        <f t="shared" si="19"/>
        <v>732359.97034738329</v>
      </c>
      <c r="AS34" s="220">
        <f t="shared" si="15"/>
        <v>3201785.6415856611</v>
      </c>
    </row>
    <row r="35" spans="1:45">
      <c r="A35" s="1">
        <v>38</v>
      </c>
      <c r="B35" s="17"/>
      <c r="C35" s="5" t="s">
        <v>337</v>
      </c>
      <c r="D35" s="4" t="s">
        <v>323</v>
      </c>
      <c r="E35" s="1"/>
      <c r="F35" s="1"/>
      <c r="G35" s="189">
        <v>201.631472433412</v>
      </c>
      <c r="H35" s="278">
        <f>'(2) Homes for non-HH earners'!H36</f>
        <v>415.55032600872619</v>
      </c>
      <c r="I35" s="189">
        <v>159.4840128206024</v>
      </c>
      <c r="J35" s="189">
        <f t="shared" si="28"/>
        <v>776.66581126274059</v>
      </c>
      <c r="K35" s="56"/>
      <c r="L35" s="353">
        <f>'(2) Homes for non-HH earners'!BN36</f>
        <v>201.631472433412</v>
      </c>
      <c r="M35" s="353">
        <f>'(2) Homes for non-HH earners'!BO36</f>
        <v>415.55032600872619</v>
      </c>
      <c r="N35" s="353">
        <f>'(2) Homes for non-HH earners'!BP36</f>
        <v>159.4840128206024</v>
      </c>
      <c r="O35" s="203">
        <f t="shared" si="29"/>
        <v>776.66581126274059</v>
      </c>
      <c r="P35" s="388"/>
      <c r="Q35" s="290">
        <f>V35/G35</f>
        <v>48.55</v>
      </c>
      <c r="R35" s="290">
        <f t="shared" si="32"/>
        <v>48.550000000000004</v>
      </c>
      <c r="S35" s="290">
        <f>X35/I35</f>
        <v>48.55</v>
      </c>
      <c r="T35" s="290">
        <f t="shared" si="33"/>
        <v>48.55</v>
      </c>
      <c r="U35" s="56"/>
      <c r="V35" s="353">
        <f>'(2) Homes for non-HH earners'!CC36</f>
        <v>9789.2079866421518</v>
      </c>
      <c r="W35" s="353">
        <f>'(2) Homes for non-HH earners'!CD36</f>
        <v>20174.968327723658</v>
      </c>
      <c r="X35" s="353">
        <f>'(2) Homes for non-HH earners'!CE36</f>
        <v>7742.9488224402457</v>
      </c>
      <c r="Y35" s="196">
        <f t="shared" si="10"/>
        <v>37707.125136806055</v>
      </c>
      <c r="Z35" s="203"/>
      <c r="AA35" s="343">
        <v>5.7492113886181135</v>
      </c>
      <c r="AB35" s="290">
        <v>21.476175866630783</v>
      </c>
      <c r="AC35" s="290">
        <v>73.033918460853855</v>
      </c>
      <c r="AD35" s="290">
        <v>28.141130411720219</v>
      </c>
      <c r="AF35" s="353">
        <f>G35*AA35</f>
        <v>1159.2219576180114</v>
      </c>
      <c r="AG35" s="353">
        <f>H35*AB35</f>
        <v>8924.4318827991592</v>
      </c>
      <c r="AH35" s="353">
        <f>I35*AC35</f>
        <v>11647.742388149647</v>
      </c>
      <c r="AI35" s="353">
        <f t="shared" si="31"/>
        <v>21731.396228566817</v>
      </c>
      <c r="AK35" s="222">
        <f>AP35/G35</f>
        <v>54.299211388618104</v>
      </c>
      <c r="AL35" s="222">
        <f t="shared" si="34"/>
        <v>70.02617586663078</v>
      </c>
      <c r="AM35" s="222">
        <f>AR35/I35</f>
        <v>121.58391846085385</v>
      </c>
      <c r="AN35" s="222">
        <f t="shared" si="35"/>
        <v>76.530369308692585</v>
      </c>
      <c r="AP35" s="220">
        <f t="shared" si="17"/>
        <v>10948.429944260162</v>
      </c>
      <c r="AQ35" s="220">
        <f t="shared" si="18"/>
        <v>29099.400210522817</v>
      </c>
      <c r="AR35" s="220">
        <f t="shared" si="19"/>
        <v>19390.691210589892</v>
      </c>
      <c r="AS35" s="220">
        <f t="shared" si="15"/>
        <v>59438.521365372872</v>
      </c>
    </row>
    <row r="36" spans="1:45">
      <c r="A36" s="1">
        <v>39</v>
      </c>
      <c r="B36" s="17"/>
      <c r="C36" s="4" t="s">
        <v>515</v>
      </c>
      <c r="D36" s="42" t="s">
        <v>256</v>
      </c>
      <c r="E36" s="1"/>
      <c r="F36" s="1"/>
      <c r="G36" s="189">
        <v>20644.363654471883</v>
      </c>
      <c r="H36" s="278">
        <f>'(2) Homes for non-HH earners'!H37</f>
        <v>32433.40982316939</v>
      </c>
      <c r="I36" s="189">
        <v>6921.9195493771931</v>
      </c>
      <c r="J36" s="189">
        <f t="shared" si="28"/>
        <v>59999.69302701846</v>
      </c>
      <c r="K36" s="56"/>
      <c r="L36" s="353">
        <f>'(2) Homes for non-HH earners'!BN37</f>
        <v>20644.363654471883</v>
      </c>
      <c r="M36" s="353">
        <f>'(2) Homes for non-HH earners'!BO37</f>
        <v>32433.40982316939</v>
      </c>
      <c r="N36" s="353">
        <f>'(2) Homes for non-HH earners'!BP37</f>
        <v>6921.9195493771931</v>
      </c>
      <c r="O36" s="203">
        <f t="shared" si="29"/>
        <v>59999.69302701846</v>
      </c>
      <c r="P36" s="388"/>
      <c r="Q36" s="290">
        <f>V36/G36</f>
        <v>111.34355725743856</v>
      </c>
      <c r="R36" s="290">
        <f t="shared" si="32"/>
        <v>104.4330788124533</v>
      </c>
      <c r="S36" s="290">
        <f>X36/I36</f>
        <v>106.84</v>
      </c>
      <c r="T36" s="290">
        <f t="shared" si="33"/>
        <v>107.08847481247635</v>
      </c>
      <c r="U36" s="56"/>
      <c r="V36" s="353">
        <f>'(2) Homes for non-HH earners'!CC37</f>
        <v>2298616.8866050737</v>
      </c>
      <c r="W36" s="353">
        <f>'(2) Homes for non-HH earners'!CD37</f>
        <v>3387120.844219646</v>
      </c>
      <c r="X36" s="353">
        <f>'(2) Homes for non-HH earners'!CE37</f>
        <v>739537.88465545932</v>
      </c>
      <c r="Y36" s="196">
        <f t="shared" si="10"/>
        <v>6425275.615480179</v>
      </c>
      <c r="Z36" s="203"/>
      <c r="AA36" s="290">
        <v>20.941459482195054</v>
      </c>
      <c r="AB36" s="290">
        <v>11.88973680215428</v>
      </c>
      <c r="AC36" s="290">
        <v>20.42587050113076</v>
      </c>
      <c r="AD36" s="290">
        <v>15.935974182579118</v>
      </c>
      <c r="AF36" s="353">
        <f>G36*AA36</f>
        <v>432323.10500582313</v>
      </c>
      <c r="AG36" s="353">
        <f>H36*AB36</f>
        <v>385624.70639388921</v>
      </c>
      <c r="AH36" s="353">
        <f>I36*AC36</f>
        <v>141386.23233482393</v>
      </c>
      <c r="AI36" s="353">
        <f t="shared" si="31"/>
        <v>959334.04373453627</v>
      </c>
      <c r="AK36" s="222">
        <f>AP36/G36</f>
        <v>132.28501673963362</v>
      </c>
      <c r="AL36" s="222">
        <f t="shared" si="34"/>
        <v>116.32281561460758</v>
      </c>
      <c r="AM36" s="222">
        <f>AR36/I36</f>
        <v>127.26587050113076</v>
      </c>
      <c r="AN36" s="222">
        <f t="shared" si="35"/>
        <v>123.07745734447927</v>
      </c>
      <c r="AP36" s="220">
        <f t="shared" si="17"/>
        <v>2730939.9916108968</v>
      </c>
      <c r="AQ36" s="220">
        <f t="shared" si="18"/>
        <v>3772745.5506135351</v>
      </c>
      <c r="AR36" s="220">
        <f t="shared" si="19"/>
        <v>880924.11699028325</v>
      </c>
      <c r="AS36" s="220">
        <f t="shared" si="15"/>
        <v>7384609.6592147145</v>
      </c>
    </row>
    <row r="37" spans="1:45">
      <c r="A37" s="1">
        <v>40</v>
      </c>
      <c r="B37" s="17"/>
      <c r="C37" s="4" t="s">
        <v>539</v>
      </c>
      <c r="D37" s="42" t="s">
        <v>457</v>
      </c>
      <c r="E37" s="1"/>
      <c r="F37" s="1"/>
      <c r="G37" s="189">
        <v>755.51977508935306</v>
      </c>
      <c r="H37" s="278">
        <f>'(2) Homes for non-HH earners'!H38</f>
        <v>2003.1246358252829</v>
      </c>
      <c r="I37" s="189">
        <v>7721.8719526795594</v>
      </c>
      <c r="J37" s="189">
        <f t="shared" si="28"/>
        <v>10480.516363594195</v>
      </c>
      <c r="K37" s="56"/>
      <c r="L37" s="353">
        <f>'(2) Homes for non-HH earners'!BN38</f>
        <v>755.51977508935306</v>
      </c>
      <c r="M37" s="353">
        <f>'(2) Homes for non-HH earners'!BO38</f>
        <v>2003.1246358252829</v>
      </c>
      <c r="N37" s="353">
        <f>'(2) Homes for non-HH earners'!BP38</f>
        <v>7721.8719526795594</v>
      </c>
      <c r="O37" s="203">
        <f t="shared" si="29"/>
        <v>10480.516363594195</v>
      </c>
      <c r="P37" s="388"/>
      <c r="Q37" s="290">
        <f>V37/G37</f>
        <v>112.82318494448573</v>
      </c>
      <c r="R37" s="290">
        <f t="shared" si="32"/>
        <v>104.1336143104833</v>
      </c>
      <c r="S37" s="290">
        <f>X37/I37</f>
        <v>106.84</v>
      </c>
      <c r="T37" s="290">
        <f t="shared" si="33"/>
        <v>106.75404876688432</v>
      </c>
      <c r="U37" s="56"/>
      <c r="V37" s="353">
        <f>'(2) Homes for non-HH earners'!CC38</f>
        <v>85240.14731412234</v>
      </c>
      <c r="W37" s="353">
        <f>'(2) Homes for non-HH earners'!CD38</f>
        <v>208592.60824285733</v>
      </c>
      <c r="X37" s="353">
        <f>'(2) Homes for non-HH earners'!CE38</f>
        <v>825004.79942428414</v>
      </c>
      <c r="Y37" s="196">
        <f t="shared" si="10"/>
        <v>1118837.5549812638</v>
      </c>
      <c r="Z37" s="203"/>
      <c r="AA37" s="290">
        <v>10.316803171336703</v>
      </c>
      <c r="AB37" s="290">
        <v>103.73041865894788</v>
      </c>
      <c r="AC37" s="290">
        <v>145.49550280818184</v>
      </c>
      <c r="AD37" s="290">
        <v>127.73556925729213</v>
      </c>
      <c r="AF37" s="353">
        <f>G37*AA37</f>
        <v>7794.5488116494307</v>
      </c>
      <c r="AG37" s="353">
        <f>H37*AB37</f>
        <v>207784.95710020911</v>
      </c>
      <c r="AH37" s="353">
        <f>I37*AC37</f>
        <v>1123497.6423755095</v>
      </c>
      <c r="AI37" s="353">
        <f t="shared" si="31"/>
        <v>1339077.148287368</v>
      </c>
      <c r="AK37" s="222">
        <f>AP37/G37</f>
        <v>123.13998811582242</v>
      </c>
      <c r="AL37" s="222">
        <f t="shared" si="34"/>
        <v>207.86403296943121</v>
      </c>
      <c r="AM37" s="222">
        <f>AR37/I37</f>
        <v>252.33550280818184</v>
      </c>
      <c r="AN37" s="222">
        <f t="shared" si="35"/>
        <v>234.52229050532324</v>
      </c>
      <c r="AP37" s="220">
        <f t="shared" si="17"/>
        <v>93034.696125771763</v>
      </c>
      <c r="AQ37" s="220">
        <f t="shared" si="18"/>
        <v>416377.56534306647</v>
      </c>
      <c r="AR37" s="220">
        <f t="shared" si="19"/>
        <v>1948502.4417997936</v>
      </c>
      <c r="AS37" s="220">
        <f t="shared" si="15"/>
        <v>2457914.7032686318</v>
      </c>
    </row>
    <row r="38" spans="1:45">
      <c r="A38" s="1">
        <v>41</v>
      </c>
      <c r="B38" s="17"/>
      <c r="C38" s="5" t="s">
        <v>430</v>
      </c>
      <c r="D38" s="4" t="s">
        <v>431</v>
      </c>
      <c r="E38" s="1"/>
      <c r="F38" s="1"/>
      <c r="G38" s="189">
        <v>32911.338985626855</v>
      </c>
      <c r="H38" s="278">
        <f>'(2) Homes for non-HH earners'!H39</f>
        <v>6948.3876391959402</v>
      </c>
      <c r="I38" s="189">
        <v>0</v>
      </c>
      <c r="J38" s="189">
        <f t="shared" si="28"/>
        <v>39859.726624822797</v>
      </c>
      <c r="K38" s="56"/>
      <c r="L38" s="353">
        <f>'(2) Homes for non-HH earners'!BN39</f>
        <v>32911.338985626855</v>
      </c>
      <c r="M38" s="353">
        <f>'(2) Homes for non-HH earners'!BO39</f>
        <v>6948.3876391959402</v>
      </c>
      <c r="N38" s="353">
        <f>'(2) Homes for non-HH earners'!BP39</f>
        <v>0</v>
      </c>
      <c r="O38" s="203">
        <f t="shared" si="29"/>
        <v>39859.726624822797</v>
      </c>
      <c r="P38" s="388"/>
      <c r="Q38" s="290">
        <f>V38/G38</f>
        <v>55.625</v>
      </c>
      <c r="R38" s="290">
        <f t="shared" si="32"/>
        <v>52.01</v>
      </c>
      <c r="S38" s="290"/>
      <c r="T38" s="290">
        <f t="shared" si="33"/>
        <v>54.994829563756944</v>
      </c>
      <c r="U38" s="56"/>
      <c r="V38" s="353">
        <f>'(2) Homes for non-HH earners'!CC39</f>
        <v>1830693.2310754939</v>
      </c>
      <c r="W38" s="353">
        <f>'(2) Homes for non-HH earners'!CD39</f>
        <v>361385.64111458085</v>
      </c>
      <c r="X38" s="353"/>
      <c r="Y38" s="196">
        <f t="shared" si="10"/>
        <v>2192078.8721900745</v>
      </c>
      <c r="Z38" s="203"/>
      <c r="AA38" s="203"/>
      <c r="AB38" s="203"/>
      <c r="AC38" s="203"/>
      <c r="AD38" s="203"/>
      <c r="AK38" s="222">
        <f>AP38/G38</f>
        <v>55.625</v>
      </c>
      <c r="AL38" s="222">
        <f t="shared" si="34"/>
        <v>52.01</v>
      </c>
      <c r="AM38" s="222"/>
      <c r="AN38" s="222">
        <f t="shared" si="35"/>
        <v>54.994829563756944</v>
      </c>
      <c r="AP38" s="220">
        <f t="shared" si="17"/>
        <v>1830693.2310754939</v>
      </c>
      <c r="AQ38" s="220">
        <f t="shared" si="18"/>
        <v>361385.64111458085</v>
      </c>
      <c r="AR38" s="220"/>
      <c r="AS38" s="220">
        <f t="shared" si="15"/>
        <v>2192078.8721900745</v>
      </c>
    </row>
    <row r="39" spans="1:45">
      <c r="A39" s="1">
        <v>42</v>
      </c>
      <c r="B39" s="17"/>
      <c r="C39" s="42" t="s">
        <v>293</v>
      </c>
      <c r="D39" s="42" t="s">
        <v>335</v>
      </c>
      <c r="E39" s="1"/>
      <c r="F39" s="1"/>
      <c r="G39" s="189"/>
      <c r="H39" s="196"/>
      <c r="I39" s="189">
        <v>10810</v>
      </c>
      <c r="J39" s="189">
        <f t="shared" si="28"/>
        <v>10810</v>
      </c>
      <c r="K39" s="142"/>
      <c r="L39" s="353">
        <f>'(2) Homes for non-HH earners'!BN40</f>
        <v>0</v>
      </c>
      <c r="M39" s="353">
        <f>'(2) Homes for non-HH earners'!BO40</f>
        <v>0</v>
      </c>
      <c r="N39" s="353">
        <f>'(2) Homes for non-HH earners'!BP40</f>
        <v>10810</v>
      </c>
      <c r="O39" s="203">
        <f t="shared" si="29"/>
        <v>10810</v>
      </c>
      <c r="P39" s="388"/>
      <c r="Q39" s="278"/>
      <c r="R39" s="278"/>
      <c r="S39" s="290">
        <f>X39/I39</f>
        <v>153.28962840000003</v>
      </c>
      <c r="T39" s="290">
        <f t="shared" si="33"/>
        <v>153.28962840000003</v>
      </c>
      <c r="U39" s="142"/>
      <c r="V39" s="353"/>
      <c r="W39" s="353"/>
      <c r="X39" s="353">
        <f>'(2) Homes for non-HH earners'!CE40</f>
        <v>1657060.8830040002</v>
      </c>
      <c r="Y39" s="196">
        <f t="shared" si="10"/>
        <v>1657060.8830040002</v>
      </c>
      <c r="Z39" s="203"/>
      <c r="AA39" s="203"/>
      <c r="AB39" s="203"/>
      <c r="AC39" s="203"/>
      <c r="AD39" s="203"/>
      <c r="AK39" s="213"/>
      <c r="AL39" s="213"/>
      <c r="AM39" s="229">
        <f>AR39/I39</f>
        <v>153.28962840000003</v>
      </c>
      <c r="AN39" s="222">
        <f t="shared" si="35"/>
        <v>153.28962840000003</v>
      </c>
      <c r="AP39" s="221"/>
      <c r="AQ39" s="221"/>
      <c r="AR39" s="220">
        <f t="shared" si="19"/>
        <v>1657060.8830040002</v>
      </c>
      <c r="AS39" s="220">
        <f t="shared" si="15"/>
        <v>1657060.8830040002</v>
      </c>
    </row>
    <row r="40" spans="1:45">
      <c r="A40" s="1">
        <v>43</v>
      </c>
      <c r="B40" s="17" t="s">
        <v>398</v>
      </c>
      <c r="C40" s="42" t="s">
        <v>352</v>
      </c>
      <c r="D40" s="42" t="s">
        <v>424</v>
      </c>
      <c r="E40" s="1"/>
      <c r="F40" s="1"/>
      <c r="G40" s="189"/>
      <c r="H40" s="196"/>
      <c r="I40" s="189">
        <v>690</v>
      </c>
      <c r="J40" s="189">
        <f t="shared" si="28"/>
        <v>690</v>
      </c>
      <c r="K40" s="142"/>
      <c r="L40" s="353">
        <f>'(2) Homes for non-HH earners'!BN41</f>
        <v>0</v>
      </c>
      <c r="M40" s="353">
        <f>'(2) Homes for non-HH earners'!BO41</f>
        <v>0</v>
      </c>
      <c r="N40" s="353">
        <f>'(2) Homes for non-HH earners'!BP41</f>
        <v>690</v>
      </c>
      <c r="O40" s="203">
        <f t="shared" si="29"/>
        <v>690</v>
      </c>
      <c r="P40" s="388"/>
      <c r="Q40" s="278"/>
      <c r="R40" s="278"/>
      <c r="S40" s="290">
        <f>X40/I40</f>
        <v>153.28962840000003</v>
      </c>
      <c r="T40" s="290">
        <f t="shared" si="33"/>
        <v>153.28962840000003</v>
      </c>
      <c r="U40" s="142"/>
      <c r="V40" s="353"/>
      <c r="W40" s="353"/>
      <c r="X40" s="353">
        <f>'(2) Homes for non-HH earners'!CE41</f>
        <v>105769.84359600002</v>
      </c>
      <c r="Y40" s="196">
        <f t="shared" si="10"/>
        <v>105769.84359600002</v>
      </c>
      <c r="Z40" s="203"/>
      <c r="AA40" s="203"/>
      <c r="AB40" s="203"/>
      <c r="AC40" s="203"/>
      <c r="AD40" s="203"/>
      <c r="AK40" s="213"/>
      <c r="AL40" s="213"/>
      <c r="AM40" s="229">
        <f>AR40/I40</f>
        <v>153.28962840000003</v>
      </c>
      <c r="AN40" s="222">
        <f t="shared" si="35"/>
        <v>153.28962840000003</v>
      </c>
      <c r="AP40" s="221"/>
      <c r="AQ40" s="221"/>
      <c r="AR40" s="220">
        <f t="shared" si="19"/>
        <v>105769.84359600002</v>
      </c>
      <c r="AS40" s="220">
        <f t="shared" si="15"/>
        <v>105769.84359600002</v>
      </c>
    </row>
    <row r="41" spans="1:45">
      <c r="A41" s="1">
        <v>44</v>
      </c>
      <c r="B41" s="18" t="s">
        <v>399</v>
      </c>
      <c r="C41" s="5" t="s">
        <v>343</v>
      </c>
      <c r="D41" s="43" t="s">
        <v>236</v>
      </c>
      <c r="E41" s="1"/>
      <c r="F41" s="1"/>
      <c r="G41" s="189">
        <v>780.82950551405679</v>
      </c>
      <c r="H41" s="362">
        <f>'(2) Homes for non-HH earners'!H42</f>
        <v>6316.5595146260684</v>
      </c>
      <c r="I41" s="362">
        <f>'(2) Homes for non-HH earners'!I42</f>
        <v>88938.200800044797</v>
      </c>
      <c r="J41" s="189">
        <f t="shared" si="28"/>
        <v>96035.58982018492</v>
      </c>
      <c r="K41" s="56"/>
      <c r="L41" s="142">
        <v>2230.9414443258765</v>
      </c>
      <c r="M41" s="362">
        <v>16242.581609038461</v>
      </c>
      <c r="N41" s="362">
        <v>228698.23062868664</v>
      </c>
      <c r="O41" s="203">
        <f t="shared" si="29"/>
        <v>247171.75368205097</v>
      </c>
      <c r="P41" s="388"/>
      <c r="Q41" s="290">
        <f>V41/G41</f>
        <v>168.71165304428573</v>
      </c>
      <c r="R41" s="290">
        <f>W41/H41</f>
        <v>123.61340571428573</v>
      </c>
      <c r="S41" s="297">
        <f>X41/I41</f>
        <v>117.10285714285716</v>
      </c>
      <c r="T41" s="290">
        <f t="shared" si="33"/>
        <v>117.95068801743848</v>
      </c>
      <c r="U41" s="56"/>
      <c r="V41" s="353">
        <f>'(2) Homes for non-HH earners'!CC42</f>
        <v>131735.03662102873</v>
      </c>
      <c r="W41" s="362">
        <f>'(2) Homes for non-HH earners'!CD42</f>
        <v>780811.43399990397</v>
      </c>
      <c r="X41" s="362">
        <f>'(2) Homes for non-HH earners'!CE42</f>
        <v>10414917.42283039</v>
      </c>
      <c r="Y41" s="196">
        <v>11327463.893451322</v>
      </c>
      <c r="Z41" s="203"/>
      <c r="AA41" s="203"/>
      <c r="AB41" s="203"/>
      <c r="AC41" s="203"/>
      <c r="AD41" s="203"/>
      <c r="AK41" s="222">
        <f>AP41/G41</f>
        <v>168.71165304428573</v>
      </c>
      <c r="AL41" s="297">
        <f>AQ41/H41</f>
        <v>123.61340571428573</v>
      </c>
      <c r="AM41" s="297">
        <f>AR41/I41</f>
        <v>117.10285714285716</v>
      </c>
      <c r="AN41" s="222">
        <f t="shared" si="35"/>
        <v>117.95068801743848</v>
      </c>
      <c r="AP41" s="220">
        <f t="shared" si="17"/>
        <v>131735.03662102873</v>
      </c>
      <c r="AQ41" s="220">
        <f t="shared" si="18"/>
        <v>780811.43399990397</v>
      </c>
      <c r="AR41" s="220">
        <f t="shared" si="19"/>
        <v>10414917.42283039</v>
      </c>
      <c r="AS41" s="220">
        <f t="shared" si="15"/>
        <v>11327463.893451322</v>
      </c>
    </row>
    <row r="42" spans="1:45">
      <c r="A42" s="1">
        <v>45</v>
      </c>
      <c r="B42" s="12"/>
      <c r="C42" s="5" t="s">
        <v>262</v>
      </c>
      <c r="D42" s="4"/>
      <c r="E42" s="1"/>
      <c r="F42" s="1"/>
      <c r="G42" s="56"/>
      <c r="H42" s="56"/>
      <c r="I42" s="56"/>
      <c r="J42" s="56"/>
      <c r="K42" s="56"/>
      <c r="L42" s="278"/>
      <c r="M42" s="278"/>
      <c r="N42" s="278"/>
      <c r="O42" s="142"/>
      <c r="P42" s="388"/>
      <c r="Q42" s="278"/>
      <c r="R42" s="278"/>
      <c r="S42" s="278"/>
      <c r="T42" s="278"/>
      <c r="U42" s="56"/>
      <c r="V42" s="396">
        <f>V41/1000000</f>
        <v>0.13173503662102873</v>
      </c>
      <c r="W42" s="396">
        <f>W41/1000000</f>
        <v>0.78081143399990394</v>
      </c>
      <c r="X42" s="396">
        <f>SUM(X39:X41)/1000000</f>
        <v>12.177748149430391</v>
      </c>
      <c r="Y42" s="396">
        <f>SUM(Y39:Y41)/1000000</f>
        <v>13.090294620051322</v>
      </c>
      <c r="Z42" s="203"/>
      <c r="AP42" s="221"/>
      <c r="AQ42" s="221"/>
      <c r="AR42" s="221"/>
      <c r="AS42" s="221"/>
    </row>
    <row r="43" spans="1:45">
      <c r="A43" s="1"/>
      <c r="B43" s="27"/>
      <c r="C43" s="5"/>
      <c r="D43" s="43"/>
      <c r="E43" s="1"/>
      <c r="F43" s="8" t="s">
        <v>598</v>
      </c>
      <c r="G43" s="371">
        <f>G45-G21-G22-SUM(G38:G41)</f>
        <v>95376.558591708759</v>
      </c>
      <c r="H43" s="371">
        <f>H45-H21-H22-SUM(H38:H41)</f>
        <v>117353.05005375562</v>
      </c>
      <c r="I43" s="371">
        <f>I45-I21-I22-SUM(I38:I41)</f>
        <v>139783.38148869621</v>
      </c>
      <c r="J43" s="371">
        <f>J45-J21-J22-SUM(J38:J41)</f>
        <v>352512.99013416062</v>
      </c>
      <c r="K43" s="353"/>
      <c r="L43" s="353"/>
      <c r="M43" s="353"/>
      <c r="N43" s="353"/>
      <c r="O43" s="353"/>
      <c r="P43" s="388"/>
      <c r="Q43" s="353"/>
      <c r="R43" s="353"/>
      <c r="S43" s="353"/>
      <c r="T43" s="353"/>
      <c r="U43" s="353"/>
      <c r="V43" s="353"/>
      <c r="W43" s="353"/>
      <c r="X43" s="353"/>
      <c r="Y43" s="353"/>
      <c r="Z43" s="203"/>
      <c r="AA43" s="369">
        <f t="shared" ref="AA43:AD45" si="36">AF43/G43</f>
        <v>44.144303633912898</v>
      </c>
      <c r="AB43" s="369">
        <f t="shared" si="36"/>
        <v>116.48368900943782</v>
      </c>
      <c r="AC43" s="369">
        <f t="shared" si="36"/>
        <v>255.68319585287171</v>
      </c>
      <c r="AD43" s="369">
        <f t="shared" si="36"/>
        <v>152.1087482039874</v>
      </c>
      <c r="AF43" s="371">
        <f>AF45-AF21-AF22-SUM(AF38:AF41)</f>
        <v>4210331.7620300753</v>
      </c>
      <c r="AG43" s="371">
        <f>AG45-AG21-AG22-SUM(AG38:AG41)</f>
        <v>13669716.186770661</v>
      </c>
      <c r="AH43" s="371">
        <f>AH45-AH21-AH22-SUM(AH38:AH41)</f>
        <v>35740261.706150994</v>
      </c>
      <c r="AI43" s="371">
        <f>AI45-AI21-AI22-SUM(AI38:AI41)</f>
        <v>53620309.654951729</v>
      </c>
      <c r="AJ43" s="296"/>
      <c r="AP43" s="221"/>
      <c r="AQ43" s="221"/>
      <c r="AR43" s="221"/>
      <c r="AS43" s="221"/>
    </row>
    <row r="44" spans="1:45" s="1" customFormat="1" ht="16" thickBot="1">
      <c r="B44" s="61"/>
      <c r="C44" s="5"/>
      <c r="D44" s="43"/>
      <c r="F44" s="8" t="s">
        <v>599</v>
      </c>
      <c r="G44" s="156">
        <f>G45-G22-SUM(G39:G41)</f>
        <v>128988.89238495556</v>
      </c>
      <c r="H44" s="276">
        <f>H45-H22-SUM(H39:H41)</f>
        <v>124974.03451434188</v>
      </c>
      <c r="I44" s="276">
        <f>I45-I22-SUM(I39:I41)</f>
        <v>139783.38148869621</v>
      </c>
      <c r="J44" s="156">
        <f>G44+H44+I44</f>
        <v>393746.30838799366</v>
      </c>
      <c r="K44" s="156"/>
      <c r="L44" s="371">
        <f>L45-L22-SUM(L39:L41)</f>
        <v>185998.9584000941</v>
      </c>
      <c r="M44" s="371">
        <f>M45-M22-SUM(M39:M41)</f>
        <v>156875.32520992594</v>
      </c>
      <c r="N44" s="371">
        <f>N45-N22-SUM(N39:N41)</f>
        <v>195938.17294964768</v>
      </c>
      <c r="O44" s="156">
        <f>L44+M44+N44</f>
        <v>538812.45655966771</v>
      </c>
      <c r="P44" s="388"/>
      <c r="Q44" s="290">
        <f t="shared" ref="Q44:T45" si="37">V44/G44</f>
        <v>241.04484295950422</v>
      </c>
      <c r="R44" s="290">
        <f t="shared" si="37"/>
        <v>230.87148108367828</v>
      </c>
      <c r="S44" s="290">
        <f t="shared" si="37"/>
        <v>449.3056552049112</v>
      </c>
      <c r="T44" s="290">
        <f t="shared" si="37"/>
        <v>311.75025376837419</v>
      </c>
      <c r="V44" s="206">
        <f>V45-V22-SUM(V39:V41)</f>
        <v>31092107.308452003</v>
      </c>
      <c r="W44" s="278">
        <f>W45-W22-SUM(W39:W41)</f>
        <v>28852940.445328839</v>
      </c>
      <c r="X44" s="278">
        <f>X45-X22-SUM(X39:X41)</f>
        <v>62805463.806536704</v>
      </c>
      <c r="Y44" s="155">
        <f>V44+W44+X44</f>
        <v>122750511.56031755</v>
      </c>
      <c r="Z44" s="58"/>
      <c r="AA44" s="208">
        <f t="shared" si="36"/>
        <v>32.64104128799498</v>
      </c>
      <c r="AB44" s="214">
        <f t="shared" si="36"/>
        <v>109.38045042629987</v>
      </c>
      <c r="AC44" s="214">
        <f t="shared" si="36"/>
        <v>255.68319585287171</v>
      </c>
      <c r="AD44" s="214">
        <f t="shared" si="36"/>
        <v>136.17984096022258</v>
      </c>
      <c r="AF44" s="185">
        <f>AF45-AF22-SUM(AF39:AF41)</f>
        <v>4210331.7620300753</v>
      </c>
      <c r="AG44" s="276">
        <f>AG45-AG22-SUM(AG39:AG41)</f>
        <v>13669716.186770661</v>
      </c>
      <c r="AH44" s="276">
        <f>AH45-AH22-SUM(AH39:AH41)</f>
        <v>35740261.706150994</v>
      </c>
      <c r="AI44" s="276">
        <f>AI45-AI22-SUM(AI39:AI41)</f>
        <v>53620309.654951729</v>
      </c>
      <c r="AJ44" s="214"/>
      <c r="AK44" s="222">
        <f t="shared" ref="AK44:AN45" si="38">AP44/G44</f>
        <v>273.68588424749919</v>
      </c>
      <c r="AL44" s="222">
        <f t="shared" si="38"/>
        <v>340.25193150997808</v>
      </c>
      <c r="AM44" s="222">
        <f t="shared" si="38"/>
        <v>704.98885105778265</v>
      </c>
      <c r="AN44" s="222">
        <f t="shared" si="38"/>
        <v>447.9300947285966</v>
      </c>
      <c r="AO44" s="8" t="s">
        <v>574</v>
      </c>
      <c r="AP44" s="220">
        <f>AP45-AP22-SUM(AP39:AP41)</f>
        <v>35302439.070482075</v>
      </c>
      <c r="AQ44" s="276">
        <f>AQ45-AQ22-SUM(AQ39:AQ41)</f>
        <v>42522656.632099487</v>
      </c>
      <c r="AR44" s="276">
        <f>AR45-AR22-SUM(AR39:AR41)</f>
        <v>98545725.512687668</v>
      </c>
      <c r="AS44" s="220">
        <f t="shared" si="15"/>
        <v>176370821.21526921</v>
      </c>
    </row>
    <row r="45" spans="1:45" s="1" customFormat="1" ht="16" thickBot="1">
      <c r="B45" s="61"/>
      <c r="C45" s="5"/>
      <c r="D45" s="43"/>
      <c r="F45" s="8" t="s">
        <v>391</v>
      </c>
      <c r="G45" s="156">
        <f>G11+G24</f>
        <v>129769.72189046962</v>
      </c>
      <c r="H45" s="276">
        <f>H11+H24</f>
        <v>132277.22652896796</v>
      </c>
      <c r="I45" s="276">
        <f>I11+I24</f>
        <v>240221.58228874099</v>
      </c>
      <c r="J45" s="276">
        <f>J11+J24</f>
        <v>502268.53070817859</v>
      </c>
      <c r="K45" s="156"/>
      <c r="L45" s="371">
        <f>L11+L24</f>
        <v>188229.89984441997</v>
      </c>
      <c r="M45" s="371">
        <f>M11+M24</f>
        <v>175654.9618189644</v>
      </c>
      <c r="N45" s="371">
        <f>N11+N24</f>
        <v>436136.40357833431</v>
      </c>
      <c r="O45" s="348">
        <f>L45+M45+N45</f>
        <v>800021.26524171862</v>
      </c>
      <c r="P45" s="388"/>
      <c r="Q45" s="290">
        <f t="shared" si="37"/>
        <v>240.60961131924975</v>
      </c>
      <c r="R45" s="290">
        <f t="shared" si="37"/>
        <v>226.11438509254978</v>
      </c>
      <c r="S45" s="290">
        <f t="shared" si="37"/>
        <v>312.14186186584578</v>
      </c>
      <c r="T45" s="290">
        <f t="shared" si="37"/>
        <v>271.00411377050898</v>
      </c>
      <c r="V45" s="206">
        <f>V11+V24</f>
        <v>31223842.345073033</v>
      </c>
      <c r="W45" s="278">
        <f>W11+W24</f>
        <v>29909783.738345504</v>
      </c>
      <c r="X45" s="278">
        <f>X11+X24</f>
        <v>74983211.955967098</v>
      </c>
      <c r="Y45" s="153">
        <f>V45+W45+X45</f>
        <v>136116838.03938562</v>
      </c>
      <c r="Z45" s="58"/>
      <c r="AA45" s="214">
        <f t="shared" si="36"/>
        <v>32.444638862551841</v>
      </c>
      <c r="AB45" s="214">
        <f t="shared" si="36"/>
        <v>103.34141821288543</v>
      </c>
      <c r="AC45" s="214">
        <f t="shared" si="36"/>
        <v>148.78039419119301</v>
      </c>
      <c r="AD45" s="214">
        <f t="shared" si="36"/>
        <v>106.7562596035018</v>
      </c>
      <c r="AF45" s="185">
        <f>AF11+AF24</f>
        <v>4210331.7620300753</v>
      </c>
      <c r="AG45" s="276">
        <f>AG11+AG24</f>
        <v>13669716.186770661</v>
      </c>
      <c r="AH45" s="276">
        <f>AH11+AH24</f>
        <v>35740261.706150994</v>
      </c>
      <c r="AI45" s="157">
        <f>AF45+AG45+AH45</f>
        <v>53620309.654951729</v>
      </c>
      <c r="AJ45" s="214"/>
      <c r="AK45" s="222">
        <f t="shared" si="38"/>
        <v>273.05425018180154</v>
      </c>
      <c r="AL45" s="222">
        <f t="shared" si="38"/>
        <v>329.4558033054351</v>
      </c>
      <c r="AM45" s="222">
        <f t="shared" si="38"/>
        <v>460.92225605703868</v>
      </c>
      <c r="AN45" s="222">
        <f t="shared" si="38"/>
        <v>377.76037337401073</v>
      </c>
      <c r="AO45" s="8" t="s">
        <v>575</v>
      </c>
      <c r="AP45" s="220">
        <f>AP11+AP24</f>
        <v>35434174.107103102</v>
      </c>
      <c r="AQ45" s="276">
        <f>AQ11+AQ24</f>
        <v>43579499.925116152</v>
      </c>
      <c r="AR45" s="276">
        <f>AR11+AR24</f>
        <v>110723473.66211806</v>
      </c>
      <c r="AS45" s="300">
        <f t="shared" si="15"/>
        <v>189737147.69433731</v>
      </c>
    </row>
    <row r="46" spans="1:45">
      <c r="A46" s="1"/>
      <c r="B46" s="61"/>
      <c r="C46" s="5"/>
      <c r="D46" s="43"/>
      <c r="F46" s="134" t="s">
        <v>604</v>
      </c>
      <c r="G46" s="176">
        <f>G45-'(2) Homes for non-HH earners'!G46</f>
        <v>0</v>
      </c>
      <c r="H46" s="254">
        <f>H45-'(2) Homes for non-HH earners'!H46</f>
        <v>2.9688817448914051E-6</v>
      </c>
      <c r="I46" s="254">
        <f>I45-'(2) Homes for non-HH earners'!I46</f>
        <v>0</v>
      </c>
      <c r="J46" s="176">
        <f>J45-'(2) Homes for non-HH earners'!J46</f>
        <v>2.9687653295695782E-6</v>
      </c>
      <c r="K46" s="36"/>
      <c r="L46" s="176">
        <f>L45-'(2) Homes for non-HH earners'!BN46</f>
        <v>0</v>
      </c>
      <c r="M46" s="176">
        <f>M45-'(2) Homes for non-HH earners'!BO46</f>
        <v>0</v>
      </c>
      <c r="N46" s="176">
        <f>N45-'(2) Homes for non-HH earners'!BP46</f>
        <v>0</v>
      </c>
      <c r="O46" s="176">
        <f>O45-'(2) Homes for non-HH earners'!BQ46</f>
        <v>0</v>
      </c>
      <c r="P46" s="388"/>
      <c r="Q46" s="254" t="s">
        <v>468</v>
      </c>
      <c r="R46" s="36"/>
      <c r="S46" s="36"/>
      <c r="T46" s="47"/>
      <c r="U46" s="1"/>
      <c r="V46" s="56"/>
      <c r="W46" s="56"/>
      <c r="X46" s="278"/>
      <c r="Y46" s="278"/>
      <c r="Z46" s="268"/>
      <c r="AS46" s="413">
        <f>(Y45+AI45)-AS45</f>
        <v>0</v>
      </c>
    </row>
    <row r="47" spans="1:45">
      <c r="A47" s="1"/>
      <c r="B47" s="61"/>
      <c r="C47" s="5"/>
      <c r="D47" s="43"/>
      <c r="G47" s="292" t="s">
        <v>555</v>
      </c>
      <c r="H47" s="36">
        <v>21307.4327470311</v>
      </c>
      <c r="I47" s="36"/>
      <c r="J47" s="36"/>
      <c r="K47" s="36"/>
      <c r="L47" s="292" t="s">
        <v>558</v>
      </c>
      <c r="M47" s="295">
        <f>41284.45*H47/H$49</f>
        <v>27460.926898532911</v>
      </c>
      <c r="N47" s="36"/>
      <c r="O47" s="36"/>
      <c r="P47" s="388"/>
      <c r="Q47" s="36"/>
      <c r="R47" s="36"/>
      <c r="S47" s="36"/>
      <c r="T47" s="145"/>
      <c r="U47" s="1"/>
      <c r="V47" s="254">
        <v>31223842.345073033</v>
      </c>
      <c r="W47" s="254">
        <v>29909783.738345496</v>
      </c>
      <c r="X47" s="204">
        <v>74983211.955967098</v>
      </c>
      <c r="Y47" s="152">
        <v>136116838.03938562</v>
      </c>
      <c r="Z47" s="268" t="s">
        <v>600</v>
      </c>
      <c r="AD47" s="369"/>
      <c r="AE47" s="369"/>
      <c r="AF47" s="378" t="s">
        <v>562</v>
      </c>
      <c r="AG47" s="369"/>
      <c r="AH47" s="369"/>
      <c r="AI47" s="369"/>
    </row>
    <row r="48" spans="1:45">
      <c r="A48" s="1"/>
      <c r="B48" s="61"/>
      <c r="C48" s="5"/>
      <c r="D48" s="43"/>
      <c r="G48" s="291" t="s">
        <v>556</v>
      </c>
      <c r="H48" s="294">
        <v>10725.923050589983</v>
      </c>
      <c r="I48"/>
      <c r="J48" s="36"/>
      <c r="K48" s="36"/>
      <c r="L48" s="292" t="s">
        <v>559</v>
      </c>
      <c r="M48" s="36">
        <f>41284.45*H48/H$49</f>
        <v>13823.523101467084</v>
      </c>
      <c r="N48" s="36"/>
      <c r="O48" s="36"/>
      <c r="P48" s="388"/>
      <c r="Q48" s="36"/>
      <c r="R48" s="36"/>
      <c r="S48" s="36"/>
      <c r="T48" s="145"/>
      <c r="U48" s="1"/>
      <c r="V48" s="297">
        <f>100*(V45-V47)/V47</f>
        <v>0</v>
      </c>
      <c r="W48" s="297">
        <f>100*(W45-W47)/W47</f>
        <v>2.4910178763251625E-14</v>
      </c>
      <c r="X48" s="297">
        <f>100*(X45-X47)/X47</f>
        <v>0</v>
      </c>
      <c r="Y48" s="297">
        <f>100*(Y45-Y47)/Y47</f>
        <v>0</v>
      </c>
      <c r="Z48" s="298" t="s">
        <v>33</v>
      </c>
      <c r="AD48" s="369"/>
      <c r="AE48" s="8" t="s">
        <v>599</v>
      </c>
      <c r="AF48" s="245">
        <f t="shared" ref="AF48:AI49" si="39">100*AF44/AP44</f>
        <v>11.926461380257772</v>
      </c>
      <c r="AG48" s="245">
        <f t="shared" si="39"/>
        <v>32.146900662955453</v>
      </c>
      <c r="AH48" s="245">
        <f t="shared" si="39"/>
        <v>36.267693520151184</v>
      </c>
      <c r="AI48" s="245">
        <f t="shared" si="39"/>
        <v>30.402029817338956</v>
      </c>
    </row>
    <row r="49" spans="1:35">
      <c r="A49" s="3" t="s">
        <v>437</v>
      </c>
      <c r="G49" s="292" t="s">
        <v>557</v>
      </c>
      <c r="H49" s="36">
        <f>H47+H48</f>
        <v>32033.355797621083</v>
      </c>
      <c r="I49"/>
      <c r="J49" s="36"/>
      <c r="K49" s="36"/>
      <c r="L49" s="292" t="s">
        <v>560</v>
      </c>
      <c r="M49" s="36">
        <f>M47+M48</f>
        <v>41284.449999999997</v>
      </c>
      <c r="N49" s="372">
        <v>128140.17808232605</v>
      </c>
      <c r="O49" s="36"/>
      <c r="P49" s="388"/>
      <c r="Q49" s="36"/>
      <c r="R49" s="296"/>
      <c r="S49" s="36"/>
      <c r="T49" s="59"/>
      <c r="U49" s="1"/>
      <c r="V49" s="60"/>
      <c r="W49" s="60"/>
      <c r="X49" s="60"/>
      <c r="Y49" s="60"/>
      <c r="Z49" s="58"/>
      <c r="AE49" s="8" t="s">
        <v>391</v>
      </c>
      <c r="AF49" s="245">
        <f t="shared" si="39"/>
        <v>11.882121901032473</v>
      </c>
      <c r="AG49" s="245">
        <f t="shared" si="39"/>
        <v>31.367308505741711</v>
      </c>
      <c r="AH49" s="245">
        <f t="shared" si="39"/>
        <v>32.278847948010906</v>
      </c>
      <c r="AI49" s="245">
        <f t="shared" si="39"/>
        <v>28.260311861192807</v>
      </c>
    </row>
    <row r="50" spans="1:35">
      <c r="A50" s="3"/>
      <c r="G50"/>
      <c r="H50"/>
      <c r="I50"/>
      <c r="J50" s="36"/>
      <c r="K50" s="36"/>
      <c r="L50" s="293"/>
      <c r="M50" s="293"/>
      <c r="N50" s="293"/>
      <c r="O50" s="36"/>
      <c r="P50" s="388"/>
      <c r="Q50" s="36"/>
      <c r="R50" s="36"/>
      <c r="S50" s="36"/>
      <c r="T50" s="290"/>
      <c r="U50" s="1"/>
      <c r="V50" s="278"/>
      <c r="W50" s="278"/>
      <c r="X50" s="278"/>
      <c r="Y50" s="278"/>
      <c r="Z50" s="58"/>
      <c r="AA50" s="3" t="s">
        <v>144</v>
      </c>
      <c r="AB50" s="290"/>
      <c r="AC50" s="290"/>
      <c r="AD50" s="290"/>
      <c r="AF50" s="278"/>
      <c r="AG50" s="278"/>
      <c r="AH50" s="278"/>
      <c r="AI50" s="278"/>
    </row>
    <row r="51" spans="1:35">
      <c r="A51" s="145" t="s">
        <v>123</v>
      </c>
      <c r="G51" s="36"/>
      <c r="H51" s="36"/>
      <c r="I51" s="36"/>
      <c r="J51" s="36"/>
      <c r="K51" s="36"/>
      <c r="L51" s="36"/>
      <c r="M51" s="36"/>
      <c r="N51" s="36"/>
      <c r="O51" s="36"/>
      <c r="P51" s="388"/>
      <c r="Q51" s="36"/>
      <c r="R51" s="36"/>
      <c r="S51" s="36"/>
      <c r="T51" s="59"/>
      <c r="U51" s="1"/>
      <c r="V51" s="60"/>
      <c r="W51" s="60"/>
      <c r="X51" s="60"/>
      <c r="Y51" s="60"/>
      <c r="Z51" s="58"/>
      <c r="AA51" s="1" t="s">
        <v>143</v>
      </c>
    </row>
    <row r="52" spans="1:35">
      <c r="A52" s="1" t="s">
        <v>226</v>
      </c>
      <c r="H52" s="36"/>
      <c r="I52" s="36"/>
      <c r="J52" s="36"/>
      <c r="K52" s="36"/>
      <c r="L52" s="36"/>
      <c r="M52" s="36"/>
      <c r="N52" s="36"/>
      <c r="O52" s="36"/>
      <c r="P52" s="388"/>
      <c r="Q52" s="36"/>
      <c r="R52" s="36"/>
      <c r="S52" s="36"/>
      <c r="T52" s="47"/>
      <c r="U52" s="1"/>
      <c r="V52" s="56"/>
      <c r="W52" s="56"/>
      <c r="X52" s="56"/>
      <c r="Y52" s="56"/>
      <c r="Z52" s="58"/>
      <c r="AA52" s="1" t="s">
        <v>182</v>
      </c>
    </row>
    <row r="53" spans="1:35">
      <c r="A53" s="1" t="s">
        <v>12</v>
      </c>
      <c r="P53" s="388"/>
      <c r="T53" s="47"/>
      <c r="U53" s="1"/>
      <c r="V53" s="56"/>
      <c r="W53" s="56"/>
      <c r="X53" s="56"/>
      <c r="Y53" s="56"/>
      <c r="Z53" s="58"/>
      <c r="AA53" s="1" t="s">
        <v>142</v>
      </c>
    </row>
    <row r="54" spans="1:35">
      <c r="A54" s="3"/>
      <c r="B54" s="1" t="s">
        <v>103</v>
      </c>
      <c r="G54" s="36"/>
      <c r="H54" s="36"/>
      <c r="I54" s="36"/>
      <c r="J54" s="36"/>
      <c r="P54" s="388"/>
      <c r="T54" s="47"/>
      <c r="U54" s="1"/>
      <c r="V54" s="56"/>
      <c r="W54" s="56"/>
      <c r="X54" s="56"/>
      <c r="Y54" s="56"/>
      <c r="Z54" s="58"/>
      <c r="AA54" s="1" t="s">
        <v>267</v>
      </c>
    </row>
    <row r="55" spans="1:35">
      <c r="A55" s="1" t="s">
        <v>444</v>
      </c>
      <c r="G55" s="36"/>
      <c r="H55" s="36"/>
      <c r="I55" s="36"/>
      <c r="J55" s="36"/>
      <c r="Q55" s="149"/>
      <c r="R55" s="149"/>
      <c r="S55" s="149"/>
      <c r="T55" s="150"/>
      <c r="U55" s="146"/>
      <c r="V55" s="148">
        <v>19880544.116541695</v>
      </c>
      <c r="W55" s="148">
        <v>8526527.368562635</v>
      </c>
      <c r="X55" s="148">
        <v>38186840.583154976</v>
      </c>
      <c r="Y55" s="148">
        <v>66593912.068259306</v>
      </c>
      <c r="Z55" s="58"/>
      <c r="AA55" s="1" t="s">
        <v>139</v>
      </c>
    </row>
    <row r="56" spans="1:35">
      <c r="A56" s="3"/>
      <c r="B56" s="1" t="s">
        <v>105</v>
      </c>
      <c r="T56" s="47"/>
      <c r="U56" s="1"/>
      <c r="V56" s="56"/>
      <c r="W56" s="142" t="s">
        <v>566</v>
      </c>
      <c r="X56" s="56"/>
      <c r="Y56" s="56"/>
      <c r="Z56" s="58"/>
      <c r="AA56" s="1" t="s">
        <v>268</v>
      </c>
    </row>
    <row r="57" spans="1:35">
      <c r="H57" s="36"/>
      <c r="S57" s="171"/>
      <c r="T57" s="47"/>
      <c r="U57" s="1"/>
      <c r="V57" s="56"/>
      <c r="W57" s="56">
        <v>2824095.2187264785</v>
      </c>
      <c r="X57" s="56"/>
      <c r="Y57" s="56"/>
      <c r="Z57" s="58"/>
      <c r="AA57" s="1" t="s">
        <v>113</v>
      </c>
    </row>
    <row r="58" spans="1:35">
      <c r="A58" s="146" t="s">
        <v>218</v>
      </c>
      <c r="B58" s="147"/>
      <c r="C58" s="147"/>
      <c r="D58" s="147"/>
      <c r="H58" s="36"/>
      <c r="S58" s="171"/>
      <c r="T58" s="47"/>
      <c r="U58" s="1"/>
      <c r="V58" s="56"/>
      <c r="W58" s="56"/>
      <c r="X58" s="56"/>
      <c r="Y58" s="56"/>
      <c r="Z58" s="58"/>
      <c r="AA58" s="1" t="s">
        <v>11</v>
      </c>
    </row>
    <row r="59" spans="1:35">
      <c r="H59" s="36"/>
      <c r="S59" s="171"/>
      <c r="T59" s="47"/>
      <c r="U59" s="1"/>
      <c r="V59" s="56"/>
      <c r="W59" s="56"/>
      <c r="X59" s="56"/>
      <c r="Y59" s="56"/>
      <c r="Z59" s="58"/>
    </row>
    <row r="60" spans="1:35">
      <c r="S60" s="171"/>
      <c r="T60" s="47"/>
      <c r="U60" s="1"/>
      <c r="V60" s="56"/>
      <c r="W60" s="56"/>
      <c r="X60" s="56"/>
      <c r="Y60" s="56"/>
      <c r="Z60" s="58"/>
    </row>
    <row r="61" spans="1:35">
      <c r="S61" s="171"/>
      <c r="T61" s="47"/>
      <c r="U61" s="1"/>
      <c r="V61" s="56"/>
      <c r="W61" s="56"/>
      <c r="X61" s="56"/>
      <c r="Y61" s="56"/>
      <c r="Z61" s="58"/>
    </row>
    <row r="62" spans="1:35">
      <c r="T62" s="47"/>
      <c r="U62" s="1"/>
      <c r="V62" s="56"/>
      <c r="W62" s="56"/>
      <c r="X62" s="56"/>
      <c r="Y62" s="56"/>
      <c r="Z62" s="58"/>
    </row>
    <row r="63" spans="1:35">
      <c r="T63" s="47"/>
      <c r="U63" s="1"/>
      <c r="V63" s="56"/>
      <c r="W63" s="56"/>
      <c r="X63" s="56"/>
      <c r="Y63" s="56"/>
      <c r="Z63" s="58"/>
    </row>
    <row r="64" spans="1:35">
      <c r="T64" s="47"/>
      <c r="U64" s="1"/>
      <c r="V64" s="56"/>
      <c r="W64" s="56"/>
      <c r="X64" s="56"/>
      <c r="Y64" s="56"/>
      <c r="Z64" s="58"/>
    </row>
    <row r="65" spans="20:26">
      <c r="T65" s="47"/>
      <c r="U65" s="1"/>
      <c r="V65" s="56"/>
      <c r="W65" s="56"/>
      <c r="X65" s="56"/>
      <c r="Y65" s="56"/>
      <c r="Z65" s="58"/>
    </row>
    <row r="66" spans="20:26">
      <c r="T66" s="47"/>
      <c r="U66" s="1"/>
      <c r="V66" s="56"/>
      <c r="W66" s="56"/>
      <c r="X66" s="56"/>
      <c r="Y66" s="56"/>
      <c r="Z66" s="58"/>
    </row>
    <row r="67" spans="20:26">
      <c r="T67" s="47"/>
      <c r="U67" s="1"/>
      <c r="V67" s="56"/>
      <c r="W67" s="56"/>
      <c r="X67" s="56"/>
      <c r="Y67" s="56"/>
      <c r="Z67" s="58"/>
    </row>
    <row r="68" spans="20:26">
      <c r="T68" s="47"/>
      <c r="U68" s="1"/>
      <c r="V68" s="56"/>
      <c r="W68" s="56"/>
      <c r="X68" s="56"/>
      <c r="Y68" s="56"/>
      <c r="Z68" s="58"/>
    </row>
    <row r="69" spans="20:26">
      <c r="T69" s="47"/>
      <c r="U69" s="1"/>
      <c r="V69" s="56"/>
      <c r="W69" s="56"/>
      <c r="X69" s="56"/>
      <c r="Y69" s="56"/>
      <c r="Z69" s="58"/>
    </row>
    <row r="70" spans="20:26">
      <c r="T70" s="47"/>
      <c r="U70" s="1"/>
      <c r="V70" s="56"/>
      <c r="W70" s="56"/>
      <c r="X70" s="56"/>
      <c r="Y70" s="56"/>
      <c r="Z70" s="58"/>
    </row>
    <row r="71" spans="20:26">
      <c r="T71" s="47"/>
      <c r="U71" s="1"/>
      <c r="V71" s="56"/>
      <c r="W71" s="56"/>
      <c r="X71" s="56"/>
      <c r="Y71" s="56"/>
      <c r="Z71" s="58"/>
    </row>
    <row r="72" spans="20:26">
      <c r="T72" s="47"/>
      <c r="U72" s="1"/>
      <c r="V72" s="56"/>
      <c r="W72" s="56"/>
      <c r="X72" s="56"/>
      <c r="Y72" s="56"/>
      <c r="Z72" s="58"/>
    </row>
    <row r="73" spans="20:26">
      <c r="T73" s="47"/>
      <c r="U73" s="1"/>
      <c r="V73" s="56"/>
      <c r="W73" s="56"/>
      <c r="X73" s="56"/>
      <c r="Y73" s="56"/>
      <c r="Z73" s="58"/>
    </row>
    <row r="74" spans="20:26">
      <c r="T74" s="47"/>
      <c r="U74" s="1"/>
      <c r="V74" s="56"/>
      <c r="W74" s="56"/>
      <c r="X74" s="56"/>
      <c r="Y74" s="56"/>
      <c r="Z74" s="58"/>
    </row>
    <row r="75" spans="20:26">
      <c r="T75" s="47"/>
      <c r="U75" s="1"/>
      <c r="V75" s="56"/>
      <c r="W75" s="56"/>
      <c r="X75" s="56"/>
      <c r="Y75" s="56"/>
      <c r="Z75" s="58"/>
    </row>
    <row r="76" spans="20:26">
      <c r="T76" s="47"/>
      <c r="U76" s="1"/>
      <c r="V76" s="56"/>
      <c r="W76" s="56"/>
      <c r="X76" s="56"/>
      <c r="Y76" s="56"/>
      <c r="Z76" s="58"/>
    </row>
    <row r="77" spans="20:26">
      <c r="T77" s="47"/>
      <c r="U77" s="1"/>
      <c r="V77" s="56"/>
      <c r="W77" s="56"/>
      <c r="X77" s="56"/>
      <c r="Y77" s="56"/>
      <c r="Z77" s="58"/>
    </row>
  </sheetData>
  <sheetCalcPr fullCalcOnLoad="1"/>
  <phoneticPr fontId="20" type="noConversion"/>
  <pageMargins left="0.75" right="0.75" top="1" bottom="1" header="0.5" footer="0.5"/>
  <pageSetup paperSize="0" orientation="portrait" horizontalDpi="4294967292" verticalDpi="4294967292"/>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V50"/>
  <sheetViews>
    <sheetView topLeftCell="B5" workbookViewId="0">
      <pane xSplit="11420" ySplit="3440" topLeftCell="P27" activePane="bottomRight"/>
      <selection activeCell="D3" sqref="D3"/>
      <selection pane="topRight" activeCell="A10" sqref="A10:O33"/>
      <selection pane="bottomLeft" activeCell="B36" sqref="B36"/>
      <selection pane="bottomRight" activeCell="U44" sqref="U44"/>
    </sheetView>
  </sheetViews>
  <sheetFormatPr baseColWidth="10" defaultRowHeight="15"/>
  <cols>
    <col min="1" max="1" width="10.1640625" style="1" customWidth="1"/>
    <col min="2" max="2" width="12.5" style="90" customWidth="1"/>
    <col min="3" max="5" width="10.83203125" style="1"/>
    <col min="6" max="6" width="12.83203125" style="1" customWidth="1"/>
    <col min="7" max="7" width="12.33203125" style="238" customWidth="1"/>
    <col min="8" max="8" width="10.83203125" style="184"/>
    <col min="9" max="9" width="14.1640625" style="220" customWidth="1"/>
    <col min="10" max="10" width="4.83203125" style="184" customWidth="1"/>
    <col min="11" max="11" width="11.83203125" style="184" bestFit="1" customWidth="1"/>
    <col min="12" max="12" width="13.6640625" style="238" customWidth="1"/>
    <col min="13" max="13" width="4.83203125" style="238" customWidth="1"/>
    <col min="14" max="14" width="13.33203125" style="184" customWidth="1"/>
    <col min="15" max="15" width="13.83203125" style="220" customWidth="1"/>
    <col min="16" max="16" width="4.33203125" style="1" customWidth="1"/>
    <col min="17" max="17" width="12.6640625" style="227" customWidth="1"/>
    <col min="18" max="18" width="13" style="240" customWidth="1"/>
    <col min="19" max="19" width="12.83203125" style="1" customWidth="1"/>
    <col min="20" max="20" width="4.83203125" style="1" customWidth="1"/>
    <col min="21" max="21" width="13.6640625" style="1" customWidth="1"/>
    <col min="22" max="22" width="16.33203125" style="1" customWidth="1"/>
    <col min="23" max="23" width="12" style="1" customWidth="1"/>
    <col min="24" max="16384" width="10.83203125" style="1"/>
  </cols>
  <sheetData>
    <row r="1" spans="1:22" ht="17">
      <c r="A1" s="1" t="s">
        <v>34</v>
      </c>
      <c r="C1" s="39" t="s">
        <v>257</v>
      </c>
      <c r="F1" s="238"/>
    </row>
    <row r="2" spans="1:22" ht="17">
      <c r="A2" s="241">
        <v>40575</v>
      </c>
      <c r="C2" s="40" t="s">
        <v>176</v>
      </c>
      <c r="F2" s="238"/>
      <c r="R2" s="1"/>
      <c r="S2" s="166" t="s">
        <v>134</v>
      </c>
    </row>
    <row r="3" spans="1:22">
      <c r="A3" s="241"/>
      <c r="F3" s="238"/>
      <c r="R3" s="1"/>
      <c r="S3" s="166" t="s">
        <v>207</v>
      </c>
    </row>
    <row r="4" spans="1:22">
      <c r="A4" s="241"/>
      <c r="F4" s="312"/>
      <c r="G4" s="312"/>
      <c r="H4" s="245"/>
      <c r="I4" s="276"/>
      <c r="J4" s="245"/>
      <c r="K4" s="245"/>
      <c r="L4" s="312"/>
      <c r="M4" s="312"/>
      <c r="N4" s="245"/>
      <c r="O4" s="276"/>
      <c r="Q4" s="244"/>
      <c r="R4" s="1"/>
      <c r="S4" s="166"/>
    </row>
    <row r="5" spans="1:22">
      <c r="B5" s="239"/>
      <c r="C5" s="48"/>
      <c r="K5" s="53" t="s">
        <v>130</v>
      </c>
      <c r="N5" s="223" t="s">
        <v>102</v>
      </c>
      <c r="R5" s="1"/>
    </row>
    <row r="6" spans="1:22">
      <c r="G6" s="225" t="s">
        <v>225</v>
      </c>
      <c r="H6" s="190" t="s">
        <v>204</v>
      </c>
      <c r="K6" s="53" t="s">
        <v>205</v>
      </c>
      <c r="N6" s="53" t="s">
        <v>206</v>
      </c>
      <c r="Q6" s="177" t="s">
        <v>582</v>
      </c>
      <c r="R6" s="1"/>
    </row>
    <row r="7" spans="1:22">
      <c r="A7" s="8"/>
      <c r="F7" s="326" t="s">
        <v>487</v>
      </c>
      <c r="G7" s="236" t="s">
        <v>392</v>
      </c>
      <c r="H7" s="158" t="s">
        <v>284</v>
      </c>
      <c r="I7" s="170" t="s">
        <v>505</v>
      </c>
      <c r="J7" s="1"/>
      <c r="K7" s="158" t="s">
        <v>284</v>
      </c>
      <c r="L7" s="170" t="s">
        <v>420</v>
      </c>
      <c r="M7" s="170"/>
      <c r="N7" s="224" t="s">
        <v>284</v>
      </c>
      <c r="O7" s="172" t="s">
        <v>420</v>
      </c>
      <c r="Q7" s="227" t="s">
        <v>281</v>
      </c>
      <c r="R7" s="1"/>
    </row>
    <row r="8" spans="1:22">
      <c r="A8" s="8"/>
      <c r="B8" s="61" t="s">
        <v>115</v>
      </c>
      <c r="C8" s="1" t="s">
        <v>285</v>
      </c>
      <c r="F8" s="327" t="s">
        <v>486</v>
      </c>
      <c r="G8" s="235" t="s">
        <v>373</v>
      </c>
      <c r="H8" s="207" t="s">
        <v>111</v>
      </c>
      <c r="I8" s="173" t="s">
        <v>168</v>
      </c>
      <c r="J8" s="1"/>
      <c r="K8" s="207" t="s">
        <v>111</v>
      </c>
      <c r="L8" s="207" t="s">
        <v>280</v>
      </c>
      <c r="M8" s="207"/>
      <c r="N8" s="207" t="s">
        <v>111</v>
      </c>
      <c r="O8" s="173" t="s">
        <v>374</v>
      </c>
      <c r="Q8" s="178" t="s">
        <v>132</v>
      </c>
      <c r="R8" s="8" t="s">
        <v>132</v>
      </c>
      <c r="S8" s="8" t="s">
        <v>496</v>
      </c>
    </row>
    <row r="9" spans="1:22" s="3" customFormat="1">
      <c r="A9" s="9" t="s">
        <v>488</v>
      </c>
      <c r="B9" s="187" t="s">
        <v>489</v>
      </c>
      <c r="C9" s="3" t="s">
        <v>490</v>
      </c>
      <c r="D9" s="3" t="s">
        <v>498</v>
      </c>
      <c r="F9" s="332" t="s">
        <v>25</v>
      </c>
      <c r="G9" s="332" t="s">
        <v>26</v>
      </c>
      <c r="H9" s="334" t="s">
        <v>26</v>
      </c>
      <c r="I9" s="323" t="s">
        <v>26</v>
      </c>
      <c r="J9" s="333"/>
      <c r="K9" s="334" t="s">
        <v>26</v>
      </c>
      <c r="L9" s="332" t="s">
        <v>26</v>
      </c>
      <c r="M9" s="332"/>
      <c r="N9" s="334" t="s">
        <v>198</v>
      </c>
      <c r="O9" s="323" t="s">
        <v>198</v>
      </c>
      <c r="P9" s="332"/>
      <c r="Q9" s="345" t="s">
        <v>261</v>
      </c>
      <c r="R9" s="9" t="s">
        <v>133</v>
      </c>
      <c r="S9" s="9" t="s">
        <v>131</v>
      </c>
    </row>
    <row r="10" spans="1:22">
      <c r="A10" s="8">
        <v>1</v>
      </c>
      <c r="B10" s="163" t="s">
        <v>193</v>
      </c>
      <c r="C10" s="1" t="s">
        <v>73</v>
      </c>
      <c r="D10" s="1" t="s">
        <v>74</v>
      </c>
      <c r="F10" s="344">
        <v>201.631472433412</v>
      </c>
      <c r="G10" s="235">
        <v>201.631472433412</v>
      </c>
      <c r="H10" s="52">
        <v>48.55</v>
      </c>
      <c r="I10" s="173">
        <v>9789.2079866421518</v>
      </c>
      <c r="J10" s="245"/>
      <c r="K10" s="52">
        <v>6.3684483112849462</v>
      </c>
      <c r="L10" s="235">
        <v>1284.0796101204598</v>
      </c>
      <c r="M10" s="235"/>
      <c r="N10" s="52">
        <v>54.918448311284941</v>
      </c>
      <c r="O10" s="173">
        <v>11073.287596762611</v>
      </c>
      <c r="P10" s="235"/>
      <c r="Q10" s="178">
        <f>G10/G$36</f>
        <v>1.553763616782629E-3</v>
      </c>
      <c r="R10" s="303">
        <f>O10/O$36</f>
        <v>3.1239695607117752E-4</v>
      </c>
      <c r="S10" s="304">
        <f>Q10*(Q10-R10)</f>
        <v>1.9287903525003998E-6</v>
      </c>
    </row>
    <row r="11" spans="1:22">
      <c r="A11" s="8">
        <v>1</v>
      </c>
      <c r="B11" s="163" t="s">
        <v>193</v>
      </c>
      <c r="C11" s="1" t="s">
        <v>40</v>
      </c>
      <c r="D11" s="1" t="s">
        <v>41</v>
      </c>
      <c r="F11" s="344">
        <v>32911.338985626855</v>
      </c>
      <c r="G11" s="235">
        <v>32911.338985626855</v>
      </c>
      <c r="H11" s="52">
        <v>55.625</v>
      </c>
      <c r="I11" s="173">
        <v>1830693.2310754939</v>
      </c>
      <c r="J11" s="245"/>
      <c r="K11" s="52">
        <v>0</v>
      </c>
      <c r="L11" s="235">
        <v>0</v>
      </c>
      <c r="M11" s="235"/>
      <c r="N11" s="52">
        <v>55.625</v>
      </c>
      <c r="O11" s="173">
        <v>1830693.2310754939</v>
      </c>
      <c r="P11" s="235"/>
      <c r="Q11" s="178">
        <f>(G11/G$36)+Q10</f>
        <v>0.25516715282790553</v>
      </c>
      <c r="R11" s="303">
        <f>(O11/O$36)+R10</f>
        <v>5.1959478989350501E-2</v>
      </c>
      <c r="S11" s="324">
        <f>(Q11-Q10)*(Q11-R11+Q10-R10)</f>
        <v>5.1851014081981103E-2</v>
      </c>
    </row>
    <row r="12" spans="1:22">
      <c r="A12" s="8">
        <v>1</v>
      </c>
      <c r="B12" s="162" t="s">
        <v>158</v>
      </c>
      <c r="C12" s="1" t="s">
        <v>73</v>
      </c>
      <c r="D12" s="1" t="s">
        <v>74</v>
      </c>
      <c r="F12" s="344">
        <v>40.591306041131133</v>
      </c>
      <c r="G12" s="235">
        <v>40.591306041131133</v>
      </c>
      <c r="H12" s="52">
        <v>54.97</v>
      </c>
      <c r="I12" s="173">
        <v>2231.3040930809784</v>
      </c>
      <c r="J12" s="245"/>
      <c r="K12" s="52">
        <v>2.1769837604967823</v>
      </c>
      <c r="L12" s="235">
        <v>88.36661406889742</v>
      </c>
      <c r="M12" s="235"/>
      <c r="N12" s="52">
        <v>57.146983760496781</v>
      </c>
      <c r="O12" s="173">
        <v>2319.6707071498759</v>
      </c>
      <c r="P12" s="235"/>
      <c r="Q12" s="178">
        <f t="shared" ref="Q12:Q33" si="0">(G12/G$36)+Q11</f>
        <v>0.25547994771911592</v>
      </c>
      <c r="R12" s="303">
        <f t="shared" ref="R12:R33" si="1">(O12/O$36)+R11</f>
        <v>5.2024920987643129E-2</v>
      </c>
      <c r="S12" s="324">
        <f t="shared" ref="S12:S33" si="2">(Q12-Q11)*(Q12-R12+Q11-R11)</f>
        <v>1.2720201518412461E-4</v>
      </c>
    </row>
    <row r="13" spans="1:22">
      <c r="A13" s="8">
        <v>1</v>
      </c>
      <c r="B13" s="162" t="s">
        <v>158</v>
      </c>
      <c r="C13" s="1" t="s">
        <v>40</v>
      </c>
      <c r="D13" s="1" t="s">
        <v>41</v>
      </c>
      <c r="F13" s="344">
        <v>700.99480761994664</v>
      </c>
      <c r="G13" s="235">
        <v>700.99480761994664</v>
      </c>
      <c r="H13" s="52">
        <v>62.682857142857003</v>
      </c>
      <c r="I13" s="173">
        <v>43940.357383925642</v>
      </c>
      <c r="J13" s="245"/>
      <c r="K13" s="52">
        <v>0</v>
      </c>
      <c r="L13" s="235"/>
      <c r="M13" s="235"/>
      <c r="N13" s="52">
        <v>62.682857142857003</v>
      </c>
      <c r="O13" s="173">
        <v>43940.357383925642</v>
      </c>
      <c r="P13" s="235"/>
      <c r="Q13" s="178">
        <f t="shared" si="0"/>
        <v>0.26088178412138247</v>
      </c>
      <c r="R13" s="303">
        <f t="shared" si="1"/>
        <v>5.3264555899629994E-2</v>
      </c>
      <c r="S13" s="324">
        <f t="shared" si="2"/>
        <v>2.220545070768127E-3</v>
      </c>
    </row>
    <row r="14" spans="1:22">
      <c r="A14" s="8">
        <v>1</v>
      </c>
      <c r="B14" s="163" t="s">
        <v>193</v>
      </c>
      <c r="C14" s="1" t="s">
        <v>153</v>
      </c>
      <c r="D14" s="1" t="s">
        <v>154</v>
      </c>
      <c r="F14" s="344">
        <v>755.51977508935306</v>
      </c>
      <c r="G14" s="235">
        <v>755.51977508935306</v>
      </c>
      <c r="H14" s="52">
        <v>112.82318494448573</v>
      </c>
      <c r="I14" s="173">
        <v>85240.14731412234</v>
      </c>
      <c r="J14" s="245"/>
      <c r="K14" s="52">
        <v>9.8635728462168881</v>
      </c>
      <c r="L14" s="235">
        <v>7452.1243383512328</v>
      </c>
      <c r="M14" s="235"/>
      <c r="N14" s="52">
        <v>122.68675779070261</v>
      </c>
      <c r="O14" s="173">
        <v>92692.271652473573</v>
      </c>
      <c r="P14" s="235"/>
      <c r="Q14" s="178">
        <f t="shared" si="0"/>
        <v>0.26670378762176017</v>
      </c>
      <c r="R14" s="303">
        <f t="shared" si="1"/>
        <v>5.587956822207895E-2</v>
      </c>
      <c r="S14" s="324">
        <f t="shared" si="2"/>
        <v>2.4361675727551007E-3</v>
      </c>
    </row>
    <row r="15" spans="1:22">
      <c r="A15" s="8">
        <v>1</v>
      </c>
      <c r="B15" s="163" t="s">
        <v>193</v>
      </c>
      <c r="C15" s="1" t="s">
        <v>151</v>
      </c>
      <c r="D15" s="1" t="s">
        <v>152</v>
      </c>
      <c r="F15" s="344">
        <v>20644.363654471883</v>
      </c>
      <c r="G15" s="235">
        <v>20644.363654471883</v>
      </c>
      <c r="H15" s="52">
        <v>111.34355725743856</v>
      </c>
      <c r="I15" s="173">
        <v>2298616.8866050737</v>
      </c>
      <c r="J15" s="245"/>
      <c r="K15" s="52">
        <v>20.787398802654131</v>
      </c>
      <c r="L15" s="235">
        <v>429142.62031252531</v>
      </c>
      <c r="M15" s="235"/>
      <c r="N15" s="52">
        <v>132.1309560600927</v>
      </c>
      <c r="O15" s="173">
        <v>2727759.5069175991</v>
      </c>
      <c r="P15" s="235"/>
      <c r="Q15" s="178">
        <f t="shared" si="0"/>
        <v>0.42578838265461749</v>
      </c>
      <c r="R15" s="303">
        <f t="shared" si="1"/>
        <v>0.13283447067619808</v>
      </c>
      <c r="S15" s="324">
        <f t="shared" si="2"/>
        <v>8.0143340016694736E-2</v>
      </c>
      <c r="U15" s="57">
        <f>(0.4-Q14)/(Q15-Q14)</f>
        <v>0.83789516106640538</v>
      </c>
      <c r="V15" s="57">
        <f>100*(R14+(U15*(R15-R14)))</f>
        <v>12.035970860872261</v>
      </c>
    </row>
    <row r="16" spans="1:22">
      <c r="A16" s="8">
        <v>1</v>
      </c>
      <c r="B16" s="162" t="s">
        <v>158</v>
      </c>
      <c r="C16" s="1" t="s">
        <v>153</v>
      </c>
      <c r="D16" s="1" t="s">
        <v>154</v>
      </c>
      <c r="F16" s="344">
        <v>69.082778663239068</v>
      </c>
      <c r="G16" s="235">
        <v>69.082778663239068</v>
      </c>
      <c r="H16" s="52">
        <v>125.36571428571429</v>
      </c>
      <c r="I16" s="173">
        <v>8660.611891958868</v>
      </c>
      <c r="J16" s="245"/>
      <c r="K16" s="52">
        <v>9.5227728887351333</v>
      </c>
      <c r="L16" s="235">
        <v>657.85961173278292</v>
      </c>
      <c r="M16" s="235"/>
      <c r="N16" s="52">
        <v>134.88848717444944</v>
      </c>
      <c r="O16" s="173">
        <v>9318.4715036916514</v>
      </c>
      <c r="P16" s="235"/>
      <c r="Q16" s="178">
        <f t="shared" si="0"/>
        <v>0.42632073163138073</v>
      </c>
      <c r="R16" s="303">
        <f t="shared" si="1"/>
        <v>0.13309736117800716</v>
      </c>
      <c r="S16" s="324">
        <f t="shared" si="2"/>
        <v>3.1205087650442272E-4</v>
      </c>
      <c r="U16"/>
      <c r="V16" s="57">
        <f>100-V15</f>
        <v>87.964029139127746</v>
      </c>
    </row>
    <row r="17" spans="1:22">
      <c r="A17" s="8">
        <v>1</v>
      </c>
      <c r="B17" s="162" t="s">
        <v>158</v>
      </c>
      <c r="C17" s="1" t="s">
        <v>151</v>
      </c>
      <c r="D17" s="1" t="s">
        <v>152</v>
      </c>
      <c r="F17" s="344">
        <v>104.9526829691517</v>
      </c>
      <c r="G17" s="235">
        <v>104.9526829691517</v>
      </c>
      <c r="H17" s="52">
        <v>125.36571428571428</v>
      </c>
      <c r="I17" s="173">
        <v>13157.468066629823</v>
      </c>
      <c r="J17" s="245"/>
      <c r="K17" s="52">
        <v>15.390594119999999</v>
      </c>
      <c r="L17" s="235">
        <v>1615.2841453832502</v>
      </c>
      <c r="M17" s="235"/>
      <c r="N17" s="52">
        <v>140.75630840571426</v>
      </c>
      <c r="O17" s="173">
        <v>14772.752212013072</v>
      </c>
      <c r="P17" s="235"/>
      <c r="Q17" s="178">
        <f t="shared" si="0"/>
        <v>0.42712949257684796</v>
      </c>
      <c r="R17" s="303">
        <f t="shared" si="1"/>
        <v>0.13351412654994385</v>
      </c>
      <c r="S17" s="324">
        <f t="shared" si="2"/>
        <v>4.7461225135258042E-4</v>
      </c>
      <c r="U17" s="57">
        <f>(SUM(O5:O14)+(U15*O15))/(SUM(G5:G14)+(U15*G15))</f>
        <v>82.189728999647798</v>
      </c>
      <c r="V17" s="57"/>
    </row>
    <row r="18" spans="1:22">
      <c r="A18" s="8">
        <v>1</v>
      </c>
      <c r="B18" s="163" t="s">
        <v>193</v>
      </c>
      <c r="C18" s="1" t="s">
        <v>42</v>
      </c>
      <c r="D18" s="1" t="s">
        <v>67</v>
      </c>
      <c r="F18" s="344">
        <v>2230.9414443258765</v>
      </c>
      <c r="G18" s="302">
        <v>780.82950551405679</v>
      </c>
      <c r="H18" s="52">
        <v>168.71165304428573</v>
      </c>
      <c r="I18" s="173">
        <v>131735.03662102873</v>
      </c>
      <c r="J18" s="245"/>
      <c r="K18" s="52"/>
      <c r="L18" s="235"/>
      <c r="M18" s="235"/>
      <c r="N18" s="52">
        <v>168.71165304428573</v>
      </c>
      <c r="O18" s="276">
        <v>131735.03662102873</v>
      </c>
      <c r="P18" s="235"/>
      <c r="Q18" s="178">
        <f t="shared" si="0"/>
        <v>0.43314653179168966</v>
      </c>
      <c r="R18" s="303">
        <f t="shared" si="1"/>
        <v>0.13723060407197318</v>
      </c>
      <c r="S18" s="324">
        <f t="shared" si="2"/>
        <v>3.547232912849778E-3</v>
      </c>
    </row>
    <row r="19" spans="1:22">
      <c r="A19" s="8">
        <v>1</v>
      </c>
      <c r="B19" s="162" t="s">
        <v>158</v>
      </c>
      <c r="C19" s="1" t="s">
        <v>234</v>
      </c>
      <c r="D19" s="1" t="s">
        <v>72</v>
      </c>
      <c r="F19" s="344">
        <v>368.86140125515885</v>
      </c>
      <c r="G19" s="235">
        <v>164</v>
      </c>
      <c r="H19" s="52">
        <v>310.09047698075614</v>
      </c>
      <c r="I19" s="173">
        <v>50854.838224844003</v>
      </c>
      <c r="J19" s="245"/>
      <c r="K19" s="52">
        <v>12.28055180410783</v>
      </c>
      <c r="L19" s="235">
        <v>2014.0104958736842</v>
      </c>
      <c r="M19" s="235"/>
      <c r="N19" s="52">
        <v>322.37102878486394</v>
      </c>
      <c r="O19" s="173">
        <v>52868.848720717688</v>
      </c>
      <c r="P19" s="235"/>
      <c r="Q19" s="178">
        <f t="shared" si="0"/>
        <v>0.43441030887012422</v>
      </c>
      <c r="R19" s="303">
        <f t="shared" si="1"/>
        <v>0.13872212745805126</v>
      </c>
      <c r="S19" s="324">
        <f t="shared" si="2"/>
        <v>7.4765571262845241E-4</v>
      </c>
    </row>
    <row r="20" spans="1:22">
      <c r="A20" s="8">
        <v>1</v>
      </c>
      <c r="B20" s="163" t="s">
        <v>193</v>
      </c>
      <c r="C20" s="1" t="s">
        <v>234</v>
      </c>
      <c r="D20" s="1" t="s">
        <v>72</v>
      </c>
      <c r="F20" s="344">
        <v>4523.4726659082571</v>
      </c>
      <c r="G20" s="235">
        <v>2559</v>
      </c>
      <c r="H20" s="52">
        <v>307.99687184214349</v>
      </c>
      <c r="I20" s="173">
        <v>788163.99504404515</v>
      </c>
      <c r="J20" s="245"/>
      <c r="K20" s="52">
        <v>35.449756536119004</v>
      </c>
      <c r="L20" s="235">
        <v>90715.926975928538</v>
      </c>
      <c r="M20" s="235"/>
      <c r="N20" s="52">
        <v>343.44662837826246</v>
      </c>
      <c r="O20" s="173">
        <v>878879.92201997363</v>
      </c>
      <c r="P20" s="235"/>
      <c r="Q20" s="178">
        <f t="shared" si="0"/>
        <v>0.4541298548683802</v>
      </c>
      <c r="R20" s="303">
        <f t="shared" si="1"/>
        <v>0.1635168787902016</v>
      </c>
      <c r="S20" s="324">
        <f t="shared" si="2"/>
        <v>1.156159264395974E-2</v>
      </c>
    </row>
    <row r="21" spans="1:22">
      <c r="A21" s="8">
        <v>1</v>
      </c>
      <c r="B21" s="163" t="s">
        <v>193</v>
      </c>
      <c r="C21" s="1" t="s">
        <v>117</v>
      </c>
      <c r="D21" s="1" t="s">
        <v>70</v>
      </c>
      <c r="F21" s="344">
        <v>40033.928439865202</v>
      </c>
      <c r="G21" s="235">
        <v>22647.826226456313</v>
      </c>
      <c r="H21" s="52">
        <v>356.43887176112037</v>
      </c>
      <c r="I21" s="173">
        <v>8072565.6280000005</v>
      </c>
      <c r="J21" s="245"/>
      <c r="K21" s="52">
        <v>11.341663368029709</v>
      </c>
      <c r="L21" s="235">
        <v>256864.02107810206</v>
      </c>
      <c r="M21" s="235"/>
      <c r="N21" s="52">
        <v>367.78053512915011</v>
      </c>
      <c r="O21" s="173">
        <v>8329429.6490781028</v>
      </c>
      <c r="P21" s="235"/>
      <c r="Q21" s="178">
        <f t="shared" si="0"/>
        <v>0.62865304792547794</v>
      </c>
      <c r="R21" s="303">
        <f t="shared" si="1"/>
        <v>0.39850476702510684</v>
      </c>
      <c r="S21" s="324">
        <f t="shared" si="2"/>
        <v>9.0884917388324313E-2</v>
      </c>
    </row>
    <row r="22" spans="1:22">
      <c r="A22" s="8">
        <v>1</v>
      </c>
      <c r="B22" s="162" t="s">
        <v>158</v>
      </c>
      <c r="C22" s="1" t="s">
        <v>92</v>
      </c>
      <c r="D22" s="1" t="s">
        <v>155</v>
      </c>
      <c r="F22" s="344">
        <v>18.025714003403166</v>
      </c>
      <c r="G22" s="235">
        <v>8.0144387200686378</v>
      </c>
      <c r="H22" s="52">
        <v>355.09402585293662</v>
      </c>
      <c r="I22" s="173">
        <v>2845.8793100608291</v>
      </c>
      <c r="J22" s="245"/>
      <c r="K22" s="52">
        <v>26.873229935943062</v>
      </c>
      <c r="L22" s="235">
        <v>215.37385453192971</v>
      </c>
      <c r="M22" s="235"/>
      <c r="N22" s="52">
        <v>381.9672557888797</v>
      </c>
      <c r="O22" s="173">
        <v>3061.2531645927588</v>
      </c>
      <c r="P22" s="235"/>
      <c r="Q22" s="178">
        <f t="shared" si="0"/>
        <v>0.62871480685200809</v>
      </c>
      <c r="R22" s="303">
        <f t="shared" si="1"/>
        <v>0.39859113037131505</v>
      </c>
      <c r="S22" s="324">
        <f t="shared" si="2"/>
        <v>2.8425901999786968E-5</v>
      </c>
    </row>
    <row r="23" spans="1:22">
      <c r="A23" s="8">
        <v>1</v>
      </c>
      <c r="B23" s="163" t="s">
        <v>193</v>
      </c>
      <c r="C23" s="1" t="s">
        <v>239</v>
      </c>
      <c r="D23" s="1" t="s">
        <v>240</v>
      </c>
      <c r="F23" s="344">
        <v>11532.292173655907</v>
      </c>
      <c r="G23" s="235">
        <v>6524</v>
      </c>
      <c r="H23" s="52">
        <v>336.96487184214345</v>
      </c>
      <c r="I23" s="173">
        <v>2198358.8238981441</v>
      </c>
      <c r="J23" s="245"/>
      <c r="K23" s="52">
        <v>46.492423994510411</v>
      </c>
      <c r="L23" s="235">
        <v>303316.5741401859</v>
      </c>
      <c r="M23" s="235"/>
      <c r="N23" s="52">
        <v>383.45729583665388</v>
      </c>
      <c r="O23" s="173">
        <v>2501675.39803833</v>
      </c>
      <c r="P23" s="235"/>
      <c r="Q23" s="178">
        <f t="shared" si="0"/>
        <v>0.67898847550875763</v>
      </c>
      <c r="R23" s="303">
        <f t="shared" si="1"/>
        <v>0.46916780171631017</v>
      </c>
      <c r="S23" s="324">
        <f t="shared" si="2"/>
        <v>2.2117616493040827E-2</v>
      </c>
    </row>
    <row r="24" spans="1:22">
      <c r="A24" s="8">
        <v>1</v>
      </c>
      <c r="B24" s="163" t="s">
        <v>193</v>
      </c>
      <c r="C24" s="1" t="s">
        <v>116</v>
      </c>
      <c r="D24" s="1" t="s">
        <v>71</v>
      </c>
      <c r="F24" s="344">
        <v>40033.928439865202</v>
      </c>
      <c r="G24" s="235">
        <v>22647.826226456313</v>
      </c>
      <c r="H24" s="52">
        <v>356.43887176112037</v>
      </c>
      <c r="I24" s="173">
        <v>8072565.6280000005</v>
      </c>
      <c r="J24" s="245"/>
      <c r="K24" s="52">
        <v>47.133707782388214</v>
      </c>
      <c r="L24" s="235">
        <v>1067476.0232640998</v>
      </c>
      <c r="M24" s="235"/>
      <c r="N24" s="52">
        <v>403.57257954350865</v>
      </c>
      <c r="O24" s="173">
        <v>9140041.6512641013</v>
      </c>
      <c r="P24" s="235"/>
      <c r="Q24" s="178">
        <f t="shared" si="0"/>
        <v>0.85351166856585536</v>
      </c>
      <c r="R24" s="303">
        <f t="shared" si="1"/>
        <v>0.72702448296546929</v>
      </c>
      <c r="S24" s="324">
        <f t="shared" si="2"/>
        <v>5.8693521471434765E-2</v>
      </c>
      <c r="U24" s="57">
        <f>(0.8-Q23)/(Q24-Q23)</f>
        <v>0.69338362639085904</v>
      </c>
      <c r="V24" s="57">
        <f>100*(R23+(U24*(R24-R23)))</f>
        <v>64.796140244996394</v>
      </c>
    </row>
    <row r="25" spans="1:22">
      <c r="A25" s="8">
        <v>1</v>
      </c>
      <c r="B25" s="162" t="s">
        <v>158</v>
      </c>
      <c r="C25" s="1" t="s">
        <v>239</v>
      </c>
      <c r="D25" s="1" t="s">
        <v>240</v>
      </c>
      <c r="F25" s="344">
        <v>614.01928379669744</v>
      </c>
      <c r="G25" s="235">
        <v>273</v>
      </c>
      <c r="H25" s="52">
        <v>360.1614293617086</v>
      </c>
      <c r="I25" s="173">
        <v>98324.07021574644</v>
      </c>
      <c r="J25" s="245"/>
      <c r="K25" s="52">
        <v>47.600880591164575</v>
      </c>
      <c r="L25" s="235">
        <v>12995.040401387929</v>
      </c>
      <c r="M25" s="235"/>
      <c r="N25" s="52">
        <v>407.76230995287318</v>
      </c>
      <c r="O25" s="173">
        <v>111319.11061713437</v>
      </c>
      <c r="P25" s="235"/>
      <c r="Q25" s="178">
        <f t="shared" si="0"/>
        <v>0.8556153950439811</v>
      </c>
      <c r="R25" s="303">
        <f t="shared" si="1"/>
        <v>0.73016499123868628</v>
      </c>
      <c r="S25" s="324">
        <f t="shared" si="2"/>
        <v>5.3000777766790022E-4</v>
      </c>
      <c r="U25"/>
      <c r="V25" s="57">
        <f>100-V24</f>
        <v>35.203859755003606</v>
      </c>
    </row>
    <row r="26" spans="1:22">
      <c r="A26" s="8">
        <v>1</v>
      </c>
      <c r="B26" s="163" t="s">
        <v>193</v>
      </c>
      <c r="C26" s="1" t="s">
        <v>91</v>
      </c>
      <c r="D26" s="1" t="s">
        <v>288</v>
      </c>
      <c r="F26" s="344">
        <v>6435.074252197548</v>
      </c>
      <c r="G26" s="235">
        <v>3640.4232384296024</v>
      </c>
      <c r="H26" s="52">
        <v>388.37487184214348</v>
      </c>
      <c r="I26" s="173">
        <v>1413848.9086762578</v>
      </c>
      <c r="J26" s="245"/>
      <c r="K26" s="52">
        <v>44.125835379294074</v>
      </c>
      <c r="L26" s="235">
        <v>160636.71652990126</v>
      </c>
      <c r="M26" s="235"/>
      <c r="N26" s="52">
        <v>432.50070722143755</v>
      </c>
      <c r="O26" s="173">
        <v>1574485.625206159</v>
      </c>
      <c r="P26" s="235"/>
      <c r="Q26" s="178">
        <f t="shared" si="0"/>
        <v>0.88366834287646745</v>
      </c>
      <c r="R26" s="303">
        <f t="shared" si="1"/>
        <v>0.77458400523016158</v>
      </c>
      <c r="S26" s="324">
        <f t="shared" si="2"/>
        <v>6.579390866847429E-3</v>
      </c>
      <c r="U26" s="57">
        <f>(SUM(O25:O$33)+((1-Y24)*O24))/(SUM(G25:G$33)+((1-Y24)*G24))</f>
        <v>451.68227239041607</v>
      </c>
      <c r="V26" s="57"/>
    </row>
    <row r="27" spans="1:22">
      <c r="A27" s="8">
        <v>1</v>
      </c>
      <c r="B27" s="163" t="s">
        <v>193</v>
      </c>
      <c r="C27" s="1" t="s">
        <v>44</v>
      </c>
      <c r="D27" s="1" t="s">
        <v>84</v>
      </c>
      <c r="F27" s="344">
        <v>18015.267797939337</v>
      </c>
      <c r="G27" s="235">
        <v>10191.521801905341</v>
      </c>
      <c r="H27" s="52">
        <v>356.43887176112037</v>
      </c>
      <c r="I27" s="173">
        <v>3632654.5326</v>
      </c>
      <c r="J27" s="245"/>
      <c r="K27" s="52">
        <v>99.698942902546833</v>
      </c>
      <c r="L27" s="235">
        <v>1016083.9502182218</v>
      </c>
      <c r="M27" s="235"/>
      <c r="N27" s="52">
        <v>456.13781466366714</v>
      </c>
      <c r="O27" s="173">
        <v>4648738.4828182217</v>
      </c>
      <c r="P27" s="235"/>
      <c r="Q27" s="178">
        <f t="shared" si="0"/>
        <v>0.96220377975216143</v>
      </c>
      <c r="R27" s="303">
        <f t="shared" si="1"/>
        <v>0.90573310967751075</v>
      </c>
      <c r="S27" s="324">
        <f t="shared" si="2"/>
        <v>1.3001934858324212E-2</v>
      </c>
      <c r="U27" s="57">
        <f>(0.95-Q26)/(Q27-Q26)</f>
        <v>0.84460798541838333</v>
      </c>
      <c r="V27" s="57">
        <f>100*(R26+(U27*(R27-R26)))</f>
        <v>88.535358612686238</v>
      </c>
    </row>
    <row r="28" spans="1:22">
      <c r="A28" s="8">
        <v>1</v>
      </c>
      <c r="B28" s="162" t="s">
        <v>158</v>
      </c>
      <c r="C28" s="1" t="s">
        <v>160</v>
      </c>
      <c r="D28" s="1" t="s">
        <v>238</v>
      </c>
      <c r="F28" s="344">
        <v>911.35096327372412</v>
      </c>
      <c r="G28" s="235">
        <v>405.1970671593831</v>
      </c>
      <c r="H28" s="52">
        <v>414.68568164609638</v>
      </c>
      <c r="I28" s="173">
        <v>168029.42199598788</v>
      </c>
      <c r="J28" s="245"/>
      <c r="K28" s="52">
        <v>51.415931963589024</v>
      </c>
      <c r="L28" s="235">
        <v>20833.584836912654</v>
      </c>
      <c r="M28" s="235"/>
      <c r="N28" s="52">
        <v>466.10161360968544</v>
      </c>
      <c r="O28" s="173">
        <v>188863.00683290054</v>
      </c>
      <c r="P28" s="235"/>
      <c r="Q28" s="178">
        <f t="shared" si="0"/>
        <v>0.96532621125048412</v>
      </c>
      <c r="R28" s="303">
        <f t="shared" si="1"/>
        <v>0.911061267908161</v>
      </c>
      <c r="S28" s="324">
        <f t="shared" si="2"/>
        <v>3.4576436731924417E-4</v>
      </c>
      <c r="U28"/>
      <c r="V28" s="57">
        <f>100-V27</f>
        <v>11.464641387313762</v>
      </c>
    </row>
    <row r="29" spans="1:22">
      <c r="A29" s="8">
        <v>1</v>
      </c>
      <c r="B29" s="162" t="s">
        <v>158</v>
      </c>
      <c r="C29" s="1" t="s">
        <v>91</v>
      </c>
      <c r="D29" s="1" t="s">
        <v>288</v>
      </c>
      <c r="F29" s="344">
        <v>444.94065516791829</v>
      </c>
      <c r="G29" s="235">
        <v>197.82570688946015</v>
      </c>
      <c r="H29" s="52">
        <v>425.10254047281961</v>
      </c>
      <c r="I29" s="173">
        <v>84096.210569540883</v>
      </c>
      <c r="J29" s="245"/>
      <c r="K29" s="52">
        <v>47.600880591164575</v>
      </c>
      <c r="L29" s="235">
        <v>9416.677851507915</v>
      </c>
      <c r="M29" s="235"/>
      <c r="N29" s="52">
        <v>472.70342106398419</v>
      </c>
      <c r="O29" s="173">
        <v>93512.888421048803</v>
      </c>
      <c r="P29" s="235"/>
      <c r="Q29" s="178">
        <f t="shared" si="0"/>
        <v>0.96685064779860608</v>
      </c>
      <c r="R29" s="303">
        <f t="shared" si="1"/>
        <v>0.91369943127571407</v>
      </c>
      <c r="S29" s="324">
        <f t="shared" si="2"/>
        <v>1.6374911995744459E-4</v>
      </c>
      <c r="U29" s="57">
        <f>(SUM(O28:O$33)+((1-U27)*O27))/(SUM(G28:G$33)+((1-U27)*G27))</f>
        <v>626.30644729439109</v>
      </c>
      <c r="V29" s="57"/>
    </row>
    <row r="30" spans="1:22">
      <c r="A30" s="8">
        <v>1</v>
      </c>
      <c r="B30" s="163" t="s">
        <v>193</v>
      </c>
      <c r="C30" s="1" t="s">
        <v>160</v>
      </c>
      <c r="D30" s="1" t="s">
        <v>238</v>
      </c>
      <c r="F30" s="344">
        <v>4525.4113761936505</v>
      </c>
      <c r="G30" s="235">
        <v>2560.0967590580822</v>
      </c>
      <c r="H30" s="52">
        <v>391.54184256500628</v>
      </c>
      <c r="I30" s="173">
        <v>1002385.0021863024</v>
      </c>
      <c r="J30" s="245"/>
      <c r="K30" s="52">
        <v>133.46768271759632</v>
      </c>
      <c r="L30" s="235">
        <v>341690.18196431076</v>
      </c>
      <c r="M30" s="235"/>
      <c r="N30" s="52">
        <v>525.00952528260257</v>
      </c>
      <c r="O30" s="173">
        <v>1344075.1841506131</v>
      </c>
      <c r="P30" s="235"/>
      <c r="Q30" s="178">
        <f t="shared" si="0"/>
        <v>0.98657864537587525</v>
      </c>
      <c r="R30" s="303">
        <f t="shared" si="1"/>
        <v>0.9516181607036589</v>
      </c>
      <c r="S30" s="324">
        <f t="shared" si="2"/>
        <v>1.738267427706161E-3</v>
      </c>
    </row>
    <row r="31" spans="1:22">
      <c r="A31" s="8">
        <v>1</v>
      </c>
      <c r="B31" s="163" t="s">
        <v>193</v>
      </c>
      <c r="C31" s="1" t="s">
        <v>43</v>
      </c>
      <c r="D31" s="1" t="s">
        <v>54</v>
      </c>
      <c r="F31" s="344">
        <v>2001.6964219932599</v>
      </c>
      <c r="G31" s="235">
        <v>1132.3913113228157</v>
      </c>
      <c r="H31" s="52">
        <v>356.43887176112037</v>
      </c>
      <c r="I31" s="173">
        <v>403628.28140000004</v>
      </c>
      <c r="J31" s="245"/>
      <c r="K31" s="52">
        <v>398.41507462231118</v>
      </c>
      <c r="L31" s="235">
        <v>451161.76880233642</v>
      </c>
      <c r="M31" s="235"/>
      <c r="N31" s="52">
        <v>754.85394638343155</v>
      </c>
      <c r="O31" s="173">
        <v>854790.0502023364</v>
      </c>
      <c r="P31" s="235"/>
      <c r="Q31" s="178">
        <f t="shared" si="0"/>
        <v>0.99530480502873009</v>
      </c>
      <c r="R31" s="303">
        <f t="shared" si="1"/>
        <v>0.97573329430149025</v>
      </c>
      <c r="S31" s="324">
        <f t="shared" si="2"/>
        <v>4.7585489804440116E-4</v>
      </c>
      <c r="U31" s="57">
        <f>(0.99-Q30)/(Q31-Q30)</f>
        <v>0.39208022317187541</v>
      </c>
      <c r="V31" s="57">
        <f>100*(R30+(U31*(R31-R30)))</f>
        <v>96.10732276665162</v>
      </c>
    </row>
    <row r="32" spans="1:22">
      <c r="A32" s="8">
        <v>1</v>
      </c>
      <c r="B32" s="163" t="s">
        <v>193</v>
      </c>
      <c r="C32" s="1" t="s">
        <v>159</v>
      </c>
      <c r="D32" s="1" t="s">
        <v>367</v>
      </c>
      <c r="F32" s="344">
        <v>947.87137507989212</v>
      </c>
      <c r="G32" s="235">
        <v>536.22582205709273</v>
      </c>
      <c r="H32" s="52">
        <v>1199.650705175477</v>
      </c>
      <c r="I32" s="173">
        <v>643283.6855640912</v>
      </c>
      <c r="J32" s="245"/>
      <c r="K32" s="52">
        <v>47.793658770100706</v>
      </c>
      <c r="L32" s="235">
        <v>25628.19396311343</v>
      </c>
      <c r="M32" s="235"/>
      <c r="N32" s="52">
        <v>1247.4443639455778</v>
      </c>
      <c r="O32" s="173">
        <v>668911.87952720467</v>
      </c>
      <c r="P32" s="235"/>
      <c r="Q32" s="178">
        <f t="shared" si="0"/>
        <v>0.99943693858226956</v>
      </c>
      <c r="R32" s="303">
        <f t="shared" si="1"/>
        <v>0.99460447715645761</v>
      </c>
      <c r="S32" s="324">
        <f t="shared" si="2"/>
        <v>1.0084047217326826E-4</v>
      </c>
      <c r="U32"/>
      <c r="V32" s="57">
        <f>100-V31</f>
        <v>3.8926772333483797</v>
      </c>
    </row>
    <row r="33" spans="1:22">
      <c r="A33" s="8">
        <v>1</v>
      </c>
      <c r="B33" s="162" t="s">
        <v>158</v>
      </c>
      <c r="C33" s="1" t="s">
        <v>159</v>
      </c>
      <c r="D33" s="1" t="s">
        <v>367</v>
      </c>
      <c r="F33" s="344">
        <v>164.34197698378634</v>
      </c>
      <c r="G33" s="235">
        <v>73.068323586118268</v>
      </c>
      <c r="H33" s="52">
        <v>2301.5880960283748</v>
      </c>
      <c r="I33" s="173">
        <v>168173.18376255914</v>
      </c>
      <c r="J33" s="245"/>
      <c r="K33" s="52">
        <v>315.83649442829267</v>
      </c>
      <c r="L33" s="235">
        <v>23077.64317519173</v>
      </c>
      <c r="M33" s="235"/>
      <c r="N33" s="52">
        <v>2617.4245904566678</v>
      </c>
      <c r="O33" s="173">
        <v>191250.82693775088</v>
      </c>
      <c r="P33" s="235"/>
      <c r="Q33" s="178">
        <f t="shared" si="0"/>
        <v>0.99999999999999989</v>
      </c>
      <c r="R33" s="303">
        <f t="shared" si="1"/>
        <v>1.0000000000000002</v>
      </c>
      <c r="S33" s="324">
        <f t="shared" si="2"/>
        <v>2.720972581544603E-6</v>
      </c>
      <c r="U33" s="57">
        <f>(SUM(O32:O$33)+((1-U31)*O31))/(SUM(G32:G$33)+((1-U31)*G31))</f>
        <v>1063.2730523869666</v>
      </c>
      <c r="V33" s="57"/>
    </row>
    <row r="34" spans="1:22">
      <c r="P34" s="235"/>
      <c r="Q34" s="178"/>
      <c r="R34" s="8"/>
      <c r="S34" s="8"/>
      <c r="U34" s="57"/>
      <c r="V34" s="57"/>
    </row>
    <row r="35" spans="1:22">
      <c r="F35" s="8" t="s">
        <v>390</v>
      </c>
      <c r="G35" s="238">
        <v>128988.89238495557</v>
      </c>
      <c r="H35" s="278">
        <v>8913.7329285702963</v>
      </c>
      <c r="I35" s="278">
        <v>31092107.303864509</v>
      </c>
      <c r="J35" s="245"/>
      <c r="K35" s="245"/>
      <c r="L35" s="278">
        <v>4222366.022183788</v>
      </c>
      <c r="M35" s="278"/>
      <c r="N35" s="245">
        <v>273.77918108371279</v>
      </c>
      <c r="O35" s="278">
        <v>35314473.326048292</v>
      </c>
      <c r="P35" s="235"/>
      <c r="Q35" s="178"/>
      <c r="R35" s="8"/>
      <c r="S35" s="8"/>
    </row>
    <row r="36" spans="1:22">
      <c r="F36" s="8" t="s">
        <v>391</v>
      </c>
      <c r="G36" s="238">
        <v>129769.72189046963</v>
      </c>
      <c r="H36" s="278">
        <v>9082.4445816145817</v>
      </c>
      <c r="I36" s="278">
        <v>31223842.340485539</v>
      </c>
      <c r="J36" s="245"/>
      <c r="K36" s="245"/>
      <c r="L36" s="278">
        <v>4222366.022183788</v>
      </c>
      <c r="M36" s="278"/>
      <c r="N36" s="245">
        <v>273.14698564729304</v>
      </c>
      <c r="O36" s="278">
        <v>35446208.362669319</v>
      </c>
      <c r="P36" s="235"/>
      <c r="Q36" s="178"/>
      <c r="R36" s="8"/>
      <c r="S36" s="8"/>
    </row>
    <row r="37" spans="1:22" ht="16" thickBot="1">
      <c r="F37" s="344"/>
      <c r="J37" s="245"/>
      <c r="K37" s="245"/>
      <c r="M37" s="278"/>
      <c r="N37" s="245"/>
      <c r="P37" s="164"/>
      <c r="Q37" s="84"/>
      <c r="R37" s="84"/>
      <c r="S37" s="84"/>
      <c r="T37" s="84"/>
    </row>
    <row r="38" spans="1:22" ht="16" thickBot="1">
      <c r="D38" s="1" t="s">
        <v>77</v>
      </c>
      <c r="J38" s="245"/>
      <c r="K38" s="245"/>
      <c r="P38" s="164"/>
      <c r="Q38" s="1" t="s">
        <v>230</v>
      </c>
      <c r="R38" s="167">
        <v>0.34808635396045196</v>
      </c>
      <c r="S38" s="8" t="s">
        <v>388</v>
      </c>
      <c r="T38" s="84"/>
    </row>
    <row r="39" spans="1:22">
      <c r="D39" s="1" t="s">
        <v>188</v>
      </c>
      <c r="J39" s="245"/>
      <c r="K39" s="245"/>
      <c r="P39" s="84"/>
      <c r="Q39" s="1"/>
      <c r="R39" s="8" t="s">
        <v>20</v>
      </c>
      <c r="S39" s="8" t="s">
        <v>16</v>
      </c>
      <c r="T39" s="84"/>
    </row>
    <row r="40" spans="1:22">
      <c r="D40" s="1" t="s">
        <v>38</v>
      </c>
      <c r="N40" s="240" t="s">
        <v>365</v>
      </c>
      <c r="P40" s="84"/>
      <c r="Q40" s="1" t="s">
        <v>347</v>
      </c>
      <c r="R40" s="184">
        <v>3.8926772333483797</v>
      </c>
      <c r="S40" s="301">
        <v>1063.2730523869666</v>
      </c>
      <c r="T40" s="84"/>
    </row>
    <row r="41" spans="1:22">
      <c r="D41" s="1" t="s">
        <v>80</v>
      </c>
      <c r="N41" s="240" t="s">
        <v>90</v>
      </c>
      <c r="P41" s="84"/>
      <c r="Q41" s="1" t="s">
        <v>348</v>
      </c>
      <c r="R41" s="245">
        <v>11.464641387313762</v>
      </c>
      <c r="S41" s="305">
        <v>626.30644729439109</v>
      </c>
      <c r="T41" s="84"/>
    </row>
    <row r="42" spans="1:22">
      <c r="D42" s="1" t="s">
        <v>233</v>
      </c>
      <c r="P42" s="84"/>
      <c r="Q42" s="1" t="s">
        <v>427</v>
      </c>
      <c r="R42" s="245">
        <v>19.814318276164087</v>
      </c>
      <c r="S42" s="306">
        <v>541.22213097902932</v>
      </c>
      <c r="T42" s="84"/>
    </row>
    <row r="43" spans="1:22">
      <c r="D43" s="1" t="s">
        <v>163</v>
      </c>
      <c r="P43" s="84"/>
      <c r="Q43" s="1" t="s">
        <v>425</v>
      </c>
      <c r="R43" s="245">
        <v>35.203859755003606</v>
      </c>
      <c r="S43" s="307">
        <v>451.68227239041607</v>
      </c>
      <c r="T43" s="84"/>
    </row>
    <row r="44" spans="1:22">
      <c r="D44" s="1" t="s">
        <v>15</v>
      </c>
      <c r="P44" s="84"/>
      <c r="Q44" s="1" t="s">
        <v>339</v>
      </c>
      <c r="R44" s="245">
        <v>52.760169384124133</v>
      </c>
      <c r="S44" s="308">
        <v>374.8365989233767</v>
      </c>
      <c r="T44" s="84"/>
      <c r="U44" s="1">
        <f>(R47-(0.2*S43)-(0.4*S45))/0.4</f>
        <v>374.8365989233767</v>
      </c>
    </row>
    <row r="45" spans="1:22">
      <c r="D45" s="1" t="s">
        <v>124</v>
      </c>
      <c r="P45" s="84"/>
      <c r="Q45" s="1" t="s">
        <v>340</v>
      </c>
      <c r="R45" s="245">
        <v>12.035970860872261</v>
      </c>
      <c r="S45" s="308">
        <v>82.189728999647798</v>
      </c>
      <c r="T45" s="84"/>
    </row>
    <row r="46" spans="1:22">
      <c r="D46" s="1" t="s">
        <v>125</v>
      </c>
      <c r="P46" s="84"/>
      <c r="Q46" s="1"/>
      <c r="R46" s="184"/>
      <c r="S46" s="184"/>
      <c r="T46" s="84"/>
    </row>
    <row r="47" spans="1:22">
      <c r="D47" s="1" t="s">
        <v>191</v>
      </c>
      <c r="P47" s="84"/>
      <c r="Q47" s="1" t="s">
        <v>254</v>
      </c>
      <c r="R47" s="184">
        <v>273.14698564729304</v>
      </c>
      <c r="T47" s="84"/>
    </row>
    <row r="48" spans="1:22">
      <c r="D48" s="1" t="s">
        <v>192</v>
      </c>
      <c r="P48" s="84"/>
      <c r="Q48" s="1" t="s">
        <v>319</v>
      </c>
      <c r="R48" s="184">
        <v>367.78053512915011</v>
      </c>
      <c r="T48" s="84"/>
    </row>
    <row r="49" spans="4:20">
      <c r="D49" s="1" t="s">
        <v>81</v>
      </c>
      <c r="P49" s="84"/>
      <c r="Q49" s="84"/>
      <c r="R49" s="84"/>
      <c r="S49" s="84"/>
      <c r="T49" s="84"/>
    </row>
    <row r="50" spans="4:20">
      <c r="Q50" s="227" t="s">
        <v>175</v>
      </c>
    </row>
  </sheetData>
  <sheetCalcPr fullCalcOnLoad="1"/>
  <phoneticPr fontId="20" type="noConversion"/>
  <pageMargins left="0.75" right="0.75" top="1" bottom="1" header="0.5" footer="0.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Y72"/>
  <sheetViews>
    <sheetView workbookViewId="0">
      <pane xSplit="15560" ySplit="3700" topLeftCell="J9"/>
      <selection activeCell="D6" sqref="D6"/>
      <selection pane="topRight" activeCell="S3" sqref="S3:S4"/>
      <selection pane="bottomLeft" activeCell="G11" sqref="G11"/>
      <selection pane="bottomRight" activeCell="K27" sqref="K27"/>
    </sheetView>
  </sheetViews>
  <sheetFormatPr baseColWidth="10" defaultRowHeight="15"/>
  <cols>
    <col min="1" max="1" width="9.6640625" customWidth="1"/>
    <col min="2" max="2" width="12.33203125" style="182" customWidth="1"/>
    <col min="5" max="5" width="15.5" customWidth="1"/>
    <col min="6" max="6" width="12.33203125" style="329" customWidth="1"/>
    <col min="7" max="7" width="11" style="325" bestFit="1" customWidth="1"/>
    <col min="8" max="8" width="10.83203125" style="1"/>
    <col min="9" max="9" width="14.5" style="1" customWidth="1"/>
    <col min="10" max="10" width="4.83203125" style="1" customWidth="1"/>
    <col min="11" max="11" width="10.83203125" style="1"/>
    <col min="12" max="12" width="11.1640625" style="1" bestFit="1" customWidth="1"/>
    <col min="13" max="13" width="4.83203125" style="1" customWidth="1"/>
    <col min="14" max="14" width="10.83203125" style="1"/>
    <col min="15" max="15" width="11.33203125" style="1" bestFit="1" customWidth="1"/>
    <col min="16" max="16" width="4.83203125" customWidth="1"/>
    <col min="17" max="17" width="12.5" style="1" customWidth="1"/>
    <col min="18" max="18" width="12.83203125" style="1" customWidth="1"/>
    <col min="19" max="19" width="12.6640625" style="1" customWidth="1"/>
    <col min="20" max="25" width="10.83203125" style="1"/>
  </cols>
  <sheetData>
    <row r="1" spans="1:25" ht="18">
      <c r="A1" t="s">
        <v>55</v>
      </c>
      <c r="C1" s="140" t="s">
        <v>219</v>
      </c>
      <c r="D1" s="1"/>
      <c r="E1" s="1"/>
      <c r="F1" s="325"/>
      <c r="H1" s="165"/>
      <c r="I1" s="165"/>
      <c r="J1" s="165"/>
      <c r="K1" s="165" t="s">
        <v>31</v>
      </c>
      <c r="L1" s="161"/>
      <c r="M1" s="165"/>
      <c r="N1" s="165"/>
      <c r="O1" s="165"/>
    </row>
    <row r="2" spans="1:25" ht="17">
      <c r="A2" s="41">
        <v>40575</v>
      </c>
      <c r="C2" s="40" t="s">
        <v>18</v>
      </c>
      <c r="D2" s="1"/>
      <c r="E2" s="1"/>
      <c r="F2" s="325"/>
      <c r="H2" s="165"/>
      <c r="I2" s="165"/>
      <c r="J2" s="165"/>
      <c r="K2" s="165"/>
      <c r="L2" s="161"/>
      <c r="M2" s="165"/>
      <c r="N2" s="165"/>
      <c r="O2" s="165"/>
      <c r="S2" s="166"/>
    </row>
    <row r="3" spans="1:25">
      <c r="A3" s="41"/>
      <c r="C3" s="57"/>
      <c r="D3" s="57" t="s">
        <v>627</v>
      </c>
      <c r="F3" s="325"/>
      <c r="H3" s="245"/>
      <c r="I3" s="245"/>
      <c r="J3" s="245"/>
      <c r="K3" s="245"/>
      <c r="L3" s="276"/>
      <c r="M3" s="245"/>
      <c r="N3" s="245"/>
      <c r="O3" s="245"/>
      <c r="S3" s="166" t="s">
        <v>134</v>
      </c>
    </row>
    <row r="4" spans="1:25">
      <c r="A4" s="41"/>
      <c r="B4" s="90"/>
      <c r="C4" s="1"/>
      <c r="D4" s="57" t="s">
        <v>628</v>
      </c>
      <c r="E4" s="1"/>
      <c r="F4" s="325"/>
      <c r="H4" s="165"/>
      <c r="I4" s="165"/>
      <c r="J4" s="165"/>
      <c r="K4" s="165"/>
      <c r="L4" s="161"/>
      <c r="M4" s="165"/>
      <c r="N4" s="165"/>
      <c r="O4" s="165"/>
      <c r="S4" s="166" t="s">
        <v>207</v>
      </c>
    </row>
    <row r="5" spans="1:25">
      <c r="A5" s="1"/>
      <c r="B5" s="181"/>
      <c r="C5" s="181"/>
      <c r="D5" s="181"/>
      <c r="E5" s="181"/>
      <c r="F5" s="325"/>
    </row>
    <row r="6" spans="1:25">
      <c r="A6" s="1"/>
      <c r="B6" s="90"/>
      <c r="C6" s="1"/>
      <c r="D6" s="1"/>
      <c r="E6" s="1"/>
      <c r="F6" s="325"/>
      <c r="H6" s="165"/>
      <c r="I6" s="165"/>
      <c r="J6" s="165"/>
      <c r="K6" s="53" t="s">
        <v>89</v>
      </c>
      <c r="L6" s="161"/>
      <c r="M6" s="165"/>
      <c r="N6" s="223" t="s">
        <v>321</v>
      </c>
      <c r="O6" s="165"/>
      <c r="Q6" s="62" t="s">
        <v>210</v>
      </c>
    </row>
    <row r="7" spans="1:25">
      <c r="A7" s="8"/>
      <c r="B7" s="90"/>
      <c r="C7" s="1"/>
      <c r="D7" s="1"/>
      <c r="E7" s="1"/>
      <c r="F7" s="326" t="s">
        <v>487</v>
      </c>
      <c r="G7" s="326" t="s">
        <v>225</v>
      </c>
      <c r="H7" s="190" t="s">
        <v>378</v>
      </c>
      <c r="I7" s="165"/>
      <c r="J7" s="165"/>
      <c r="K7" s="53" t="s">
        <v>248</v>
      </c>
      <c r="L7" s="161"/>
      <c r="M7" s="165"/>
      <c r="N7" s="53" t="s">
        <v>379</v>
      </c>
      <c r="O7" s="165"/>
      <c r="Q7" s="1" t="s">
        <v>211</v>
      </c>
    </row>
    <row r="8" spans="1:25" ht="15" customHeight="1">
      <c r="A8" s="8"/>
      <c r="B8" s="61" t="s">
        <v>115</v>
      </c>
      <c r="C8" s="1" t="s">
        <v>285</v>
      </c>
      <c r="D8" s="1"/>
      <c r="E8" s="1"/>
      <c r="F8" s="327" t="s">
        <v>486</v>
      </c>
      <c r="G8" s="328" t="s">
        <v>302</v>
      </c>
      <c r="H8" s="54" t="s">
        <v>203</v>
      </c>
      <c r="I8" s="161" t="s">
        <v>375</v>
      </c>
      <c r="J8" s="165"/>
      <c r="K8" s="54" t="s">
        <v>203</v>
      </c>
      <c r="L8" s="55" t="s">
        <v>32</v>
      </c>
      <c r="M8" s="165"/>
      <c r="N8" s="224" t="s">
        <v>322</v>
      </c>
      <c r="O8" s="54" t="s">
        <v>85</v>
      </c>
      <c r="Q8" s="8" t="s">
        <v>132</v>
      </c>
      <c r="R8" s="8" t="s">
        <v>132</v>
      </c>
      <c r="S8" s="8" t="s">
        <v>496</v>
      </c>
    </row>
    <row r="9" spans="1:25" s="335" customFormat="1" ht="15" customHeight="1">
      <c r="A9" s="9" t="s">
        <v>623</v>
      </c>
      <c r="B9" s="187" t="s">
        <v>624</v>
      </c>
      <c r="C9" s="3" t="s">
        <v>625</v>
      </c>
      <c r="D9" s="3" t="s">
        <v>626</v>
      </c>
      <c r="E9" s="3"/>
      <c r="F9" s="332" t="s">
        <v>519</v>
      </c>
      <c r="G9" s="332" t="s">
        <v>520</v>
      </c>
      <c r="H9" s="323" t="s">
        <v>521</v>
      </c>
      <c r="I9" s="188" t="s">
        <v>242</v>
      </c>
      <c r="J9" s="333"/>
      <c r="K9" s="334" t="s">
        <v>522</v>
      </c>
      <c r="L9" s="323" t="s">
        <v>521</v>
      </c>
      <c r="M9" s="333"/>
      <c r="N9" s="334" t="s">
        <v>522</v>
      </c>
      <c r="O9" s="323" t="s">
        <v>86</v>
      </c>
      <c r="Q9" s="9" t="s">
        <v>523</v>
      </c>
      <c r="R9" s="9" t="s">
        <v>524</v>
      </c>
      <c r="S9" s="9" t="s">
        <v>610</v>
      </c>
      <c r="T9" s="3"/>
      <c r="U9" s="3"/>
      <c r="V9" s="3"/>
      <c r="W9" s="3"/>
      <c r="X9" s="3"/>
      <c r="Y9" s="3"/>
    </row>
    <row r="10" spans="1:25" ht="15" customHeight="1">
      <c r="A10" s="1">
        <v>2</v>
      </c>
      <c r="B10" s="330" t="s">
        <v>621</v>
      </c>
      <c r="C10" s="1" t="s">
        <v>40</v>
      </c>
      <c r="D10" s="1" t="s">
        <v>41</v>
      </c>
      <c r="E10" s="1"/>
      <c r="F10" s="267">
        <v>6948.3876391959402</v>
      </c>
      <c r="G10" s="267">
        <v>6948.3876391959402</v>
      </c>
      <c r="H10" s="316">
        <v>52.01</v>
      </c>
      <c r="I10" s="267">
        <v>361385.64111458085</v>
      </c>
      <c r="J10" s="319"/>
      <c r="K10" s="319"/>
      <c r="L10" s="319"/>
      <c r="M10" s="319"/>
      <c r="N10" s="316">
        <v>52.01</v>
      </c>
      <c r="O10" s="318">
        <v>361385.64111458085</v>
      </c>
      <c r="P10" s="319"/>
      <c r="Q10" s="398">
        <f>G10/G$38</f>
        <v>5.2528978884164031E-2</v>
      </c>
      <c r="R10" s="398">
        <f>O10/O$38</f>
        <v>8.2925605327174405E-3</v>
      </c>
      <c r="S10" s="166">
        <f>Q10*(Q10-R10)</f>
        <v>2.3236938854941844E-3</v>
      </c>
    </row>
    <row r="11" spans="1:25" ht="15" customHeight="1">
      <c r="A11" s="1">
        <v>2</v>
      </c>
      <c r="B11" s="330" t="s">
        <v>621</v>
      </c>
      <c r="C11" s="1" t="s">
        <v>73</v>
      </c>
      <c r="D11" s="1" t="s">
        <v>74</v>
      </c>
      <c r="E11" s="1"/>
      <c r="F11" s="267">
        <v>415.55032600872619</v>
      </c>
      <c r="G11" s="267">
        <v>415.55032600872619</v>
      </c>
      <c r="H11" s="316">
        <v>48.550000000000004</v>
      </c>
      <c r="I11" s="267">
        <v>42927.273341208624</v>
      </c>
      <c r="J11" s="319"/>
      <c r="K11" s="316">
        <v>10.09337733766484</v>
      </c>
      <c r="L11" s="267">
        <v>8924.4318827991592</v>
      </c>
      <c r="M11" s="319"/>
      <c r="N11" s="316">
        <v>58.643377337664845</v>
      </c>
      <c r="O11" s="318">
        <v>51851.705224007783</v>
      </c>
      <c r="P11" s="319"/>
      <c r="Q11" s="398">
        <f>(G11/G$38)+Q10</f>
        <v>5.567048961063608E-2</v>
      </c>
      <c r="R11" s="398">
        <f>(O11/O$38)+R10</f>
        <v>9.4823792620077254E-3</v>
      </c>
      <c r="S11" s="166">
        <f>(Q11-Q10)*(Q11-R11+Q10-R10)</f>
        <v>2.8406962684746507E-4</v>
      </c>
    </row>
    <row r="12" spans="1:25" ht="15" customHeight="1">
      <c r="A12" s="1">
        <v>2</v>
      </c>
      <c r="B12" s="331" t="s">
        <v>622</v>
      </c>
      <c r="C12" s="1" t="s">
        <v>73</v>
      </c>
      <c r="D12" s="1" t="s">
        <v>74</v>
      </c>
      <c r="E12" s="1"/>
      <c r="F12" s="267">
        <v>235.94180362566135</v>
      </c>
      <c r="G12" s="267">
        <v>235.94180362566135</v>
      </c>
      <c r="H12" s="316">
        <v>59.940000000000005</v>
      </c>
      <c r="I12" s="267">
        <v>14142.351709322142</v>
      </c>
      <c r="J12" s="319"/>
      <c r="K12" s="316">
        <v>8.5109865816269039</v>
      </c>
      <c r="L12" s="267">
        <v>2008.0975247028537</v>
      </c>
      <c r="M12" s="319"/>
      <c r="N12" s="316">
        <v>68.450986581626907</v>
      </c>
      <c r="O12" s="318">
        <v>16150.449234024996</v>
      </c>
      <c r="P12" s="319"/>
      <c r="Q12" s="398">
        <f t="shared" ref="Q12:Q35" si="0">(G12/G$38)+Q11</f>
        <v>5.74541814056405E-2</v>
      </c>
      <c r="R12" s="398">
        <f t="shared" ref="R12:R35" si="1">(O12/O$38)+R11</f>
        <v>9.8529766589897181E-3</v>
      </c>
      <c r="S12" s="166">
        <f t="shared" ref="S12:S35" si="2">(Q12-Q11)*(Q12-R12+Q11-R11)</f>
        <v>1.6729123179453365E-4</v>
      </c>
    </row>
    <row r="13" spans="1:25" ht="15" customHeight="1">
      <c r="A13" s="1">
        <v>2</v>
      </c>
      <c r="B13" s="331" t="s">
        <v>622</v>
      </c>
      <c r="C13" s="1" t="s">
        <v>40</v>
      </c>
      <c r="D13" s="1" t="s">
        <v>41</v>
      </c>
      <c r="E13" s="1"/>
      <c r="F13" s="267">
        <v>672.59682139033032</v>
      </c>
      <c r="G13" s="267">
        <v>672.59682139033032</v>
      </c>
      <c r="H13" s="316">
        <v>78.581000000000003</v>
      </c>
      <c r="I13" s="267">
        <v>52853.330821673546</v>
      </c>
      <c r="J13" s="319"/>
      <c r="K13" s="316">
        <v>0</v>
      </c>
      <c r="L13" s="267"/>
      <c r="M13" s="319"/>
      <c r="N13" s="316">
        <v>78.581000000000003</v>
      </c>
      <c r="O13" s="318">
        <v>52853.330821673546</v>
      </c>
      <c r="P13" s="319"/>
      <c r="Q13" s="398">
        <f t="shared" si="0"/>
        <v>6.2538932870723832E-2</v>
      </c>
      <c r="R13" s="398">
        <f t="shared" si="1"/>
        <v>1.1065779259122645E-2</v>
      </c>
      <c r="S13" s="166">
        <f t="shared" si="2"/>
        <v>5.0376848881431274E-4</v>
      </c>
    </row>
    <row r="14" spans="1:25" ht="15" customHeight="1">
      <c r="A14" s="1">
        <v>2</v>
      </c>
      <c r="B14" s="330" t="s">
        <v>621</v>
      </c>
      <c r="C14" s="1" t="s">
        <v>151</v>
      </c>
      <c r="D14" s="1" t="s">
        <v>152</v>
      </c>
      <c r="E14" s="1"/>
      <c r="F14" s="267">
        <v>32433.40982316939</v>
      </c>
      <c r="G14" s="267">
        <v>32433.40982316939</v>
      </c>
      <c r="H14" s="316">
        <v>104.4330788124533</v>
      </c>
      <c r="I14" s="267">
        <v>3387120.844219646</v>
      </c>
      <c r="J14" s="319"/>
      <c r="K14" s="316">
        <v>11.88973680215428</v>
      </c>
      <c r="L14" s="267">
        <v>385624.70639388921</v>
      </c>
      <c r="M14" s="319"/>
      <c r="N14" s="316">
        <v>116.32281561460758</v>
      </c>
      <c r="O14" s="318">
        <v>3772745.5506135351</v>
      </c>
      <c r="P14" s="319"/>
      <c r="Q14" s="398">
        <f t="shared" si="0"/>
        <v>0.30773162910605545</v>
      </c>
      <c r="R14" s="398">
        <f t="shared" si="1"/>
        <v>9.7637345181089324E-2</v>
      </c>
      <c r="S14" s="166">
        <f t="shared" si="2"/>
        <v>6.4134425256957631E-2</v>
      </c>
    </row>
    <row r="15" spans="1:25" ht="15" customHeight="1">
      <c r="A15" s="1">
        <v>2</v>
      </c>
      <c r="B15" s="330" t="s">
        <v>621</v>
      </c>
      <c r="C15" s="1" t="s">
        <v>42</v>
      </c>
      <c r="D15" s="1" t="s">
        <v>39</v>
      </c>
      <c r="E15" s="1"/>
      <c r="F15" s="133">
        <v>16242.581609038461</v>
      </c>
      <c r="G15" s="133">
        <v>6316.5595146260684</v>
      </c>
      <c r="H15" s="417">
        <f>I15/G15</f>
        <v>123.61340571428573</v>
      </c>
      <c r="I15" s="133">
        <v>780811.43399990397</v>
      </c>
      <c r="J15" s="319"/>
      <c r="K15" s="319"/>
      <c r="L15" s="319"/>
      <c r="M15" s="319"/>
      <c r="N15" s="297">
        <f>H15</f>
        <v>123.61340571428573</v>
      </c>
      <c r="O15" s="418">
        <f>I15</f>
        <v>780811.43399990397</v>
      </c>
      <c r="P15" s="319"/>
      <c r="Q15" s="398">
        <f t="shared" si="0"/>
        <v>0.35548406299340174</v>
      </c>
      <c r="R15" s="398">
        <f t="shared" si="1"/>
        <v>0.1155542885912155</v>
      </c>
      <c r="S15" s="166">
        <f t="shared" si="2"/>
        <v>2.1489744092982613E-2</v>
      </c>
    </row>
    <row r="16" spans="1:25" ht="15" customHeight="1">
      <c r="A16" s="1">
        <v>2</v>
      </c>
      <c r="B16" s="331" t="s">
        <v>622</v>
      </c>
      <c r="C16" s="1" t="s">
        <v>151</v>
      </c>
      <c r="D16" s="1" t="s">
        <v>152</v>
      </c>
      <c r="E16" s="1"/>
      <c r="F16" s="267">
        <v>1139.8754213249404</v>
      </c>
      <c r="G16" s="267">
        <v>1139.8754213249404</v>
      </c>
      <c r="H16" s="316">
        <v>157.16200000000001</v>
      </c>
      <c r="I16" s="267">
        <v>179145.10096627029</v>
      </c>
      <c r="J16" s="319"/>
      <c r="K16" s="316">
        <v>1.7042720512331457</v>
      </c>
      <c r="L16" s="267">
        <v>1942.6578224517023</v>
      </c>
      <c r="M16" s="319"/>
      <c r="N16" s="316">
        <v>158.86627205123315</v>
      </c>
      <c r="O16" s="318">
        <v>181087.75878872199</v>
      </c>
      <c r="P16" s="319"/>
      <c r="Q16" s="398">
        <f t="shared" si="0"/>
        <v>0.36410138474436327</v>
      </c>
      <c r="R16" s="398">
        <f t="shared" si="1"/>
        <v>0.11970963133493422</v>
      </c>
      <c r="S16" s="166">
        <f t="shared" si="2"/>
        <v>4.1735544360699504E-3</v>
      </c>
    </row>
    <row r="17" spans="1:22" ht="15" customHeight="1">
      <c r="A17" s="1">
        <v>2</v>
      </c>
      <c r="B17" s="331" t="s">
        <v>622</v>
      </c>
      <c r="C17" s="1" t="s">
        <v>153</v>
      </c>
      <c r="D17" s="1" t="s">
        <v>154</v>
      </c>
      <c r="E17" s="1"/>
      <c r="F17" s="267">
        <v>230.56324860782343</v>
      </c>
      <c r="G17" s="267">
        <v>230.56324860782343</v>
      </c>
      <c r="H17" s="316">
        <v>157.16199999999998</v>
      </c>
      <c r="I17" s="267">
        <v>36235.781277702743</v>
      </c>
      <c r="J17" s="319"/>
      <c r="K17" s="316">
        <v>46.577391234428333</v>
      </c>
      <c r="L17" s="267">
        <v>10739.034634687356</v>
      </c>
      <c r="M17" s="319"/>
      <c r="N17" s="316">
        <v>203.73939123442833</v>
      </c>
      <c r="O17" s="318">
        <v>46974.815912390099</v>
      </c>
      <c r="P17" s="319"/>
      <c r="Q17" s="398">
        <f t="shared" si="0"/>
        <v>0.36584441530720418</v>
      </c>
      <c r="R17" s="398">
        <f t="shared" si="1"/>
        <v>0.12078754218735584</v>
      </c>
      <c r="S17" s="166">
        <f t="shared" si="2"/>
        <v>8.5312391498104125E-4</v>
      </c>
    </row>
    <row r="18" spans="1:22" ht="15" customHeight="1">
      <c r="A18" s="1">
        <v>2</v>
      </c>
      <c r="B18" s="330" t="s">
        <v>621</v>
      </c>
      <c r="C18" s="1" t="s">
        <v>153</v>
      </c>
      <c r="D18" s="1" t="s">
        <v>154</v>
      </c>
      <c r="E18" s="1"/>
      <c r="F18" s="267">
        <v>2003.1246358252829</v>
      </c>
      <c r="G18" s="267">
        <v>2003.1246358252829</v>
      </c>
      <c r="H18" s="316">
        <v>104.1336143104833</v>
      </c>
      <c r="I18" s="267">
        <v>208592.60824285733</v>
      </c>
      <c r="J18" s="319"/>
      <c r="K18" s="316">
        <v>103.73041865894788</v>
      </c>
      <c r="L18" s="267">
        <v>207784.95710020911</v>
      </c>
      <c r="M18" s="319"/>
      <c r="N18" s="316">
        <v>207.86403296943121</v>
      </c>
      <c r="O18" s="318">
        <v>416377.56534306647</v>
      </c>
      <c r="P18" s="319"/>
      <c r="Q18" s="398">
        <f t="shared" si="0"/>
        <v>0.38098779779554665</v>
      </c>
      <c r="R18" s="398">
        <f t="shared" si="1"/>
        <v>0.13034197870127956</v>
      </c>
      <c r="S18" s="166">
        <f t="shared" si="2"/>
        <v>7.5066154686994494E-3</v>
      </c>
    </row>
    <row r="19" spans="1:22" ht="15" customHeight="1">
      <c r="A19" s="1">
        <v>2</v>
      </c>
      <c r="B19" s="330" t="s">
        <v>621</v>
      </c>
      <c r="C19" s="1" t="s">
        <v>234</v>
      </c>
      <c r="D19" s="1" t="s">
        <v>72</v>
      </c>
      <c r="E19" s="1"/>
      <c r="F19" s="267">
        <v>9869.7256880736968</v>
      </c>
      <c r="G19" s="267">
        <v>7141</v>
      </c>
      <c r="H19" s="316">
        <v>185.90456049852691</v>
      </c>
      <c r="I19" s="267">
        <v>1327544.4665199807</v>
      </c>
      <c r="J19" s="319"/>
      <c r="K19" s="316">
        <v>36.158979790344837</v>
      </c>
      <c r="L19" s="267">
        <v>258211.2746828525</v>
      </c>
      <c r="M19" s="319"/>
      <c r="N19" s="316">
        <v>222.06354028887174</v>
      </c>
      <c r="O19" s="318">
        <v>1585755.7412028331</v>
      </c>
      <c r="P19" s="319"/>
      <c r="Q19" s="398">
        <f t="shared" si="0"/>
        <v>0.43497290307318232</v>
      </c>
      <c r="R19" s="398">
        <f t="shared" si="1"/>
        <v>0.16672963216053632</v>
      </c>
      <c r="S19" s="166">
        <f t="shared" si="2"/>
        <v>2.8012282151439766E-2</v>
      </c>
      <c r="U19" s="57">
        <f>(0.4-Q18)/(Q19-Q18)</f>
        <v>0.352174958383003</v>
      </c>
      <c r="V19" s="57">
        <f>100*(R18+(U19*(R19-R18)))</f>
        <v>14.315679904394846</v>
      </c>
    </row>
    <row r="20" spans="1:22" ht="15" customHeight="1">
      <c r="A20" s="1">
        <v>2</v>
      </c>
      <c r="B20" s="330" t="s">
        <v>621</v>
      </c>
      <c r="C20" s="1" t="s">
        <v>239</v>
      </c>
      <c r="D20" s="1" t="s">
        <v>240</v>
      </c>
      <c r="E20" s="1"/>
      <c r="F20" s="267">
        <v>24209.23052125737</v>
      </c>
      <c r="G20" s="267">
        <v>17516</v>
      </c>
      <c r="H20" s="316">
        <v>206.16256049852689</v>
      </c>
      <c r="I20" s="267">
        <v>3611143.4096921971</v>
      </c>
      <c r="J20" s="319"/>
      <c r="K20" s="316">
        <v>67.431750379005322</v>
      </c>
      <c r="L20" s="267">
        <v>1181134.5396386571</v>
      </c>
      <c r="M20" s="319"/>
      <c r="N20" s="316">
        <v>273.59431087753222</v>
      </c>
      <c r="O20" s="318">
        <v>4792277.9493308542</v>
      </c>
      <c r="P20" s="319"/>
      <c r="Q20" s="398">
        <f t="shared" si="0"/>
        <v>0.56739176654371404</v>
      </c>
      <c r="R20" s="398">
        <f t="shared" si="1"/>
        <v>0.27669596857021417</v>
      </c>
      <c r="S20" s="166">
        <f t="shared" si="2"/>
        <v>7.4014076251180685E-2</v>
      </c>
      <c r="U20"/>
      <c r="V20" s="57">
        <f>100-V19</f>
        <v>85.684320095605159</v>
      </c>
    </row>
    <row r="21" spans="1:22" ht="15" customHeight="1">
      <c r="A21" s="1">
        <v>2</v>
      </c>
      <c r="B21" s="330" t="s">
        <v>621</v>
      </c>
      <c r="C21" s="1" t="s">
        <v>117</v>
      </c>
      <c r="D21" s="1" t="s">
        <v>70</v>
      </c>
      <c r="E21" s="1"/>
      <c r="F21" s="267">
        <v>16320.388830191041</v>
      </c>
      <c r="G21" s="267">
        <v>8522.9731000000011</v>
      </c>
      <c r="H21" s="316">
        <v>198.99997394101834</v>
      </c>
      <c r="I21" s="267">
        <v>1696071.4248000004</v>
      </c>
      <c r="J21" s="319"/>
      <c r="K21" s="316">
        <v>82.955466521489171</v>
      </c>
      <c r="L21" s="267">
        <v>707027.20966060285</v>
      </c>
      <c r="M21" s="319"/>
      <c r="N21" s="316">
        <v>281.95544046250751</v>
      </c>
      <c r="O21" s="318">
        <v>2403098.6344606034</v>
      </c>
      <c r="P21" s="319"/>
      <c r="Q21" s="398">
        <f t="shared" si="0"/>
        <v>0.6318244230458786</v>
      </c>
      <c r="R21" s="398">
        <f t="shared" si="1"/>
        <v>0.33183883708843748</v>
      </c>
      <c r="S21" s="166">
        <f t="shared" si="2"/>
        <v>3.8059170713045515E-2</v>
      </c>
      <c r="U21" s="57">
        <f>(SUM(O10:O18)+(U19*O19))/(SUM(G10:G18)+(U19*G19))</f>
        <v>117.90959556914693</v>
      </c>
      <c r="V21" s="57"/>
    </row>
    <row r="22" spans="1:22" ht="15" customHeight="1">
      <c r="A22" s="1">
        <v>2</v>
      </c>
      <c r="B22" s="331" t="s">
        <v>622</v>
      </c>
      <c r="C22" s="1" t="s">
        <v>42</v>
      </c>
      <c r="D22" s="1" t="s">
        <v>39</v>
      </c>
      <c r="E22" s="1"/>
      <c r="F22" s="267">
        <v>2537.0550000000003</v>
      </c>
      <c r="G22" s="362">
        <v>986.63250000000005</v>
      </c>
      <c r="H22" s="297">
        <f>I22/G22</f>
        <v>279.77170731428572</v>
      </c>
      <c r="I22" s="267">
        <v>276031.859016762</v>
      </c>
      <c r="J22" s="319"/>
      <c r="K22" s="316">
        <v>0</v>
      </c>
      <c r="L22" s="267"/>
      <c r="M22" s="319"/>
      <c r="N22" s="297">
        <f>H22</f>
        <v>279.77170731428572</v>
      </c>
      <c r="O22" s="318">
        <f>I22</f>
        <v>276031.859016762</v>
      </c>
      <c r="P22" s="319"/>
      <c r="Q22" s="398">
        <f t="shared" si="0"/>
        <v>0.6392832466536138</v>
      </c>
      <c r="R22" s="398">
        <f t="shared" si="1"/>
        <v>0.33817282117478714</v>
      </c>
      <c r="S22" s="166">
        <f t="shared" si="2"/>
        <v>4.4834691206163011E-3</v>
      </c>
    </row>
    <row r="23" spans="1:22" ht="15" customHeight="1">
      <c r="A23" s="1">
        <v>2</v>
      </c>
      <c r="B23" s="330" t="s">
        <v>621</v>
      </c>
      <c r="C23" s="1" t="s">
        <v>91</v>
      </c>
      <c r="D23" s="1" t="s">
        <v>288</v>
      </c>
      <c r="E23" s="1"/>
      <c r="F23" s="267">
        <v>14348.354370055587</v>
      </c>
      <c r="G23" s="267">
        <v>10381.402867192013</v>
      </c>
      <c r="H23" s="316">
        <v>272.30256049852687</v>
      </c>
      <c r="I23" s="267">
        <v>2826882.5823031338</v>
      </c>
      <c r="J23" s="319"/>
      <c r="K23" s="316">
        <v>68.174401027573197</v>
      </c>
      <c r="L23" s="267">
        <v>707745.92229674652</v>
      </c>
      <c r="M23" s="319"/>
      <c r="N23" s="316">
        <v>340.47696152610013</v>
      </c>
      <c r="O23" s="318">
        <v>3534628.5045998804</v>
      </c>
      <c r="P23" s="319"/>
      <c r="Q23" s="398">
        <f t="shared" si="0"/>
        <v>0.71776540975610781</v>
      </c>
      <c r="R23" s="398">
        <f t="shared" si="1"/>
        <v>0.41928041788134707</v>
      </c>
      <c r="S23" s="166">
        <f t="shared" si="2"/>
        <v>4.7057545340252208E-2</v>
      </c>
    </row>
    <row r="24" spans="1:22" ht="15" customHeight="1">
      <c r="A24" s="1">
        <v>2</v>
      </c>
      <c r="B24" s="331" t="s">
        <v>622</v>
      </c>
      <c r="C24" s="1" t="s">
        <v>234</v>
      </c>
      <c r="D24" s="1" t="s">
        <v>72</v>
      </c>
      <c r="E24" s="1"/>
      <c r="F24" s="267">
        <v>1261.8585121287699</v>
      </c>
      <c r="G24" s="267">
        <v>860</v>
      </c>
      <c r="H24" s="316">
        <v>318.9130542745657</v>
      </c>
      <c r="I24" s="267">
        <v>274265.22667612648</v>
      </c>
      <c r="J24" s="319"/>
      <c r="K24" s="316">
        <v>45.283028455730417</v>
      </c>
      <c r="L24" s="267">
        <v>38943.404471928159</v>
      </c>
      <c r="M24" s="319"/>
      <c r="N24" s="316">
        <v>364.19608273029604</v>
      </c>
      <c r="O24" s="318">
        <v>313208.63114805461</v>
      </c>
      <c r="P24" s="319"/>
      <c r="Q24" s="398">
        <f t="shared" si="0"/>
        <v>0.72426690682077199</v>
      </c>
      <c r="R24" s="398">
        <f t="shared" si="1"/>
        <v>0.42646748133288392</v>
      </c>
      <c r="S24" s="166">
        <f t="shared" si="2"/>
        <v>3.8767413891882554E-3</v>
      </c>
    </row>
    <row r="25" spans="1:22" ht="15" customHeight="1">
      <c r="A25" s="1">
        <v>2</v>
      </c>
      <c r="B25" s="331" t="s">
        <v>622</v>
      </c>
      <c r="C25" s="1" t="s">
        <v>92</v>
      </c>
      <c r="D25" s="1" t="s">
        <v>155</v>
      </c>
      <c r="E25" s="1"/>
      <c r="F25" s="267">
        <v>373.68641911311346</v>
      </c>
      <c r="G25" s="267">
        <v>254.68015419186904</v>
      </c>
      <c r="H25" s="316">
        <v>366.64021629799782</v>
      </c>
      <c r="I25" s="267">
        <v>93375.986819714308</v>
      </c>
      <c r="J25" s="319"/>
      <c r="K25" s="316">
        <v>22.614155001121127</v>
      </c>
      <c r="L25" s="267">
        <v>5759.3764826043544</v>
      </c>
      <c r="M25" s="319"/>
      <c r="N25" s="316">
        <v>389.25437129911893</v>
      </c>
      <c r="O25" s="318">
        <v>99135.363302318656</v>
      </c>
      <c r="P25" s="319"/>
      <c r="Q25" s="398">
        <f t="shared" si="0"/>
        <v>0.72619225830322154</v>
      </c>
      <c r="R25" s="398">
        <f t="shared" si="1"/>
        <v>0.42874229778265194</v>
      </c>
      <c r="S25" s="166">
        <f t="shared" si="2"/>
        <v>1.1460642877785649E-3</v>
      </c>
    </row>
    <row r="26" spans="1:22" ht="15" customHeight="1">
      <c r="A26" s="1">
        <v>2</v>
      </c>
      <c r="B26" s="330" t="s">
        <v>621</v>
      </c>
      <c r="C26" s="1" t="s">
        <v>160</v>
      </c>
      <c r="D26" s="1" t="s">
        <v>238</v>
      </c>
      <c r="E26" s="1"/>
      <c r="F26" s="267">
        <v>8776.5916607623876</v>
      </c>
      <c r="G26" s="267">
        <v>6350.08945843726</v>
      </c>
      <c r="H26" s="316">
        <v>252.00469689817132</v>
      </c>
      <c r="I26" s="267">
        <v>1600252.3692497546</v>
      </c>
      <c r="J26" s="319"/>
      <c r="K26" s="316">
        <v>206.22650252835862</v>
      </c>
      <c r="L26" s="267">
        <v>1309556.739755715</v>
      </c>
      <c r="M26" s="319"/>
      <c r="N26" s="316">
        <v>458.23119942653</v>
      </c>
      <c r="O26" s="318">
        <v>2909809.1090054698</v>
      </c>
      <c r="P26" s="319"/>
      <c r="Q26" s="398">
        <f t="shared" si="0"/>
        <v>0.77419817455250595</v>
      </c>
      <c r="R26" s="398">
        <f t="shared" si="1"/>
        <v>0.49551243314458759</v>
      </c>
      <c r="S26" s="166">
        <f t="shared" si="2"/>
        <v>2.7657922255001677E-2</v>
      </c>
    </row>
    <row r="27" spans="1:22" ht="15" customHeight="1">
      <c r="A27" s="1">
        <v>2</v>
      </c>
      <c r="B27" s="330" t="s">
        <v>621</v>
      </c>
      <c r="C27" s="1" t="s">
        <v>116</v>
      </c>
      <c r="D27" s="1" t="s">
        <v>47</v>
      </c>
      <c r="E27" s="1"/>
      <c r="F27" s="267">
        <v>16320.388830191041</v>
      </c>
      <c r="G27" s="267">
        <v>8522.9731000000011</v>
      </c>
      <c r="H27" s="316">
        <v>198.99997394101834</v>
      </c>
      <c r="I27" s="267">
        <v>1696071.4248000004</v>
      </c>
      <c r="J27" s="319"/>
      <c r="K27" s="316">
        <v>302.61441022892041</v>
      </c>
      <c r="L27" s="267">
        <v>2579174.4780534538</v>
      </c>
      <c r="M27" s="319"/>
      <c r="N27" s="316">
        <v>501.61438416993877</v>
      </c>
      <c r="O27" s="318">
        <v>4275245.9028534545</v>
      </c>
      <c r="P27" s="319"/>
      <c r="Q27" s="398">
        <f t="shared" si="0"/>
        <v>0.83863083105467051</v>
      </c>
      <c r="R27" s="398">
        <f t="shared" si="1"/>
        <v>0.59361465804849256</v>
      </c>
      <c r="S27" s="166">
        <f t="shared" si="2"/>
        <v>3.3743505560969451E-2</v>
      </c>
      <c r="U27" s="57">
        <f>(0.8-Q26)/(Q27-Q26)</f>
        <v>0.40044640168805246</v>
      </c>
      <c r="V27" s="57">
        <f>100*(R26+(U27*(R27-R26)))</f>
        <v>53.479711610494839</v>
      </c>
    </row>
    <row r="28" spans="1:22" ht="15" customHeight="1">
      <c r="A28" s="1">
        <v>2</v>
      </c>
      <c r="B28" s="331" t="s">
        <v>622</v>
      </c>
      <c r="C28" s="1" t="s">
        <v>239</v>
      </c>
      <c r="D28" s="1" t="s">
        <v>240</v>
      </c>
      <c r="E28" s="1"/>
      <c r="F28" s="267">
        <v>2221.457892282509</v>
      </c>
      <c r="G28" s="267">
        <v>1514</v>
      </c>
      <c r="H28" s="316">
        <v>375.02305427456565</v>
      </c>
      <c r="I28" s="267">
        <v>567784.90417169244</v>
      </c>
      <c r="J28" s="319"/>
      <c r="K28" s="316">
        <v>140.20260245953304</v>
      </c>
      <c r="L28" s="267">
        <v>212266.74012373303</v>
      </c>
      <c r="M28" s="319"/>
      <c r="N28" s="316">
        <v>515.22565673409872</v>
      </c>
      <c r="O28" s="318">
        <v>780051.6442954255</v>
      </c>
      <c r="P28" s="319"/>
      <c r="Q28" s="398">
        <f t="shared" si="0"/>
        <v>0.85007648984060247</v>
      </c>
      <c r="R28" s="398">
        <f t="shared" si="1"/>
        <v>0.61151416689177462</v>
      </c>
      <c r="S28" s="166">
        <f t="shared" si="2"/>
        <v>5.5348744609151719E-3</v>
      </c>
      <c r="U28"/>
      <c r="V28" s="57">
        <f>100-V27</f>
        <v>46.520288389505161</v>
      </c>
    </row>
    <row r="29" spans="1:22" ht="15" customHeight="1">
      <c r="A29" s="1">
        <v>2</v>
      </c>
      <c r="B29" s="330" t="s">
        <v>621</v>
      </c>
      <c r="C29" s="1" t="s">
        <v>528</v>
      </c>
      <c r="D29" s="1" t="s">
        <v>620</v>
      </c>
      <c r="E29" s="1"/>
      <c r="F29" s="267">
        <v>3472.8274754779186</v>
      </c>
      <c r="G29" s="267">
        <v>10725.923050589983</v>
      </c>
      <c r="H29" s="316">
        <v>400.71584086964612</v>
      </c>
      <c r="I29" s="267">
        <v>4298047.2743202848</v>
      </c>
      <c r="J29" s="319"/>
      <c r="K29" s="316">
        <v>152.65733536142895</v>
      </c>
      <c r="L29" s="267">
        <v>1637390.8321947961</v>
      </c>
      <c r="M29" s="319"/>
      <c r="N29" s="316">
        <v>553.37317623107504</v>
      </c>
      <c r="O29" s="318">
        <v>5935438.1065150807</v>
      </c>
      <c r="P29" s="319"/>
      <c r="Q29" s="398">
        <f t="shared" si="0"/>
        <v>0.93116318429318889</v>
      </c>
      <c r="R29" s="398">
        <f t="shared" si="1"/>
        <v>0.74771210667341759</v>
      </c>
      <c r="S29" s="166">
        <f t="shared" si="2"/>
        <v>3.4219671666802953E-2</v>
      </c>
      <c r="U29" s="57">
        <f>(SUM(O28:O$35)+((1-U27)*O27))/(SUM(G28:G$35)+((1-U27)*G27))</f>
        <v>766.31894921428795</v>
      </c>
      <c r="V29" s="57"/>
    </row>
    <row r="30" spans="1:22" ht="15" customHeight="1">
      <c r="A30" s="1">
        <v>2</v>
      </c>
      <c r="B30" s="331" t="s">
        <v>622</v>
      </c>
      <c r="C30" s="1" t="s">
        <v>91</v>
      </c>
      <c r="D30" s="1" t="s">
        <v>288</v>
      </c>
      <c r="E30" s="1"/>
      <c r="F30" s="267">
        <v>1006.4232633190234</v>
      </c>
      <c r="G30" s="267">
        <v>685.91208771434367</v>
      </c>
      <c r="H30" s="316">
        <v>466.35438760789901</v>
      </c>
      <c r="I30" s="267">
        <v>319878.11161887826</v>
      </c>
      <c r="J30" s="319"/>
      <c r="K30" s="316">
        <v>140.20260245953304</v>
      </c>
      <c r="L30" s="267">
        <v>96166.659756002482</v>
      </c>
      <c r="M30" s="319"/>
      <c r="N30" s="316">
        <v>606.55699006743203</v>
      </c>
      <c r="O30" s="318">
        <v>416044.77137488074</v>
      </c>
      <c r="P30" s="319"/>
      <c r="Q30" s="398">
        <f t="shared" si="0"/>
        <v>0.93634859757794753</v>
      </c>
      <c r="R30" s="398">
        <f t="shared" si="1"/>
        <v>0.75725890670760299</v>
      </c>
      <c r="S30" s="166">
        <f t="shared" si="2"/>
        <v>1.8799237171952508E-3</v>
      </c>
    </row>
    <row r="31" spans="1:22" ht="15" customHeight="1">
      <c r="A31" s="1">
        <v>2</v>
      </c>
      <c r="B31" s="330" t="s">
        <v>621</v>
      </c>
      <c r="C31" s="1" t="s">
        <v>44</v>
      </c>
      <c r="D31" s="1" t="s">
        <v>84</v>
      </c>
      <c r="E31" s="1"/>
      <c r="F31" s="267">
        <v>7344.1749735859676</v>
      </c>
      <c r="G31" s="267">
        <v>3835.3378949999997</v>
      </c>
      <c r="H31" s="316">
        <v>198.99997394101834</v>
      </c>
      <c r="I31" s="267">
        <v>763232.14116000012</v>
      </c>
      <c r="J31" s="319"/>
      <c r="K31" s="316">
        <v>741.61826212961171</v>
      </c>
      <c r="L31" s="267">
        <v>2844356.6243697428</v>
      </c>
      <c r="M31" s="319"/>
      <c r="N31" s="316">
        <v>940.61823607063002</v>
      </c>
      <c r="O31" s="318">
        <v>3607588.7655297429</v>
      </c>
      <c r="P31" s="319"/>
      <c r="Q31" s="398">
        <f t="shared" si="0"/>
        <v>0.96534329300392152</v>
      </c>
      <c r="R31" s="398">
        <f t="shared" si="1"/>
        <v>0.84004069107247092</v>
      </c>
      <c r="S31" s="166">
        <f t="shared" si="2"/>
        <v>8.82576181980195E-3</v>
      </c>
    </row>
    <row r="32" spans="1:22" ht="15" customHeight="1">
      <c r="A32" s="1">
        <v>2</v>
      </c>
      <c r="B32" s="331" t="s">
        <v>622</v>
      </c>
      <c r="C32" s="1" t="s">
        <v>160</v>
      </c>
      <c r="D32" s="1" t="s">
        <v>238</v>
      </c>
      <c r="E32" s="1"/>
      <c r="F32" s="267">
        <v>3502.1229010025154</v>
      </c>
      <c r="G32" s="267">
        <v>2386.8172746096379</v>
      </c>
      <c r="H32" s="316">
        <v>1076.2512523700495</v>
      </c>
      <c r="I32" s="267">
        <v>2568815.0809770911</v>
      </c>
      <c r="J32" s="319"/>
      <c r="K32" s="316">
        <v>206.52926226447693</v>
      </c>
      <c r="L32" s="267">
        <v>492947.61088523798</v>
      </c>
      <c r="M32" s="319"/>
      <c r="N32" s="316">
        <v>1282.7805146345263</v>
      </c>
      <c r="O32" s="318">
        <v>3061762.6918623289</v>
      </c>
      <c r="P32" s="319"/>
      <c r="Q32" s="398">
        <f t="shared" si="0"/>
        <v>0.98338734591643806</v>
      </c>
      <c r="R32" s="398">
        <f t="shared" si="1"/>
        <v>0.91029763980119516</v>
      </c>
      <c r="S32" s="166">
        <f t="shared" si="2"/>
        <v>3.5798013038308204E-3</v>
      </c>
    </row>
    <row r="33" spans="1:22" ht="15" customHeight="1">
      <c r="A33" s="1">
        <v>2</v>
      </c>
      <c r="B33" s="330" t="s">
        <v>621</v>
      </c>
      <c r="C33" s="1" t="s">
        <v>43</v>
      </c>
      <c r="D33" s="1" t="s">
        <v>52</v>
      </c>
      <c r="E33" s="1"/>
      <c r="F33" s="267">
        <v>816.01944150955205</v>
      </c>
      <c r="G33" s="267">
        <v>426.14865500000002</v>
      </c>
      <c r="H33" s="316">
        <v>198.99997394101834</v>
      </c>
      <c r="I33" s="267">
        <v>84803.571240000019</v>
      </c>
      <c r="J33" s="319"/>
      <c r="K33" s="316">
        <v>1324.9121246495508</v>
      </c>
      <c r="L33" s="267">
        <v>564609.51991259842</v>
      </c>
      <c r="M33" s="319"/>
      <c r="N33" s="316">
        <v>1523.912098590569</v>
      </c>
      <c r="O33" s="318">
        <v>649413.09115259838</v>
      </c>
      <c r="P33" s="319"/>
      <c r="Q33" s="398">
        <f t="shared" si="0"/>
        <v>0.98660897874154629</v>
      </c>
      <c r="R33" s="398">
        <f t="shared" si="1"/>
        <v>0.92519944207677207</v>
      </c>
      <c r="S33" s="166">
        <f t="shared" si="2"/>
        <v>4.3330717549230517E-4</v>
      </c>
    </row>
    <row r="34" spans="1:22" ht="15" customHeight="1">
      <c r="A34" s="1">
        <v>2</v>
      </c>
      <c r="B34" s="330" t="s">
        <v>621</v>
      </c>
      <c r="C34" s="1" t="s">
        <v>159</v>
      </c>
      <c r="D34" s="1" t="s">
        <v>367</v>
      </c>
      <c r="E34" s="1"/>
      <c r="F34" s="267">
        <v>1869.9441842122601</v>
      </c>
      <c r="G34" s="267">
        <v>1352.9526393621529</v>
      </c>
      <c r="H34" s="316">
        <v>1442.8097033556694</v>
      </c>
      <c r="I34" s="267">
        <v>1952053.1962523779</v>
      </c>
      <c r="J34" s="319"/>
      <c r="K34" s="316">
        <v>212.5758040755575</v>
      </c>
      <c r="L34" s="267">
        <v>287604.99518855743</v>
      </c>
      <c r="M34" s="319"/>
      <c r="N34" s="316">
        <v>1655.3855074312269</v>
      </c>
      <c r="O34" s="318">
        <v>2239658.1914409352</v>
      </c>
      <c r="P34" s="319"/>
      <c r="Q34" s="398">
        <f t="shared" si="0"/>
        <v>0.99683713875717728</v>
      </c>
      <c r="R34" s="398">
        <f t="shared" si="1"/>
        <v>0.97659191319941918</v>
      </c>
      <c r="S34" s="166">
        <f t="shared" si="2"/>
        <v>8.3517797405035924E-4</v>
      </c>
      <c r="U34" s="57">
        <f>(0.99-Q33)/(Q34-Q33)</f>
        <v>0.33153775979955691</v>
      </c>
      <c r="V34" s="57">
        <f>100*(R33+(U34*(R34-R33)))</f>
        <v>94.223798682333793</v>
      </c>
    </row>
    <row r="35" spans="1:22" ht="15" customHeight="1">
      <c r="A35" s="1">
        <v>2</v>
      </c>
      <c r="B35" s="331" t="s">
        <v>622</v>
      </c>
      <c r="C35" s="1" t="s">
        <v>159</v>
      </c>
      <c r="D35" s="1" t="s">
        <v>367</v>
      </c>
      <c r="E35" s="1"/>
      <c r="F35" s="325">
        <v>613.87144256812326</v>
      </c>
      <c r="G35" s="325">
        <v>418.37451309653005</v>
      </c>
      <c r="H35" s="338">
        <v>2128.0367685602801</v>
      </c>
      <c r="I35" s="339">
        <v>890316.34689792036</v>
      </c>
      <c r="K35" s="338">
        <v>310.2396773121431</v>
      </c>
      <c r="L35" s="339">
        <v>129796.37393869247</v>
      </c>
      <c r="N35" s="337">
        <v>2438.2764458724232</v>
      </c>
      <c r="O35" s="336">
        <v>1020112.7208366129</v>
      </c>
      <c r="P35" s="1"/>
      <c r="Q35" s="342">
        <f t="shared" si="0"/>
        <v>0.99999999999999978</v>
      </c>
      <c r="R35" s="342">
        <f t="shared" si="1"/>
        <v>1.0000000000886562</v>
      </c>
      <c r="S35" s="166">
        <f t="shared" si="2"/>
        <v>6.4032838988424686E-5</v>
      </c>
      <c r="U35"/>
      <c r="V35" s="57">
        <f>100-V34</f>
        <v>5.7762013176662066</v>
      </c>
    </row>
    <row r="36" spans="1:22" ht="15" customHeight="1">
      <c r="A36" s="1"/>
      <c r="B36" s="90"/>
      <c r="C36" s="1"/>
      <c r="D36" s="1"/>
      <c r="E36" s="1"/>
      <c r="F36" s="1"/>
      <c r="P36" s="1"/>
      <c r="S36" s="397">
        <f>SUM(S10:S35)</f>
        <v>0.41485961442919089</v>
      </c>
      <c r="U36" s="57">
        <f>(SUM(O35:O$35)+((1-U34)*O34))/(SUM(G35:G$35)+((1-U34)*G34))</f>
        <v>1903.0030480864934</v>
      </c>
      <c r="V36" s="57"/>
    </row>
    <row r="37" spans="1:22" ht="15" customHeight="1" thickBot="1">
      <c r="A37" s="1"/>
      <c r="B37" s="90"/>
      <c r="C37" s="1"/>
      <c r="D37" s="1"/>
      <c r="E37" s="8" t="s">
        <v>390</v>
      </c>
      <c r="F37" s="325">
        <v>156875.15268540391</v>
      </c>
      <c r="G37" s="339">
        <v>125442.6710748668</v>
      </c>
      <c r="H37" s="340">
        <v>230.00897702483061</v>
      </c>
      <c r="I37" s="339">
        <v>28852940.44919242</v>
      </c>
      <c r="K37" s="340">
        <v>108.97182011225105</v>
      </c>
      <c r="L37" s="339">
        <v>13669716.186770663</v>
      </c>
      <c r="N37" s="340">
        <v>338.98079713708159</v>
      </c>
      <c r="O37" s="341">
        <v>42522656.635963075</v>
      </c>
      <c r="P37" s="164"/>
      <c r="Q37" s="84"/>
      <c r="R37" s="84"/>
      <c r="S37" s="84"/>
      <c r="T37" s="84"/>
    </row>
    <row r="38" spans="1:22" ht="15" customHeight="1" thickBot="1">
      <c r="A38" s="1"/>
      <c r="B38" s="90"/>
      <c r="C38" s="1"/>
      <c r="D38" s="1"/>
      <c r="E38" s="8" t="s">
        <v>391</v>
      </c>
      <c r="F38" s="362">
        <f>SUM(F10:F35)</f>
        <v>175186.15273391744</v>
      </c>
      <c r="G38" s="362">
        <f>SUM(G10:G35)</f>
        <v>132277.22652896796</v>
      </c>
      <c r="H38" s="297">
        <f>I38/G38</f>
        <v>226.11438512175795</v>
      </c>
      <c r="I38" s="362">
        <f>SUM(I10:I35)</f>
        <v>29909783.742209081</v>
      </c>
      <c r="K38" s="340">
        <v>103.54248340234398</v>
      </c>
      <c r="L38" s="339">
        <v>13669716.186770663</v>
      </c>
      <c r="N38" s="297">
        <v>331.27273423128719</v>
      </c>
      <c r="O38" s="347">
        <v>43579499.925116152</v>
      </c>
      <c r="P38" s="164"/>
      <c r="Q38" s="1" t="s">
        <v>497</v>
      </c>
      <c r="R38" s="167">
        <v>0.41515964538089534</v>
      </c>
      <c r="S38" s="8" t="s">
        <v>529</v>
      </c>
      <c r="T38" s="84"/>
    </row>
    <row r="39" spans="1:22" ht="15" customHeight="1">
      <c r="A39" s="1"/>
      <c r="B39" s="90"/>
      <c r="C39" s="1"/>
      <c r="D39" s="1"/>
      <c r="E39" s="1"/>
      <c r="F39" s="1"/>
      <c r="G39" s="1"/>
      <c r="P39" s="84"/>
      <c r="R39" s="8" t="s">
        <v>393</v>
      </c>
      <c r="S39" s="8" t="s">
        <v>502</v>
      </c>
      <c r="T39" s="84"/>
    </row>
    <row r="40" spans="1:22" ht="15" customHeight="1">
      <c r="A40" s="1"/>
      <c r="B40" s="90"/>
      <c r="C40" s="1" t="s">
        <v>148</v>
      </c>
      <c r="D40" s="1"/>
      <c r="E40" s="1"/>
      <c r="F40" s="325"/>
      <c r="P40" s="84"/>
      <c r="Q40" s="1" t="s">
        <v>347</v>
      </c>
      <c r="R40" s="175">
        <v>5.7663566656124061</v>
      </c>
      <c r="S40" s="229">
        <v>1903.4848226603829</v>
      </c>
      <c r="T40" s="84"/>
    </row>
    <row r="41" spans="1:22" ht="15" customHeight="1">
      <c r="A41" s="1"/>
      <c r="B41" s="90"/>
      <c r="C41" s="1" t="s">
        <v>149</v>
      </c>
      <c r="D41" s="1"/>
      <c r="E41" s="1"/>
      <c r="F41" s="325"/>
      <c r="L41" s="215"/>
      <c r="N41" s="214"/>
      <c r="O41" s="215"/>
      <c r="P41" s="84"/>
      <c r="Q41" s="1" t="s">
        <v>348</v>
      </c>
      <c r="R41" s="184">
        <v>20.348513381312401</v>
      </c>
      <c r="S41" s="230">
        <v>1343.4162550510987</v>
      </c>
      <c r="T41" s="84"/>
    </row>
    <row r="42" spans="1:22" ht="15" customHeight="1">
      <c r="A42" s="1"/>
      <c r="B42" s="90"/>
      <c r="C42" s="1" t="s">
        <v>150</v>
      </c>
      <c r="D42" s="1"/>
      <c r="E42" s="1"/>
      <c r="F42" s="325"/>
      <c r="L42" s="215"/>
      <c r="M42" s="215"/>
      <c r="N42" s="215"/>
      <c r="O42" s="215"/>
      <c r="P42" s="84"/>
      <c r="Q42" s="1" t="s">
        <v>427</v>
      </c>
      <c r="R42" s="184">
        <v>30.430060702186083</v>
      </c>
      <c r="S42" s="231">
        <v>923.8671129901179</v>
      </c>
      <c r="T42" s="84"/>
    </row>
    <row r="43" spans="1:22" ht="15" customHeight="1">
      <c r="A43" s="1"/>
      <c r="B43" s="90"/>
      <c r="C43" s="1" t="s">
        <v>80</v>
      </c>
      <c r="D43" s="1"/>
      <c r="E43" s="1"/>
      <c r="F43" s="325"/>
      <c r="L43" s="215"/>
      <c r="M43" s="215"/>
      <c r="N43" s="215"/>
      <c r="O43" s="215"/>
      <c r="P43" s="84"/>
      <c r="Q43" s="1" t="s">
        <v>425</v>
      </c>
      <c r="R43" s="184">
        <v>46.460451019462269</v>
      </c>
      <c r="S43" s="231">
        <v>766.83396898507829</v>
      </c>
      <c r="T43" s="84"/>
    </row>
    <row r="44" spans="1:22" ht="15" customHeight="1">
      <c r="A44" s="1"/>
      <c r="B44" s="90"/>
      <c r="C44" s="1" t="s">
        <v>233</v>
      </c>
      <c r="D44" s="1"/>
      <c r="E44" s="1"/>
      <c r="F44" s="325"/>
      <c r="L44" s="215"/>
      <c r="M44" s="215"/>
      <c r="N44" s="215"/>
      <c r="O44" s="215"/>
      <c r="P44" s="84"/>
      <c r="Q44" s="1" t="s">
        <v>339</v>
      </c>
      <c r="R44" s="184">
        <v>39.194310549242225</v>
      </c>
      <c r="S44" s="343">
        <v>539.80806213475989</v>
      </c>
      <c r="T44" s="84"/>
    </row>
    <row r="45" spans="1:22" ht="15" customHeight="1">
      <c r="A45" s="1"/>
      <c r="B45" s="90"/>
      <c r="C45" s="1" t="s">
        <v>569</v>
      </c>
      <c r="D45" s="1"/>
      <c r="E45" s="1"/>
      <c r="F45" s="325"/>
      <c r="L45" s="215"/>
      <c r="M45" s="215"/>
      <c r="N45" s="215"/>
      <c r="O45" s="215"/>
      <c r="P45" s="84"/>
      <c r="Q45" s="1" t="s">
        <v>340</v>
      </c>
      <c r="R45" s="184">
        <v>14.345238431295504</v>
      </c>
      <c r="S45" s="232">
        <v>118.38473240067712</v>
      </c>
      <c r="T45" s="84"/>
    </row>
    <row r="46" spans="1:22" ht="15" customHeight="1">
      <c r="A46" s="1"/>
      <c r="B46" s="90"/>
      <c r="C46" s="1" t="s">
        <v>15</v>
      </c>
      <c r="D46" s="1"/>
      <c r="E46" s="1"/>
      <c r="F46" s="325"/>
      <c r="L46" s="215"/>
      <c r="M46" s="215"/>
      <c r="N46" s="215"/>
      <c r="O46" s="215"/>
      <c r="P46" s="84"/>
      <c r="R46" s="184"/>
      <c r="S46" s="184"/>
      <c r="T46" s="84"/>
    </row>
    <row r="47" spans="1:22" ht="15" customHeight="1">
      <c r="A47" s="1"/>
      <c r="B47" s="90"/>
      <c r="C47" s="1" t="s">
        <v>24</v>
      </c>
      <c r="D47" s="1"/>
      <c r="E47" s="1"/>
      <c r="F47" s="325"/>
      <c r="L47" s="215"/>
      <c r="M47" s="215"/>
      <c r="N47" s="215"/>
      <c r="O47" s="215"/>
      <c r="P47" s="84"/>
      <c r="Q47" s="1" t="s">
        <v>503</v>
      </c>
      <c r="R47" s="226">
        <v>321.93612569064879</v>
      </c>
      <c r="S47" s="184"/>
      <c r="T47" s="84"/>
    </row>
    <row r="48" spans="1:22" ht="15" customHeight="1">
      <c r="A48" s="1"/>
      <c r="B48" s="90"/>
      <c r="C48" s="1" t="s">
        <v>125</v>
      </c>
      <c r="D48" s="1"/>
      <c r="E48" s="1"/>
      <c r="F48" s="325"/>
      <c r="L48" s="215"/>
      <c r="M48" s="215"/>
      <c r="N48" s="215"/>
      <c r="O48" s="215"/>
      <c r="P48" s="84"/>
      <c r="Q48" s="1" t="s">
        <v>504</v>
      </c>
      <c r="R48" s="228">
        <v>307.72402349624673</v>
      </c>
      <c r="S48" s="184"/>
      <c r="T48" s="84"/>
    </row>
    <row r="49" spans="1:20" ht="15" customHeight="1">
      <c r="A49" s="1"/>
      <c r="B49" s="90"/>
      <c r="C49" s="1" t="s">
        <v>467</v>
      </c>
      <c r="D49" s="1"/>
      <c r="E49" s="1"/>
      <c r="F49" s="325"/>
      <c r="L49" s="215"/>
      <c r="M49" s="215"/>
      <c r="N49" s="215"/>
      <c r="O49" s="215"/>
      <c r="P49" s="84"/>
      <c r="Q49" s="84"/>
      <c r="R49" s="84"/>
      <c r="S49" s="84"/>
      <c r="T49" s="84"/>
    </row>
    <row r="50" spans="1:20" ht="15" customHeight="1">
      <c r="A50" s="1"/>
      <c r="B50" s="90"/>
      <c r="C50" s="1" t="s">
        <v>22</v>
      </c>
      <c r="D50" s="1"/>
      <c r="E50" s="1"/>
      <c r="F50" s="325"/>
      <c r="L50" s="215"/>
      <c r="M50" s="215"/>
      <c r="N50" s="215"/>
      <c r="O50" s="215"/>
    </row>
    <row r="51" spans="1:20" ht="15" customHeight="1">
      <c r="A51" s="1"/>
      <c r="B51" s="90"/>
      <c r="C51" s="1" t="s">
        <v>23</v>
      </c>
      <c r="D51" s="1"/>
      <c r="E51" s="1"/>
      <c r="F51" s="325"/>
      <c r="L51" s="215"/>
      <c r="M51" s="215"/>
      <c r="N51" s="215"/>
      <c r="O51" s="215"/>
    </row>
    <row r="52" spans="1:20" ht="15" customHeight="1">
      <c r="A52" s="1"/>
      <c r="B52" s="90"/>
      <c r="C52" s="1"/>
      <c r="D52" s="1"/>
      <c r="E52" s="1"/>
      <c r="F52" s="325"/>
      <c r="L52" s="215"/>
      <c r="M52" s="215"/>
      <c r="N52" s="215"/>
      <c r="O52" s="215"/>
    </row>
    <row r="53" spans="1:20" ht="15" customHeight="1">
      <c r="A53" s="1"/>
      <c r="B53" s="90"/>
      <c r="H53" s="214"/>
      <c r="I53" s="215"/>
      <c r="K53" s="214"/>
      <c r="L53" s="215"/>
      <c r="M53" s="215"/>
      <c r="N53" s="215"/>
      <c r="O53" s="215"/>
    </row>
    <row r="54" spans="1:20">
      <c r="H54" s="215"/>
      <c r="I54" s="215"/>
      <c r="J54" s="215"/>
      <c r="K54" s="215"/>
      <c r="L54" s="215"/>
      <c r="M54" s="215"/>
      <c r="N54" s="215"/>
      <c r="O54" s="215"/>
    </row>
    <row r="55" spans="1:20">
      <c r="H55" s="215"/>
      <c r="I55" s="215"/>
      <c r="J55" s="215"/>
      <c r="K55" s="215"/>
      <c r="L55" s="215"/>
      <c r="M55" s="215"/>
      <c r="N55" s="215"/>
      <c r="O55" s="215"/>
    </row>
    <row r="56" spans="1:20">
      <c r="H56" s="215"/>
      <c r="I56" s="215"/>
      <c r="J56" s="215"/>
      <c r="K56" s="215"/>
      <c r="L56" s="215"/>
      <c r="M56" s="215"/>
      <c r="N56" s="215"/>
      <c r="O56" s="215"/>
    </row>
    <row r="57" spans="1:20">
      <c r="H57" s="215"/>
      <c r="I57" s="215"/>
      <c r="J57" s="215"/>
      <c r="K57" s="215"/>
      <c r="L57" s="215"/>
      <c r="M57" s="215"/>
      <c r="N57" s="215"/>
      <c r="O57" s="215"/>
    </row>
    <row r="58" spans="1:20">
      <c r="H58" s="215"/>
      <c r="I58" s="215"/>
      <c r="J58" s="215"/>
      <c r="K58" s="215"/>
      <c r="L58" s="215"/>
      <c r="M58" s="215"/>
      <c r="N58" s="215"/>
      <c r="O58" s="215"/>
    </row>
    <row r="59" spans="1:20">
      <c r="H59" s="215"/>
      <c r="I59" s="215"/>
      <c r="J59" s="215"/>
      <c r="K59" s="215"/>
      <c r="L59" s="215"/>
      <c r="M59" s="215"/>
      <c r="N59" s="215"/>
      <c r="O59" s="215"/>
    </row>
    <row r="60" spans="1:20">
      <c r="H60" s="215"/>
      <c r="I60" s="215"/>
      <c r="J60" s="215"/>
      <c r="K60" s="215"/>
      <c r="L60" s="215"/>
      <c r="M60" s="215"/>
      <c r="N60" s="215"/>
      <c r="O60" s="215"/>
    </row>
    <row r="61" spans="1:20">
      <c r="H61" s="215"/>
      <c r="I61" s="215"/>
      <c r="J61" s="215"/>
      <c r="K61" s="215"/>
    </row>
    <row r="62" spans="1:20">
      <c r="H62" s="215"/>
      <c r="I62" s="215"/>
      <c r="J62" s="215"/>
      <c r="K62" s="215"/>
    </row>
    <row r="63" spans="1:20">
      <c r="H63" s="215"/>
      <c r="I63" s="215"/>
      <c r="J63" s="215"/>
      <c r="K63" s="215"/>
    </row>
    <row r="64" spans="1:20">
      <c r="H64" s="215"/>
      <c r="I64" s="215"/>
      <c r="J64" s="215"/>
      <c r="K64" s="215"/>
    </row>
    <row r="65" spans="8:11">
      <c r="H65" s="215"/>
      <c r="I65" s="215"/>
      <c r="J65" s="215"/>
      <c r="K65" s="215"/>
    </row>
    <row r="66" spans="8:11">
      <c r="H66" s="215"/>
      <c r="I66" s="215"/>
      <c r="J66" s="215"/>
      <c r="K66" s="215"/>
    </row>
    <row r="67" spans="8:11">
      <c r="H67" s="215"/>
      <c r="I67" s="215"/>
      <c r="J67" s="215"/>
      <c r="K67" s="215"/>
    </row>
    <row r="68" spans="8:11">
      <c r="H68" s="215"/>
      <c r="I68" s="215"/>
      <c r="J68" s="215"/>
      <c r="K68" s="215"/>
    </row>
    <row r="69" spans="8:11">
      <c r="H69" s="215"/>
      <c r="I69" s="215"/>
      <c r="J69" s="215"/>
      <c r="K69" s="215"/>
    </row>
    <row r="70" spans="8:11">
      <c r="H70" s="215"/>
      <c r="I70" s="215"/>
      <c r="J70" s="215"/>
      <c r="K70" s="215"/>
    </row>
    <row r="71" spans="8:11">
      <c r="H71" s="215"/>
      <c r="I71" s="215"/>
      <c r="J71" s="215"/>
      <c r="K71" s="215"/>
    </row>
    <row r="72" spans="8:11">
      <c r="H72" s="215"/>
      <c r="I72" s="215"/>
      <c r="J72" s="215"/>
      <c r="K72" s="215"/>
    </row>
  </sheetData>
  <sheetCalcPr fullCalcOnLoad="1"/>
  <phoneticPr fontId="20" type="noConversion"/>
  <pageMargins left="0.75" right="0.75" top="1" bottom="1" header="0.5" footer="0.5"/>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AB51"/>
  <sheetViews>
    <sheetView zoomScale="125" workbookViewId="0">
      <pane ySplit="4560" topLeftCell="A8" activePane="bottomLeft"/>
      <selection activeCell="U9" sqref="U9"/>
      <selection pane="bottomLeft" activeCell="I39" sqref="I39"/>
    </sheetView>
  </sheetViews>
  <sheetFormatPr baseColWidth="10" defaultRowHeight="15"/>
  <cols>
    <col min="1" max="1" width="8.5" style="1" customWidth="1"/>
    <col min="2" max="2" width="10.83203125" style="90"/>
    <col min="3" max="4" width="10.83203125" style="1"/>
    <col min="5" max="5" width="17.33203125" style="1" customWidth="1"/>
    <col min="6" max="6" width="12" style="233" customWidth="1"/>
    <col min="7" max="7" width="11.33203125" style="233" customWidth="1"/>
    <col min="8" max="8" width="10.83203125" style="1"/>
    <col min="9" max="9" width="13.83203125" style="141" customWidth="1"/>
    <col min="10" max="10" width="4.6640625" style="1" customWidth="1"/>
    <col min="11" max="11" width="10.83203125" style="145"/>
    <col min="12" max="12" width="12.83203125" style="141" customWidth="1"/>
    <col min="13" max="13" width="6.5" style="1" customWidth="1"/>
    <col min="14" max="14" width="10.83203125" style="145"/>
    <col min="15" max="15" width="12.33203125" style="1" bestFit="1" customWidth="1"/>
    <col min="16" max="16" width="4.83203125" style="1" customWidth="1"/>
    <col min="17" max="17" width="12.83203125" style="1" customWidth="1"/>
    <col min="18" max="18" width="14.6640625" style="1" customWidth="1"/>
    <col min="19" max="19" width="12.6640625" style="1" customWidth="1"/>
    <col min="20" max="20" width="7" style="1" customWidth="1"/>
    <col min="21" max="22" width="9.5" style="1" customWidth="1"/>
    <col min="23" max="23" width="10.83203125" style="1"/>
    <col min="24" max="24" width="13.1640625" style="1" customWidth="1"/>
    <col min="25" max="25" width="12" style="1" customWidth="1"/>
    <col min="26" max="26" width="4.83203125" style="1" customWidth="1"/>
    <col min="27" max="27" width="10.83203125" style="1"/>
    <col min="28" max="28" width="14" style="1" customWidth="1"/>
    <col min="29" max="16384" width="10.83203125" style="1"/>
  </cols>
  <sheetData>
    <row r="1" spans="1:27" ht="17">
      <c r="A1" t="s">
        <v>55</v>
      </c>
      <c r="C1" s="39" t="s">
        <v>406</v>
      </c>
      <c r="H1" s="145"/>
      <c r="Q1" s="8" t="s">
        <v>172</v>
      </c>
      <c r="R1" s="8" t="s">
        <v>172</v>
      </c>
      <c r="S1" s="8" t="s">
        <v>172</v>
      </c>
      <c r="T1" s="8"/>
      <c r="U1" s="8"/>
      <c r="V1" s="8"/>
      <c r="W1" s="8" t="s">
        <v>172</v>
      </c>
      <c r="X1" s="8" t="s">
        <v>172</v>
      </c>
      <c r="Y1" s="8" t="s">
        <v>172</v>
      </c>
    </row>
    <row r="2" spans="1:27">
      <c r="A2" s="41">
        <v>40575</v>
      </c>
      <c r="C2" s="1" t="s">
        <v>394</v>
      </c>
      <c r="H2" s="145"/>
      <c r="S2" s="166" t="s">
        <v>169</v>
      </c>
    </row>
    <row r="3" spans="1:27">
      <c r="B3" s="239"/>
      <c r="C3" s="1" t="s">
        <v>126</v>
      </c>
      <c r="H3" s="145"/>
      <c r="S3" s="166" t="s">
        <v>363</v>
      </c>
    </row>
    <row r="4" spans="1:27">
      <c r="B4" s="239"/>
      <c r="C4" s="57"/>
      <c r="F4" s="1"/>
      <c r="G4" s="1"/>
      <c r="I4" s="1"/>
      <c r="J4" s="57"/>
      <c r="K4" s="57"/>
      <c r="L4" s="57"/>
      <c r="M4" s="57"/>
      <c r="N4" s="57"/>
      <c r="O4" s="57"/>
      <c r="P4" s="57"/>
      <c r="Q4" s="297" t="s">
        <v>614</v>
      </c>
      <c r="S4" s="166"/>
      <c r="W4" s="297" t="s">
        <v>614</v>
      </c>
    </row>
    <row r="5" spans="1:27">
      <c r="B5" s="239"/>
      <c r="C5" s="48"/>
      <c r="D5" s="48"/>
      <c r="E5" s="48"/>
      <c r="F5" s="48"/>
      <c r="G5" s="48"/>
      <c r="H5" s="48"/>
      <c r="I5" s="48"/>
      <c r="K5" s="88" t="s">
        <v>130</v>
      </c>
      <c r="N5" s="88"/>
      <c r="Q5" s="297" t="s">
        <v>445</v>
      </c>
      <c r="W5" s="297" t="s">
        <v>445</v>
      </c>
    </row>
    <row r="6" spans="1:27">
      <c r="B6" s="1"/>
      <c r="F6" s="234" t="s">
        <v>407</v>
      </c>
      <c r="G6" s="234" t="s">
        <v>225</v>
      </c>
      <c r="H6" s="190" t="s">
        <v>204</v>
      </c>
      <c r="K6" s="88" t="s">
        <v>205</v>
      </c>
      <c r="N6" s="88" t="s">
        <v>206</v>
      </c>
      <c r="Q6" s="62" t="s">
        <v>582</v>
      </c>
      <c r="W6" s="62" t="s">
        <v>470</v>
      </c>
    </row>
    <row r="7" spans="1:27">
      <c r="F7" s="235" t="s">
        <v>408</v>
      </c>
      <c r="G7" s="236" t="s">
        <v>409</v>
      </c>
      <c r="H7" s="46" t="s">
        <v>284</v>
      </c>
      <c r="I7" s="45" t="s">
        <v>505</v>
      </c>
      <c r="K7" s="158" t="s">
        <v>284</v>
      </c>
      <c r="L7" s="45" t="s">
        <v>420</v>
      </c>
      <c r="N7" s="158" t="s">
        <v>284</v>
      </c>
      <c r="O7" s="50" t="s">
        <v>303</v>
      </c>
      <c r="P7" s="44"/>
      <c r="Q7" s="1" t="s">
        <v>281</v>
      </c>
      <c r="W7" s="1" t="s">
        <v>281</v>
      </c>
    </row>
    <row r="8" spans="1:27">
      <c r="B8" s="61" t="s">
        <v>115</v>
      </c>
      <c r="C8" s="1" t="s">
        <v>285</v>
      </c>
      <c r="F8" s="235" t="s">
        <v>212</v>
      </c>
      <c r="G8" s="235" t="s">
        <v>30</v>
      </c>
      <c r="H8" s="159" t="s">
        <v>46</v>
      </c>
      <c r="I8" s="122" t="s">
        <v>168</v>
      </c>
      <c r="K8" s="159" t="s">
        <v>46</v>
      </c>
      <c r="L8" s="122" t="s">
        <v>280</v>
      </c>
      <c r="N8" s="159" t="s">
        <v>46</v>
      </c>
      <c r="O8" s="122" t="s">
        <v>247</v>
      </c>
      <c r="P8" s="122"/>
      <c r="Q8" s="8" t="s">
        <v>132</v>
      </c>
      <c r="R8" s="8" t="s">
        <v>132</v>
      </c>
      <c r="S8" s="8" t="s">
        <v>209</v>
      </c>
      <c r="W8" s="8" t="s">
        <v>132</v>
      </c>
      <c r="X8" s="8" t="s">
        <v>132</v>
      </c>
      <c r="Y8" s="8" t="s">
        <v>209</v>
      </c>
    </row>
    <row r="9" spans="1:27" s="3" customFormat="1">
      <c r="A9" s="9" t="s">
        <v>488</v>
      </c>
      <c r="B9" s="187" t="s">
        <v>489</v>
      </c>
      <c r="C9" s="3" t="s">
        <v>490</v>
      </c>
      <c r="D9" s="3" t="s">
        <v>498</v>
      </c>
      <c r="F9" s="191" t="s">
        <v>499</v>
      </c>
      <c r="G9" s="191" t="s">
        <v>499</v>
      </c>
      <c r="H9" s="188" t="s">
        <v>499</v>
      </c>
      <c r="I9" s="323" t="s">
        <v>499</v>
      </c>
      <c r="K9" s="188" t="s">
        <v>499</v>
      </c>
      <c r="L9" s="323" t="s">
        <v>499</v>
      </c>
      <c r="N9" s="188" t="s">
        <v>499</v>
      </c>
      <c r="O9" s="191" t="s">
        <v>499</v>
      </c>
      <c r="P9" s="191"/>
      <c r="Q9" s="9" t="s">
        <v>500</v>
      </c>
      <c r="R9" s="9" t="s">
        <v>501</v>
      </c>
      <c r="S9" s="9" t="s">
        <v>527</v>
      </c>
      <c r="U9" s="414" t="s">
        <v>5</v>
      </c>
      <c r="W9" s="9" t="s">
        <v>500</v>
      </c>
      <c r="X9" s="9" t="s">
        <v>501</v>
      </c>
      <c r="Y9" s="9" t="s">
        <v>527</v>
      </c>
      <c r="AA9" s="414" t="s">
        <v>5</v>
      </c>
    </row>
    <row r="10" spans="1:27">
      <c r="A10" s="1">
        <v>3</v>
      </c>
      <c r="B10" s="162" t="s">
        <v>213</v>
      </c>
      <c r="C10" s="1" t="s">
        <v>73</v>
      </c>
      <c r="D10" s="1" t="s">
        <v>74</v>
      </c>
      <c r="F10" s="233">
        <v>88.064721726642944</v>
      </c>
      <c r="G10" s="309">
        <v>88.064721726642944</v>
      </c>
      <c r="H10" s="145">
        <v>59.94</v>
      </c>
      <c r="I10" s="141">
        <v>5278.5994202949778</v>
      </c>
      <c r="K10" s="313">
        <v>10.696615998175238</v>
      </c>
      <c r="L10" s="312">
        <v>941.99451129605939</v>
      </c>
      <c r="N10" s="311">
        <v>70.63661599817523</v>
      </c>
      <c r="O10" s="310">
        <f t="shared" ref="O10:O19" si="0">I10+L10</f>
        <v>6220.5939315910373</v>
      </c>
      <c r="Q10" s="314">
        <f>G10/G$36</f>
        <v>3.665978755430522E-4</v>
      </c>
      <c r="R10" s="315">
        <f>O10/O$36</f>
        <v>5.6181347331122105E-5</v>
      </c>
      <c r="S10" s="166">
        <f>Q10*(Q10-R10)</f>
        <v>1.1379803977594349E-7</v>
      </c>
      <c r="W10" s="317">
        <v>6.3000852310733679E-4</v>
      </c>
      <c r="X10" s="317">
        <v>6.312393459125844E-5</v>
      </c>
      <c r="Y10" s="317">
        <v>3.5714212238332487E-7</v>
      </c>
    </row>
    <row r="11" spans="1:27">
      <c r="A11" s="1">
        <v>3</v>
      </c>
      <c r="B11" s="163" t="s">
        <v>56</v>
      </c>
      <c r="C11" s="1" t="s">
        <v>42</v>
      </c>
      <c r="D11" s="1" t="s">
        <v>39</v>
      </c>
      <c r="F11" s="362">
        <v>228698.23062868664</v>
      </c>
      <c r="G11" s="362">
        <v>88938.200800044797</v>
      </c>
      <c r="H11" s="297">
        <v>117.10285714285716</v>
      </c>
      <c r="I11" s="347">
        <f>G11*H11</f>
        <v>10414917.42283039</v>
      </c>
      <c r="J11" s="319"/>
      <c r="K11" s="319">
        <v>0</v>
      </c>
      <c r="L11" s="319">
        <v>0</v>
      </c>
      <c r="M11" s="319"/>
      <c r="N11" s="297">
        <v>117.10285714285716</v>
      </c>
      <c r="O11" s="353">
        <f t="shared" si="0"/>
        <v>10414917.42283039</v>
      </c>
      <c r="Q11" s="314">
        <f>(G11/G$36)+Q10</f>
        <v>0.37060061245772602</v>
      </c>
      <c r="R11" s="315">
        <f>(O11/O$36)+R10</f>
        <v>9.4118597186027803E-2</v>
      </c>
      <c r="S11" s="166">
        <f t="shared" ref="S11:S19" si="1">(Q11-Q10)*(Q11-R11+Q10-R10)</f>
        <v>0.10247797323124584</v>
      </c>
      <c r="W11" s="400">
        <v>5.1289847244854414E-2</v>
      </c>
      <c r="X11" s="400">
        <v>9.1991346900590354E-3</v>
      </c>
      <c r="Y11" s="400">
        <v>0</v>
      </c>
    </row>
    <row r="12" spans="1:27">
      <c r="A12" s="1">
        <v>3</v>
      </c>
      <c r="B12" s="163" t="s">
        <v>56</v>
      </c>
      <c r="C12" s="1" t="s">
        <v>73</v>
      </c>
      <c r="D12" s="1" t="s">
        <v>74</v>
      </c>
      <c r="F12" s="233">
        <v>159.4840128206024</v>
      </c>
      <c r="G12" s="309">
        <v>159.4840128206024</v>
      </c>
      <c r="H12" s="290">
        <v>48.55</v>
      </c>
      <c r="I12" s="276">
        <v>7742.9488224402457</v>
      </c>
      <c r="K12" s="313">
        <v>73.033918460853855</v>
      </c>
      <c r="L12" s="312">
        <v>11647.742388149647</v>
      </c>
      <c r="N12" s="311">
        <v>121.58391846085385</v>
      </c>
      <c r="O12" s="353">
        <f t="shared" si="0"/>
        <v>19390.691210589892</v>
      </c>
      <c r="Q12" s="342">
        <f t="shared" ref="Q12:Q33" si="2">(G12/G$36)+Q11</f>
        <v>0.37126451622232992</v>
      </c>
      <c r="R12" s="342">
        <f t="shared" ref="R12:R33" si="3">(O12/O$36)+R11</f>
        <v>9.4293724379648378E-2</v>
      </c>
      <c r="S12" s="166">
        <f t="shared" si="1"/>
        <v>3.6743940217383363E-4</v>
      </c>
      <c r="W12" s="317">
        <v>1.7709453864318181E-3</v>
      </c>
      <c r="X12" s="317">
        <v>2.5989240029040115E-4</v>
      </c>
      <c r="Y12" s="317">
        <v>2.3707955786138029E-6</v>
      </c>
    </row>
    <row r="13" spans="1:27">
      <c r="A13" s="1">
        <v>3</v>
      </c>
      <c r="B13" s="163" t="s">
        <v>56</v>
      </c>
      <c r="C13" s="1" t="s">
        <v>151</v>
      </c>
      <c r="D13" s="1" t="s">
        <v>152</v>
      </c>
      <c r="F13" s="353">
        <v>6921.9195493771931</v>
      </c>
      <c r="G13" s="353">
        <v>6921.9195493771931</v>
      </c>
      <c r="H13" s="396">
        <v>106.84</v>
      </c>
      <c r="I13" s="371">
        <v>739537.88465545932</v>
      </c>
      <c r="K13" s="396">
        <v>20.42587050113076</v>
      </c>
      <c r="L13" s="353">
        <v>141386.23233482393</v>
      </c>
      <c r="N13" s="396">
        <v>127.26587050113076</v>
      </c>
      <c r="O13" s="353">
        <f t="shared" si="0"/>
        <v>880924.11699028325</v>
      </c>
      <c r="Q13" s="342">
        <f t="shared" si="2"/>
        <v>0.40007924420566826</v>
      </c>
      <c r="R13" s="342">
        <f t="shared" si="3"/>
        <v>0.1022497980814942</v>
      </c>
      <c r="S13" s="166">
        <f t="shared" si="1"/>
        <v>1.6562712501773092E-2</v>
      </c>
      <c r="U13" s="57">
        <f>(0.4-Q12)/(Q13-Q12)</f>
        <v>0.99724987146454891</v>
      </c>
      <c r="V13" s="57">
        <f>100*(R12+(U13*(R13-R12)))</f>
        <v>10.222791785617661</v>
      </c>
      <c r="W13" s="342">
        <v>5.1289847244854414E-2</v>
      </c>
      <c r="X13" s="342">
        <v>9.1991346900590354E-3</v>
      </c>
      <c r="Y13" s="342">
        <v>2.1591115486756015E-3</v>
      </c>
    </row>
    <row r="14" spans="1:27">
      <c r="A14" s="1">
        <v>3</v>
      </c>
      <c r="B14" s="163" t="s">
        <v>56</v>
      </c>
      <c r="C14" s="1" t="s">
        <v>118</v>
      </c>
      <c r="D14" s="1" t="s">
        <v>119</v>
      </c>
      <c r="F14" s="233">
        <v>10810</v>
      </c>
      <c r="G14" s="312">
        <v>10810</v>
      </c>
      <c r="H14" s="290">
        <v>153.28962840000003</v>
      </c>
      <c r="I14" s="276">
        <v>1657060.8830040002</v>
      </c>
      <c r="K14" s="1">
        <v>0</v>
      </c>
      <c r="L14" s="1">
        <v>0</v>
      </c>
      <c r="N14" s="311">
        <v>153.28962840000003</v>
      </c>
      <c r="O14" s="353">
        <f t="shared" si="0"/>
        <v>1657060.8830040002</v>
      </c>
      <c r="Q14" s="342">
        <f t="shared" si="2"/>
        <v>0.44507936408251852</v>
      </c>
      <c r="R14" s="342">
        <f t="shared" si="3"/>
        <v>0.11721555762803521</v>
      </c>
      <c r="S14" s="166">
        <f t="shared" si="1"/>
        <v>2.8156271372175933E-2</v>
      </c>
      <c r="U14"/>
      <c r="V14" s="57">
        <f>100-V13</f>
        <v>89.777208214382341</v>
      </c>
      <c r="W14" s="400">
        <v>5.1289847244854414E-2</v>
      </c>
      <c r="X14" s="400">
        <v>9.1991346900590354E-3</v>
      </c>
      <c r="Y14" s="400">
        <v>0</v>
      </c>
    </row>
    <row r="15" spans="1:27">
      <c r="A15" s="1">
        <v>3</v>
      </c>
      <c r="B15" s="163" t="s">
        <v>56</v>
      </c>
      <c r="C15" s="1" t="s">
        <v>120</v>
      </c>
      <c r="D15" s="1" t="s">
        <v>189</v>
      </c>
      <c r="F15" s="233">
        <v>690</v>
      </c>
      <c r="G15" s="312">
        <v>690</v>
      </c>
      <c r="H15" s="290">
        <v>153.28962840000003</v>
      </c>
      <c r="I15" s="276">
        <v>105769.84359600002</v>
      </c>
      <c r="K15" s="1">
        <v>0</v>
      </c>
      <c r="L15" s="1">
        <v>0</v>
      </c>
      <c r="N15" s="311">
        <v>153.28962840000003</v>
      </c>
      <c r="O15" s="353">
        <f t="shared" si="0"/>
        <v>105769.84359600002</v>
      </c>
      <c r="Q15" s="342">
        <f t="shared" si="2"/>
        <v>0.44795171215976431</v>
      </c>
      <c r="R15" s="342">
        <f t="shared" si="3"/>
        <v>0.11817081887568676</v>
      </c>
      <c r="S15" s="166">
        <f t="shared" si="1"/>
        <v>1.8889844888049406E-3</v>
      </c>
      <c r="U15" s="57">
        <f>(SUM(O10:O12)+(U13*O13))/(SUM(G10:G12)+(U13*G13))</f>
        <v>117.79780632705528</v>
      </c>
      <c r="V15" s="57"/>
      <c r="W15" s="400">
        <v>5.1289847244854414E-2</v>
      </c>
      <c r="X15" s="400">
        <v>9.1991346900590354E-3</v>
      </c>
      <c r="Y15" s="400">
        <v>0</v>
      </c>
    </row>
    <row r="16" spans="1:27">
      <c r="A16" s="1">
        <v>3</v>
      </c>
      <c r="B16" s="162" t="s">
        <v>213</v>
      </c>
      <c r="C16" s="1" t="s">
        <v>151</v>
      </c>
      <c r="D16" s="1" t="s">
        <v>152</v>
      </c>
      <c r="F16" s="233">
        <v>563.64255215446599</v>
      </c>
      <c r="G16" s="309">
        <v>563.64255215446599</v>
      </c>
      <c r="H16" s="290">
        <v>179.68</v>
      </c>
      <c r="I16" s="276">
        <v>101275.29377111445</v>
      </c>
      <c r="K16" s="313">
        <v>55.068807800582213</v>
      </c>
      <c r="L16" s="312">
        <v>31039.123372823924</v>
      </c>
      <c r="N16" s="311">
        <v>234.7488078005822</v>
      </c>
      <c r="O16" s="353">
        <f t="shared" si="0"/>
        <v>132314.41714393836</v>
      </c>
      <c r="Q16" s="342">
        <f t="shared" si="2"/>
        <v>0.45029805650894517</v>
      </c>
      <c r="R16" s="342">
        <f t="shared" si="3"/>
        <v>0.119365817666514</v>
      </c>
      <c r="S16" s="166">
        <f t="shared" si="1"/>
        <v>1.5502605239946148E-3</v>
      </c>
      <c r="W16" s="317">
        <v>5.5322104485677037E-2</v>
      </c>
      <c r="X16" s="317">
        <v>1.054180497285279E-2</v>
      </c>
      <c r="Y16" s="317">
        <v>3.5028626742724875E-4</v>
      </c>
    </row>
    <row r="17" spans="1:28">
      <c r="A17" s="1">
        <v>3</v>
      </c>
      <c r="B17" s="163" t="s">
        <v>56</v>
      </c>
      <c r="C17" s="1" t="s">
        <v>153</v>
      </c>
      <c r="D17" s="1" t="s">
        <v>154</v>
      </c>
      <c r="F17" s="353">
        <v>7721.8719526795594</v>
      </c>
      <c r="G17" s="353">
        <v>7721.8719526795594</v>
      </c>
      <c r="H17" s="396">
        <v>106.84</v>
      </c>
      <c r="I17" s="371">
        <v>825004.79942428414</v>
      </c>
      <c r="K17" s="396">
        <v>145.49550280818184</v>
      </c>
      <c r="L17" s="353">
        <v>1123497.6423755095</v>
      </c>
      <c r="N17" s="396">
        <v>252.33550280818184</v>
      </c>
      <c r="O17" s="353">
        <f t="shared" si="0"/>
        <v>1948502.4417997936</v>
      </c>
      <c r="Q17" s="342">
        <f t="shared" si="2"/>
        <v>0.48244284499592649</v>
      </c>
      <c r="R17" s="342">
        <f t="shared" si="3"/>
        <v>0.13696373414557517</v>
      </c>
      <c r="S17" s="166">
        <f t="shared" si="1"/>
        <v>2.1743099766068055E-2</v>
      </c>
      <c r="W17" s="342">
        <v>0.11056380682855532</v>
      </c>
      <c r="X17" s="342">
        <v>3.0314376859026146E-2</v>
      </c>
      <c r="Y17" s="342">
        <v>6.9068551000747609E-3</v>
      </c>
    </row>
    <row r="18" spans="1:28">
      <c r="A18" s="1">
        <v>3</v>
      </c>
      <c r="B18" s="163" t="s">
        <v>56</v>
      </c>
      <c r="C18" s="1" t="s">
        <v>234</v>
      </c>
      <c r="D18" s="1" t="s">
        <v>72</v>
      </c>
      <c r="F18" s="233">
        <v>3308.4409481366288</v>
      </c>
      <c r="G18" s="309">
        <v>2297</v>
      </c>
      <c r="H18" s="290">
        <v>208.74217356929245</v>
      </c>
      <c r="I18" s="276">
        <v>479480.77268866473</v>
      </c>
      <c r="K18" s="313">
        <v>110.09107429635115</v>
      </c>
      <c r="L18" s="312">
        <v>252879.19765871859</v>
      </c>
      <c r="N18" s="311">
        <v>318.83324786564356</v>
      </c>
      <c r="O18" s="353">
        <f t="shared" si="0"/>
        <v>732359.97034738329</v>
      </c>
      <c r="Q18" s="342">
        <f t="shared" si="2"/>
        <v>0.49200485011684464</v>
      </c>
      <c r="R18" s="342">
        <f t="shared" si="3"/>
        <v>0.14357804948555317</v>
      </c>
      <c r="S18" s="166">
        <f t="shared" si="1"/>
        <v>6.6351318790228448E-3</v>
      </c>
      <c r="W18" s="317">
        <v>0.12699637538954517</v>
      </c>
      <c r="X18" s="317">
        <v>3.7746053540361965E-2</v>
      </c>
      <c r="Y18" s="317">
        <v>2.785316292831754E-3</v>
      </c>
    </row>
    <row r="19" spans="1:28">
      <c r="A19" s="1">
        <v>3</v>
      </c>
      <c r="B19" s="163" t="s">
        <v>56</v>
      </c>
      <c r="C19" s="1" t="s">
        <v>239</v>
      </c>
      <c r="D19" s="1" t="s">
        <v>240</v>
      </c>
      <c r="F19" s="233">
        <v>6940.9564340750603</v>
      </c>
      <c r="G19" s="309">
        <v>4819</v>
      </c>
      <c r="H19" s="290">
        <v>282.63217356929243</v>
      </c>
      <c r="I19" s="276">
        <v>1362004.4444304202</v>
      </c>
      <c r="K19" s="313">
        <v>47.710636781370447</v>
      </c>
      <c r="L19" s="312">
        <v>229917.55864942417</v>
      </c>
      <c r="N19" s="311">
        <v>330.34281035066289</v>
      </c>
      <c r="O19" s="353">
        <f t="shared" si="0"/>
        <v>1591922.0030798444</v>
      </c>
      <c r="Q19" s="342">
        <f t="shared" si="2"/>
        <v>0.51206549560126102</v>
      </c>
      <c r="R19" s="342">
        <f t="shared" si="3"/>
        <v>0.15795550668057848</v>
      </c>
      <c r="S19" s="166">
        <f t="shared" si="1"/>
        <v>1.4093341474962192E-2</v>
      </c>
      <c r="W19" s="317">
        <v>0.16147114591432099</v>
      </c>
      <c r="X19" s="317">
        <v>5.3900199189778335E-2</v>
      </c>
      <c r="Y19" s="317">
        <v>6.7853680684744691E-3</v>
      </c>
    </row>
    <row r="20" spans="1:28">
      <c r="A20" s="1">
        <v>3</v>
      </c>
      <c r="B20" s="162" t="s">
        <v>213</v>
      </c>
      <c r="C20" s="1" t="s">
        <v>153</v>
      </c>
      <c r="D20" s="1" t="s">
        <v>154</v>
      </c>
      <c r="F20" s="233">
        <v>193.24887502438833</v>
      </c>
      <c r="G20" s="309">
        <v>193.24887502438833</v>
      </c>
      <c r="H20" s="290">
        <v>179.68</v>
      </c>
      <c r="I20" s="276">
        <v>34722.957864382093</v>
      </c>
      <c r="K20" s="313">
        <v>204.37677509333335</v>
      </c>
      <c r="L20" s="312">
        <v>39495.581867899098</v>
      </c>
      <c r="N20" s="311">
        <v>384.05677509333333</v>
      </c>
      <c r="O20" s="353">
        <f t="shared" ref="O20:O33" si="4">I20+L20</f>
        <v>74218.539732281191</v>
      </c>
      <c r="Q20" s="342">
        <f t="shared" si="2"/>
        <v>0.51286995652098022</v>
      </c>
      <c r="R20" s="342">
        <f t="shared" si="3"/>
        <v>0.15862581205735807</v>
      </c>
      <c r="S20" s="166">
        <f t="shared" ref="S20" si="5">(Q20-Q19)*(Q20-R20+Q19-R19)</f>
        <v>5.6984321762923223E-4</v>
      </c>
      <c r="W20" s="317">
        <v>0.16285363411117446</v>
      </c>
      <c r="X20" s="317">
        <v>5.4653337282224268E-2</v>
      </c>
      <c r="Y20" s="317">
        <v>2.9830119743309814E-4</v>
      </c>
    </row>
    <row r="21" spans="1:28">
      <c r="A21" s="1">
        <v>3</v>
      </c>
      <c r="B21" s="163" t="s">
        <v>56</v>
      </c>
      <c r="C21" s="1" t="s">
        <v>91</v>
      </c>
      <c r="D21" s="1" t="s">
        <v>288</v>
      </c>
      <c r="F21" s="233">
        <v>4254.1032524834773</v>
      </c>
      <c r="G21" s="309">
        <v>2953.5588889558767</v>
      </c>
      <c r="H21" s="290">
        <v>344.71217356929247</v>
      </c>
      <c r="I21" s="276">
        <v>1018127.7043768847</v>
      </c>
      <c r="K21" s="313">
        <v>47.710636781370454</v>
      </c>
      <c r="L21" s="312">
        <v>140916.17536336189</v>
      </c>
      <c r="N21" s="311">
        <v>392.42281035066287</v>
      </c>
      <c r="O21" s="353">
        <f t="shared" si="4"/>
        <v>1159043.8797402466</v>
      </c>
      <c r="Q21" s="342">
        <f t="shared" si="2"/>
        <v>0.52516510028289987</v>
      </c>
      <c r="R21" s="342">
        <f t="shared" si="3"/>
        <v>0.16909372677672366</v>
      </c>
      <c r="S21" s="166">
        <f t="shared" ref="S21:S33" si="6">(Q21-Q20)*(Q21-R21+Q20-R20)</f>
        <v>8.7334314097610895E-3</v>
      </c>
      <c r="W21" s="317">
        <v>0.18398317653245808</v>
      </c>
      <c r="X21" s="317">
        <v>6.6414820326723328E-2</v>
      </c>
      <c r="Y21" s="317">
        <v>4.7703883316924378E-3</v>
      </c>
    </row>
    <row r="22" spans="1:28">
      <c r="A22" s="1">
        <v>3</v>
      </c>
      <c r="B22" s="162" t="s">
        <v>213</v>
      </c>
      <c r="C22" s="1" t="s">
        <v>234</v>
      </c>
      <c r="D22" s="1" t="s">
        <v>72</v>
      </c>
      <c r="F22" s="233">
        <v>271.08913796166109</v>
      </c>
      <c r="G22" s="309">
        <v>138</v>
      </c>
      <c r="H22" s="290">
        <v>361.71299591041128</v>
      </c>
      <c r="I22" s="276">
        <v>49916.393435636754</v>
      </c>
      <c r="K22" s="313">
        <v>64.549633279999995</v>
      </c>
      <c r="L22" s="312">
        <v>8907.8493926399988</v>
      </c>
      <c r="N22" s="311">
        <v>426.26262919041125</v>
      </c>
      <c r="O22" s="353">
        <f t="shared" si="4"/>
        <v>58824.242828276751</v>
      </c>
      <c r="Q22" s="342">
        <f t="shared" si="2"/>
        <v>0.52573956989834902</v>
      </c>
      <c r="R22" s="342">
        <f t="shared" si="3"/>
        <v>0.16962499842926509</v>
      </c>
      <c r="S22" s="166">
        <f t="shared" si="6"/>
        <v>4.0912918593823285E-4</v>
      </c>
      <c r="W22" s="317">
        <v>0.1849704183528397</v>
      </c>
      <c r="X22" s="317">
        <v>6.7011743658724643E-2</v>
      </c>
      <c r="Y22" s="317">
        <v>2.3252213473464662E-4</v>
      </c>
    </row>
    <row r="23" spans="1:28">
      <c r="A23" s="1">
        <v>3</v>
      </c>
      <c r="B23" s="163" t="s">
        <v>56</v>
      </c>
      <c r="C23" s="1" t="s">
        <v>117</v>
      </c>
      <c r="D23" s="1" t="s">
        <v>70</v>
      </c>
      <c r="F23" s="233">
        <v>58337.742317817203</v>
      </c>
      <c r="G23" s="309">
        <v>40503.003137927604</v>
      </c>
      <c r="H23" s="290">
        <v>403.90217358181422</v>
      </c>
      <c r="I23" s="276">
        <v>16359251.004000001</v>
      </c>
      <c r="K23" s="313">
        <v>45.015534614588447</v>
      </c>
      <c r="L23" s="312">
        <v>1823264.3397501644</v>
      </c>
      <c r="N23" s="311">
        <v>448.9177081964026</v>
      </c>
      <c r="O23" s="353">
        <f t="shared" si="4"/>
        <v>18182515.343750164</v>
      </c>
      <c r="Q23" s="342">
        <f t="shared" si="2"/>
        <v>0.69434641509531347</v>
      </c>
      <c r="R23" s="342">
        <f t="shared" si="3"/>
        <v>0.33384054136849239</v>
      </c>
      <c r="S23" s="166">
        <f t="shared" si="6"/>
        <v>0.12082711246812571</v>
      </c>
      <c r="W23" s="317">
        <v>0.47472591508335016</v>
      </c>
      <c r="X23" s="317">
        <v>0.25152015585946741</v>
      </c>
      <c r="Y23" s="317">
        <v>9.8854270016692863E-2</v>
      </c>
      <c r="AA23" s="57">
        <f>(0.4-W22)/(W23-W22)</f>
        <v>0.74210699735974428</v>
      </c>
      <c r="AB23" s="57">
        <f>100*(X22+(AA23*(X23-X22)))</f>
        <v>20.393672742463188</v>
      </c>
    </row>
    <row r="24" spans="1:28">
      <c r="A24" s="1">
        <v>3</v>
      </c>
      <c r="B24" s="163" t="s">
        <v>56</v>
      </c>
      <c r="C24" s="1" t="s">
        <v>187</v>
      </c>
      <c r="D24" s="1" t="s">
        <v>238</v>
      </c>
      <c r="F24" s="278">
        <v>4513.6963882372447</v>
      </c>
      <c r="G24" s="309">
        <v>3133.7904367373903</v>
      </c>
      <c r="H24" s="290">
        <v>419.30514454340482</v>
      </c>
      <c r="I24" s="276">
        <v>1314014.4520449112</v>
      </c>
      <c r="K24" s="313">
        <v>88.589994427229385</v>
      </c>
      <c r="L24" s="312">
        <v>277622.47732667014</v>
      </c>
      <c r="N24" s="311">
        <v>507.89513897063421</v>
      </c>
      <c r="O24" s="353">
        <f t="shared" si="4"/>
        <v>1591636.9293715814</v>
      </c>
      <c r="Q24" s="342">
        <f t="shared" si="2"/>
        <v>0.70739183094379721</v>
      </c>
      <c r="R24" s="342">
        <f t="shared" si="3"/>
        <v>0.34821542391788179</v>
      </c>
      <c r="S24" s="166">
        <f t="shared" si="6"/>
        <v>9.3885546312046687E-3</v>
      </c>
      <c r="W24" s="317">
        <v>0.49714482070261945</v>
      </c>
      <c r="X24" s="317">
        <v>0.26767140870245532</v>
      </c>
      <c r="Y24" s="317">
        <v>1.0148571615480951E-2</v>
      </c>
      <c r="AA24"/>
      <c r="AB24" s="57">
        <f>100-AB23</f>
        <v>79.606327257536805</v>
      </c>
    </row>
    <row r="25" spans="1:28">
      <c r="A25" s="1">
        <v>3</v>
      </c>
      <c r="B25" s="163" t="s">
        <v>56</v>
      </c>
      <c r="C25" s="1" t="s">
        <v>116</v>
      </c>
      <c r="D25" s="1" t="s">
        <v>10</v>
      </c>
      <c r="F25" s="278">
        <v>58337.742317817203</v>
      </c>
      <c r="G25" s="309">
        <v>40503.003137927604</v>
      </c>
      <c r="H25" s="290">
        <v>403.90217358181422</v>
      </c>
      <c r="I25" s="276">
        <v>16359251.004000001</v>
      </c>
      <c r="K25" s="313">
        <v>131.38299928489937</v>
      </c>
      <c r="L25" s="312">
        <v>5321406.032306619</v>
      </c>
      <c r="N25" s="311">
        <v>535.28517286671354</v>
      </c>
      <c r="O25" s="353">
        <f t="shared" si="4"/>
        <v>21680657.03630662</v>
      </c>
      <c r="Q25" s="342">
        <f t="shared" si="2"/>
        <v>0.87599867614076166</v>
      </c>
      <c r="R25" s="342">
        <f t="shared" si="3"/>
        <v>0.54402446349171862</v>
      </c>
      <c r="S25" s="166">
        <f t="shared" si="6"/>
        <v>0.11653272553932176</v>
      </c>
      <c r="U25" s="57">
        <f>(0.8-Q24)/(Q25-Q24)</f>
        <v>0.54925509666003836</v>
      </c>
      <c r="V25" s="57">
        <f>100*(R24+(U25*(R25-R24)))</f>
        <v>45.576453687591886</v>
      </c>
      <c r="W25" s="317">
        <v>0.78690031743312994</v>
      </c>
      <c r="X25" s="317">
        <v>0.48767747109870119</v>
      </c>
      <c r="Y25" s="317">
        <v>0.15319264695330226</v>
      </c>
      <c r="AA25" s="57">
        <f>(SUM(O10:O22)+(AA23*O23))/(SUM(G10:G22)+(AA23*G23))</f>
        <v>206.42481773613537</v>
      </c>
      <c r="AB25" s="57"/>
    </row>
    <row r="26" spans="1:28">
      <c r="A26" s="1">
        <v>3</v>
      </c>
      <c r="B26" s="162" t="s">
        <v>213</v>
      </c>
      <c r="C26" s="1" t="s">
        <v>187</v>
      </c>
      <c r="D26" s="1" t="s">
        <v>238</v>
      </c>
      <c r="F26" s="278">
        <v>1828.8650050995996</v>
      </c>
      <c r="G26" s="309">
        <v>930.99772496026071</v>
      </c>
      <c r="H26" s="290">
        <v>507.27549959361124</v>
      </c>
      <c r="I26" s="276">
        <v>472272.3360497317</v>
      </c>
      <c r="K26" s="313">
        <v>77.529597062715425</v>
      </c>
      <c r="L26" s="312">
        <v>72179.878482473767</v>
      </c>
      <c r="N26" s="311">
        <v>584.80509665632667</v>
      </c>
      <c r="O26" s="353">
        <f t="shared" si="4"/>
        <v>544452.21453220549</v>
      </c>
      <c r="Q26" s="342">
        <f t="shared" si="2"/>
        <v>0.87987425516280482</v>
      </c>
      <c r="R26" s="342">
        <f t="shared" si="3"/>
        <v>0.5489416883268734</v>
      </c>
      <c r="S26" s="166">
        <f t="shared" si="6"/>
        <v>2.5691476081421594E-3</v>
      </c>
      <c r="U26"/>
      <c r="V26" s="57">
        <f>100-V25</f>
        <v>54.423546312408114</v>
      </c>
      <c r="W26" s="317">
        <v>0.79356060648212212</v>
      </c>
      <c r="X26" s="317">
        <v>0.49320234000288415</v>
      </c>
      <c r="Y26" s="317">
        <v>3.9933835196554121E-3</v>
      </c>
    </row>
    <row r="27" spans="1:28">
      <c r="A27" s="1">
        <v>3</v>
      </c>
      <c r="B27" s="162" t="s">
        <v>213</v>
      </c>
      <c r="C27" s="1" t="s">
        <v>239</v>
      </c>
      <c r="D27" s="1" t="s">
        <v>240</v>
      </c>
      <c r="F27" s="233">
        <v>587.35979891693239</v>
      </c>
      <c r="G27" s="309">
        <v>299</v>
      </c>
      <c r="H27" s="290">
        <v>378.52299591041134</v>
      </c>
      <c r="I27" s="276">
        <v>113178.37577721299</v>
      </c>
      <c r="K27" s="313">
        <v>233.50642595360472</v>
      </c>
      <c r="L27" s="312">
        <v>69818.421360127817</v>
      </c>
      <c r="N27" s="311">
        <v>612.02942186401617</v>
      </c>
      <c r="O27" s="353">
        <f t="shared" si="4"/>
        <v>182996.79713734082</v>
      </c>
      <c r="Q27" s="342">
        <f t="shared" si="2"/>
        <v>0.88111893932961127</v>
      </c>
      <c r="R27" s="342">
        <f t="shared" si="3"/>
        <v>0.55059442546636805</v>
      </c>
      <c r="S27" s="166">
        <f t="shared" si="6"/>
        <v>8.2330515536828126E-4</v>
      </c>
      <c r="U27" s="57">
        <f>(SUM(O26:O$33)+((1-U25)*O25))/(SUM(G26:G$33)+((1-U25)*G25))</f>
        <v>1254.2511874613556</v>
      </c>
      <c r="V27" s="57"/>
      <c r="W27" s="317">
        <v>0.79569963042628233</v>
      </c>
      <c r="X27" s="317">
        <v>0.49505931346553755</v>
      </c>
      <c r="Y27" s="317">
        <v>1.2855503603844921E-3</v>
      </c>
    </row>
    <row r="28" spans="1:28">
      <c r="A28" s="1">
        <v>3</v>
      </c>
      <c r="B28" s="162" t="s">
        <v>213</v>
      </c>
      <c r="C28" s="1" t="s">
        <v>91</v>
      </c>
      <c r="D28" s="1" t="s">
        <v>288</v>
      </c>
      <c r="F28" s="233">
        <v>424.36545684149507</v>
      </c>
      <c r="G28" s="309">
        <v>216.02648296594066</v>
      </c>
      <c r="H28" s="290">
        <v>492.03299591041127</v>
      </c>
      <c r="I28" s="276">
        <v>106292.15760972121</v>
      </c>
      <c r="K28" s="313">
        <v>233.50642595360472</v>
      </c>
      <c r="L28" s="312">
        <v>50443.571948704077</v>
      </c>
      <c r="N28" s="311">
        <v>725.53942186401605</v>
      </c>
      <c r="O28" s="353">
        <f t="shared" si="4"/>
        <v>156735.72955842529</v>
      </c>
      <c r="Q28" s="342">
        <f t="shared" si="2"/>
        <v>0.88201821940639591</v>
      </c>
      <c r="R28" s="342">
        <f t="shared" si="3"/>
        <v>0.55200998554927261</v>
      </c>
      <c r="S28" s="166">
        <f t="shared" si="6"/>
        <v>5.9400394008873815E-4</v>
      </c>
      <c r="T28" s="57"/>
      <c r="U28" s="57"/>
      <c r="V28" s="57"/>
      <c r="W28" s="317">
        <v>0.79724506795015149</v>
      </c>
      <c r="X28" s="317">
        <v>0.49664980081281707</v>
      </c>
      <c r="Y28" s="317">
        <v>9.2917203235055932E-4</v>
      </c>
    </row>
    <row r="29" spans="1:28">
      <c r="A29" s="1">
        <v>3</v>
      </c>
      <c r="B29" s="163" t="s">
        <v>56</v>
      </c>
      <c r="C29" s="1" t="s">
        <v>44</v>
      </c>
      <c r="D29" s="1" t="s">
        <v>57</v>
      </c>
      <c r="F29" s="233">
        <v>26251.984043017739</v>
      </c>
      <c r="G29" s="309">
        <v>18226.351412067419</v>
      </c>
      <c r="H29" s="290">
        <v>403.90217358181422</v>
      </c>
      <c r="I29" s="276">
        <v>7361662.951799999</v>
      </c>
      <c r="K29" s="313">
        <v>649.10219971303138</v>
      </c>
      <c r="L29" s="312">
        <v>11830764.794315677</v>
      </c>
      <c r="N29" s="311">
        <v>1053.0043732948457</v>
      </c>
      <c r="O29" s="353">
        <f t="shared" si="4"/>
        <v>19192427.746115677</v>
      </c>
      <c r="Q29" s="342">
        <f t="shared" si="2"/>
        <v>0.95789129974502984</v>
      </c>
      <c r="R29" s="342">
        <f t="shared" si="3"/>
        <v>0.72534656099363781</v>
      </c>
      <c r="S29" s="166">
        <f t="shared" si="6"/>
        <v>4.2682626885463225E-2</v>
      </c>
      <c r="T29" s="57"/>
      <c r="U29" s="57">
        <f>(0.9-Q28)/(Q29-Q28)</f>
        <v>0.23699816210635569</v>
      </c>
      <c r="V29" s="57">
        <f>100*(R28+(U29*(R29-R28)))</f>
        <v>59.309043535539686</v>
      </c>
      <c r="W29" s="317">
        <v>0.92763504147888121</v>
      </c>
      <c r="X29" s="317">
        <v>0.69140637341928435</v>
      </c>
      <c r="Y29" s="317">
        <v>6.9996458699916386E-2</v>
      </c>
      <c r="AA29" s="57">
        <f>(0.8-W28)/(W29-W28)</f>
        <v>2.1128404088843106E-2</v>
      </c>
      <c r="AB29" s="57">
        <f>100*(X28+(AA29*(X29-X28)))</f>
        <v>50.076469637780463</v>
      </c>
    </row>
    <row r="30" spans="1:28">
      <c r="A30" s="1">
        <v>3</v>
      </c>
      <c r="B30" s="162" t="s">
        <v>213</v>
      </c>
      <c r="C30" s="1" t="s">
        <v>92</v>
      </c>
      <c r="D30" s="1" t="s">
        <v>155</v>
      </c>
      <c r="F30" s="233">
        <v>755.6602795222235</v>
      </c>
      <c r="G30" s="309">
        <v>384.67464745420693</v>
      </c>
      <c r="H30" s="290">
        <v>822.03299591041127</v>
      </c>
      <c r="I30" s="276">
        <v>316215.25289756298</v>
      </c>
      <c r="K30" s="313">
        <v>445.35760196587682</v>
      </c>
      <c r="L30" s="312">
        <v>171317.7785272747</v>
      </c>
      <c r="N30" s="311">
        <v>1267.390597876288</v>
      </c>
      <c r="O30" s="353">
        <f t="shared" si="4"/>
        <v>487533.03142483765</v>
      </c>
      <c r="Q30" s="342">
        <f t="shared" si="2"/>
        <v>0.95949263233050852</v>
      </c>
      <c r="R30" s="342">
        <f t="shared" si="3"/>
        <v>0.72974971973942471</v>
      </c>
      <c r="S30" s="166">
        <f t="shared" si="6"/>
        <v>7.4027627995911177E-4</v>
      </c>
      <c r="T30" s="57"/>
      <c r="U30"/>
      <c r="V30" s="57">
        <f>100-V29</f>
        <v>40.690956464460314</v>
      </c>
      <c r="W30" s="317">
        <v>0.93038697553110838</v>
      </c>
      <c r="X30" s="317">
        <v>0.69635365072514577</v>
      </c>
      <c r="Y30" s="317">
        <v>1.294129991634948E-3</v>
      </c>
      <c r="AA30"/>
      <c r="AB30" s="57">
        <f>100-AB29</f>
        <v>49.923530362219537</v>
      </c>
    </row>
    <row r="31" spans="1:28">
      <c r="A31" s="1">
        <v>3</v>
      </c>
      <c r="B31" s="163" t="s">
        <v>56</v>
      </c>
      <c r="C31" s="1" t="s">
        <v>159</v>
      </c>
      <c r="D31" s="1" t="s">
        <v>367</v>
      </c>
      <c r="F31" s="233">
        <v>9827.6858739868894</v>
      </c>
      <c r="G31" s="309">
        <v>6823.2121432489412</v>
      </c>
      <c r="H31" s="290">
        <v>1770.9684235692926</v>
      </c>
      <c r="I31" s="276">
        <v>12083693.253008431</v>
      </c>
      <c r="K31" s="313">
        <v>823.66126575625265</v>
      </c>
      <c r="L31" s="312">
        <v>5620015.550431856</v>
      </c>
      <c r="N31" s="311">
        <v>2594.6296893255453</v>
      </c>
      <c r="O31" s="353">
        <f t="shared" si="4"/>
        <v>17703708.803440288</v>
      </c>
      <c r="Q31" s="342">
        <f t="shared" si="2"/>
        <v>0.98789645882369848</v>
      </c>
      <c r="R31" s="342">
        <f t="shared" si="3"/>
        <v>0.8896409173120543</v>
      </c>
      <c r="S31" s="166">
        <f t="shared" si="6"/>
        <v>9.3164111803684183E-3</v>
      </c>
      <c r="T31" s="57"/>
      <c r="U31" s="57">
        <f>(SUM(O30:O$33)+((1-U29)*O29))/(SUM(G30:G$33)+((1-U29)*G29))</f>
        <v>1875.5367454932534</v>
      </c>
      <c r="V31" s="57"/>
      <c r="W31" s="317">
        <v>0.97919973188727583</v>
      </c>
      <c r="X31" s="317">
        <v>0.87600333833065414</v>
      </c>
      <c r="Y31" s="317">
        <v>1.6461112078491793E-2</v>
      </c>
      <c r="AA31" s="57">
        <f>(SUM(O30:O$33)+((1-AA29)*O29))/(SUM(G30:G$33)+((1-AA29)*G29))</f>
        <v>1759.7766155631143</v>
      </c>
      <c r="AB31" s="57"/>
    </row>
    <row r="32" spans="1:28">
      <c r="A32" s="1">
        <v>3</v>
      </c>
      <c r="B32" s="163" t="s">
        <v>56</v>
      </c>
      <c r="C32" s="1" t="s">
        <v>43</v>
      </c>
      <c r="D32" s="1" t="s">
        <v>54</v>
      </c>
      <c r="F32" s="233">
        <v>2916.8871158908601</v>
      </c>
      <c r="G32" s="309">
        <v>2025.1501568963802</v>
      </c>
      <c r="H32" s="290">
        <v>403.90217358181417</v>
      </c>
      <c r="I32" s="276">
        <v>817962.55019999994</v>
      </c>
      <c r="K32" s="313">
        <v>3108.7424357682357</v>
      </c>
      <c r="L32" s="312">
        <v>6295670.2315464774</v>
      </c>
      <c r="N32" s="311">
        <v>3512.6446093500494</v>
      </c>
      <c r="O32" s="353">
        <f t="shared" si="4"/>
        <v>7113632.7817464769</v>
      </c>
      <c r="Q32" s="342">
        <f t="shared" si="2"/>
        <v>0.99632680108354665</v>
      </c>
      <c r="R32" s="342">
        <f t="shared" si="3"/>
        <v>0.95388775266128534</v>
      </c>
      <c r="S32" s="166">
        <f t="shared" si="6"/>
        <v>1.1861035472518144E-3</v>
      </c>
      <c r="U32" s="57">
        <f>(0.99-Q31)/(Q32-Q31)</f>
        <v>0.24952025807068456</v>
      </c>
      <c r="V32" s="57">
        <f>100*(R31+(U32*(R32-R31)))</f>
        <v>90.567180424861931</v>
      </c>
      <c r="W32" s="317">
        <v>0.99368750672380135</v>
      </c>
      <c r="X32" s="317">
        <v>0.94818945035779711</v>
      </c>
      <c r="Y32" s="317">
        <v>2.1542517099200262E-3</v>
      </c>
      <c r="AA32" s="57"/>
    </row>
    <row r="33" spans="1:27">
      <c r="A33" s="1">
        <v>3</v>
      </c>
      <c r="B33" s="162" t="s">
        <v>213</v>
      </c>
      <c r="C33" s="1" t="s">
        <v>159</v>
      </c>
      <c r="D33" s="1" t="s">
        <v>367</v>
      </c>
      <c r="F33" s="233">
        <v>1733.362916060456</v>
      </c>
      <c r="G33" s="309">
        <v>882.38165577173538</v>
      </c>
      <c r="H33" s="290">
        <v>3262.2829959104115</v>
      </c>
      <c r="I33" s="276">
        <v>2878578.6715274062</v>
      </c>
      <c r="K33" s="313">
        <v>2523.9979975472734</v>
      </c>
      <c r="L33" s="312">
        <v>2227129.5322403074</v>
      </c>
      <c r="N33" s="311">
        <v>5786.2809934576844</v>
      </c>
      <c r="O33" s="353">
        <f t="shared" si="4"/>
        <v>5105708.2037677132</v>
      </c>
      <c r="Q33" s="342">
        <f t="shared" si="2"/>
        <v>1</v>
      </c>
      <c r="R33" s="342">
        <f t="shared" si="3"/>
        <v>1</v>
      </c>
      <c r="S33" s="166">
        <f t="shared" si="6"/>
        <v>1.5588706667996136E-4</v>
      </c>
      <c r="U33"/>
      <c r="V33" s="57">
        <f>100-V32</f>
        <v>9.432819575138069</v>
      </c>
      <c r="W33" s="317">
        <v>1.0000000000000002</v>
      </c>
      <c r="X33" s="317">
        <v>1.0000000000000002</v>
      </c>
      <c r="Y33" s="317">
        <v>2.8720617489051903E-4</v>
      </c>
    </row>
    <row r="34" spans="1:27">
      <c r="B34" s="61"/>
      <c r="F34" s="278"/>
      <c r="G34" s="312"/>
      <c r="H34" s="290"/>
      <c r="I34" s="276"/>
      <c r="K34" s="290"/>
      <c r="L34" s="276"/>
      <c r="N34" s="1"/>
      <c r="O34" s="312"/>
      <c r="S34" s="397">
        <f>SUM(S10:S33)</f>
        <v>0.50800388655356354</v>
      </c>
      <c r="U34" s="57">
        <f>(SUM(O33:O$33)+((1-U32)*O32))/(SUM(G33:G$33)+((1-U32)*G32))</f>
        <v>4347.7964796013675</v>
      </c>
      <c r="V34" s="57"/>
      <c r="W34" s="57"/>
      <c r="X34" s="57"/>
      <c r="Y34" s="342">
        <f>SUM(Y10:Y33)</f>
        <v>0.38288763003176518</v>
      </c>
      <c r="AA34" s="57"/>
    </row>
    <row r="35" spans="1:27" ht="16" thickBot="1">
      <c r="D35" s="42"/>
      <c r="E35" s="8" t="s">
        <v>458</v>
      </c>
      <c r="F35" s="235">
        <v>195938.17486732168</v>
      </c>
      <c r="G35" s="235">
        <v>139783.38148869621</v>
      </c>
      <c r="H35" s="290">
        <v>449.30565521398131</v>
      </c>
      <c r="I35" s="235">
        <v>62805463.807804555</v>
      </c>
      <c r="K35" s="290">
        <v>255.68319585287171</v>
      </c>
      <c r="L35" s="235">
        <v>35740261.706150994</v>
      </c>
      <c r="N35" s="237">
        <v>704.98885106685293</v>
      </c>
      <c r="O35" s="235">
        <v>98545725.513955534</v>
      </c>
      <c r="P35" s="164"/>
      <c r="Q35" s="84"/>
      <c r="R35" s="84"/>
      <c r="S35" s="84"/>
      <c r="T35" s="84"/>
      <c r="U35" s="58"/>
      <c r="V35" s="84"/>
      <c r="W35" s="84"/>
      <c r="X35" s="84"/>
      <c r="Y35" s="179"/>
      <c r="Z35" s="179"/>
    </row>
    <row r="36" spans="1:27" ht="16" thickBot="1">
      <c r="D36" s="43"/>
      <c r="E36" s="8" t="s">
        <v>354</v>
      </c>
      <c r="F36" s="204">
        <f>SUM(F10:F33)</f>
        <v>436136.40357833414</v>
      </c>
      <c r="G36" s="204">
        <f>SUM(G10:G33)</f>
        <v>240221.58228874099</v>
      </c>
      <c r="H36" s="297">
        <f>I36/G36</f>
        <v>312.14186187112358</v>
      </c>
      <c r="I36" s="204">
        <f>SUM(I10:I33)</f>
        <v>74983211.957234934</v>
      </c>
      <c r="J36" s="235"/>
      <c r="K36" s="290">
        <v>185.91082785860328</v>
      </c>
      <c r="L36" s="235">
        <v>35740261.706150994</v>
      </c>
      <c r="M36" s="235"/>
      <c r="N36" s="290">
        <f>O36/G36</f>
        <v>460.92225606231671</v>
      </c>
      <c r="O36" s="235">
        <f>SUM(O10:O33)</f>
        <v>110723473.66338596</v>
      </c>
      <c r="P36" s="164"/>
      <c r="Q36" s="58" t="s">
        <v>346</v>
      </c>
      <c r="R36" s="415">
        <v>0.50800388655356354</v>
      </c>
      <c r="S36" s="98" t="s">
        <v>388</v>
      </c>
      <c r="T36" s="84"/>
      <c r="U36" s="58"/>
      <c r="V36" s="84"/>
      <c r="W36" s="1" t="s">
        <v>346</v>
      </c>
      <c r="X36" s="167">
        <v>0.38288763003176518</v>
      </c>
      <c r="Y36" s="8" t="s">
        <v>388</v>
      </c>
      <c r="Z36" s="179"/>
    </row>
    <row r="37" spans="1:27">
      <c r="I37" s="1"/>
      <c r="K37" s="1"/>
      <c r="L37" s="1"/>
      <c r="N37" s="1"/>
      <c r="O37" s="220"/>
      <c r="P37" s="84"/>
      <c r="Q37" s="58"/>
      <c r="R37" s="98" t="s">
        <v>538</v>
      </c>
      <c r="S37" s="98" t="s">
        <v>364</v>
      </c>
      <c r="T37" s="84"/>
      <c r="U37" s="58"/>
      <c r="V37" s="84"/>
      <c r="X37" s="8" t="s">
        <v>538</v>
      </c>
      <c r="Y37" s="8" t="s">
        <v>364</v>
      </c>
      <c r="Z37" s="179"/>
    </row>
    <row r="38" spans="1:27">
      <c r="D38" s="1" t="s">
        <v>77</v>
      </c>
      <c r="I38" s="1"/>
      <c r="K38" s="1"/>
      <c r="L38" s="1"/>
      <c r="N38" s="1"/>
      <c r="O38" s="220"/>
      <c r="P38" s="84"/>
      <c r="Q38" s="58" t="s">
        <v>347</v>
      </c>
      <c r="R38" s="320">
        <v>9.432819575138069</v>
      </c>
      <c r="S38" s="399">
        <v>4347.7964796013675</v>
      </c>
      <c r="T38" s="84"/>
      <c r="U38" s="58"/>
      <c r="V38" s="84"/>
      <c r="W38" s="1" t="s">
        <v>347</v>
      </c>
      <c r="X38" s="169">
        <v>7.0090586961657522</v>
      </c>
      <c r="Y38" s="240">
        <v>4947.8760480700721</v>
      </c>
      <c r="Z38" s="179"/>
    </row>
    <row r="39" spans="1:27">
      <c r="D39" s="1" t="s">
        <v>188</v>
      </c>
      <c r="H39" s="145"/>
      <c r="I39" s="1"/>
      <c r="O39" s="220"/>
      <c r="P39" s="84"/>
      <c r="Q39" s="58" t="s">
        <v>348</v>
      </c>
      <c r="R39" s="320">
        <v>29.268158373837423</v>
      </c>
      <c r="S39" s="343">
        <v>2698.0691176916584</v>
      </c>
      <c r="T39" s="84"/>
      <c r="U39" s="58"/>
      <c r="V39" s="84"/>
      <c r="W39" s="1" t="s">
        <v>348</v>
      </c>
      <c r="X39" s="184">
        <v>23.146288778117906</v>
      </c>
      <c r="Y39" s="321">
        <v>3263.5751064293704</v>
      </c>
      <c r="Z39" s="179"/>
    </row>
    <row r="40" spans="1:27">
      <c r="D40" s="1" t="s">
        <v>7</v>
      </c>
      <c r="H40" s="145"/>
      <c r="O40" s="141"/>
      <c r="P40" s="84"/>
      <c r="Q40" s="58" t="s">
        <v>427</v>
      </c>
      <c r="R40" s="320">
        <v>40.690956464460314</v>
      </c>
      <c r="S40" s="343">
        <v>1875.5367454932534</v>
      </c>
      <c r="T40" s="84"/>
      <c r="U40" s="58"/>
      <c r="V40" s="84"/>
      <c r="W40" s="1" t="s">
        <v>427</v>
      </c>
      <c r="X40" s="184">
        <v>34.987061910252621</v>
      </c>
      <c r="Y40" s="322">
        <v>2466.5488578313812</v>
      </c>
      <c r="Z40" s="179"/>
    </row>
    <row r="41" spans="1:27">
      <c r="D41" s="1" t="s">
        <v>80</v>
      </c>
      <c r="H41" s="145"/>
      <c r="P41" s="84"/>
      <c r="Q41" s="58" t="s">
        <v>425</v>
      </c>
      <c r="R41" s="320">
        <v>54.423546312408114</v>
      </c>
      <c r="S41" s="343">
        <v>1254.2511874613556</v>
      </c>
      <c r="T41" s="84"/>
      <c r="U41" s="58"/>
      <c r="V41" s="84"/>
      <c r="W41" s="1" t="s">
        <v>425</v>
      </c>
      <c r="X41" s="184">
        <v>49.923530362219537</v>
      </c>
      <c r="Y41" s="184">
        <v>1759.7766155631143</v>
      </c>
      <c r="Z41" s="179"/>
    </row>
    <row r="42" spans="1:27">
      <c r="D42" s="1" t="s">
        <v>233</v>
      </c>
      <c r="H42" s="145"/>
      <c r="P42" s="84"/>
      <c r="Q42" s="58" t="s">
        <v>339</v>
      </c>
      <c r="R42" s="320">
        <f>100-R41-R43</f>
        <v>35.353661901974228</v>
      </c>
      <c r="S42" s="343">
        <v>407.38224009805862</v>
      </c>
      <c r="T42" s="401">
        <f>(R45-(0.2*S41)-(0.4*S43))/0.4</f>
        <v>407.38224009805862</v>
      </c>
      <c r="U42" s="402"/>
      <c r="V42" s="401"/>
      <c r="W42" s="1" t="s">
        <v>339</v>
      </c>
      <c r="X42" s="184">
        <v>29.682796895317274</v>
      </c>
      <c r="Y42" s="184">
        <v>631.69819204712587</v>
      </c>
      <c r="Z42" s="179"/>
    </row>
    <row r="43" spans="1:27">
      <c r="F43" s="1"/>
      <c r="G43" s="1"/>
      <c r="P43" s="84"/>
      <c r="Q43" s="58" t="s">
        <v>340</v>
      </c>
      <c r="R43" s="320">
        <v>10.222791785617661</v>
      </c>
      <c r="S43" s="343">
        <v>117.79780632705528</v>
      </c>
      <c r="T43" s="84"/>
      <c r="U43" s="58"/>
      <c r="V43" s="84"/>
      <c r="W43" s="1" t="s">
        <v>340</v>
      </c>
      <c r="X43" s="184">
        <v>20.393672742463188</v>
      </c>
      <c r="Y43" s="184">
        <v>250.88562783844915</v>
      </c>
      <c r="Z43" s="84"/>
    </row>
    <row r="44" spans="1:27">
      <c r="F44" s="1"/>
      <c r="G44" s="1"/>
      <c r="P44" s="84"/>
      <c r="Q44" s="58"/>
      <c r="R44" s="58"/>
      <c r="S44" s="58"/>
      <c r="T44" s="84"/>
      <c r="U44" s="58"/>
      <c r="V44" s="84"/>
      <c r="X44" s="184"/>
      <c r="Y44" s="168"/>
      <c r="Z44" s="179"/>
    </row>
    <row r="45" spans="1:27">
      <c r="F45" s="1"/>
      <c r="G45" s="1"/>
      <c r="P45" s="84"/>
      <c r="Q45" s="58" t="s">
        <v>342</v>
      </c>
      <c r="R45" s="343">
        <v>460.92225606231671</v>
      </c>
      <c r="S45" s="320"/>
      <c r="T45" s="84"/>
      <c r="U45" s="58"/>
      <c r="V45" s="84"/>
      <c r="W45" s="1" t="s">
        <v>342</v>
      </c>
      <c r="X45" s="168">
        <v>704.98885106685293</v>
      </c>
      <c r="Z45" s="84"/>
    </row>
    <row r="46" spans="1:27">
      <c r="F46" s="1"/>
      <c r="G46" s="1"/>
      <c r="O46" s="159" t="s">
        <v>365</v>
      </c>
      <c r="P46" s="84"/>
      <c r="Q46" s="58" t="s">
        <v>341</v>
      </c>
      <c r="R46" s="343">
        <v>330.34281035066289</v>
      </c>
      <c r="S46" s="320"/>
      <c r="T46" s="84"/>
      <c r="U46" s="58"/>
      <c r="V46" s="84"/>
      <c r="W46" s="1" t="s">
        <v>341</v>
      </c>
      <c r="X46" s="168">
        <v>535.28517286671354</v>
      </c>
      <c r="Z46" s="84"/>
    </row>
    <row r="47" spans="1:27">
      <c r="F47" s="1"/>
      <c r="G47" s="1"/>
      <c r="O47" s="159" t="s">
        <v>366</v>
      </c>
      <c r="P47" s="84"/>
      <c r="Q47" s="84"/>
      <c r="R47" s="84"/>
      <c r="S47" s="84"/>
      <c r="T47" s="84"/>
      <c r="U47" s="58"/>
      <c r="V47" s="84"/>
      <c r="W47" s="84"/>
      <c r="X47" s="84"/>
      <c r="Y47" s="180"/>
      <c r="Z47" s="84"/>
    </row>
    <row r="48" spans="1:27">
      <c r="F48" s="1"/>
      <c r="G48" s="1"/>
    </row>
    <row r="49" spans="6:15">
      <c r="F49" s="1"/>
      <c r="G49" s="1"/>
      <c r="O49" s="1">
        <v>98545725.512687668</v>
      </c>
    </row>
    <row r="50" spans="6:15">
      <c r="F50" s="1"/>
      <c r="G50" s="1"/>
      <c r="O50" s="1">
        <v>110723473.66211806</v>
      </c>
    </row>
    <row r="51" spans="6:15">
      <c r="F51" s="1"/>
      <c r="G51" s="1"/>
    </row>
  </sheetData>
  <sheetCalcPr fullCalcOnLoad="1"/>
  <sortState ref="A11:XFD19">
    <sortCondition ref="N11:N19"/>
  </sortState>
  <phoneticPr fontId="20" type="noConversion"/>
  <pageMargins left="0.75" right="0.75" top="1" bottom="1" header="0.5" footer="0.5"/>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AC115"/>
  <sheetViews>
    <sheetView workbookViewId="0">
      <pane ySplit="5020" topLeftCell="A83"/>
      <selection activeCell="H2" sqref="H2"/>
      <selection pane="bottomLeft" activeCell="X86" sqref="X86:Z96"/>
    </sheetView>
  </sheetViews>
  <sheetFormatPr baseColWidth="10" defaultRowHeight="15"/>
  <cols>
    <col min="1" max="1" width="9.83203125" style="1" customWidth="1"/>
    <col min="2" max="2" width="10.83203125" style="90"/>
    <col min="3" max="5" width="10.83203125" style="1"/>
    <col min="6" max="6" width="12.6640625" style="238" customWidth="1"/>
    <col min="7" max="7" width="12.6640625" style="339" customWidth="1"/>
    <col min="8" max="8" width="12.6640625" style="240" customWidth="1"/>
    <col min="9" max="9" width="14.83203125" style="238" customWidth="1"/>
    <col min="10" max="10" width="4" style="1" customWidth="1"/>
    <col min="11" max="11" width="10.83203125" style="240"/>
    <col min="12" max="12" width="12.1640625" style="1" customWidth="1"/>
    <col min="13" max="13" width="5" style="1" customWidth="1"/>
    <col min="14" max="14" width="11.83203125" style="240" customWidth="1"/>
    <col min="15" max="15" width="13.33203125" style="238" customWidth="1"/>
    <col min="16" max="16" width="11.1640625" style="1" bestFit="1" customWidth="1"/>
    <col min="17" max="17" width="10.83203125" style="1"/>
    <col min="18" max="18" width="13.1640625" style="1" customWidth="1"/>
    <col min="19" max="19" width="11.83203125" style="1" bestFit="1" customWidth="1"/>
    <col min="20" max="20" width="3.83203125" style="1" customWidth="1"/>
    <col min="21" max="22" width="11.83203125" style="1" customWidth="1"/>
    <col min="23" max="23" width="7.83203125" style="1" customWidth="1"/>
    <col min="24" max="24" width="10.83203125" style="1"/>
    <col min="25" max="25" width="13.33203125" style="1" customWidth="1"/>
    <col min="26" max="26" width="10.83203125" style="1"/>
    <col min="27" max="27" width="5.1640625" style="1" customWidth="1"/>
    <col min="28" max="16384" width="10.83203125" style="1"/>
  </cols>
  <sheetData>
    <row r="1" spans="1:28" ht="21">
      <c r="A1" s="419" t="s">
        <v>34</v>
      </c>
      <c r="B1" s="406"/>
      <c r="C1" s="39" t="s">
        <v>146</v>
      </c>
      <c r="H1" s="395"/>
    </row>
    <row r="2" spans="1:28">
      <c r="A2" s="420">
        <v>40575</v>
      </c>
      <c r="B2" s="408"/>
      <c r="C2" s="1" t="s">
        <v>394</v>
      </c>
    </row>
    <row r="3" spans="1:28">
      <c r="A3" s="421" t="s">
        <v>6</v>
      </c>
      <c r="B3" s="412"/>
      <c r="C3" s="1" t="s">
        <v>76</v>
      </c>
      <c r="S3" s="166" t="s">
        <v>169</v>
      </c>
      <c r="T3" s="166"/>
      <c r="U3" s="166"/>
      <c r="V3" s="166"/>
    </row>
    <row r="4" spans="1:28">
      <c r="B4" s="1"/>
      <c r="D4" s="297" t="s">
        <v>614</v>
      </c>
      <c r="N4" s="297" t="s">
        <v>614</v>
      </c>
      <c r="S4" s="166" t="s">
        <v>363</v>
      </c>
      <c r="T4" s="166"/>
      <c r="U4" s="166"/>
      <c r="V4" s="166"/>
    </row>
    <row r="5" spans="1:28">
      <c r="D5" s="297" t="s">
        <v>445</v>
      </c>
      <c r="J5" s="184"/>
      <c r="K5" s="160" t="s">
        <v>130</v>
      </c>
      <c r="L5" s="220"/>
      <c r="M5" s="184"/>
      <c r="N5" s="297" t="s">
        <v>445</v>
      </c>
    </row>
    <row r="6" spans="1:28">
      <c r="F6" s="234" t="s">
        <v>225</v>
      </c>
      <c r="G6" s="326"/>
      <c r="H6" s="190" t="s">
        <v>204</v>
      </c>
      <c r="J6" s="184"/>
      <c r="K6" s="160" t="s">
        <v>205</v>
      </c>
      <c r="L6" s="220"/>
      <c r="M6" s="184"/>
      <c r="N6" s="160" t="s">
        <v>206</v>
      </c>
      <c r="Q6" s="62" t="s">
        <v>582</v>
      </c>
      <c r="X6" s="62" t="s">
        <v>470</v>
      </c>
    </row>
    <row r="7" spans="1:28">
      <c r="F7" s="236" t="s">
        <v>409</v>
      </c>
      <c r="G7" s="134" t="s">
        <v>421</v>
      </c>
      <c r="H7" s="158" t="s">
        <v>284</v>
      </c>
      <c r="I7" s="172" t="s">
        <v>505</v>
      </c>
      <c r="J7" s="184"/>
      <c r="K7" s="158" t="s">
        <v>284</v>
      </c>
      <c r="L7" s="54" t="s">
        <v>161</v>
      </c>
      <c r="M7" s="184"/>
      <c r="N7" s="158" t="s">
        <v>284</v>
      </c>
      <c r="O7" s="236" t="s">
        <v>161</v>
      </c>
      <c r="P7" s="134" t="s">
        <v>421</v>
      </c>
      <c r="Q7" s="1" t="s">
        <v>281</v>
      </c>
      <c r="X7" s="1" t="s">
        <v>281</v>
      </c>
    </row>
    <row r="8" spans="1:28">
      <c r="B8" s="61" t="s">
        <v>115</v>
      </c>
      <c r="C8" s="1" t="s">
        <v>285</v>
      </c>
      <c r="F8" s="235" t="s">
        <v>30</v>
      </c>
      <c r="G8" s="134" t="s">
        <v>422</v>
      </c>
      <c r="H8" s="207" t="s">
        <v>111</v>
      </c>
      <c r="I8" s="207" t="s">
        <v>168</v>
      </c>
      <c r="J8" s="184"/>
      <c r="K8" s="207" t="s">
        <v>111</v>
      </c>
      <c r="L8" s="173" t="s">
        <v>374</v>
      </c>
      <c r="M8" s="184"/>
      <c r="N8" s="207" t="s">
        <v>111</v>
      </c>
      <c r="O8" s="235" t="s">
        <v>374</v>
      </c>
      <c r="P8" s="134" t="s">
        <v>422</v>
      </c>
      <c r="Q8" s="8" t="s">
        <v>132</v>
      </c>
      <c r="R8" s="8" t="s">
        <v>132</v>
      </c>
      <c r="S8" s="8" t="s">
        <v>209</v>
      </c>
      <c r="T8" s="8"/>
      <c r="U8" s="8"/>
      <c r="V8" s="8"/>
      <c r="X8" s="8" t="s">
        <v>132</v>
      </c>
      <c r="Y8" s="8" t="s">
        <v>132</v>
      </c>
      <c r="Z8" s="8" t="s">
        <v>209</v>
      </c>
    </row>
    <row r="9" spans="1:28" s="3" customFormat="1">
      <c r="A9" s="9" t="s">
        <v>488</v>
      </c>
      <c r="B9" s="187" t="s">
        <v>489</v>
      </c>
      <c r="C9" s="3" t="s">
        <v>490</v>
      </c>
      <c r="D9" s="3" t="s">
        <v>498</v>
      </c>
      <c r="F9" s="332" t="s">
        <v>478</v>
      </c>
      <c r="G9" s="363" t="s">
        <v>601</v>
      </c>
      <c r="H9" s="188" t="s">
        <v>478</v>
      </c>
      <c r="I9" s="332" t="s">
        <v>478</v>
      </c>
      <c r="J9" s="389"/>
      <c r="K9" s="188" t="s">
        <v>478</v>
      </c>
      <c r="L9" s="332" t="s">
        <v>478</v>
      </c>
      <c r="M9" s="332"/>
      <c r="N9" s="188" t="s">
        <v>478</v>
      </c>
      <c r="O9" s="332" t="s">
        <v>478</v>
      </c>
      <c r="P9" s="363" t="s">
        <v>601</v>
      </c>
      <c r="Q9" s="9" t="s">
        <v>500</v>
      </c>
      <c r="R9" s="9" t="s">
        <v>501</v>
      </c>
      <c r="S9" s="9" t="s">
        <v>527</v>
      </c>
      <c r="T9" s="9"/>
      <c r="U9" s="414" t="s">
        <v>5</v>
      </c>
      <c r="V9" s="9"/>
      <c r="W9" s="3" t="s">
        <v>446</v>
      </c>
      <c r="X9" s="9" t="s">
        <v>500</v>
      </c>
      <c r="Y9" s="9" t="s">
        <v>501</v>
      </c>
      <c r="Z9" s="9" t="s">
        <v>527</v>
      </c>
      <c r="AB9" s="414" t="s">
        <v>5</v>
      </c>
    </row>
    <row r="10" spans="1:28" s="3" customFormat="1">
      <c r="A10" s="8">
        <v>2</v>
      </c>
      <c r="B10" s="61" t="s">
        <v>549</v>
      </c>
      <c r="C10" s="1" t="s">
        <v>40</v>
      </c>
      <c r="D10" s="1" t="s">
        <v>41</v>
      </c>
      <c r="E10" s="1"/>
      <c r="F10" s="327">
        <v>6948.3876391959402</v>
      </c>
      <c r="G10" s="204">
        <f t="shared" ref="G10:G11" si="0">F10*W10</f>
        <v>6948.3876391959402</v>
      </c>
      <c r="H10" s="207">
        <v>52.01</v>
      </c>
      <c r="I10" s="327">
        <f>F10*H10</f>
        <v>361385.64111458085</v>
      </c>
      <c r="J10" s="389"/>
      <c r="K10" s="207">
        <v>0</v>
      </c>
      <c r="L10" s="327">
        <v>0</v>
      </c>
      <c r="M10" s="327"/>
      <c r="N10" s="207">
        <v>52.01</v>
      </c>
      <c r="O10" s="327">
        <f>I10+L10</f>
        <v>361385.64111458085</v>
      </c>
      <c r="P10" s="362">
        <f t="shared" ref="P10:P11" si="1">O10*W10</f>
        <v>361385.64111458085</v>
      </c>
      <c r="Q10" s="350">
        <f>F10/F$86</f>
        <v>1.3834009527530999E-2</v>
      </c>
      <c r="R10" s="350">
        <f>(O10/O$86)</f>
        <v>1.9047722648932476E-3</v>
      </c>
      <c r="S10" s="351">
        <f>Q10*(Q10-R10)</f>
        <v>1.6502918194750849E-4</v>
      </c>
      <c r="T10" s="354"/>
      <c r="U10" s="354"/>
      <c r="V10" s="354"/>
      <c r="W10" s="353">
        <v>1</v>
      </c>
      <c r="X10" s="350">
        <f>W10*(F10/F$85)</f>
        <v>1.7646864214785389E-2</v>
      </c>
      <c r="Y10" s="350">
        <f>W10*(O10/O$85)</f>
        <v>2.0491348928520082E-3</v>
      </c>
      <c r="Z10" s="354">
        <f>X10*(X10-Y10)</f>
        <v>2.7525101140313496E-4</v>
      </c>
    </row>
    <row r="11" spans="1:28" s="3" customFormat="1">
      <c r="A11" s="8">
        <v>1</v>
      </c>
      <c r="B11" s="61" t="s">
        <v>549</v>
      </c>
      <c r="C11" s="1" t="s">
        <v>73</v>
      </c>
      <c r="D11" s="1" t="s">
        <v>74</v>
      </c>
      <c r="E11" s="1"/>
      <c r="F11" s="327">
        <v>201.631472433412</v>
      </c>
      <c r="G11" s="204">
        <f t="shared" si="0"/>
        <v>201.631472433412</v>
      </c>
      <c r="H11" s="207">
        <v>48.55</v>
      </c>
      <c r="I11" s="375">
        <f t="shared" ref="I11:I74" si="2">F11*H11</f>
        <v>9789.2079866421518</v>
      </c>
      <c r="J11" s="389"/>
      <c r="K11" s="207">
        <v>6.3684483112849462</v>
      </c>
      <c r="L11" s="327">
        <v>1284.0796101204598</v>
      </c>
      <c r="M11" s="327"/>
      <c r="N11" s="207">
        <v>54.918448311284941</v>
      </c>
      <c r="O11" s="375">
        <f t="shared" ref="O11:O74" si="3">I11+L11</f>
        <v>11073.287596762611</v>
      </c>
      <c r="P11" s="362">
        <f t="shared" si="1"/>
        <v>11073.287596762611</v>
      </c>
      <c r="Q11" s="350">
        <f t="shared" ref="Q11:Q42" si="4">(F11/F$86)+Q10</f>
        <v>1.4235451107295353E-2</v>
      </c>
      <c r="R11" s="350">
        <f t="shared" ref="R11:R42" si="5">(O11/O$86)+R10</f>
        <v>1.9631367616962966E-3</v>
      </c>
      <c r="S11" s="351">
        <f t="shared" ref="S11:S42" si="6">(Q11-Q10)*(Q11-R11+Q10-R10)</f>
        <v>9.715509110359113E-6</v>
      </c>
      <c r="T11" s="354"/>
      <c r="U11" s="354"/>
      <c r="V11" s="354"/>
      <c r="W11" s="353">
        <v>1</v>
      </c>
      <c r="X11" s="350">
        <f t="shared" ref="X11" si="7">(W11*(F11/F$85))+X10</f>
        <v>1.8158948945836952E-2</v>
      </c>
      <c r="Y11" s="350">
        <f t="shared" ref="Y11" si="8">(W11*(O11/O$85))+Y10</f>
        <v>2.111922832968083E-3</v>
      </c>
      <c r="Z11" s="354">
        <f t="shared" ref="Z11:Z42" si="9">(X11-X10)*(X11-Y11+X10-Y10)</f>
        <v>1.6204796076023179E-5</v>
      </c>
    </row>
    <row r="12" spans="1:28" s="3" customFormat="1">
      <c r="A12" s="8">
        <v>1</v>
      </c>
      <c r="B12" s="61" t="s">
        <v>549</v>
      </c>
      <c r="C12" s="1" t="s">
        <v>40</v>
      </c>
      <c r="D12" s="1" t="s">
        <v>41</v>
      </c>
      <c r="E12" s="1"/>
      <c r="F12" s="327">
        <v>32911.338985626855</v>
      </c>
      <c r="G12" s="204">
        <f t="shared" ref="G12:G42" si="10">F12*W12</f>
        <v>32911.338985626855</v>
      </c>
      <c r="H12" s="207">
        <v>55.625</v>
      </c>
      <c r="I12" s="375">
        <f t="shared" si="2"/>
        <v>1830693.2310754939</v>
      </c>
      <c r="J12" s="389"/>
      <c r="K12" s="207">
        <v>0</v>
      </c>
      <c r="L12" s="327">
        <v>0</v>
      </c>
      <c r="M12" s="327"/>
      <c r="N12" s="207">
        <v>55.625</v>
      </c>
      <c r="O12" s="375">
        <f t="shared" si="3"/>
        <v>1830693.2310754939</v>
      </c>
      <c r="P12" s="362">
        <f t="shared" ref="P12:P42" si="11">O12*W12</f>
        <v>1830693.2310754939</v>
      </c>
      <c r="Q12" s="350">
        <f t="shared" si="4"/>
        <v>7.9760836381230729E-2</v>
      </c>
      <c r="R12" s="350">
        <f t="shared" si="5"/>
        <v>1.1612257521795344E-2</v>
      </c>
      <c r="S12" s="351">
        <f t="shared" si="6"/>
        <v>5.269610011333894E-3</v>
      </c>
      <c r="T12" s="354"/>
      <c r="U12" s="354"/>
      <c r="V12" s="354"/>
      <c r="W12" s="353">
        <v>1</v>
      </c>
      <c r="X12" s="350">
        <f t="shared" ref="X12:X42" si="12">(W12*(F12/F$85))+X11</f>
        <v>0.10174408557954054</v>
      </c>
      <c r="Y12" s="350">
        <f t="shared" ref="Y12:Y42" si="13">(W12*(O12/O$85))+Y11</f>
        <v>1.2492350141410535E-2</v>
      </c>
      <c r="Z12" s="354">
        <f t="shared" si="9"/>
        <v>8.801411371600015E-3</v>
      </c>
    </row>
    <row r="13" spans="1:28" s="3" customFormat="1">
      <c r="A13" s="8">
        <v>1</v>
      </c>
      <c r="B13" s="61" t="s">
        <v>550</v>
      </c>
      <c r="C13" s="1" t="s">
        <v>73</v>
      </c>
      <c r="D13" s="1" t="s">
        <v>74</v>
      </c>
      <c r="E13" s="1"/>
      <c r="F13" s="327">
        <v>40.591306041131133</v>
      </c>
      <c r="G13" s="204">
        <f t="shared" si="10"/>
        <v>40.591306041131133</v>
      </c>
      <c r="H13" s="207">
        <v>54.97</v>
      </c>
      <c r="I13" s="375">
        <f t="shared" si="2"/>
        <v>2231.3040930809784</v>
      </c>
      <c r="J13" s="389"/>
      <c r="K13" s="207">
        <v>2.1769837604967823</v>
      </c>
      <c r="L13" s="327">
        <v>88.36661406889742</v>
      </c>
      <c r="M13" s="327"/>
      <c r="N13" s="207">
        <v>57.146983760496781</v>
      </c>
      <c r="O13" s="375">
        <f t="shared" si="3"/>
        <v>2319.6707071498759</v>
      </c>
      <c r="P13" s="362">
        <f t="shared" si="11"/>
        <v>2319.6707071498759</v>
      </c>
      <c r="Q13" s="350">
        <f t="shared" si="4"/>
        <v>7.9841652326406304E-2</v>
      </c>
      <c r="R13" s="350">
        <f t="shared" si="5"/>
        <v>1.1624483919095019E-2</v>
      </c>
      <c r="S13" s="351">
        <f t="shared" si="6"/>
        <v>1.102052675493567E-5</v>
      </c>
      <c r="T13" s="354"/>
      <c r="U13" s="354"/>
      <c r="V13" s="354"/>
      <c r="W13" s="353">
        <v>1</v>
      </c>
      <c r="X13" s="350">
        <f t="shared" si="12"/>
        <v>0.10184717557727871</v>
      </c>
      <c r="Y13" s="350">
        <f t="shared" si="13"/>
        <v>1.2505503176963601E-2</v>
      </c>
      <c r="Z13" s="354">
        <f t="shared" si="9"/>
        <v>1.8411194010117471E-5</v>
      </c>
    </row>
    <row r="14" spans="1:28" s="3" customFormat="1">
      <c r="A14" s="8">
        <v>2</v>
      </c>
      <c r="B14" s="61" t="s">
        <v>549</v>
      </c>
      <c r="C14" s="1" t="s">
        <v>73</v>
      </c>
      <c r="D14" s="1" t="s">
        <v>74</v>
      </c>
      <c r="E14" s="1"/>
      <c r="F14" s="204">
        <v>415.55032600872619</v>
      </c>
      <c r="G14" s="204">
        <f t="shared" si="10"/>
        <v>415.55032600872619</v>
      </c>
      <c r="H14" s="207">
        <v>48.550000000000004</v>
      </c>
      <c r="I14" s="375">
        <f t="shared" si="2"/>
        <v>20174.968327723658</v>
      </c>
      <c r="J14" s="389"/>
      <c r="K14" s="207">
        <v>10.09337733766484</v>
      </c>
      <c r="L14" s="327">
        <v>8924.4318827991592</v>
      </c>
      <c r="M14" s="327"/>
      <c r="N14" s="207">
        <v>58.643377337664845</v>
      </c>
      <c r="O14" s="375">
        <f t="shared" si="3"/>
        <v>29099.400210522817</v>
      </c>
      <c r="P14" s="362">
        <f t="shared" si="11"/>
        <v>29099.400210522817</v>
      </c>
      <c r="Q14" s="350">
        <f t="shared" si="4"/>
        <v>8.0668999254597917E-2</v>
      </c>
      <c r="R14" s="350">
        <f t="shared" si="5"/>
        <v>1.1777859493938234E-2</v>
      </c>
      <c r="S14" s="351">
        <f t="shared" si="6"/>
        <v>1.1343613759231988E-4</v>
      </c>
      <c r="T14" s="354"/>
      <c r="U14" s="354"/>
      <c r="V14" s="354"/>
      <c r="W14" s="353">
        <v>1</v>
      </c>
      <c r="X14" s="350">
        <f t="shared" si="12"/>
        <v>0.1029025513793021</v>
      </c>
      <c r="Y14" s="350">
        <f t="shared" si="13"/>
        <v>1.2670503081632038E-2</v>
      </c>
      <c r="Z14" s="354">
        <f t="shared" si="9"/>
        <v>1.8951775950396021E-4</v>
      </c>
    </row>
    <row r="15" spans="1:28" s="3" customFormat="1">
      <c r="A15" s="8">
        <v>1</v>
      </c>
      <c r="B15" s="61" t="s">
        <v>550</v>
      </c>
      <c r="C15" s="1" t="s">
        <v>40</v>
      </c>
      <c r="D15" s="1" t="s">
        <v>41</v>
      </c>
      <c r="E15" s="1"/>
      <c r="F15" s="327">
        <v>700.99480761994664</v>
      </c>
      <c r="G15" s="204">
        <f t="shared" si="10"/>
        <v>700.99480761994664</v>
      </c>
      <c r="H15" s="207">
        <v>62.682857142857003</v>
      </c>
      <c r="I15" s="375">
        <f t="shared" si="2"/>
        <v>43940.357383925642</v>
      </c>
      <c r="J15" s="389"/>
      <c r="K15" s="207">
        <v>0</v>
      </c>
      <c r="L15" s="327">
        <v>0</v>
      </c>
      <c r="M15" s="327"/>
      <c r="N15" s="207">
        <v>62.682857142857003</v>
      </c>
      <c r="O15" s="375">
        <f t="shared" si="3"/>
        <v>43940.357383925642</v>
      </c>
      <c r="P15" s="362">
        <f t="shared" si="11"/>
        <v>43940.357383925642</v>
      </c>
      <c r="Q15" s="350">
        <f t="shared" si="4"/>
        <v>8.2064656686353737E-2</v>
      </c>
      <c r="R15" s="350">
        <f t="shared" si="5"/>
        <v>1.2009457998505996E-2</v>
      </c>
      <c r="S15" s="351">
        <f t="shared" si="6"/>
        <v>1.9392148987091884E-4</v>
      </c>
      <c r="T15" s="354"/>
      <c r="U15" s="354"/>
      <c r="V15" s="354"/>
      <c r="W15" s="353">
        <v>1</v>
      </c>
      <c r="X15" s="350">
        <f t="shared" si="12"/>
        <v>0.10468287234406196</v>
      </c>
      <c r="Y15" s="350">
        <f t="shared" si="13"/>
        <v>1.2919654429322804E-2</v>
      </c>
      <c r="Z15" s="354">
        <f t="shared" si="9"/>
        <v>3.2400998792500341E-4</v>
      </c>
    </row>
    <row r="16" spans="1:28" s="3" customFormat="1">
      <c r="A16" s="8">
        <v>2</v>
      </c>
      <c r="B16" s="61" t="s">
        <v>473</v>
      </c>
      <c r="C16" s="1" t="s">
        <v>73</v>
      </c>
      <c r="D16" s="1" t="s">
        <v>74</v>
      </c>
      <c r="E16" s="1"/>
      <c r="F16" s="327">
        <v>235.94180362566135</v>
      </c>
      <c r="G16" s="204">
        <f t="shared" si="10"/>
        <v>235.94180362566135</v>
      </c>
      <c r="H16" s="207">
        <v>59.940000000000005</v>
      </c>
      <c r="I16" s="375">
        <f t="shared" si="2"/>
        <v>14142.351709322142</v>
      </c>
      <c r="J16" s="389"/>
      <c r="K16" s="207">
        <v>8.5109865816269039</v>
      </c>
      <c r="L16" s="327">
        <v>2008.0975247028537</v>
      </c>
      <c r="M16" s="327"/>
      <c r="N16" s="207">
        <v>68.450986581626907</v>
      </c>
      <c r="O16" s="375">
        <f t="shared" si="3"/>
        <v>16150.449234024996</v>
      </c>
      <c r="P16" s="362">
        <f t="shared" si="11"/>
        <v>16150.449234024996</v>
      </c>
      <c r="Q16" s="350">
        <f t="shared" si="4"/>
        <v>8.2534408998514316E-2</v>
      </c>
      <c r="R16" s="350">
        <f t="shared" si="5"/>
        <v>1.2094582929512271E-2</v>
      </c>
      <c r="S16" s="351">
        <f t="shared" si="6"/>
        <v>6.5997862726587976E-5</v>
      </c>
      <c r="T16" s="354"/>
      <c r="U16" s="354"/>
      <c r="V16" s="354"/>
      <c r="W16" s="353">
        <v>1</v>
      </c>
      <c r="X16" s="350">
        <f t="shared" si="12"/>
        <v>0.10528209524113905</v>
      </c>
      <c r="Y16" s="350">
        <f t="shared" si="13"/>
        <v>1.3011230976079355E-2</v>
      </c>
      <c r="Z16" s="354">
        <f t="shared" si="9"/>
        <v>1.1027743588470225E-4</v>
      </c>
    </row>
    <row r="17" spans="1:26" s="3" customFormat="1">
      <c r="A17" s="8">
        <v>3</v>
      </c>
      <c r="B17" s="61" t="s">
        <v>475</v>
      </c>
      <c r="C17" s="1" t="s">
        <v>73</v>
      </c>
      <c r="D17" s="1" t="s">
        <v>74</v>
      </c>
      <c r="E17" s="1"/>
      <c r="F17" s="327">
        <v>88.064721726642944</v>
      </c>
      <c r="G17" s="204">
        <f t="shared" si="10"/>
        <v>88.064721726642944</v>
      </c>
      <c r="H17" s="207">
        <v>59.94</v>
      </c>
      <c r="I17" s="375">
        <f t="shared" si="2"/>
        <v>5278.5994202949778</v>
      </c>
      <c r="J17" s="389"/>
      <c r="K17" s="207">
        <v>10.696615998175238</v>
      </c>
      <c r="L17" s="327">
        <v>941.99451129605939</v>
      </c>
      <c r="M17" s="327"/>
      <c r="N17" s="207">
        <v>70.63661599817523</v>
      </c>
      <c r="O17" s="375">
        <f t="shared" si="3"/>
        <v>6220.5939315910373</v>
      </c>
      <c r="P17" s="362">
        <f t="shared" si="11"/>
        <v>6220.5939315910373</v>
      </c>
      <c r="Q17" s="350">
        <f t="shared" si="4"/>
        <v>8.2709742941101713E-2</v>
      </c>
      <c r="R17" s="350">
        <f t="shared" si="5"/>
        <v>1.2127370105990876E-2</v>
      </c>
      <c r="S17" s="351">
        <f t="shared" si="6"/>
        <v>2.4725978126202176E-5</v>
      </c>
      <c r="T17" s="354"/>
      <c r="U17" s="354"/>
      <c r="V17" s="354"/>
      <c r="W17" s="353">
        <v>1</v>
      </c>
      <c r="X17" s="350">
        <f t="shared" si="12"/>
        <v>0.10550575377418582</v>
      </c>
      <c r="Y17" s="350">
        <f t="shared" si="13"/>
        <v>1.30465030915961E-2</v>
      </c>
      <c r="Z17" s="354">
        <f t="shared" si="9"/>
        <v>4.1316466518753386E-5</v>
      </c>
    </row>
    <row r="18" spans="1:26" s="3" customFormat="1">
      <c r="A18" s="8">
        <v>2</v>
      </c>
      <c r="B18" s="61" t="s">
        <v>473</v>
      </c>
      <c r="C18" s="1" t="s">
        <v>40</v>
      </c>
      <c r="D18" s="1" t="s">
        <v>41</v>
      </c>
      <c r="E18" s="1"/>
      <c r="F18" s="327">
        <v>672.59682139033032</v>
      </c>
      <c r="G18" s="204">
        <f t="shared" si="10"/>
        <v>672.59682139033032</v>
      </c>
      <c r="H18" s="207">
        <v>78.581000000000003</v>
      </c>
      <c r="I18" s="375">
        <f t="shared" si="2"/>
        <v>52853.330821673546</v>
      </c>
      <c r="J18" s="389"/>
      <c r="K18" s="207">
        <v>0</v>
      </c>
      <c r="L18" s="327">
        <v>0</v>
      </c>
      <c r="M18" s="327"/>
      <c r="N18" s="207">
        <v>78.581000000000003</v>
      </c>
      <c r="O18" s="375">
        <f t="shared" si="3"/>
        <v>52853.330821673546</v>
      </c>
      <c r="P18" s="362">
        <f t="shared" si="11"/>
        <v>52853.330821673546</v>
      </c>
      <c r="Q18" s="350">
        <f t="shared" si="4"/>
        <v>8.4048860923353147E-2</v>
      </c>
      <c r="R18" s="350">
        <f t="shared" si="5"/>
        <v>1.2405946638101713E-2</v>
      </c>
      <c r="S18" s="351">
        <f t="shared" si="6"/>
        <v>1.9045643951375035E-4</v>
      </c>
      <c r="T18" s="354"/>
      <c r="U18" s="354"/>
      <c r="V18" s="354"/>
      <c r="W18" s="353">
        <v>1</v>
      </c>
      <c r="X18" s="350">
        <f t="shared" si="12"/>
        <v>0.10721395219296963</v>
      </c>
      <c r="Y18" s="350">
        <f t="shared" si="13"/>
        <v>1.3346192930008365E-2</v>
      </c>
      <c r="Z18" s="354">
        <f t="shared" si="9"/>
        <v>3.1828350376570487E-4</v>
      </c>
    </row>
    <row r="19" spans="1:26" s="3" customFormat="1">
      <c r="A19" s="8">
        <v>2</v>
      </c>
      <c r="B19" s="61" t="s">
        <v>549</v>
      </c>
      <c r="C19" s="1" t="s">
        <v>151</v>
      </c>
      <c r="D19" s="1" t="s">
        <v>152</v>
      </c>
      <c r="E19" s="1"/>
      <c r="F19" s="327">
        <v>32433.40982316939</v>
      </c>
      <c r="G19" s="204">
        <f t="shared" si="10"/>
        <v>32433.40982316939</v>
      </c>
      <c r="H19" s="207">
        <v>104.4330788124533</v>
      </c>
      <c r="I19" s="375">
        <f t="shared" si="2"/>
        <v>3387120.844219646</v>
      </c>
      <c r="J19" s="389"/>
      <c r="K19" s="207">
        <v>11.88973680215428</v>
      </c>
      <c r="L19" s="327">
        <v>385624.70639388921</v>
      </c>
      <c r="M19" s="327"/>
      <c r="N19" s="207">
        <v>116.32281561460758</v>
      </c>
      <c r="O19" s="375">
        <f t="shared" si="3"/>
        <v>3772745.5506135351</v>
      </c>
      <c r="P19" s="362">
        <f t="shared" si="11"/>
        <v>3772745.5506135351</v>
      </c>
      <c r="Q19" s="350">
        <f t="shared" si="4"/>
        <v>0.14862270507289516</v>
      </c>
      <c r="R19" s="350">
        <f t="shared" si="5"/>
        <v>3.22911337339266E-2</v>
      </c>
      <c r="S19" s="351">
        <f t="shared" si="6"/>
        <v>1.2138235138788707E-2</v>
      </c>
      <c r="T19" s="354"/>
      <c r="U19" s="354"/>
      <c r="V19" s="354"/>
      <c r="W19" s="353">
        <v>1</v>
      </c>
      <c r="X19" s="350">
        <f t="shared" si="12"/>
        <v>0.18958528909756817</v>
      </c>
      <c r="Y19" s="350">
        <f t="shared" si="13"/>
        <v>3.4738477708592612E-2</v>
      </c>
      <c r="Z19" s="354">
        <f t="shared" si="9"/>
        <v>2.0486951692253265E-2</v>
      </c>
    </row>
    <row r="20" spans="1:26" s="3" customFormat="1">
      <c r="A20" s="8">
        <v>3</v>
      </c>
      <c r="B20" s="61" t="s">
        <v>549</v>
      </c>
      <c r="C20" s="1" t="s">
        <v>42</v>
      </c>
      <c r="D20" s="83" t="s">
        <v>474</v>
      </c>
      <c r="E20" s="83"/>
      <c r="F20" s="204">
        <v>88938.200800044797</v>
      </c>
      <c r="G20" s="204">
        <f t="shared" si="10"/>
        <v>0</v>
      </c>
      <c r="H20" s="416">
        <v>117.10285714285716</v>
      </c>
      <c r="I20" s="375">
        <f t="shared" si="2"/>
        <v>10414917.42283039</v>
      </c>
      <c r="J20" s="389"/>
      <c r="K20" s="207">
        <v>0</v>
      </c>
      <c r="L20" s="327">
        <v>0</v>
      </c>
      <c r="M20" s="327"/>
      <c r="N20" s="416">
        <f>H20</f>
        <v>117.10285714285716</v>
      </c>
      <c r="O20" s="375">
        <f t="shared" si="3"/>
        <v>10414917.42283039</v>
      </c>
      <c r="P20" s="362">
        <f t="shared" si="11"/>
        <v>0</v>
      </c>
      <c r="Q20" s="350">
        <f t="shared" si="4"/>
        <v>0.32569571554927412</v>
      </c>
      <c r="R20" s="350">
        <f t="shared" si="5"/>
        <v>8.7185527952182054E-2</v>
      </c>
      <c r="S20" s="351">
        <f t="shared" si="6"/>
        <v>6.2832898497541798E-2</v>
      </c>
      <c r="T20" s="354"/>
      <c r="U20" s="354"/>
      <c r="V20" s="354"/>
      <c r="W20" s="353">
        <v>0</v>
      </c>
      <c r="X20" s="350">
        <f t="shared" si="12"/>
        <v>0.18958528909756817</v>
      </c>
      <c r="Y20" s="350">
        <f t="shared" si="13"/>
        <v>3.4738477708592612E-2</v>
      </c>
      <c r="Z20" s="354">
        <f t="shared" si="9"/>
        <v>0</v>
      </c>
    </row>
    <row r="21" spans="1:26" s="3" customFormat="1">
      <c r="A21" s="8">
        <v>3</v>
      </c>
      <c r="B21" s="61" t="s">
        <v>549</v>
      </c>
      <c r="C21" s="1" t="s">
        <v>73</v>
      </c>
      <c r="D21" s="1" t="s">
        <v>74</v>
      </c>
      <c r="E21" s="1"/>
      <c r="F21" s="327">
        <v>159.4840128206024</v>
      </c>
      <c r="G21" s="204">
        <f t="shared" si="10"/>
        <v>159.4840128206024</v>
      </c>
      <c r="H21" s="207">
        <v>48.55</v>
      </c>
      <c r="I21" s="375">
        <f t="shared" si="2"/>
        <v>7742.9488224402457</v>
      </c>
      <c r="J21" s="389"/>
      <c r="K21" s="207">
        <v>73.033918460853855</v>
      </c>
      <c r="L21" s="327">
        <v>11647.742388149647</v>
      </c>
      <c r="M21" s="327"/>
      <c r="N21" s="207">
        <v>121.58391846085385</v>
      </c>
      <c r="O21" s="375">
        <f t="shared" si="3"/>
        <v>19390.691210589892</v>
      </c>
      <c r="P21" s="362">
        <f t="shared" si="11"/>
        <v>19390.691210589892</v>
      </c>
      <c r="Q21" s="350">
        <f t="shared" si="4"/>
        <v>0.32601324293367095</v>
      </c>
      <c r="R21" s="350">
        <f t="shared" si="5"/>
        <v>8.7287731378696526E-2</v>
      </c>
      <c r="S21" s="351">
        <f t="shared" si="6"/>
        <v>1.5153540329254902E-4</v>
      </c>
      <c r="T21" s="354"/>
      <c r="U21" s="354"/>
      <c r="V21" s="354"/>
      <c r="W21" s="353">
        <v>1</v>
      </c>
      <c r="X21" s="350">
        <f t="shared" si="12"/>
        <v>0.18999033165777282</v>
      </c>
      <c r="Y21" s="350">
        <f t="shared" si="13"/>
        <v>3.4848427129476049E-2</v>
      </c>
      <c r="Z21" s="354">
        <f t="shared" si="9"/>
        <v>1.2555862312968539E-4</v>
      </c>
    </row>
    <row r="22" spans="1:26" s="3" customFormat="1">
      <c r="A22" s="8">
        <v>1</v>
      </c>
      <c r="B22" s="61" t="s">
        <v>549</v>
      </c>
      <c r="C22" s="1" t="s">
        <v>153</v>
      </c>
      <c r="D22" s="1" t="s">
        <v>154</v>
      </c>
      <c r="E22" s="1"/>
      <c r="F22" s="327">
        <v>755.51977508935306</v>
      </c>
      <c r="G22" s="204">
        <f t="shared" si="10"/>
        <v>755.51977508935306</v>
      </c>
      <c r="H22" s="207">
        <v>112.82318494448573</v>
      </c>
      <c r="I22" s="375">
        <f t="shared" si="2"/>
        <v>85240.14731412234</v>
      </c>
      <c r="J22" s="389"/>
      <c r="K22" s="207">
        <v>9.8635728462168881</v>
      </c>
      <c r="L22" s="327">
        <v>7452.1243383512328</v>
      </c>
      <c r="M22" s="327"/>
      <c r="N22" s="207">
        <v>122.68675779070261</v>
      </c>
      <c r="O22" s="375">
        <f t="shared" si="3"/>
        <v>92692.271652473573</v>
      </c>
      <c r="P22" s="362">
        <f t="shared" si="11"/>
        <v>92692.271652473573</v>
      </c>
      <c r="Q22" s="350">
        <f t="shared" si="4"/>
        <v>0.32751745776875946</v>
      </c>
      <c r="R22" s="350">
        <f t="shared" si="5"/>
        <v>8.7776288886595971E-2</v>
      </c>
      <c r="S22" s="351">
        <f t="shared" si="6"/>
        <v>7.197166788090924E-4</v>
      </c>
      <c r="T22" s="354"/>
      <c r="U22" s="354"/>
      <c r="V22" s="354"/>
      <c r="W22" s="353">
        <v>1</v>
      </c>
      <c r="X22" s="350">
        <f t="shared" si="12"/>
        <v>0.19190913002868953</v>
      </c>
      <c r="Y22" s="350">
        <f t="shared" si="13"/>
        <v>3.5374012394997371E-2</v>
      </c>
      <c r="Z22" s="354">
        <f t="shared" si="9"/>
        <v>5.9804536237659679E-4</v>
      </c>
    </row>
    <row r="23" spans="1:26" s="3" customFormat="1">
      <c r="A23" s="8">
        <v>2</v>
      </c>
      <c r="B23" s="61" t="s">
        <v>549</v>
      </c>
      <c r="C23" s="1" t="s">
        <v>42</v>
      </c>
      <c r="D23" s="83" t="s">
        <v>474</v>
      </c>
      <c r="E23" s="83"/>
      <c r="F23" s="204">
        <v>6316.5595146260684</v>
      </c>
      <c r="G23" s="204">
        <f t="shared" si="10"/>
        <v>0</v>
      </c>
      <c r="H23" s="416">
        <v>123.61340571428573</v>
      </c>
      <c r="I23" s="375">
        <f t="shared" si="2"/>
        <v>780811.43399990397</v>
      </c>
      <c r="J23" s="389"/>
      <c r="K23" s="207">
        <v>0</v>
      </c>
      <c r="L23" s="327">
        <v>0</v>
      </c>
      <c r="M23" s="327"/>
      <c r="N23" s="416">
        <f>H23</f>
        <v>123.61340571428573</v>
      </c>
      <c r="O23" s="375">
        <f t="shared" si="3"/>
        <v>780811.43399990397</v>
      </c>
      <c r="P23" s="362">
        <f t="shared" si="11"/>
        <v>0</v>
      </c>
      <c r="Q23" s="350">
        <f t="shared" si="4"/>
        <v>0.34009351843837771</v>
      </c>
      <c r="R23" s="350">
        <f t="shared" si="5"/>
        <v>9.1891748369179529E-2</v>
      </c>
      <c r="S23" s="351">
        <f t="shared" si="6"/>
        <v>6.1364000035641596E-3</v>
      </c>
      <c r="T23" s="354"/>
      <c r="U23" s="354"/>
      <c r="V23" s="354"/>
      <c r="W23" s="353">
        <v>0</v>
      </c>
      <c r="X23" s="350">
        <f t="shared" si="12"/>
        <v>0.19190913002868953</v>
      </c>
      <c r="Y23" s="350">
        <f t="shared" si="13"/>
        <v>3.5374012394997371E-2</v>
      </c>
      <c r="Z23" s="354">
        <f t="shared" si="9"/>
        <v>0</v>
      </c>
    </row>
    <row r="24" spans="1:26" s="3" customFormat="1">
      <c r="A24" s="8">
        <v>3</v>
      </c>
      <c r="B24" s="61" t="s">
        <v>549</v>
      </c>
      <c r="C24" s="1" t="s">
        <v>151</v>
      </c>
      <c r="D24" s="1" t="s">
        <v>152</v>
      </c>
      <c r="E24" s="1"/>
      <c r="F24" s="327">
        <v>6921.9195493771931</v>
      </c>
      <c r="G24" s="204">
        <f t="shared" si="10"/>
        <v>6921.9195493771931</v>
      </c>
      <c r="H24" s="207">
        <v>106.84</v>
      </c>
      <c r="I24" s="375">
        <f t="shared" si="2"/>
        <v>739537.88465545932</v>
      </c>
      <c r="J24" s="389"/>
      <c r="K24" s="207">
        <v>20.42587050113076</v>
      </c>
      <c r="L24" s="327">
        <v>141386.23233482393</v>
      </c>
      <c r="M24" s="327"/>
      <c r="N24" s="207">
        <v>127.26587050113076</v>
      </c>
      <c r="O24" s="375">
        <f t="shared" si="3"/>
        <v>880924.11699028325</v>
      </c>
      <c r="P24" s="362">
        <f t="shared" si="11"/>
        <v>880924.11699028325</v>
      </c>
      <c r="Q24" s="350">
        <f t="shared" si="4"/>
        <v>0.35387483087620364</v>
      </c>
      <c r="R24" s="350">
        <f t="shared" si="5"/>
        <v>9.6534876470073416E-2</v>
      </c>
      <c r="S24" s="351">
        <f t="shared" si="6"/>
        <v>6.9670284553518128E-3</v>
      </c>
      <c r="T24" s="354"/>
      <c r="U24" s="354"/>
      <c r="V24" s="354"/>
      <c r="W24" s="353">
        <v>1</v>
      </c>
      <c r="X24" s="350">
        <f t="shared" si="12"/>
        <v>0.20948877306766986</v>
      </c>
      <c r="Y24" s="350">
        <f t="shared" si="13"/>
        <v>4.0369043023531115E-2</v>
      </c>
      <c r="Z24" s="354">
        <f t="shared" si="9"/>
        <v>5.7248959760897783E-3</v>
      </c>
    </row>
    <row r="25" spans="1:26" s="3" customFormat="1">
      <c r="A25" s="8">
        <v>1</v>
      </c>
      <c r="B25" s="61" t="s">
        <v>549</v>
      </c>
      <c r="C25" s="1" t="s">
        <v>151</v>
      </c>
      <c r="D25" s="1" t="s">
        <v>152</v>
      </c>
      <c r="E25" s="1"/>
      <c r="F25" s="327">
        <v>20644.363654471883</v>
      </c>
      <c r="G25" s="204">
        <f t="shared" si="10"/>
        <v>20644.363654471883</v>
      </c>
      <c r="H25" s="207">
        <v>111.34355725743856</v>
      </c>
      <c r="I25" s="375">
        <f t="shared" si="2"/>
        <v>2298616.8866050737</v>
      </c>
      <c r="J25" s="389"/>
      <c r="K25" s="207">
        <v>20.787398802654131</v>
      </c>
      <c r="L25" s="327">
        <v>429142.62031252531</v>
      </c>
      <c r="M25" s="327"/>
      <c r="N25" s="207">
        <v>132.1309560600927</v>
      </c>
      <c r="O25" s="375">
        <f t="shared" si="3"/>
        <v>2727759.5069175991</v>
      </c>
      <c r="P25" s="362">
        <f t="shared" si="11"/>
        <v>2727759.5069175991</v>
      </c>
      <c r="Q25" s="350">
        <f t="shared" si="4"/>
        <v>0.39497707478020483</v>
      </c>
      <c r="R25" s="350">
        <f t="shared" si="5"/>
        <v>0.11091220656556594</v>
      </c>
      <c r="S25" s="351">
        <f t="shared" si="6"/>
        <v>2.2252953070161355E-2</v>
      </c>
      <c r="T25" s="354"/>
      <c r="U25" s="354"/>
      <c r="V25" s="354"/>
      <c r="W25" s="353">
        <v>1</v>
      </c>
      <c r="X25" s="350">
        <f t="shared" si="12"/>
        <v>0.26191939454826318</v>
      </c>
      <c r="Y25" s="350">
        <f t="shared" si="13"/>
        <v>5.583603049900035E-2</v>
      </c>
      <c r="Z25" s="354">
        <f t="shared" si="9"/>
        <v>1.967213140475858E-2</v>
      </c>
    </row>
    <row r="26" spans="1:26" s="3" customFormat="1">
      <c r="A26" s="8">
        <v>1</v>
      </c>
      <c r="B26" s="61" t="s">
        <v>550</v>
      </c>
      <c r="C26" s="1" t="s">
        <v>153</v>
      </c>
      <c r="D26" s="1" t="s">
        <v>154</v>
      </c>
      <c r="E26" s="1"/>
      <c r="F26" s="375">
        <v>69.082778663239068</v>
      </c>
      <c r="G26" s="204">
        <f t="shared" si="10"/>
        <v>69.082778663239068</v>
      </c>
      <c r="H26" s="207">
        <v>125.36571428571429</v>
      </c>
      <c r="I26" s="375">
        <f t="shared" si="2"/>
        <v>8660.611891958868</v>
      </c>
      <c r="J26" s="389"/>
      <c r="K26" s="207">
        <v>9.5227728887351333</v>
      </c>
      <c r="L26" s="327">
        <v>657.85961173278292</v>
      </c>
      <c r="M26" s="327"/>
      <c r="N26" s="207">
        <v>134.88848717444944</v>
      </c>
      <c r="O26" s="375">
        <f t="shared" si="3"/>
        <v>9318.4715036916514</v>
      </c>
      <c r="P26" s="362">
        <f t="shared" si="11"/>
        <v>9318.4715036916514</v>
      </c>
      <c r="Q26" s="350">
        <f t="shared" si="4"/>
        <v>0.39511461630319422</v>
      </c>
      <c r="R26" s="350">
        <f t="shared" si="5"/>
        <v>0.11096132187080243</v>
      </c>
      <c r="S26" s="351">
        <f t="shared" si="6"/>
        <v>7.8153591480707114E-5</v>
      </c>
      <c r="T26" s="354"/>
      <c r="U26" s="354"/>
      <c r="V26" s="354"/>
      <c r="W26" s="353">
        <v>1</v>
      </c>
      <c r="X26" s="350">
        <f t="shared" si="12"/>
        <v>0.26209484451996212</v>
      </c>
      <c r="Y26" s="350">
        <f t="shared" si="13"/>
        <v>5.5888868251622092E-2</v>
      </c>
      <c r="Z26" s="354">
        <f t="shared" si="9"/>
        <v>7.2336153090497127E-5</v>
      </c>
    </row>
    <row r="27" spans="1:26" s="3" customFormat="1">
      <c r="A27" s="8">
        <v>1</v>
      </c>
      <c r="B27" s="61" t="s">
        <v>550</v>
      </c>
      <c r="C27" s="1" t="s">
        <v>151</v>
      </c>
      <c r="D27" s="1" t="s">
        <v>152</v>
      </c>
      <c r="E27" s="1"/>
      <c r="F27" s="327">
        <v>104.9526829691517</v>
      </c>
      <c r="G27" s="204">
        <f t="shared" si="10"/>
        <v>104.9526829691517</v>
      </c>
      <c r="H27" s="207">
        <v>125.36571428571428</v>
      </c>
      <c r="I27" s="375">
        <f t="shared" si="2"/>
        <v>13157.468066629823</v>
      </c>
      <c r="J27" s="389"/>
      <c r="K27" s="207">
        <v>15.390594119999999</v>
      </c>
      <c r="L27" s="327">
        <v>1615.2841453832502</v>
      </c>
      <c r="M27" s="327"/>
      <c r="N27" s="207">
        <v>140.75630840571426</v>
      </c>
      <c r="O27" s="375">
        <f t="shared" si="3"/>
        <v>14772.752212013072</v>
      </c>
      <c r="P27" s="362">
        <f t="shared" si="11"/>
        <v>14772.752212013072</v>
      </c>
      <c r="Q27" s="350">
        <f t="shared" si="4"/>
        <v>0.39532357361696652</v>
      </c>
      <c r="R27" s="350">
        <f t="shared" si="5"/>
        <v>0.11103918530943491</v>
      </c>
      <c r="S27" s="351">
        <f t="shared" si="6"/>
        <v>1.1877921123228277E-4</v>
      </c>
      <c r="T27" s="354"/>
      <c r="U27" s="354"/>
      <c r="V27" s="354"/>
      <c r="W27" s="353">
        <v>1</v>
      </c>
      <c r="X27" s="350">
        <f t="shared" si="12"/>
        <v>0.26236139351542781</v>
      </c>
      <c r="Y27" s="350">
        <f t="shared" si="13"/>
        <v>5.5972632957734185E-2</v>
      </c>
      <c r="Z27" s="354">
        <f t="shared" si="9"/>
        <v>1.0997671263540894E-4</v>
      </c>
    </row>
    <row r="28" spans="1:26" s="3" customFormat="1">
      <c r="A28" s="8">
        <v>3</v>
      </c>
      <c r="B28" s="61" t="s">
        <v>549</v>
      </c>
      <c r="C28" s="1" t="s">
        <v>118</v>
      </c>
      <c r="D28" s="83" t="s">
        <v>119</v>
      </c>
      <c r="E28" s="83"/>
      <c r="F28" s="327">
        <v>10810</v>
      </c>
      <c r="G28" s="204">
        <f t="shared" si="10"/>
        <v>0</v>
      </c>
      <c r="H28" s="207">
        <v>153.28962840000003</v>
      </c>
      <c r="I28" s="375">
        <f t="shared" si="2"/>
        <v>1657060.8830040002</v>
      </c>
      <c r="J28" s="389"/>
      <c r="K28" s="207">
        <v>0</v>
      </c>
      <c r="L28" s="327">
        <v>0</v>
      </c>
      <c r="M28" s="327"/>
      <c r="N28" s="207">
        <v>153.28962840000003</v>
      </c>
      <c r="O28" s="375">
        <f t="shared" si="3"/>
        <v>1657060.8830040002</v>
      </c>
      <c r="P28" s="362">
        <f t="shared" si="11"/>
        <v>0</v>
      </c>
      <c r="Q28" s="350">
        <f t="shared" si="4"/>
        <v>0.41684592538516974</v>
      </c>
      <c r="R28" s="350">
        <f t="shared" si="5"/>
        <v>0.11977313390089206</v>
      </c>
      <c r="S28" s="351">
        <f t="shared" si="6"/>
        <v>1.2512173726449883E-2</v>
      </c>
      <c r="T28" s="354"/>
      <c r="U28" s="57">
        <f>(0.4-Q27)/(Q28-Q27)</f>
        <v>0.21728231344784465</v>
      </c>
      <c r="V28" s="57">
        <f>100*(R27+(U28*(R28-R27)))</f>
        <v>11.293691786492126</v>
      </c>
      <c r="W28" s="353">
        <v>0</v>
      </c>
      <c r="X28" s="350">
        <f t="shared" si="12"/>
        <v>0.26236139351542781</v>
      </c>
      <c r="Y28" s="350">
        <f t="shared" si="13"/>
        <v>5.5972632957734185E-2</v>
      </c>
      <c r="Z28" s="354">
        <f t="shared" si="9"/>
        <v>0</v>
      </c>
    </row>
    <row r="29" spans="1:26" s="3" customFormat="1">
      <c r="A29" s="8">
        <v>3</v>
      </c>
      <c r="B29" s="61" t="s">
        <v>549</v>
      </c>
      <c r="C29" s="1" t="s">
        <v>120</v>
      </c>
      <c r="D29" s="83" t="s">
        <v>189</v>
      </c>
      <c r="E29" s="83"/>
      <c r="F29" s="375">
        <v>690</v>
      </c>
      <c r="G29" s="204">
        <f t="shared" si="10"/>
        <v>0</v>
      </c>
      <c r="H29" s="207">
        <v>153.28962840000003</v>
      </c>
      <c r="I29" s="375">
        <f t="shared" si="2"/>
        <v>105769.84359600002</v>
      </c>
      <c r="J29" s="389"/>
      <c r="K29" s="207">
        <v>0</v>
      </c>
      <c r="L29" s="327">
        <v>0</v>
      </c>
      <c r="M29" s="327"/>
      <c r="N29" s="207">
        <v>153.28962840000003</v>
      </c>
      <c r="O29" s="375">
        <f t="shared" si="3"/>
        <v>105769.84359600002</v>
      </c>
      <c r="P29" s="362">
        <f t="shared" si="11"/>
        <v>0</v>
      </c>
      <c r="Q29" s="350">
        <f t="shared" si="4"/>
        <v>0.41821969251931035</v>
      </c>
      <c r="R29" s="350">
        <f t="shared" si="5"/>
        <v>0.12033061998119783</v>
      </c>
      <c r="S29" s="351">
        <f t="shared" si="6"/>
        <v>8.1733905486099611E-4</v>
      </c>
      <c r="T29" s="354"/>
      <c r="U29"/>
      <c r="V29" s="57">
        <f>100-V28</f>
        <v>88.706308213507867</v>
      </c>
      <c r="W29" s="353">
        <v>0</v>
      </c>
      <c r="X29" s="350">
        <f t="shared" si="12"/>
        <v>0.26236139351542781</v>
      </c>
      <c r="Y29" s="350">
        <f t="shared" si="13"/>
        <v>5.5972632957734185E-2</v>
      </c>
      <c r="Z29" s="354">
        <f t="shared" si="9"/>
        <v>0</v>
      </c>
    </row>
    <row r="30" spans="1:26" s="3" customFormat="1">
      <c r="A30" s="8">
        <v>2</v>
      </c>
      <c r="B30" s="61" t="s">
        <v>473</v>
      </c>
      <c r="C30" s="1" t="s">
        <v>151</v>
      </c>
      <c r="D30" s="1" t="s">
        <v>152</v>
      </c>
      <c r="E30" s="1"/>
      <c r="F30" s="327">
        <v>1139.8754213249404</v>
      </c>
      <c r="G30" s="204">
        <f t="shared" si="10"/>
        <v>1139.8754213249404</v>
      </c>
      <c r="H30" s="207">
        <v>157.16200000000001</v>
      </c>
      <c r="I30" s="375">
        <f t="shared" si="2"/>
        <v>179145.10096627029</v>
      </c>
      <c r="J30" s="389"/>
      <c r="K30" s="207">
        <v>1.7042720512331457</v>
      </c>
      <c r="L30" s="327">
        <v>1942.6578224517023</v>
      </c>
      <c r="M30" s="327"/>
      <c r="N30" s="207">
        <v>158.86627205123315</v>
      </c>
      <c r="O30" s="375">
        <f t="shared" si="3"/>
        <v>181087.75878872199</v>
      </c>
      <c r="P30" s="362">
        <f t="shared" si="11"/>
        <v>181087.75878872199</v>
      </c>
      <c r="Q30" s="350">
        <f t="shared" si="4"/>
        <v>0.42048914670892035</v>
      </c>
      <c r="R30" s="350">
        <f t="shared" si="5"/>
        <v>0.12128508773312235</v>
      </c>
      <c r="S30" s="351">
        <f t="shared" si="6"/>
        <v>1.3550755089015978E-3</v>
      </c>
      <c r="T30" s="354"/>
      <c r="U30" s="57">
        <f>(SUM(O$10:O27)+((1-U28)*O27))/(SUM(F$10:F27)+(U28*F28))</f>
        <v>104.91713986501186</v>
      </c>
      <c r="V30" s="57"/>
      <c r="W30" s="353">
        <v>1</v>
      </c>
      <c r="X30" s="350">
        <f t="shared" si="12"/>
        <v>0.26525634236203827</v>
      </c>
      <c r="Y30" s="350">
        <f t="shared" si="13"/>
        <v>5.6999439789510567E-2</v>
      </c>
      <c r="Z30" s="354">
        <f t="shared" si="9"/>
        <v>1.2003779842308623E-3</v>
      </c>
    </row>
    <row r="31" spans="1:26" s="3" customFormat="1">
      <c r="A31" s="8">
        <v>1</v>
      </c>
      <c r="B31" s="61" t="s">
        <v>549</v>
      </c>
      <c r="C31" s="1" t="s">
        <v>42</v>
      </c>
      <c r="D31" s="83" t="s">
        <v>597</v>
      </c>
      <c r="E31" s="83"/>
      <c r="F31" s="327">
        <v>780.82950551405679</v>
      </c>
      <c r="G31" s="204">
        <f t="shared" si="10"/>
        <v>0</v>
      </c>
      <c r="H31" s="207">
        <v>168.71165304428573</v>
      </c>
      <c r="I31" s="375">
        <f t="shared" si="2"/>
        <v>131735.03662102873</v>
      </c>
      <c r="J31" s="389"/>
      <c r="K31" s="207">
        <v>0</v>
      </c>
      <c r="L31" s="327">
        <v>0</v>
      </c>
      <c r="M31" s="327"/>
      <c r="N31" s="207">
        <v>168.71165304428573</v>
      </c>
      <c r="O31" s="375">
        <f t="shared" si="3"/>
        <v>131735.03662102873</v>
      </c>
      <c r="P31" s="362">
        <f t="shared" si="11"/>
        <v>0</v>
      </c>
      <c r="Q31" s="350">
        <f t="shared" si="4"/>
        <v>0.42204375237854713</v>
      </c>
      <c r="R31" s="350">
        <f t="shared" si="5"/>
        <v>0.12197942977531455</v>
      </c>
      <c r="S31" s="351">
        <f t="shared" si="6"/>
        <v>9.3162602363082848E-4</v>
      </c>
      <c r="T31" s="354"/>
      <c r="U31" s="354"/>
      <c r="V31" s="354"/>
      <c r="W31" s="353">
        <v>0</v>
      </c>
      <c r="X31" s="350">
        <f t="shared" si="12"/>
        <v>0.26525634236203827</v>
      </c>
      <c r="Y31" s="350">
        <f t="shared" si="13"/>
        <v>5.6999439789510567E-2</v>
      </c>
      <c r="Z31" s="354">
        <f t="shared" si="9"/>
        <v>0</v>
      </c>
    </row>
    <row r="32" spans="1:26" s="3" customFormat="1">
      <c r="A32" s="8">
        <v>2</v>
      </c>
      <c r="B32" s="61" t="s">
        <v>473</v>
      </c>
      <c r="C32" s="1" t="s">
        <v>153</v>
      </c>
      <c r="D32" s="1" t="s">
        <v>154</v>
      </c>
      <c r="E32" s="1"/>
      <c r="F32" s="327">
        <v>230.56324860782343</v>
      </c>
      <c r="G32" s="204">
        <f t="shared" si="10"/>
        <v>230.56324860782343</v>
      </c>
      <c r="H32" s="207">
        <v>157.16199999999998</v>
      </c>
      <c r="I32" s="375">
        <f t="shared" si="2"/>
        <v>36235.781277702743</v>
      </c>
      <c r="J32" s="389"/>
      <c r="K32" s="207">
        <v>46.577391234428333</v>
      </c>
      <c r="L32" s="327">
        <v>10739.034634687356</v>
      </c>
      <c r="M32" s="327"/>
      <c r="N32" s="207">
        <v>203.73939123442833</v>
      </c>
      <c r="O32" s="375">
        <f t="shared" si="3"/>
        <v>46974.815912390099</v>
      </c>
      <c r="P32" s="362">
        <f t="shared" si="11"/>
        <v>46974.815912390099</v>
      </c>
      <c r="Q32" s="350">
        <f t="shared" si="4"/>
        <v>0.42250279616590675</v>
      </c>
      <c r="R32" s="350">
        <f t="shared" si="5"/>
        <v>0.12222702214290952</v>
      </c>
      <c r="S32" s="351">
        <f t="shared" si="6"/>
        <v>2.7558239165914128E-4</v>
      </c>
      <c r="T32" s="354"/>
      <c r="U32" s="354"/>
      <c r="V32" s="354"/>
      <c r="W32" s="353">
        <v>1</v>
      </c>
      <c r="X32" s="350">
        <f t="shared" si="12"/>
        <v>0.26584190530877866</v>
      </c>
      <c r="Y32" s="350">
        <f t="shared" si="13"/>
        <v>5.7265797174586804E-2</v>
      </c>
      <c r="Z32" s="354">
        <f t="shared" si="9"/>
        <v>2.4408196604809617E-4</v>
      </c>
    </row>
    <row r="33" spans="1:29" s="3" customFormat="1">
      <c r="A33" s="8">
        <v>2</v>
      </c>
      <c r="B33" s="61" t="s">
        <v>549</v>
      </c>
      <c r="C33" s="1" t="s">
        <v>153</v>
      </c>
      <c r="D33" s="1" t="s">
        <v>154</v>
      </c>
      <c r="E33" s="1"/>
      <c r="F33" s="327">
        <v>2003.1246358252829</v>
      </c>
      <c r="G33" s="204">
        <f t="shared" si="10"/>
        <v>2003.1246358252829</v>
      </c>
      <c r="H33" s="207">
        <v>104.1336143104833</v>
      </c>
      <c r="I33" s="375">
        <f t="shared" si="2"/>
        <v>208592.60824285733</v>
      </c>
      <c r="J33" s="389"/>
      <c r="K33" s="207">
        <v>103.73041865894788</v>
      </c>
      <c r="L33" s="327">
        <v>207784.95710020911</v>
      </c>
      <c r="M33" s="327"/>
      <c r="N33" s="207">
        <v>207.86403296943121</v>
      </c>
      <c r="O33" s="375">
        <f t="shared" si="3"/>
        <v>416377.56534306647</v>
      </c>
      <c r="P33" s="362">
        <f t="shared" si="11"/>
        <v>416377.56534306647</v>
      </c>
      <c r="Q33" s="350">
        <f t="shared" si="4"/>
        <v>0.42649095093443457</v>
      </c>
      <c r="R33" s="350">
        <f t="shared" si="5"/>
        <v>0.1244216429245852</v>
      </c>
      <c r="S33" s="351">
        <f t="shared" si="6"/>
        <v>2.4022454112085775E-3</v>
      </c>
      <c r="T33" s="354"/>
      <c r="U33" s="354"/>
      <c r="V33" s="354"/>
      <c r="W33" s="353">
        <v>1</v>
      </c>
      <c r="X33" s="350">
        <f t="shared" si="12"/>
        <v>0.27092925366774134</v>
      </c>
      <c r="Y33" s="350">
        <f t="shared" si="13"/>
        <v>5.9626748193874049E-2</v>
      </c>
      <c r="Z33" s="354">
        <f t="shared" si="9"/>
        <v>2.1360687759024869E-3</v>
      </c>
    </row>
    <row r="34" spans="1:29" s="3" customFormat="1">
      <c r="A34" s="8">
        <v>2</v>
      </c>
      <c r="B34" s="61" t="s">
        <v>549</v>
      </c>
      <c r="C34" s="1" t="s">
        <v>234</v>
      </c>
      <c r="D34" s="1" t="s">
        <v>72</v>
      </c>
      <c r="E34" s="1"/>
      <c r="F34" s="327">
        <v>7141</v>
      </c>
      <c r="G34" s="204">
        <f t="shared" si="10"/>
        <v>7141</v>
      </c>
      <c r="H34" s="207">
        <v>185.90456049852691</v>
      </c>
      <c r="I34" s="375">
        <f t="shared" si="2"/>
        <v>1327544.4665199807</v>
      </c>
      <c r="J34" s="389"/>
      <c r="K34" s="207">
        <v>36.158979790344837</v>
      </c>
      <c r="L34" s="327">
        <v>258211.2746828525</v>
      </c>
      <c r="M34" s="327"/>
      <c r="N34" s="207">
        <v>222.06354028887174</v>
      </c>
      <c r="O34" s="375">
        <f t="shared" si="3"/>
        <v>1585755.7412028331</v>
      </c>
      <c r="P34" s="362">
        <f t="shared" si="11"/>
        <v>1585755.7412028331</v>
      </c>
      <c r="Q34" s="350">
        <f t="shared" si="4"/>
        <v>0.44070844528935954</v>
      </c>
      <c r="R34" s="350">
        <f t="shared" si="5"/>
        <v>0.13277976015752946</v>
      </c>
      <c r="S34" s="351">
        <f t="shared" si="6"/>
        <v>8.6726430240073923E-3</v>
      </c>
      <c r="T34" s="354"/>
      <c r="U34" s="354"/>
      <c r="V34" s="354"/>
      <c r="W34" s="353">
        <v>1</v>
      </c>
      <c r="X34" s="350">
        <f t="shared" si="12"/>
        <v>0.28906529671849507</v>
      </c>
      <c r="Y34" s="350">
        <f t="shared" si="13"/>
        <v>6.86183268598589E-2</v>
      </c>
      <c r="Z34" s="354">
        <f t="shared" si="9"/>
        <v>7.8302270717706159E-3</v>
      </c>
    </row>
    <row r="35" spans="1:29" s="3" customFormat="1">
      <c r="A35" s="8">
        <v>3</v>
      </c>
      <c r="B35" s="61" t="s">
        <v>475</v>
      </c>
      <c r="C35" s="1" t="s">
        <v>151</v>
      </c>
      <c r="D35" s="1" t="s">
        <v>152</v>
      </c>
      <c r="E35" s="1"/>
      <c r="F35" s="327">
        <v>563.64255215446599</v>
      </c>
      <c r="G35" s="204">
        <f t="shared" si="10"/>
        <v>563.64255215446599</v>
      </c>
      <c r="H35" s="207">
        <v>179.68</v>
      </c>
      <c r="I35" s="375">
        <f t="shared" si="2"/>
        <v>101275.29377111445</v>
      </c>
      <c r="J35" s="389"/>
      <c r="K35" s="207">
        <v>55.068807800582213</v>
      </c>
      <c r="L35" s="327">
        <v>31039.123372823924</v>
      </c>
      <c r="M35" s="327"/>
      <c r="N35" s="207">
        <v>234.7488078005822</v>
      </c>
      <c r="O35" s="375">
        <f t="shared" si="3"/>
        <v>132314.41714393836</v>
      </c>
      <c r="P35" s="362">
        <f t="shared" si="11"/>
        <v>132314.41714393836</v>
      </c>
      <c r="Q35" s="350">
        <f t="shared" si="4"/>
        <v>0.44183063893218988</v>
      </c>
      <c r="R35" s="350">
        <f t="shared" si="5"/>
        <v>0.1334771559678444</v>
      </c>
      <c r="S35" s="351">
        <f t="shared" si="6"/>
        <v>6.9158793122722599E-4</v>
      </c>
      <c r="T35" s="354"/>
      <c r="U35" s="354"/>
      <c r="V35" s="354"/>
      <c r="W35" s="353">
        <v>1</v>
      </c>
      <c r="X35" s="350">
        <f t="shared" si="12"/>
        <v>0.29049678328775846</v>
      </c>
      <c r="Y35" s="350">
        <f t="shared" si="13"/>
        <v>6.9368578275938425E-2</v>
      </c>
      <c r="Z35" s="354">
        <f t="shared" si="9"/>
        <v>6.3210893214719346E-4</v>
      </c>
    </row>
    <row r="36" spans="1:29" s="3" customFormat="1">
      <c r="A36" s="8">
        <v>3</v>
      </c>
      <c r="B36" s="61" t="s">
        <v>549</v>
      </c>
      <c r="C36" s="1" t="s">
        <v>153</v>
      </c>
      <c r="D36" s="1" t="s">
        <v>154</v>
      </c>
      <c r="E36" s="1"/>
      <c r="F36" s="327">
        <v>7721.8719526795594</v>
      </c>
      <c r="G36" s="204">
        <f t="shared" si="10"/>
        <v>7721.8719526795594</v>
      </c>
      <c r="H36" s="207">
        <v>106.84</v>
      </c>
      <c r="I36" s="375">
        <f t="shared" si="2"/>
        <v>825004.79942428414</v>
      </c>
      <c r="J36" s="389"/>
      <c r="K36" s="207">
        <v>145.49550280818184</v>
      </c>
      <c r="L36" s="327">
        <v>1123497.6423755095</v>
      </c>
      <c r="M36" s="327"/>
      <c r="N36" s="207">
        <v>252.33550280818184</v>
      </c>
      <c r="O36" s="375">
        <f t="shared" si="3"/>
        <v>1948502.4417997936</v>
      </c>
      <c r="P36" s="362">
        <f t="shared" si="11"/>
        <v>1948502.4417997936</v>
      </c>
      <c r="Q36" s="350">
        <f t="shared" si="4"/>
        <v>0.45720463009542683</v>
      </c>
      <c r="R36" s="350">
        <f t="shared" si="5"/>
        <v>0.14374721926579448</v>
      </c>
      <c r="S36" s="351">
        <f t="shared" si="6"/>
        <v>9.5597151863930883E-3</v>
      </c>
      <c r="T36" s="354"/>
      <c r="U36" s="354"/>
      <c r="V36" s="354"/>
      <c r="W36" s="353">
        <v>1</v>
      </c>
      <c r="X36" s="350">
        <f t="shared" si="12"/>
        <v>0.31010807052570888</v>
      </c>
      <c r="Y36" s="350">
        <f t="shared" si="13"/>
        <v>8.0417009336964884E-2</v>
      </c>
      <c r="Z36" s="354">
        <f t="shared" si="9"/>
        <v>8.8411461218612913E-3</v>
      </c>
    </row>
    <row r="37" spans="1:29" s="3" customFormat="1">
      <c r="A37" s="8">
        <v>2</v>
      </c>
      <c r="B37" s="61" t="s">
        <v>549</v>
      </c>
      <c r="C37" s="1" t="s">
        <v>239</v>
      </c>
      <c r="D37" s="1" t="s">
        <v>240</v>
      </c>
      <c r="E37" s="1"/>
      <c r="F37" s="327">
        <v>17516</v>
      </c>
      <c r="G37" s="204">
        <f t="shared" si="10"/>
        <v>17516</v>
      </c>
      <c r="H37" s="207">
        <v>206.16256049852689</v>
      </c>
      <c r="I37" s="375">
        <f t="shared" si="2"/>
        <v>3611143.4096921971</v>
      </c>
      <c r="J37" s="389"/>
      <c r="K37" s="207">
        <v>67.431750379005322</v>
      </c>
      <c r="L37" s="327">
        <v>1181134.5396386571</v>
      </c>
      <c r="M37" s="327"/>
      <c r="N37" s="207">
        <v>273.59431087753222</v>
      </c>
      <c r="O37" s="375">
        <f t="shared" si="3"/>
        <v>4792277.9493308542</v>
      </c>
      <c r="P37" s="362">
        <f t="shared" si="11"/>
        <v>4792277.9493308542</v>
      </c>
      <c r="Q37" s="350">
        <f t="shared" si="4"/>
        <v>0.49207840563398814</v>
      </c>
      <c r="R37" s="350">
        <f t="shared" si="5"/>
        <v>0.16900610364036961</v>
      </c>
      <c r="S37" s="351">
        <f t="shared" si="6"/>
        <v>2.2198194328622939E-2</v>
      </c>
      <c r="T37" s="354"/>
      <c r="U37" s="354"/>
      <c r="V37" s="354"/>
      <c r="W37" s="353">
        <v>1</v>
      </c>
      <c r="X37" s="350">
        <f t="shared" si="12"/>
        <v>0.35459356696556349</v>
      </c>
      <c r="Y37" s="350">
        <f t="shared" si="13"/>
        <v>0.10759026373615002</v>
      </c>
      <c r="Z37" s="354">
        <f t="shared" si="9"/>
        <v>2.1205985451222698E-2</v>
      </c>
    </row>
    <row r="38" spans="1:29" s="3" customFormat="1">
      <c r="A38" s="8">
        <v>2</v>
      </c>
      <c r="B38" s="61" t="s">
        <v>473</v>
      </c>
      <c r="C38" s="1" t="s">
        <v>42</v>
      </c>
      <c r="D38" s="83" t="s">
        <v>474</v>
      </c>
      <c r="E38" s="83"/>
      <c r="F38" s="204">
        <v>986.63250000000005</v>
      </c>
      <c r="G38" s="204">
        <f t="shared" si="10"/>
        <v>0</v>
      </c>
      <c r="H38" s="416">
        <v>279.77170731428572</v>
      </c>
      <c r="I38" s="375">
        <f t="shared" si="2"/>
        <v>276031.859016762</v>
      </c>
      <c r="J38" s="389"/>
      <c r="K38" s="207">
        <v>0</v>
      </c>
      <c r="L38" s="327"/>
      <c r="M38" s="327"/>
      <c r="N38" s="416">
        <v>279.77170731428572</v>
      </c>
      <c r="O38" s="375">
        <f t="shared" si="3"/>
        <v>276031.859016762</v>
      </c>
      <c r="P38" s="362">
        <f t="shared" si="11"/>
        <v>0</v>
      </c>
      <c r="Q38" s="350">
        <f t="shared" si="4"/>
        <v>0.49404275824554611</v>
      </c>
      <c r="R38" s="350">
        <f t="shared" si="5"/>
        <v>0.17046099771878528</v>
      </c>
      <c r="S38" s="351">
        <f t="shared" si="6"/>
        <v>1.2702565964864802E-3</v>
      </c>
      <c r="T38" s="354"/>
      <c r="U38" s="354"/>
      <c r="V38" s="354"/>
      <c r="W38" s="353">
        <v>0</v>
      </c>
      <c r="X38" s="350">
        <f t="shared" si="12"/>
        <v>0.35459356696556349</v>
      </c>
      <c r="Y38" s="350">
        <f t="shared" si="13"/>
        <v>0.10759026373615002</v>
      </c>
      <c r="Z38" s="354">
        <f t="shared" si="9"/>
        <v>0</v>
      </c>
    </row>
    <row r="39" spans="1:29" s="3" customFormat="1">
      <c r="A39" s="8">
        <v>2</v>
      </c>
      <c r="B39" s="61" t="s">
        <v>549</v>
      </c>
      <c r="C39" s="1" t="s">
        <v>117</v>
      </c>
      <c r="D39" s="1" t="s">
        <v>554</v>
      </c>
      <c r="E39" s="1"/>
      <c r="F39" s="375">
        <v>8522.9731000000011</v>
      </c>
      <c r="G39" s="204">
        <f t="shared" si="10"/>
        <v>8522.9731000000011</v>
      </c>
      <c r="H39" s="207">
        <v>198.99997394101834</v>
      </c>
      <c r="I39" s="375">
        <f t="shared" si="2"/>
        <v>1696071.4248000006</v>
      </c>
      <c r="J39" s="389"/>
      <c r="K39" s="207">
        <v>82.955466521489171</v>
      </c>
      <c r="L39" s="327">
        <v>707027.20966060285</v>
      </c>
      <c r="M39" s="327"/>
      <c r="N39" s="207">
        <v>281.95544046250751</v>
      </c>
      <c r="O39" s="375">
        <f t="shared" si="3"/>
        <v>2403098.6344606034</v>
      </c>
      <c r="P39" s="362">
        <f t="shared" si="11"/>
        <v>2403098.6344606034</v>
      </c>
      <c r="Q39" s="350">
        <f t="shared" si="4"/>
        <v>0.51101171524546596</v>
      </c>
      <c r="R39" s="350">
        <f t="shared" si="5"/>
        <v>0.18312712251169619</v>
      </c>
      <c r="S39" s="351">
        <f t="shared" si="6"/>
        <v>1.1054704535372538E-2</v>
      </c>
      <c r="T39" s="354"/>
      <c r="U39" s="354"/>
      <c r="V39" s="354"/>
      <c r="W39" s="353">
        <v>1</v>
      </c>
      <c r="X39" s="350">
        <f t="shared" si="12"/>
        <v>0.37623941587496212</v>
      </c>
      <c r="Y39" s="350">
        <f t="shared" si="13"/>
        <v>0.12121635371485215</v>
      </c>
      <c r="Z39" s="354">
        <f t="shared" si="9"/>
        <v>1.0866786853756178E-2</v>
      </c>
    </row>
    <row r="40" spans="1:29" s="3" customFormat="1">
      <c r="A40" s="8">
        <v>3</v>
      </c>
      <c r="B40" s="61" t="s">
        <v>549</v>
      </c>
      <c r="C40" s="1" t="s">
        <v>234</v>
      </c>
      <c r="D40" s="1" t="s">
        <v>72</v>
      </c>
      <c r="E40" s="1"/>
      <c r="F40" s="327">
        <v>2297</v>
      </c>
      <c r="G40" s="204">
        <f t="shared" si="10"/>
        <v>2297</v>
      </c>
      <c r="H40" s="207">
        <v>208.74217356929245</v>
      </c>
      <c r="I40" s="375">
        <f t="shared" si="2"/>
        <v>479480.77268866473</v>
      </c>
      <c r="J40" s="389"/>
      <c r="K40" s="207">
        <v>110.09107429635115</v>
      </c>
      <c r="L40" s="327">
        <v>252879.19765871859</v>
      </c>
      <c r="M40" s="327"/>
      <c r="N40" s="207">
        <v>318.83324786564356</v>
      </c>
      <c r="O40" s="375">
        <f t="shared" si="3"/>
        <v>732359.97034738329</v>
      </c>
      <c r="P40" s="362">
        <f t="shared" si="11"/>
        <v>732359.97034738329</v>
      </c>
      <c r="Q40" s="350">
        <f t="shared" si="4"/>
        <v>0.51558496612535154</v>
      </c>
      <c r="R40" s="350">
        <f t="shared" si="5"/>
        <v>0.18698720659011547</v>
      </c>
      <c r="S40" s="351">
        <f t="shared" si="6"/>
        <v>3.0022584951435879E-3</v>
      </c>
      <c r="T40" s="354"/>
      <c r="U40" s="354"/>
      <c r="V40" s="354"/>
      <c r="W40" s="353">
        <v>1</v>
      </c>
      <c r="X40" s="350">
        <f t="shared" si="12"/>
        <v>0.38207312136265031</v>
      </c>
      <c r="Y40" s="350">
        <f t="shared" si="13"/>
        <v>0.12536899343993485</v>
      </c>
      <c r="Z40" s="354">
        <f t="shared" si="9"/>
        <v>2.9852657169854363E-3</v>
      </c>
    </row>
    <row r="41" spans="1:29" s="3" customFormat="1">
      <c r="A41" s="8">
        <v>1</v>
      </c>
      <c r="B41" s="61" t="s">
        <v>550</v>
      </c>
      <c r="C41" s="1" t="s">
        <v>234</v>
      </c>
      <c r="D41" s="1" t="s">
        <v>72</v>
      </c>
      <c r="E41" s="1"/>
      <c r="F41" s="327">
        <v>164</v>
      </c>
      <c r="G41" s="204">
        <f t="shared" si="10"/>
        <v>164</v>
      </c>
      <c r="H41" s="207">
        <v>310.09047698075614</v>
      </c>
      <c r="I41" s="375">
        <f t="shared" si="2"/>
        <v>50854.838224844003</v>
      </c>
      <c r="J41" s="389"/>
      <c r="K41" s="207">
        <v>12.28055180410783</v>
      </c>
      <c r="L41" s="327">
        <v>2014.0104958736842</v>
      </c>
      <c r="M41" s="327"/>
      <c r="N41" s="207">
        <v>322.37102878486394</v>
      </c>
      <c r="O41" s="375">
        <f t="shared" si="3"/>
        <v>52868.848720717688</v>
      </c>
      <c r="P41" s="362">
        <f t="shared" si="11"/>
        <v>52868.848720717688</v>
      </c>
      <c r="Q41" s="350">
        <f t="shared" si="4"/>
        <v>0.51591148469056758</v>
      </c>
      <c r="R41" s="350">
        <f t="shared" si="5"/>
        <v>0.18726586491314534</v>
      </c>
      <c r="S41" s="351">
        <f t="shared" si="6"/>
        <v>2.1460216521090975E-4</v>
      </c>
      <c r="T41" s="354"/>
      <c r="U41" s="354"/>
      <c r="V41" s="354"/>
      <c r="W41" s="353">
        <v>1</v>
      </c>
      <c r="X41" s="350">
        <f t="shared" si="12"/>
        <v>0.3824896332041744</v>
      </c>
      <c r="Y41" s="350">
        <f t="shared" si="13"/>
        <v>0.12566877126819723</v>
      </c>
      <c r="Z41" s="354">
        <f t="shared" si="9"/>
        <v>2.1388923919467908E-4</v>
      </c>
    </row>
    <row r="42" spans="1:29" s="3" customFormat="1">
      <c r="A42" s="8">
        <v>3</v>
      </c>
      <c r="B42" s="61" t="s">
        <v>549</v>
      </c>
      <c r="C42" s="1" t="s">
        <v>239</v>
      </c>
      <c r="D42" s="1" t="s">
        <v>240</v>
      </c>
      <c r="E42" s="1"/>
      <c r="F42" s="327">
        <v>4819</v>
      </c>
      <c r="G42" s="204">
        <f t="shared" si="10"/>
        <v>4819</v>
      </c>
      <c r="H42" s="207">
        <v>282.63217356929243</v>
      </c>
      <c r="I42" s="375">
        <f t="shared" si="2"/>
        <v>1362004.4444304202</v>
      </c>
      <c r="J42" s="389"/>
      <c r="K42" s="207">
        <v>47.710636781370447</v>
      </c>
      <c r="L42" s="327">
        <v>229917.55864942417</v>
      </c>
      <c r="M42" s="327"/>
      <c r="N42" s="207">
        <v>330.34281035066289</v>
      </c>
      <c r="O42" s="375">
        <f t="shared" si="3"/>
        <v>1591922.0030798444</v>
      </c>
      <c r="P42" s="362">
        <f t="shared" si="11"/>
        <v>1591922.0030798444</v>
      </c>
      <c r="Q42" s="350">
        <f t="shared" si="4"/>
        <v>0.52550595399408018</v>
      </c>
      <c r="R42" s="350">
        <f t="shared" si="5"/>
        <v>0.19565648295205737</v>
      </c>
      <c r="S42" s="351">
        <f t="shared" si="6"/>
        <v>6.3179109353809059E-3</v>
      </c>
      <c r="T42" s="354"/>
      <c r="U42" s="354"/>
      <c r="V42" s="354"/>
      <c r="W42" s="353">
        <v>1</v>
      </c>
      <c r="X42" s="350">
        <f t="shared" si="12"/>
        <v>0.394728478108471</v>
      </c>
      <c r="Y42" s="350">
        <f t="shared" si="13"/>
        <v>0.13469531397517628</v>
      </c>
      <c r="Z42" s="354">
        <f t="shared" si="9"/>
        <v>6.3256962632230948E-3</v>
      </c>
    </row>
    <row r="43" spans="1:29" s="3" customFormat="1">
      <c r="A43" s="8">
        <v>2</v>
      </c>
      <c r="B43" s="61" t="s">
        <v>549</v>
      </c>
      <c r="C43" s="1" t="s">
        <v>91</v>
      </c>
      <c r="D43" s="1" t="s">
        <v>288</v>
      </c>
      <c r="E43" s="1"/>
      <c r="F43" s="327">
        <v>10381.402867192013</v>
      </c>
      <c r="G43" s="204">
        <f t="shared" ref="G43:G73" si="14">F43*W43</f>
        <v>10381.402867192013</v>
      </c>
      <c r="H43" s="207">
        <v>272.30256049852687</v>
      </c>
      <c r="I43" s="375">
        <f t="shared" si="2"/>
        <v>2826882.5823031333</v>
      </c>
      <c r="J43" s="389"/>
      <c r="K43" s="207">
        <v>68.174401027573197</v>
      </c>
      <c r="L43" s="327">
        <v>707745.92229674652</v>
      </c>
      <c r="M43" s="327"/>
      <c r="N43" s="207">
        <v>340.47696152610013</v>
      </c>
      <c r="O43" s="375">
        <f t="shared" si="3"/>
        <v>3534628.50459988</v>
      </c>
      <c r="P43" s="362">
        <f t="shared" ref="P43:P73" si="15">O43*W43</f>
        <v>3534628.50459988</v>
      </c>
      <c r="Q43" s="350">
        <f t="shared" ref="Q43:Q75" si="16">(F43/F$86)+Q42</f>
        <v>0.54617498307411161</v>
      </c>
      <c r="R43" s="350">
        <f t="shared" ref="R43:R75" si="17">(O43/O$86)+R42</f>
        <v>0.21428661535438015</v>
      </c>
      <c r="S43" s="351">
        <f t="shared" ref="S43:S75" si="18">(Q43-Q42)*(Q43-R43+Q42-R42)</f>
        <v>1.3677478632723847E-2</v>
      </c>
      <c r="T43" s="354"/>
      <c r="U43" s="354"/>
      <c r="V43" s="354"/>
      <c r="W43" s="353">
        <v>1</v>
      </c>
      <c r="X43" s="350">
        <f t="shared" ref="X43:X74" si="19">(W43*(F43/F$85))+X42</f>
        <v>0.42109419290004252</v>
      </c>
      <c r="Y43" s="350">
        <f t="shared" ref="Y43:Y74" si="20">(W43*(O43/O$85))+Y42</f>
        <v>0.15473742350588807</v>
      </c>
      <c r="Z43" s="354">
        <f t="shared" ref="Z43:Z75" si="21">(X43-X42)*(X43-Y43+X42-Y42)</f>
        <v>1.3878646856539011E-2</v>
      </c>
      <c r="AB43" s="57">
        <f>(0.4-X42)/(X43-X42)</f>
        <v>0.19993851610706936</v>
      </c>
      <c r="AC43" s="57">
        <f>100*(Y42+(AB43*(Y43-Y42)))</f>
        <v>13.870250361440215</v>
      </c>
    </row>
    <row r="44" spans="1:29" s="3" customFormat="1">
      <c r="A44" s="8">
        <v>1</v>
      </c>
      <c r="B44" s="61" t="s">
        <v>549</v>
      </c>
      <c r="C44" s="1" t="s">
        <v>234</v>
      </c>
      <c r="D44" s="1" t="s">
        <v>72</v>
      </c>
      <c r="E44" s="1"/>
      <c r="F44" s="327">
        <v>2559</v>
      </c>
      <c r="G44" s="204">
        <f t="shared" si="14"/>
        <v>2559</v>
      </c>
      <c r="H44" s="207">
        <v>307.99687184214349</v>
      </c>
      <c r="I44" s="375">
        <f t="shared" si="2"/>
        <v>788163.99504404515</v>
      </c>
      <c r="J44" s="389"/>
      <c r="K44" s="207">
        <v>35.449756536119004</v>
      </c>
      <c r="L44" s="327">
        <v>90715.926975928538</v>
      </c>
      <c r="M44" s="327"/>
      <c r="N44" s="207">
        <v>343.44662837826246</v>
      </c>
      <c r="O44" s="375">
        <f t="shared" si="3"/>
        <v>878879.92201997363</v>
      </c>
      <c r="P44" s="362">
        <f t="shared" si="15"/>
        <v>878879.92201997363</v>
      </c>
      <c r="Q44" s="350">
        <f t="shared" si="16"/>
        <v>0.55126986727159843</v>
      </c>
      <c r="R44" s="350">
        <f t="shared" si="17"/>
        <v>0.21891896902087352</v>
      </c>
      <c r="S44" s="351">
        <f t="shared" si="18"/>
        <v>3.3842221395431272E-3</v>
      </c>
      <c r="T44" s="354"/>
      <c r="U44" s="354"/>
      <c r="V44" s="354"/>
      <c r="W44" s="353">
        <v>1</v>
      </c>
      <c r="X44" s="350">
        <f t="shared" si="19"/>
        <v>0.42759330145162894</v>
      </c>
      <c r="Y44" s="350">
        <f t="shared" si="20"/>
        <v>0.15972086310598876</v>
      </c>
      <c r="Z44" s="354">
        <f t="shared" si="21"/>
        <v>3.4720136125289368E-3</v>
      </c>
      <c r="AB44"/>
      <c r="AC44" s="57">
        <f>100-AC43</f>
        <v>86.129749638559787</v>
      </c>
    </row>
    <row r="45" spans="1:29" s="3" customFormat="1">
      <c r="A45" s="8">
        <v>2</v>
      </c>
      <c r="B45" s="61" t="s">
        <v>473</v>
      </c>
      <c r="C45" s="1" t="s">
        <v>234</v>
      </c>
      <c r="D45" s="1" t="s">
        <v>72</v>
      </c>
      <c r="E45" s="1"/>
      <c r="F45" s="327">
        <v>860</v>
      </c>
      <c r="G45" s="204">
        <f t="shared" si="14"/>
        <v>860</v>
      </c>
      <c r="H45" s="207">
        <v>318.9130542745657</v>
      </c>
      <c r="I45" s="375">
        <f t="shared" si="2"/>
        <v>274265.22667612648</v>
      </c>
      <c r="J45" s="389"/>
      <c r="K45" s="207">
        <v>45.283028455730417</v>
      </c>
      <c r="L45" s="327">
        <v>38943.404471928159</v>
      </c>
      <c r="M45" s="327"/>
      <c r="N45" s="207">
        <v>364.19608273029604</v>
      </c>
      <c r="O45" s="375">
        <f t="shared" si="3"/>
        <v>313208.63114805461</v>
      </c>
      <c r="P45" s="362">
        <f t="shared" si="15"/>
        <v>313208.63114805461</v>
      </c>
      <c r="Q45" s="350">
        <f t="shared" si="16"/>
        <v>0.55298209877212157</v>
      </c>
      <c r="R45" s="350">
        <f t="shared" si="17"/>
        <v>0.22056981245753027</v>
      </c>
      <c r="S45" s="351">
        <f t="shared" si="18"/>
        <v>1.1382284650008068E-3</v>
      </c>
      <c r="T45" s="354"/>
      <c r="U45" s="354"/>
      <c r="V45" s="354"/>
      <c r="W45" s="353">
        <v>1</v>
      </c>
      <c r="X45" s="350">
        <f t="shared" si="19"/>
        <v>0.42977744891327974</v>
      </c>
      <c r="Y45" s="350">
        <f t="shared" si="20"/>
        <v>0.16149682391297723</v>
      </c>
      <c r="Z45" s="354">
        <f t="shared" si="21"/>
        <v>1.1710373523633401E-3</v>
      </c>
      <c r="AB45" s="57">
        <f>(SUM(P10:P42)+(AB43*P43))/(SUM(G10:G42)+(AB43*G43))</f>
        <v>155.31312501475747</v>
      </c>
      <c r="AC45" s="57"/>
    </row>
    <row r="46" spans="1:29" s="3" customFormat="1">
      <c r="A46" s="8">
        <v>1</v>
      </c>
      <c r="B46" s="61" t="s">
        <v>549</v>
      </c>
      <c r="C46" s="1" t="s">
        <v>117</v>
      </c>
      <c r="D46" s="1" t="s">
        <v>554</v>
      </c>
      <c r="E46" s="1"/>
      <c r="F46" s="327">
        <v>22647.826226456313</v>
      </c>
      <c r="G46" s="204">
        <f t="shared" si="14"/>
        <v>22647.826226456313</v>
      </c>
      <c r="H46" s="207">
        <v>356.43887176112037</v>
      </c>
      <c r="I46" s="375">
        <f t="shared" si="2"/>
        <v>8072565.6280000005</v>
      </c>
      <c r="J46" s="389"/>
      <c r="K46" s="207">
        <v>11.341663368029709</v>
      </c>
      <c r="L46" s="327">
        <v>256864.02107810206</v>
      </c>
      <c r="M46" s="327"/>
      <c r="N46" s="207">
        <v>367.78053512915011</v>
      </c>
      <c r="O46" s="375">
        <f t="shared" si="3"/>
        <v>8329429.6490781028</v>
      </c>
      <c r="P46" s="362">
        <f t="shared" si="15"/>
        <v>8329429.6490781028</v>
      </c>
      <c r="Q46" s="350">
        <f t="shared" si="16"/>
        <v>0.59807317026434459</v>
      </c>
      <c r="R46" s="350">
        <f t="shared" si="17"/>
        <v>0.26447212835754996</v>
      </c>
      <c r="S46" s="351">
        <f t="shared" si="18"/>
        <v>3.0031254597603911E-2</v>
      </c>
      <c r="T46" s="354"/>
      <c r="U46" s="354"/>
      <c r="V46" s="354"/>
      <c r="W46" s="353">
        <v>1</v>
      </c>
      <c r="X46" s="350">
        <f t="shared" si="19"/>
        <v>0.48729627701144534</v>
      </c>
      <c r="Y46" s="350">
        <f t="shared" si="20"/>
        <v>0.20872649490610445</v>
      </c>
      <c r="Z46" s="354">
        <f t="shared" si="21"/>
        <v>3.1454194561721383E-2</v>
      </c>
    </row>
    <row r="47" spans="1:29" s="3" customFormat="1">
      <c r="A47" s="8">
        <v>1</v>
      </c>
      <c r="B47" s="61" t="s">
        <v>550</v>
      </c>
      <c r="C47" s="1" t="s">
        <v>92</v>
      </c>
      <c r="D47" s="1" t="s">
        <v>155</v>
      </c>
      <c r="E47" s="1"/>
      <c r="F47" s="327">
        <v>8.0144387200686378</v>
      </c>
      <c r="G47" s="204">
        <f t="shared" si="14"/>
        <v>8.0144387200686378</v>
      </c>
      <c r="H47" s="207">
        <v>355.09402585293662</v>
      </c>
      <c r="I47" s="375">
        <f t="shared" si="2"/>
        <v>2845.8793100608291</v>
      </c>
      <c r="J47" s="389"/>
      <c r="K47" s="207">
        <v>26.873229935943062</v>
      </c>
      <c r="L47" s="327">
        <v>215.37385453192971</v>
      </c>
      <c r="M47" s="327"/>
      <c r="N47" s="207">
        <v>381.9672557888797</v>
      </c>
      <c r="O47" s="375">
        <f t="shared" si="3"/>
        <v>3061.2531645927588</v>
      </c>
      <c r="P47" s="362">
        <f t="shared" si="15"/>
        <v>3061.2531645927588</v>
      </c>
      <c r="Q47" s="350">
        <f t="shared" si="16"/>
        <v>0.59808912674624637</v>
      </c>
      <c r="R47" s="350">
        <f t="shared" si="17"/>
        <v>0.26448826344832377</v>
      </c>
      <c r="S47" s="351">
        <f t="shared" si="18"/>
        <v>1.0646195125232135E-5</v>
      </c>
      <c r="T47" s="354"/>
      <c r="U47" s="354"/>
      <c r="V47" s="354"/>
      <c r="W47" s="353">
        <v>1</v>
      </c>
      <c r="X47" s="350">
        <f t="shared" si="19"/>
        <v>0.48731663133236047</v>
      </c>
      <c r="Y47" s="350">
        <f t="shared" si="20"/>
        <v>0.20874385287488284</v>
      </c>
      <c r="Z47" s="354">
        <f t="shared" si="21"/>
        <v>1.134025847317175E-5</v>
      </c>
    </row>
    <row r="48" spans="1:29" s="3" customFormat="1">
      <c r="A48" s="8">
        <v>1</v>
      </c>
      <c r="B48" s="61" t="s">
        <v>549</v>
      </c>
      <c r="C48" s="1" t="s">
        <v>239</v>
      </c>
      <c r="D48" s="1" t="s">
        <v>240</v>
      </c>
      <c r="E48" s="1"/>
      <c r="F48" s="327">
        <v>6524</v>
      </c>
      <c r="G48" s="204">
        <f t="shared" si="14"/>
        <v>6524</v>
      </c>
      <c r="H48" s="207">
        <v>336.96487184214345</v>
      </c>
      <c r="I48" s="375">
        <f t="shared" si="2"/>
        <v>2198358.8238981441</v>
      </c>
      <c r="J48" s="389"/>
      <c r="K48" s="207">
        <v>46.492423994510411</v>
      </c>
      <c r="L48" s="327">
        <v>303316.5741401859</v>
      </c>
      <c r="M48" s="327"/>
      <c r="N48" s="207">
        <v>383.45729583665388</v>
      </c>
      <c r="O48" s="375">
        <f t="shared" si="3"/>
        <v>2501675.39803833</v>
      </c>
      <c r="P48" s="362">
        <f t="shared" si="15"/>
        <v>2501675.39803833</v>
      </c>
      <c r="Q48" s="350">
        <f t="shared" si="16"/>
        <v>0.61107819454788903</v>
      </c>
      <c r="R48" s="350">
        <f t="shared" si="17"/>
        <v>0.27767396141698863</v>
      </c>
      <c r="S48" s="351">
        <f t="shared" si="18"/>
        <v>8.6637744215551839E-3</v>
      </c>
      <c r="T48" s="354"/>
      <c r="U48" s="354"/>
      <c r="V48" s="354"/>
      <c r="W48" s="353">
        <v>1</v>
      </c>
      <c r="X48" s="350">
        <f t="shared" si="19"/>
        <v>0.50388567556469732</v>
      </c>
      <c r="Y48" s="350">
        <f t="shared" si="20"/>
        <v>0.22292889446341801</v>
      </c>
      <c r="Z48" s="354">
        <f t="shared" si="21"/>
        <v>9.2708700216289994E-3</v>
      </c>
    </row>
    <row r="49" spans="1:26" s="3" customFormat="1">
      <c r="A49" s="8">
        <v>3</v>
      </c>
      <c r="B49" s="61" t="s">
        <v>475</v>
      </c>
      <c r="C49" s="1" t="s">
        <v>153</v>
      </c>
      <c r="D49" s="1" t="s">
        <v>154</v>
      </c>
      <c r="E49" s="1"/>
      <c r="F49" s="327">
        <v>193.24887502438833</v>
      </c>
      <c r="G49" s="204">
        <f t="shared" si="14"/>
        <v>193.24887502438833</v>
      </c>
      <c r="H49" s="207">
        <v>179.68</v>
      </c>
      <c r="I49" s="375">
        <f t="shared" si="2"/>
        <v>34722.957864382093</v>
      </c>
      <c r="J49" s="389"/>
      <c r="K49" s="207">
        <v>204.37677509333335</v>
      </c>
      <c r="L49" s="327">
        <v>39495.581867899098</v>
      </c>
      <c r="M49" s="327"/>
      <c r="N49" s="207">
        <v>384.05677509333333</v>
      </c>
      <c r="O49" s="375">
        <f t="shared" si="3"/>
        <v>74218.539732281191</v>
      </c>
      <c r="P49" s="362">
        <f t="shared" si="15"/>
        <v>74218.539732281191</v>
      </c>
      <c r="Q49" s="350">
        <f t="shared" si="16"/>
        <v>0.61146294665400225</v>
      </c>
      <c r="R49" s="350">
        <f t="shared" si="17"/>
        <v>0.27806514855875475</v>
      </c>
      <c r="S49" s="351">
        <f t="shared" si="18"/>
        <v>2.5655348587483182E-4</v>
      </c>
      <c r="T49" s="354"/>
      <c r="U49" s="354"/>
      <c r="V49" s="354"/>
      <c r="W49" s="353">
        <v>1</v>
      </c>
      <c r="X49" s="350">
        <f t="shared" si="19"/>
        <v>0.50437647095987337</v>
      </c>
      <c r="Y49" s="350">
        <f t="shared" si="20"/>
        <v>0.22334972966592603</v>
      </c>
      <c r="Z49" s="354">
        <f t="shared" si="21"/>
        <v>2.7581892495639202E-4</v>
      </c>
    </row>
    <row r="50" spans="1:26" s="3" customFormat="1">
      <c r="A50" s="8">
        <v>2</v>
      </c>
      <c r="B50" s="61" t="s">
        <v>473</v>
      </c>
      <c r="C50" s="1" t="s">
        <v>92</v>
      </c>
      <c r="D50" s="1" t="s">
        <v>155</v>
      </c>
      <c r="E50" s="1"/>
      <c r="F50" s="327">
        <v>254.68015419186904</v>
      </c>
      <c r="G50" s="204">
        <f t="shared" si="14"/>
        <v>254.68015419186904</v>
      </c>
      <c r="H50" s="207">
        <v>366.64021629799782</v>
      </c>
      <c r="I50" s="375">
        <f t="shared" si="2"/>
        <v>93375.986819714308</v>
      </c>
      <c r="J50" s="389"/>
      <c r="K50" s="207">
        <v>22.614155001121127</v>
      </c>
      <c r="L50" s="327">
        <v>5759.3764826043544</v>
      </c>
      <c r="M50" s="327"/>
      <c r="N50" s="207">
        <v>389.25437129911893</v>
      </c>
      <c r="O50" s="375">
        <f t="shared" si="3"/>
        <v>99135.363302318656</v>
      </c>
      <c r="P50" s="362">
        <f t="shared" si="15"/>
        <v>99135.363302318656</v>
      </c>
      <c r="Q50" s="350">
        <f t="shared" si="16"/>
        <v>0.61197000640117127</v>
      </c>
      <c r="R50" s="350">
        <f t="shared" si="17"/>
        <v>0.27858766597230217</v>
      </c>
      <c r="S50" s="351">
        <f t="shared" si="18"/>
        <v>3.3809736845736622E-4</v>
      </c>
      <c r="T50" s="354"/>
      <c r="U50" s="354"/>
      <c r="V50" s="354"/>
      <c r="W50" s="353">
        <v>1</v>
      </c>
      <c r="X50" s="350">
        <f t="shared" si="19"/>
        <v>0.50502328376488614</v>
      </c>
      <c r="Y50" s="350">
        <f t="shared" si="20"/>
        <v>0.22391184865723907</v>
      </c>
      <c r="Z50" s="354">
        <f t="shared" si="21"/>
        <v>3.6359817068308152E-4</v>
      </c>
    </row>
    <row r="51" spans="1:26" s="3" customFormat="1">
      <c r="A51" s="8">
        <v>3</v>
      </c>
      <c r="B51" s="61" t="s">
        <v>549</v>
      </c>
      <c r="C51" s="1" t="s">
        <v>91</v>
      </c>
      <c r="D51" s="1" t="s">
        <v>288</v>
      </c>
      <c r="E51" s="1"/>
      <c r="F51" s="327">
        <v>2953.5588889558767</v>
      </c>
      <c r="G51" s="204">
        <f t="shared" si="14"/>
        <v>2953.5588889558767</v>
      </c>
      <c r="H51" s="207">
        <v>344.71217356929247</v>
      </c>
      <c r="I51" s="375">
        <f t="shared" si="2"/>
        <v>1018127.7043768849</v>
      </c>
      <c r="J51" s="389"/>
      <c r="K51" s="207">
        <v>47.710636781370454</v>
      </c>
      <c r="L51" s="327">
        <v>140916.17536336189</v>
      </c>
      <c r="M51" s="327"/>
      <c r="N51" s="207">
        <v>392.42281035066287</v>
      </c>
      <c r="O51" s="375">
        <f t="shared" si="3"/>
        <v>1159043.8797402468</v>
      </c>
      <c r="P51" s="362">
        <f t="shared" si="15"/>
        <v>1159043.8797402468</v>
      </c>
      <c r="Q51" s="350">
        <f t="shared" si="16"/>
        <v>0.61785044427131108</v>
      </c>
      <c r="R51" s="350">
        <f t="shared" si="17"/>
        <v>0.28469669296384087</v>
      </c>
      <c r="S51" s="351">
        <f t="shared" si="18"/>
        <v>3.9195240756613528E-3</v>
      </c>
      <c r="T51" s="354"/>
      <c r="U51" s="354"/>
      <c r="V51" s="354"/>
      <c r="W51" s="353">
        <v>1</v>
      </c>
      <c r="X51" s="350">
        <f t="shared" si="19"/>
        <v>0.5125244560325013</v>
      </c>
      <c r="Y51" s="350">
        <f t="shared" si="20"/>
        <v>0.23048387860562675</v>
      </c>
      <c r="Z51" s="354">
        <f t="shared" si="21"/>
        <v>4.2243002588756139E-3</v>
      </c>
    </row>
    <row r="52" spans="1:26" s="3" customFormat="1">
      <c r="A52" s="8">
        <v>1</v>
      </c>
      <c r="B52" s="61" t="s">
        <v>549</v>
      </c>
      <c r="C52" s="1" t="s">
        <v>116</v>
      </c>
      <c r="D52" s="1" t="s">
        <v>580</v>
      </c>
      <c r="E52" s="1"/>
      <c r="F52" s="327">
        <v>22647.826226456313</v>
      </c>
      <c r="G52" s="204">
        <f t="shared" si="14"/>
        <v>22647.826226456313</v>
      </c>
      <c r="H52" s="207">
        <v>356.43887176112037</v>
      </c>
      <c r="I52" s="375">
        <f t="shared" si="2"/>
        <v>8072565.6280000005</v>
      </c>
      <c r="J52" s="389"/>
      <c r="K52" s="207">
        <v>47.133707782388214</v>
      </c>
      <c r="L52" s="327">
        <v>1067476.0232640998</v>
      </c>
      <c r="M52" s="327"/>
      <c r="N52" s="207">
        <v>403.57257954350865</v>
      </c>
      <c r="O52" s="375">
        <f t="shared" si="3"/>
        <v>9140041.6512641013</v>
      </c>
      <c r="P52" s="362">
        <f t="shared" si="15"/>
        <v>9140041.6512641013</v>
      </c>
      <c r="Q52" s="350">
        <f t="shared" si="16"/>
        <v>0.66294151576353411</v>
      </c>
      <c r="R52" s="350">
        <f t="shared" si="17"/>
        <v>0.33287153960025451</v>
      </c>
      <c r="S52" s="351">
        <f t="shared" si="18"/>
        <v>2.9905468510722216E-2</v>
      </c>
      <c r="T52" s="354"/>
      <c r="U52" s="354"/>
      <c r="V52" s="354"/>
      <c r="W52" s="353">
        <v>1</v>
      </c>
      <c r="X52" s="350">
        <f t="shared" si="19"/>
        <v>0.57004328413066685</v>
      </c>
      <c r="Y52" s="350">
        <f t="shared" si="20"/>
        <v>0.28230989530059469</v>
      </c>
      <c r="Z52" s="354">
        <f t="shared" si="21"/>
        <v>3.2772730819943301E-2</v>
      </c>
    </row>
    <row r="53" spans="1:26" s="3" customFormat="1">
      <c r="A53" s="8">
        <v>1</v>
      </c>
      <c r="B53" s="61" t="s">
        <v>550</v>
      </c>
      <c r="C53" s="1" t="s">
        <v>239</v>
      </c>
      <c r="D53" s="1" t="s">
        <v>240</v>
      </c>
      <c r="E53" s="1"/>
      <c r="F53" s="327">
        <v>273</v>
      </c>
      <c r="G53" s="204">
        <f t="shared" si="14"/>
        <v>273</v>
      </c>
      <c r="H53" s="207">
        <v>360.1614293617086</v>
      </c>
      <c r="I53" s="375">
        <f t="shared" si="2"/>
        <v>98324.070215746455</v>
      </c>
      <c r="J53" s="389"/>
      <c r="K53" s="207">
        <v>47.600880591164575</v>
      </c>
      <c r="L53" s="327">
        <v>12995.040401387929</v>
      </c>
      <c r="M53" s="327"/>
      <c r="N53" s="207">
        <v>407.76230995287318</v>
      </c>
      <c r="O53" s="375">
        <f t="shared" si="3"/>
        <v>111319.11061713439</v>
      </c>
      <c r="P53" s="362">
        <f t="shared" si="15"/>
        <v>111319.11061713439</v>
      </c>
      <c r="Q53" s="350">
        <f t="shared" si="16"/>
        <v>0.66348504971660716</v>
      </c>
      <c r="R53" s="350">
        <f t="shared" si="17"/>
        <v>0.3334582744627746</v>
      </c>
      <c r="S53" s="351">
        <f t="shared" si="18"/>
        <v>3.5878499670842132E-4</v>
      </c>
      <c r="T53" s="354"/>
      <c r="U53" s="354"/>
      <c r="V53" s="354"/>
      <c r="W53" s="353">
        <v>1</v>
      </c>
      <c r="X53" s="350">
        <f t="shared" si="19"/>
        <v>0.57073662396442348</v>
      </c>
      <c r="Y53" s="350">
        <f t="shared" si="20"/>
        <v>0.28294109877924783</v>
      </c>
      <c r="Z53" s="354">
        <f t="shared" si="21"/>
        <v>3.9903712156546818E-4</v>
      </c>
    </row>
    <row r="54" spans="1:26" s="3" customFormat="1">
      <c r="A54" s="8">
        <v>3</v>
      </c>
      <c r="B54" s="61" t="s">
        <v>475</v>
      </c>
      <c r="C54" s="1" t="s">
        <v>234</v>
      </c>
      <c r="D54" s="1" t="s">
        <v>72</v>
      </c>
      <c r="E54" s="1"/>
      <c r="F54" s="327">
        <v>138</v>
      </c>
      <c r="G54" s="204">
        <f t="shared" si="14"/>
        <v>138</v>
      </c>
      <c r="H54" s="207">
        <v>361.71299591041128</v>
      </c>
      <c r="I54" s="375">
        <f t="shared" si="2"/>
        <v>49916.393435636754</v>
      </c>
      <c r="J54" s="389"/>
      <c r="K54" s="207">
        <v>64.549633279999995</v>
      </c>
      <c r="L54" s="327">
        <v>8907.8493926399988</v>
      </c>
      <c r="M54" s="327"/>
      <c r="N54" s="207">
        <v>426.26262919041125</v>
      </c>
      <c r="O54" s="375">
        <f t="shared" si="3"/>
        <v>58824.242828276751</v>
      </c>
      <c r="P54" s="362">
        <f t="shared" si="15"/>
        <v>58824.242828276751</v>
      </c>
      <c r="Q54" s="350">
        <f t="shared" si="16"/>
        <v>0.6637598031434353</v>
      </c>
      <c r="R54" s="350">
        <f t="shared" si="17"/>
        <v>0.33376832216111996</v>
      </c>
      <c r="S54" s="351">
        <f t="shared" si="18"/>
        <v>1.8134227767001822E-4</v>
      </c>
      <c r="T54" s="354"/>
      <c r="U54" s="354"/>
      <c r="V54" s="354"/>
      <c r="W54" s="353">
        <v>1</v>
      </c>
      <c r="X54" s="350">
        <f t="shared" si="19"/>
        <v>0.57108710344082791</v>
      </c>
      <c r="Y54" s="350">
        <f t="shared" si="20"/>
        <v>0.28327464498255922</v>
      </c>
      <c r="Z54" s="354">
        <f t="shared" si="21"/>
        <v>2.0173878472156445E-4</v>
      </c>
    </row>
    <row r="55" spans="1:26" s="3" customFormat="1">
      <c r="A55" s="8">
        <v>1</v>
      </c>
      <c r="B55" s="61" t="s">
        <v>549</v>
      </c>
      <c r="C55" s="1" t="s">
        <v>91</v>
      </c>
      <c r="D55" s="1" t="s">
        <v>288</v>
      </c>
      <c r="E55" s="1"/>
      <c r="F55" s="327">
        <v>3640.4232384296024</v>
      </c>
      <c r="G55" s="204">
        <f t="shared" si="14"/>
        <v>3640.4232384296024</v>
      </c>
      <c r="H55" s="207">
        <v>388.37487184214348</v>
      </c>
      <c r="I55" s="375">
        <f t="shared" si="2"/>
        <v>1413848.9086762578</v>
      </c>
      <c r="J55" s="389"/>
      <c r="K55" s="207">
        <v>44.125835379294074</v>
      </c>
      <c r="L55" s="327">
        <v>160636.71652990126</v>
      </c>
      <c r="M55" s="327"/>
      <c r="N55" s="207">
        <v>432.50070722143755</v>
      </c>
      <c r="O55" s="375">
        <f t="shared" si="3"/>
        <v>1574485.625206159</v>
      </c>
      <c r="P55" s="362">
        <f t="shared" si="15"/>
        <v>1574485.625206159</v>
      </c>
      <c r="Q55" s="350">
        <f t="shared" si="16"/>
        <v>0.67100776517143002</v>
      </c>
      <c r="R55" s="350">
        <f t="shared" si="17"/>
        <v>0.34206703746457312</v>
      </c>
      <c r="S55" s="351">
        <f t="shared" si="18"/>
        <v>4.7759156276018094E-3</v>
      </c>
      <c r="T55" s="354"/>
      <c r="U55" s="354"/>
      <c r="V55" s="354"/>
      <c r="W55" s="353">
        <v>1</v>
      </c>
      <c r="X55" s="350">
        <f t="shared" si="19"/>
        <v>0.58033270945890991</v>
      </c>
      <c r="Y55" s="350">
        <f t="shared" si="20"/>
        <v>0.29220231964875026</v>
      </c>
      <c r="Z55" s="354">
        <f t="shared" si="21"/>
        <v>5.3249406640218681E-3</v>
      </c>
    </row>
    <row r="56" spans="1:26" s="3" customFormat="1">
      <c r="A56" s="8">
        <v>3</v>
      </c>
      <c r="B56" s="61" t="s">
        <v>549</v>
      </c>
      <c r="C56" s="1" t="s">
        <v>117</v>
      </c>
      <c r="D56" s="1" t="s">
        <v>554</v>
      </c>
      <c r="E56" s="1"/>
      <c r="F56" s="327">
        <v>40503.003137927604</v>
      </c>
      <c r="G56" s="204">
        <f t="shared" si="14"/>
        <v>40503.003137927604</v>
      </c>
      <c r="H56" s="207">
        <v>403.90217358181422</v>
      </c>
      <c r="I56" s="375">
        <f t="shared" si="2"/>
        <v>16359251.004000001</v>
      </c>
      <c r="J56" s="389"/>
      <c r="K56" s="207">
        <v>45.015534614588447</v>
      </c>
      <c r="L56" s="327">
        <v>1823264.3397501644</v>
      </c>
      <c r="M56" s="327"/>
      <c r="N56" s="207">
        <v>448.9177081964026</v>
      </c>
      <c r="O56" s="375">
        <f t="shared" si="3"/>
        <v>18182515.343750164</v>
      </c>
      <c r="P56" s="362">
        <f t="shared" si="15"/>
        <v>18182515.343750164</v>
      </c>
      <c r="Q56" s="350">
        <f t="shared" si="16"/>
        <v>0.75164790219299493</v>
      </c>
      <c r="R56" s="350">
        <f t="shared" si="17"/>
        <v>0.43790247471646526</v>
      </c>
      <c r="S56" s="351">
        <f t="shared" si="18"/>
        <v>5.1826299615851029E-2</v>
      </c>
      <c r="T56" s="354"/>
      <c r="U56" s="354"/>
      <c r="V56" s="354"/>
      <c r="W56" s="353">
        <v>1</v>
      </c>
      <c r="X56" s="350">
        <f t="shared" si="19"/>
        <v>0.68319844375302385</v>
      </c>
      <c r="Y56" s="350">
        <f t="shared" si="20"/>
        <v>0.39530112157066266</v>
      </c>
      <c r="Z56" s="354">
        <f t="shared" si="21"/>
        <v>5.9253513567869037E-2</v>
      </c>
    </row>
    <row r="57" spans="1:26" s="3" customFormat="1">
      <c r="A57" s="8">
        <v>1</v>
      </c>
      <c r="B57" s="61" t="s">
        <v>549</v>
      </c>
      <c r="C57" s="1" t="s">
        <v>44</v>
      </c>
      <c r="D57" s="1" t="s">
        <v>581</v>
      </c>
      <c r="E57" s="1"/>
      <c r="F57" s="327">
        <v>10191.521801905341</v>
      </c>
      <c r="G57" s="204">
        <f t="shared" si="14"/>
        <v>10191.521801905341</v>
      </c>
      <c r="H57" s="207">
        <v>356.43887176112037</v>
      </c>
      <c r="I57" s="375">
        <f t="shared" si="2"/>
        <v>3632654.5326</v>
      </c>
      <c r="J57" s="389"/>
      <c r="K57" s="207">
        <v>99.698942902546833</v>
      </c>
      <c r="L57" s="327">
        <v>1016083.9502182218</v>
      </c>
      <c r="M57" s="327"/>
      <c r="N57" s="207">
        <v>456.13781466366714</v>
      </c>
      <c r="O57" s="375">
        <f t="shared" si="3"/>
        <v>4648738.4828182217</v>
      </c>
      <c r="P57" s="362">
        <f t="shared" si="15"/>
        <v>4648738.4828182217</v>
      </c>
      <c r="Q57" s="350">
        <f t="shared" si="16"/>
        <v>0.77193888436449531</v>
      </c>
      <c r="R57" s="350">
        <f t="shared" si="17"/>
        <v>0.4624047988860262</v>
      </c>
      <c r="S57" s="351">
        <f t="shared" si="18"/>
        <v>1.2646953485231323E-2</v>
      </c>
      <c r="T57" s="354"/>
      <c r="U57" s="354"/>
      <c r="V57" s="354"/>
      <c r="W57" s="353">
        <v>1</v>
      </c>
      <c r="X57" s="350">
        <f t="shared" si="19"/>
        <v>0.70908191639719842</v>
      </c>
      <c r="Y57" s="350">
        <f t="shared" si="20"/>
        <v>0.42166047609152046</v>
      </c>
      <c r="Z57" s="354">
        <f t="shared" si="21"/>
        <v>1.4891247450539526E-2</v>
      </c>
    </row>
    <row r="58" spans="1:26" s="3" customFormat="1">
      <c r="A58" s="8">
        <v>2</v>
      </c>
      <c r="B58" s="61" t="s">
        <v>549</v>
      </c>
      <c r="C58" s="1" t="s">
        <v>160</v>
      </c>
      <c r="D58" s="1" t="s">
        <v>238</v>
      </c>
      <c r="E58" s="1"/>
      <c r="F58" s="327">
        <v>6350.08945843726</v>
      </c>
      <c r="G58" s="204">
        <f t="shared" si="14"/>
        <v>6350.08945843726</v>
      </c>
      <c r="H58" s="207">
        <v>252.00469689817132</v>
      </c>
      <c r="I58" s="375">
        <f t="shared" si="2"/>
        <v>1600252.3692497546</v>
      </c>
      <c r="J58" s="389"/>
      <c r="K58" s="207">
        <v>206.22650252835862</v>
      </c>
      <c r="L58" s="327">
        <v>1309556.739755715</v>
      </c>
      <c r="M58" s="327"/>
      <c r="N58" s="207">
        <v>458.23119942653</v>
      </c>
      <c r="O58" s="375">
        <f t="shared" si="3"/>
        <v>2909809.1090054698</v>
      </c>
      <c r="P58" s="362">
        <f t="shared" si="15"/>
        <v>2909809.1090054698</v>
      </c>
      <c r="Q58" s="350">
        <f t="shared" si="16"/>
        <v>0.78458170204109534</v>
      </c>
      <c r="R58" s="350">
        <f t="shared" si="17"/>
        <v>0.47774166636607651</v>
      </c>
      <c r="S58" s="351">
        <f t="shared" si="18"/>
        <v>7.7927056343181228E-3</v>
      </c>
      <c r="T58" s="354"/>
      <c r="U58" s="354"/>
      <c r="V58" s="354"/>
      <c r="W58" s="353">
        <v>1</v>
      </c>
      <c r="X58" s="350">
        <f t="shared" si="19"/>
        <v>0.72520927892266485</v>
      </c>
      <c r="Y58" s="350">
        <f t="shared" si="20"/>
        <v>0.4381597242586916</v>
      </c>
      <c r="Z58" s="354">
        <f t="shared" si="21"/>
        <v>9.2647019962409666E-3</v>
      </c>
    </row>
    <row r="59" spans="1:26" s="3" customFormat="1">
      <c r="A59" s="8">
        <v>1</v>
      </c>
      <c r="B59" s="61" t="s">
        <v>550</v>
      </c>
      <c r="C59" s="1" t="s">
        <v>160</v>
      </c>
      <c r="D59" s="1" t="s">
        <v>238</v>
      </c>
      <c r="E59" s="1"/>
      <c r="F59" s="327">
        <v>405.1970671593831</v>
      </c>
      <c r="G59" s="204">
        <f t="shared" si="14"/>
        <v>405.1970671593831</v>
      </c>
      <c r="H59" s="207">
        <v>414.68568164609638</v>
      </c>
      <c r="I59" s="375">
        <f t="shared" si="2"/>
        <v>168029.42199598788</v>
      </c>
      <c r="J59" s="389"/>
      <c r="K59" s="207">
        <v>51.415931963589024</v>
      </c>
      <c r="L59" s="327">
        <v>20833.584836912654</v>
      </c>
      <c r="M59" s="327"/>
      <c r="N59" s="207">
        <v>466.10161360968544</v>
      </c>
      <c r="O59" s="375">
        <f t="shared" si="3"/>
        <v>188863.00683290054</v>
      </c>
      <c r="P59" s="362">
        <f t="shared" si="15"/>
        <v>188863.00683290054</v>
      </c>
      <c r="Q59" s="350">
        <f t="shared" si="16"/>
        <v>0.78538843597401375</v>
      </c>
      <c r="R59" s="350">
        <f t="shared" si="17"/>
        <v>0.47873711548289849</v>
      </c>
      <c r="S59" s="351">
        <f t="shared" si="18"/>
        <v>4.9492429457135634E-4</v>
      </c>
      <c r="T59" s="354"/>
      <c r="U59" s="354"/>
      <c r="V59" s="354"/>
      <c r="W59" s="353">
        <v>1</v>
      </c>
      <c r="X59" s="350">
        <f t="shared" si="19"/>
        <v>0.72623836048743751</v>
      </c>
      <c r="Y59" s="350">
        <f t="shared" si="20"/>
        <v>0.4392306184316771</v>
      </c>
      <c r="Z59" s="354">
        <f t="shared" si="21"/>
        <v>5.9075178117750694E-4</v>
      </c>
    </row>
    <row r="60" spans="1:26" s="3" customFormat="1">
      <c r="A60" s="8">
        <v>1</v>
      </c>
      <c r="B60" s="61" t="s">
        <v>550</v>
      </c>
      <c r="C60" s="1" t="s">
        <v>91</v>
      </c>
      <c r="D60" s="1" t="s">
        <v>288</v>
      </c>
      <c r="E60" s="1"/>
      <c r="F60" s="327">
        <v>197.82570688946015</v>
      </c>
      <c r="G60" s="204">
        <f t="shared" si="14"/>
        <v>197.82570688946015</v>
      </c>
      <c r="H60" s="207">
        <v>425.10254047281961</v>
      </c>
      <c r="I60" s="375">
        <f t="shared" si="2"/>
        <v>84096.210569540883</v>
      </c>
      <c r="J60" s="389"/>
      <c r="K60" s="207">
        <v>47.600880591164575</v>
      </c>
      <c r="L60" s="327">
        <v>9416.677851507915</v>
      </c>
      <c r="M60" s="327"/>
      <c r="N60" s="207">
        <v>472.70342106398419</v>
      </c>
      <c r="O60" s="375">
        <f t="shared" si="3"/>
        <v>93512.888421048803</v>
      </c>
      <c r="P60" s="362">
        <f t="shared" si="15"/>
        <v>93512.888421048803</v>
      </c>
      <c r="Q60" s="350">
        <f t="shared" si="16"/>
        <v>0.78578230040069907</v>
      </c>
      <c r="R60" s="350">
        <f t="shared" si="17"/>
        <v>0.47922999825412621</v>
      </c>
      <c r="S60" s="351">
        <f t="shared" si="18"/>
        <v>2.4151909327155415E-4</v>
      </c>
      <c r="T60" s="354"/>
      <c r="U60" s="354"/>
      <c r="V60" s="354"/>
      <c r="W60" s="353">
        <v>1</v>
      </c>
      <c r="X60" s="350">
        <f t="shared" si="19"/>
        <v>0.72674077969156758</v>
      </c>
      <c r="Y60" s="350">
        <f t="shared" si="20"/>
        <v>0.43976085677209359</v>
      </c>
      <c r="Z60" s="354">
        <f t="shared" si="21"/>
        <v>2.8838242581733902E-4</v>
      </c>
    </row>
    <row r="61" spans="1:26" s="3" customFormat="1">
      <c r="A61" s="8">
        <v>2</v>
      </c>
      <c r="B61" s="61" t="s">
        <v>549</v>
      </c>
      <c r="C61" s="1" t="s">
        <v>116</v>
      </c>
      <c r="D61" s="1" t="s">
        <v>580</v>
      </c>
      <c r="E61" s="1"/>
      <c r="F61" s="327">
        <v>8522.9731000000011</v>
      </c>
      <c r="G61" s="204">
        <f t="shared" si="14"/>
        <v>8522.9731000000011</v>
      </c>
      <c r="H61" s="207">
        <v>198.99997394101834</v>
      </c>
      <c r="I61" s="375">
        <f t="shared" si="2"/>
        <v>1696071.4248000006</v>
      </c>
      <c r="J61" s="389"/>
      <c r="K61" s="207">
        <v>302.61441022892041</v>
      </c>
      <c r="L61" s="327">
        <v>2579174.4780534538</v>
      </c>
      <c r="M61" s="327"/>
      <c r="N61" s="207">
        <v>501.61438416993877</v>
      </c>
      <c r="O61" s="375">
        <f t="shared" si="3"/>
        <v>4275245.9028534545</v>
      </c>
      <c r="P61" s="362">
        <f t="shared" si="15"/>
        <v>4275245.9028534545</v>
      </c>
      <c r="Q61" s="350">
        <f t="shared" si="16"/>
        <v>0.80275125740061892</v>
      </c>
      <c r="R61" s="350">
        <f t="shared" si="17"/>
        <v>0.50176373754780168</v>
      </c>
      <c r="S61" s="351">
        <f t="shared" si="18"/>
        <v>1.0309317115246611E-2</v>
      </c>
      <c r="T61" s="354"/>
      <c r="U61" s="57">
        <f>(0.8-Q60)/(Q61-Q60)</f>
        <v>0.83786526180531462</v>
      </c>
      <c r="V61" s="57">
        <f>100*(R60+(U61*(R61-R60)))</f>
        <v>49.811023562687431</v>
      </c>
      <c r="W61" s="353">
        <v>1</v>
      </c>
      <c r="X61" s="350">
        <f t="shared" si="19"/>
        <v>0.74838662860096627</v>
      </c>
      <c r="Y61" s="350">
        <f t="shared" si="20"/>
        <v>0.46400242743339715</v>
      </c>
      <c r="Z61" s="354">
        <f t="shared" si="21"/>
        <v>1.236766150223906E-2</v>
      </c>
    </row>
    <row r="62" spans="1:26" s="3" customFormat="1">
      <c r="A62" s="8">
        <v>3</v>
      </c>
      <c r="B62" s="61" t="s">
        <v>549</v>
      </c>
      <c r="C62" s="1" t="s">
        <v>476</v>
      </c>
      <c r="D62" s="1" t="s">
        <v>238</v>
      </c>
      <c r="E62" s="1"/>
      <c r="F62" s="327">
        <v>3133.7904367373903</v>
      </c>
      <c r="G62" s="204">
        <f t="shared" si="14"/>
        <v>3133.7904367373903</v>
      </c>
      <c r="H62" s="207">
        <v>419.30514454340482</v>
      </c>
      <c r="I62" s="375">
        <f t="shared" si="2"/>
        <v>1314014.4520449112</v>
      </c>
      <c r="J62" s="389"/>
      <c r="K62" s="207">
        <v>88.589994427229385</v>
      </c>
      <c r="L62" s="327">
        <v>277622.47732667014</v>
      </c>
      <c r="M62" s="327"/>
      <c r="N62" s="207">
        <v>507.89513897063421</v>
      </c>
      <c r="O62" s="375">
        <f t="shared" si="3"/>
        <v>1591636.9293715814</v>
      </c>
      <c r="P62" s="362">
        <f t="shared" si="15"/>
        <v>1591636.9293715814</v>
      </c>
      <c r="Q62" s="350">
        <f t="shared" si="16"/>
        <v>0.80899053030971169</v>
      </c>
      <c r="R62" s="350">
        <f t="shared" si="17"/>
        <v>0.51015285303533597</v>
      </c>
      <c r="S62" s="351">
        <f t="shared" si="18"/>
        <v>3.7424731026269222E-3</v>
      </c>
      <c r="T62" s="354"/>
      <c r="U62"/>
      <c r="V62" s="57">
        <f>100-V61</f>
        <v>50.188976437312569</v>
      </c>
      <c r="W62" s="353">
        <v>1</v>
      </c>
      <c r="X62" s="350">
        <f t="shared" si="19"/>
        <v>0.75634553607508892</v>
      </c>
      <c r="Y62" s="350">
        <f t="shared" si="20"/>
        <v>0.47302735371067844</v>
      </c>
      <c r="Z62" s="354">
        <f t="shared" si="21"/>
        <v>4.5182907433699137E-3</v>
      </c>
    </row>
    <row r="63" spans="1:26" s="3" customFormat="1">
      <c r="A63" s="8">
        <v>2</v>
      </c>
      <c r="B63" s="61" t="s">
        <v>473</v>
      </c>
      <c r="C63" s="1" t="s">
        <v>239</v>
      </c>
      <c r="D63" s="1" t="s">
        <v>240</v>
      </c>
      <c r="E63" s="1"/>
      <c r="F63" s="327">
        <v>1514</v>
      </c>
      <c r="G63" s="204">
        <f t="shared" si="14"/>
        <v>1514</v>
      </c>
      <c r="H63" s="207">
        <v>375.02305427456565</v>
      </c>
      <c r="I63" s="375">
        <f t="shared" si="2"/>
        <v>567784.90417169244</v>
      </c>
      <c r="J63" s="389"/>
      <c r="K63" s="207">
        <v>140.20260245953304</v>
      </c>
      <c r="L63" s="327">
        <v>212266.74012373303</v>
      </c>
      <c r="M63" s="327"/>
      <c r="N63" s="207">
        <v>515.22565673409872</v>
      </c>
      <c r="O63" s="375">
        <f t="shared" si="3"/>
        <v>780051.6442954255</v>
      </c>
      <c r="P63" s="362">
        <f t="shared" si="15"/>
        <v>780051.6442954255</v>
      </c>
      <c r="Q63" s="350">
        <f t="shared" si="16"/>
        <v>0.81200485413737677</v>
      </c>
      <c r="R63" s="350">
        <f t="shared" si="17"/>
        <v>0.51426430785865362</v>
      </c>
      <c r="S63" s="351">
        <f t="shared" si="18"/>
        <v>1.7982799543222159E-3</v>
      </c>
      <c r="T63" s="354"/>
      <c r="U63" s="57">
        <f>(SUM(O61:O$83)+((1-U61)*O60))/(SUM(F61:F$83)+((1-U61)*F60))</f>
        <v>918.16274370987924</v>
      </c>
      <c r="V63" s="57"/>
      <c r="W63" s="353">
        <v>1</v>
      </c>
      <c r="X63" s="350">
        <f t="shared" si="19"/>
        <v>0.76019065149013454</v>
      </c>
      <c r="Y63" s="350">
        <f t="shared" si="20"/>
        <v>0.47745041556123363</v>
      </c>
      <c r="Z63" s="354">
        <f t="shared" si="21"/>
        <v>2.1765599499959532E-3</v>
      </c>
    </row>
    <row r="64" spans="1:26" s="3" customFormat="1">
      <c r="A64" s="8">
        <v>1</v>
      </c>
      <c r="B64" s="61" t="s">
        <v>549</v>
      </c>
      <c r="C64" s="1" t="s">
        <v>160</v>
      </c>
      <c r="D64" s="1" t="s">
        <v>238</v>
      </c>
      <c r="E64" s="1"/>
      <c r="F64" s="327">
        <v>2560.0967590580822</v>
      </c>
      <c r="G64" s="204">
        <f t="shared" si="14"/>
        <v>2560.0967590580822</v>
      </c>
      <c r="H64" s="207">
        <v>391.54184256500628</v>
      </c>
      <c r="I64" s="375">
        <f t="shared" si="2"/>
        <v>1002385.0021863024</v>
      </c>
      <c r="J64" s="389"/>
      <c r="K64" s="207">
        <v>133.46768271759632</v>
      </c>
      <c r="L64" s="327">
        <v>341690.18196431076</v>
      </c>
      <c r="M64" s="327"/>
      <c r="N64" s="207">
        <v>525.00952528260257</v>
      </c>
      <c r="O64" s="375">
        <f t="shared" si="3"/>
        <v>1344075.1841506131</v>
      </c>
      <c r="P64" s="362">
        <f t="shared" si="15"/>
        <v>1344075.1841506131</v>
      </c>
      <c r="Q64" s="350">
        <f t="shared" si="16"/>
        <v>0.81710192194580278</v>
      </c>
      <c r="R64" s="350">
        <f t="shared" si="17"/>
        <v>0.52134858803316575</v>
      </c>
      <c r="S64" s="351">
        <f t="shared" si="18"/>
        <v>3.0250785512212215E-3</v>
      </c>
      <c r="T64" s="354"/>
      <c r="U64" s="354"/>
      <c r="V64" s="354"/>
      <c r="W64" s="353">
        <v>1</v>
      </c>
      <c r="X64" s="350">
        <f t="shared" si="19"/>
        <v>0.76669254548766608</v>
      </c>
      <c r="Y64" s="350">
        <f t="shared" si="20"/>
        <v>0.48507161309958924</v>
      </c>
      <c r="Z64" s="354">
        <f t="shared" si="21"/>
        <v>3.669416492720044E-3</v>
      </c>
    </row>
    <row r="65" spans="1:29" s="3" customFormat="1">
      <c r="A65" s="8">
        <v>3</v>
      </c>
      <c r="B65" s="61" t="s">
        <v>549</v>
      </c>
      <c r="C65" s="1" t="s">
        <v>116</v>
      </c>
      <c r="D65" s="1" t="s">
        <v>580</v>
      </c>
      <c r="E65" s="1"/>
      <c r="F65" s="327">
        <v>40503.003137927604</v>
      </c>
      <c r="G65" s="204">
        <f t="shared" si="14"/>
        <v>40503.003137927604</v>
      </c>
      <c r="H65" s="207">
        <v>403.90217358181422</v>
      </c>
      <c r="I65" s="375">
        <f t="shared" si="2"/>
        <v>16359251.004000001</v>
      </c>
      <c r="J65" s="389"/>
      <c r="K65" s="207">
        <v>131.38299928489937</v>
      </c>
      <c r="L65" s="327">
        <v>5321406.032306619</v>
      </c>
      <c r="M65" s="327"/>
      <c r="N65" s="207">
        <v>535.28517286671354</v>
      </c>
      <c r="O65" s="375">
        <f t="shared" si="3"/>
        <v>21680657.03630662</v>
      </c>
      <c r="P65" s="362">
        <f t="shared" si="15"/>
        <v>21680657.03630662</v>
      </c>
      <c r="Q65" s="350">
        <f t="shared" si="16"/>
        <v>0.8977420589673677</v>
      </c>
      <c r="R65" s="350">
        <f t="shared" si="17"/>
        <v>0.63562184493416685</v>
      </c>
      <c r="S65" s="351">
        <f t="shared" si="18"/>
        <v>4.4986999347058944E-2</v>
      </c>
      <c r="T65" s="354"/>
      <c r="U65" s="354"/>
      <c r="V65" s="354"/>
      <c r="W65" s="353">
        <v>1</v>
      </c>
      <c r="X65" s="350">
        <f t="shared" si="19"/>
        <v>0.86955827978178002</v>
      </c>
      <c r="Y65" s="350">
        <f t="shared" si="20"/>
        <v>0.60800563642169303</v>
      </c>
      <c r="Z65" s="354">
        <f t="shared" si="21"/>
        <v>5.5873948718494396E-2</v>
      </c>
      <c r="AB65" s="57">
        <f>(0.8-X64)/(X65-X64)</f>
        <v>0.32379542848643084</v>
      </c>
      <c r="AC65" s="57">
        <f>100*(Y64+(AB65*(Y65-Y64)))</f>
        <v>52.487708785673071</v>
      </c>
    </row>
    <row r="66" spans="1:29" s="3" customFormat="1">
      <c r="A66" s="8">
        <v>2</v>
      </c>
      <c r="B66" s="61" t="s">
        <v>549</v>
      </c>
      <c r="C66" s="1" t="s">
        <v>528</v>
      </c>
      <c r="D66" s="1" t="s">
        <v>620</v>
      </c>
      <c r="E66" s="1"/>
      <c r="F66" s="327">
        <v>10725.923050589983</v>
      </c>
      <c r="G66" s="204">
        <f t="shared" si="14"/>
        <v>10725.923050589983</v>
      </c>
      <c r="H66" s="207">
        <v>400.71584086964612</v>
      </c>
      <c r="I66" s="375">
        <f t="shared" si="2"/>
        <v>4298047.2743202848</v>
      </c>
      <c r="J66" s="389"/>
      <c r="K66" s="207">
        <v>152.65733536142895</v>
      </c>
      <c r="L66" s="327">
        <v>1637390.8321947961</v>
      </c>
      <c r="M66" s="327"/>
      <c r="N66" s="207">
        <v>553.37317623107504</v>
      </c>
      <c r="O66" s="375">
        <f t="shared" si="3"/>
        <v>5935438.1065150807</v>
      </c>
      <c r="P66" s="362">
        <f t="shared" si="15"/>
        <v>5935438.1065150807</v>
      </c>
      <c r="Q66" s="350">
        <f t="shared" si="16"/>
        <v>0.91909701631551544</v>
      </c>
      <c r="R66" s="350">
        <f t="shared" si="17"/>
        <v>0.66690603721809838</v>
      </c>
      <c r="S66" s="351">
        <f t="shared" si="18"/>
        <v>1.0983093592979321E-2</v>
      </c>
      <c r="T66" s="354"/>
      <c r="U66" s="57">
        <f>(0.9-Q65)/(Q66-Q65)</f>
        <v>0.10573381139663916</v>
      </c>
      <c r="V66" s="57">
        <f>100*(R65+(U66*(R66-R65)))</f>
        <v>63.892964182081222</v>
      </c>
      <c r="W66" s="353">
        <v>1</v>
      </c>
      <c r="X66" s="350">
        <f t="shared" si="19"/>
        <v>0.89679897467109126</v>
      </c>
      <c r="Y66" s="350">
        <f t="shared" si="20"/>
        <v>0.64166085662056993</v>
      </c>
      <c r="Z66" s="354">
        <f t="shared" si="21"/>
        <v>1.4075015383712298E-2</v>
      </c>
      <c r="AB66"/>
      <c r="AC66" s="57">
        <f>100-AC65</f>
        <v>47.512291214326929</v>
      </c>
    </row>
    <row r="67" spans="1:29" s="3" customFormat="1">
      <c r="A67" s="8">
        <v>3</v>
      </c>
      <c r="B67" s="61" t="s">
        <v>475</v>
      </c>
      <c r="C67" s="1" t="s">
        <v>476</v>
      </c>
      <c r="D67" s="1" t="s">
        <v>238</v>
      </c>
      <c r="E67" s="1"/>
      <c r="F67" s="327">
        <v>930.99772496026071</v>
      </c>
      <c r="G67" s="204">
        <f t="shared" si="14"/>
        <v>930.99772496026071</v>
      </c>
      <c r="H67" s="207">
        <v>507.27549959361124</v>
      </c>
      <c r="I67" s="375">
        <f t="shared" si="2"/>
        <v>472272.3360497317</v>
      </c>
      <c r="J67" s="389"/>
      <c r="K67" s="207">
        <v>77.529597062715425</v>
      </c>
      <c r="L67" s="327">
        <v>72179.878482473767</v>
      </c>
      <c r="M67" s="327"/>
      <c r="N67" s="207">
        <v>584.80509665632667</v>
      </c>
      <c r="O67" s="375">
        <f t="shared" si="3"/>
        <v>544452.21453220549</v>
      </c>
      <c r="P67" s="362">
        <f t="shared" si="15"/>
        <v>544452.21453220549</v>
      </c>
      <c r="Q67" s="350">
        <f t="shared" si="16"/>
        <v>0.92095060193364597</v>
      </c>
      <c r="R67" s="350">
        <f t="shared" si="17"/>
        <v>0.6697757070660818</v>
      </c>
      <c r="S67" s="351">
        <f t="shared" si="18"/>
        <v>9.3303174463919825E-4</v>
      </c>
      <c r="T67" s="354"/>
      <c r="U67"/>
      <c r="V67" s="57">
        <f>100-V66</f>
        <v>36.107035817918778</v>
      </c>
      <c r="W67" s="353">
        <v>1</v>
      </c>
      <c r="X67" s="350">
        <f t="shared" si="19"/>
        <v>0.89916343550571287</v>
      </c>
      <c r="Y67" s="350">
        <f t="shared" si="20"/>
        <v>0.64474801865292852</v>
      </c>
      <c r="Z67" s="354">
        <f t="shared" si="21"/>
        <v>1.2048193764218598E-3</v>
      </c>
      <c r="AB67" s="57">
        <f>(SUM(O66:O$83)+((1-AB65)*O65))/(SUM(F66:F$83)+((1-AB65)*F65))</f>
        <v>1064.0445893641543</v>
      </c>
      <c r="AC67" s="57"/>
    </row>
    <row r="68" spans="1:29" s="3" customFormat="1">
      <c r="A68" s="8">
        <v>2</v>
      </c>
      <c r="B68" s="61" t="s">
        <v>473</v>
      </c>
      <c r="C68" s="1" t="s">
        <v>91</v>
      </c>
      <c r="D68" s="1" t="s">
        <v>288</v>
      </c>
      <c r="E68" s="1"/>
      <c r="F68" s="327">
        <v>685.91208771434367</v>
      </c>
      <c r="G68" s="204">
        <f t="shared" si="14"/>
        <v>685.91208771434367</v>
      </c>
      <c r="H68" s="207">
        <v>466.35438760789901</v>
      </c>
      <c r="I68" s="375">
        <f t="shared" si="2"/>
        <v>319878.11161887826</v>
      </c>
      <c r="J68" s="389"/>
      <c r="K68" s="207">
        <v>140.20260245953304</v>
      </c>
      <c r="L68" s="327">
        <v>96166.659756002482</v>
      </c>
      <c r="M68" s="327"/>
      <c r="N68" s="207">
        <v>606.55699006743203</v>
      </c>
      <c r="O68" s="375">
        <f t="shared" si="3"/>
        <v>416044.77137488074</v>
      </c>
      <c r="P68" s="362">
        <f t="shared" si="15"/>
        <v>416044.77137488074</v>
      </c>
      <c r="Q68" s="350">
        <f t="shared" si="16"/>
        <v>0.92231623016989484</v>
      </c>
      <c r="R68" s="350">
        <f t="shared" si="17"/>
        <v>0.67196857377496544</v>
      </c>
      <c r="S68" s="351">
        <f t="shared" si="18"/>
        <v>6.8489335711962825E-4</v>
      </c>
      <c r="T68" s="354"/>
      <c r="U68" s="57">
        <f>(SUM(O66:O$83)+((1-U66)*O65))/(SUM(F66:F$83)+((1-U66)*F65))</f>
        <v>1010.7218287153489</v>
      </c>
      <c r="V68" s="57"/>
      <c r="W68" s="353">
        <v>1</v>
      </c>
      <c r="X68" s="350">
        <f t="shared" si="19"/>
        <v>0.90090545079094175</v>
      </c>
      <c r="Y68" s="350">
        <f t="shared" si="20"/>
        <v>0.64710708265830386</v>
      </c>
      <c r="Z68" s="354">
        <f t="shared" si="21"/>
        <v>8.8531618160863008E-4</v>
      </c>
      <c r="AB68" s="57">
        <f>(0.9-X67)/(X68-X67)</f>
        <v>0.48022798730909838</v>
      </c>
      <c r="AC68" s="57">
        <f>100*(Y67+(AB68*(Y68-Y67)))</f>
        <v>64.588090721216332</v>
      </c>
    </row>
    <row r="69" spans="1:29" s="3" customFormat="1">
      <c r="A69" s="8">
        <v>3</v>
      </c>
      <c r="B69" s="61" t="s">
        <v>475</v>
      </c>
      <c r="C69" s="1" t="s">
        <v>239</v>
      </c>
      <c r="D69" s="1" t="s">
        <v>240</v>
      </c>
      <c r="E69" s="1"/>
      <c r="F69" s="327">
        <v>299</v>
      </c>
      <c r="G69" s="204">
        <f t="shared" si="14"/>
        <v>299</v>
      </c>
      <c r="H69" s="207">
        <v>378.52299591041134</v>
      </c>
      <c r="I69" s="375">
        <f t="shared" si="2"/>
        <v>113178.37577721299</v>
      </c>
      <c r="J69" s="389"/>
      <c r="K69" s="207">
        <v>233.50642595360472</v>
      </c>
      <c r="L69" s="327">
        <v>69818.421360127817</v>
      </c>
      <c r="M69" s="327"/>
      <c r="N69" s="207">
        <v>612.02942186401617</v>
      </c>
      <c r="O69" s="375">
        <f t="shared" si="3"/>
        <v>182996.79713734082</v>
      </c>
      <c r="P69" s="362">
        <f t="shared" si="15"/>
        <v>182996.79713734082</v>
      </c>
      <c r="Q69" s="350">
        <f t="shared" si="16"/>
        <v>0.92291152926135578</v>
      </c>
      <c r="R69" s="350">
        <f t="shared" si="17"/>
        <v>0.67293310358493919</v>
      </c>
      <c r="S69" s="351">
        <f t="shared" si="18"/>
        <v>2.9784366209128572E-4</v>
      </c>
      <c r="T69" s="354"/>
      <c r="U69" s="354"/>
      <c r="V69" s="354"/>
      <c r="W69" s="353">
        <v>1</v>
      </c>
      <c r="X69" s="350">
        <f t="shared" si="19"/>
        <v>0.90166482298981798</v>
      </c>
      <c r="Y69" s="350">
        <f t="shared" si="20"/>
        <v>0.64814471415118158</v>
      </c>
      <c r="Z69" s="354">
        <f t="shared" si="21"/>
        <v>3.8524354738821615E-4</v>
      </c>
      <c r="AB69"/>
      <c r="AC69" s="57">
        <f>100-AC68</f>
        <v>35.411909278783668</v>
      </c>
    </row>
    <row r="70" spans="1:29" s="3" customFormat="1">
      <c r="A70" s="8">
        <v>3</v>
      </c>
      <c r="B70" s="61" t="s">
        <v>475</v>
      </c>
      <c r="C70" s="1" t="s">
        <v>91</v>
      </c>
      <c r="D70" s="1" t="s">
        <v>288</v>
      </c>
      <c r="E70" s="1"/>
      <c r="F70" s="327">
        <v>216.02648296594066</v>
      </c>
      <c r="G70" s="204">
        <f t="shared" si="14"/>
        <v>216.02648296594066</v>
      </c>
      <c r="H70" s="207">
        <v>492.03299591041127</v>
      </c>
      <c r="I70" s="375">
        <f t="shared" si="2"/>
        <v>106292.15760972121</v>
      </c>
      <c r="J70" s="389"/>
      <c r="K70" s="207">
        <v>233.50642595360472</v>
      </c>
      <c r="L70" s="327">
        <v>50443.571948704077</v>
      </c>
      <c r="M70" s="327"/>
      <c r="N70" s="207">
        <v>725.53942186401605</v>
      </c>
      <c r="O70" s="375">
        <f t="shared" si="3"/>
        <v>156735.72955842529</v>
      </c>
      <c r="P70" s="362">
        <f t="shared" si="15"/>
        <v>156735.72955842529</v>
      </c>
      <c r="Q70" s="350">
        <f t="shared" si="16"/>
        <v>0.92334163083005516</v>
      </c>
      <c r="R70" s="350">
        <f t="shared" si="17"/>
        <v>0.67375921795312477</v>
      </c>
      <c r="S70" s="351">
        <f t="shared" si="18"/>
        <v>2.1486190032257301E-4</v>
      </c>
      <c r="T70" s="354"/>
      <c r="U70" s="354"/>
      <c r="V70" s="354"/>
      <c r="W70" s="353">
        <v>1</v>
      </c>
      <c r="X70" s="350">
        <f t="shared" si="19"/>
        <v>0.90221346682053827</v>
      </c>
      <c r="Y70" s="350">
        <f t="shared" si="20"/>
        <v>0.64903343970044314</v>
      </c>
      <c r="Z70" s="354">
        <f t="shared" si="21"/>
        <v>2.7799790361888804E-4</v>
      </c>
      <c r="AB70" s="57">
        <f>(SUM(O69:O$83)+((1-AB68)*O68))/(SUM(F69:F$83)+((1-AB68)*F68))</f>
        <v>1586.1095941330686</v>
      </c>
      <c r="AC70" s="57"/>
    </row>
    <row r="71" spans="1:29" s="3" customFormat="1">
      <c r="A71" s="8">
        <v>1</v>
      </c>
      <c r="B71" s="61" t="s">
        <v>549</v>
      </c>
      <c r="C71" s="1" t="s">
        <v>43</v>
      </c>
      <c r="D71" s="1" t="s">
        <v>472</v>
      </c>
      <c r="E71" s="1"/>
      <c r="F71" s="327">
        <v>1132.3913113228157</v>
      </c>
      <c r="G71" s="204">
        <f t="shared" si="14"/>
        <v>1132.3913113228157</v>
      </c>
      <c r="H71" s="207">
        <v>356.43887176112037</v>
      </c>
      <c r="I71" s="375">
        <f t="shared" si="2"/>
        <v>403628.28140000004</v>
      </c>
      <c r="J71" s="389"/>
      <c r="K71" s="207">
        <v>398.41507462231118</v>
      </c>
      <c r="L71" s="327">
        <v>451161.76880233642</v>
      </c>
      <c r="M71" s="327"/>
      <c r="N71" s="207">
        <v>754.85394638343155</v>
      </c>
      <c r="O71" s="375">
        <f t="shared" si="3"/>
        <v>854790.0502023364</v>
      </c>
      <c r="P71" s="362">
        <f t="shared" si="15"/>
        <v>854790.0502023364</v>
      </c>
      <c r="Q71" s="350">
        <f t="shared" si="16"/>
        <v>0.92559618440466629</v>
      </c>
      <c r="R71" s="350">
        <f t="shared" si="17"/>
        <v>0.67826460000126176</v>
      </c>
      <c r="S71" s="351">
        <f t="shared" si="18"/>
        <v>1.1203192288426842E-3</v>
      </c>
      <c r="T71" s="354"/>
      <c r="U71" s="354"/>
      <c r="V71" s="354"/>
      <c r="W71" s="353">
        <v>1</v>
      </c>
      <c r="X71" s="350">
        <f t="shared" si="19"/>
        <v>0.90508940822544659</v>
      </c>
      <c r="Y71" s="350">
        <f t="shared" si="20"/>
        <v>0.65388028450736502</v>
      </c>
      <c r="Z71" s="354">
        <f t="shared" si="21"/>
        <v>1.4505936430820611E-3</v>
      </c>
    </row>
    <row r="72" spans="1:29" s="3" customFormat="1">
      <c r="A72" s="8">
        <v>2</v>
      </c>
      <c r="B72" s="61" t="s">
        <v>549</v>
      </c>
      <c r="C72" s="1" t="s">
        <v>44</v>
      </c>
      <c r="D72" s="1" t="s">
        <v>581</v>
      </c>
      <c r="E72" s="1"/>
      <c r="F72" s="327">
        <v>3835.3378949999997</v>
      </c>
      <c r="G72" s="204">
        <f t="shared" si="14"/>
        <v>3835.3378949999997</v>
      </c>
      <c r="H72" s="207">
        <v>198.99997394101834</v>
      </c>
      <c r="I72" s="375">
        <f t="shared" si="2"/>
        <v>763232.14116000012</v>
      </c>
      <c r="J72" s="389"/>
      <c r="K72" s="207">
        <v>741.61826212961171</v>
      </c>
      <c r="L72" s="327">
        <v>2844356.6243697428</v>
      </c>
      <c r="M72" s="327"/>
      <c r="N72" s="207">
        <v>940.61823607063002</v>
      </c>
      <c r="O72" s="375">
        <f t="shared" si="3"/>
        <v>3607588.7655297429</v>
      </c>
      <c r="P72" s="362">
        <f t="shared" si="15"/>
        <v>3607588.7655297429</v>
      </c>
      <c r="Q72" s="350">
        <f t="shared" si="16"/>
        <v>0.93323221505463017</v>
      </c>
      <c r="R72" s="350">
        <f t="shared" si="17"/>
        <v>0.69727928747619328</v>
      </c>
      <c r="S72" s="351">
        <f t="shared" si="18"/>
        <v>3.6903753461461752E-3</v>
      </c>
      <c r="T72" s="354"/>
      <c r="U72" s="354"/>
      <c r="V72" s="354"/>
      <c r="W72" s="353">
        <v>1</v>
      </c>
      <c r="X72" s="350">
        <f t="shared" si="19"/>
        <v>0.91483004023467596</v>
      </c>
      <c r="Y72" s="350">
        <f t="shared" si="20"/>
        <v>0.67433609452712184</v>
      </c>
      <c r="Z72" s="354">
        <f t="shared" si="21"/>
        <v>4.7894986570836762E-3</v>
      </c>
    </row>
    <row r="73" spans="1:29" s="3" customFormat="1">
      <c r="A73" s="8">
        <v>3</v>
      </c>
      <c r="B73" s="61" t="s">
        <v>549</v>
      </c>
      <c r="C73" s="1" t="s">
        <v>44</v>
      </c>
      <c r="D73" s="1" t="s">
        <v>581</v>
      </c>
      <c r="E73" s="1"/>
      <c r="F73" s="327">
        <v>18226.351412067419</v>
      </c>
      <c r="G73" s="204">
        <f t="shared" si="14"/>
        <v>18226.351412067419</v>
      </c>
      <c r="H73" s="207">
        <v>403.90217358181422</v>
      </c>
      <c r="I73" s="375">
        <f t="shared" si="2"/>
        <v>7361662.9517999999</v>
      </c>
      <c r="J73" s="389"/>
      <c r="K73" s="207">
        <v>649.10219971303138</v>
      </c>
      <c r="L73" s="327">
        <v>11830764.794315677</v>
      </c>
      <c r="M73" s="327"/>
      <c r="N73" s="207">
        <v>1053.0043732948457</v>
      </c>
      <c r="O73" s="375">
        <f t="shared" si="3"/>
        <v>19192427.746115677</v>
      </c>
      <c r="P73" s="362">
        <f t="shared" si="15"/>
        <v>19192427.746115677</v>
      </c>
      <c r="Q73" s="350">
        <f t="shared" si="16"/>
        <v>0.96952027671433438</v>
      </c>
      <c r="R73" s="350">
        <f t="shared" si="17"/>
        <v>0.79843771744042624</v>
      </c>
      <c r="S73" s="351">
        <f t="shared" si="18"/>
        <v>1.4770528844585618E-2</v>
      </c>
      <c r="T73" s="354"/>
      <c r="U73" s="57">
        <f>(0.95-Q72)/(Q73-Q72)</f>
        <v>0.46207441727286969</v>
      </c>
      <c r="V73" s="57">
        <f>100*(R72+(U73*(R73-R72)))</f>
        <v>74.402201005415463</v>
      </c>
      <c r="W73" s="353">
        <v>1</v>
      </c>
      <c r="X73" s="350">
        <f t="shared" si="19"/>
        <v>0.96111962066702716</v>
      </c>
      <c r="Y73" s="350">
        <f t="shared" si="20"/>
        <v>0.78316131860578797</v>
      </c>
      <c r="Z73" s="354">
        <f t="shared" si="21"/>
        <v>1.9369978980191719E-2</v>
      </c>
      <c r="AB73" s="57">
        <f>(0.95-X72)/(X73-X72)</f>
        <v>0.759781346835111</v>
      </c>
      <c r="AC73" s="57">
        <f>100*(Y72+(AB73*(Y73-Y72)))</f>
        <v>75.701946984724358</v>
      </c>
    </row>
    <row r="74" spans="1:29" s="3" customFormat="1">
      <c r="A74" s="8">
        <v>1</v>
      </c>
      <c r="B74" s="61" t="s">
        <v>549</v>
      </c>
      <c r="C74" s="1" t="s">
        <v>159</v>
      </c>
      <c r="D74" s="1" t="s">
        <v>367</v>
      </c>
      <c r="E74" s="1"/>
      <c r="F74" s="327">
        <v>536.22582205709273</v>
      </c>
      <c r="G74" s="204">
        <f t="shared" ref="G74:G83" si="22">F74*W74</f>
        <v>536.22582205709273</v>
      </c>
      <c r="H74" s="207">
        <v>1199.650705175477</v>
      </c>
      <c r="I74" s="375">
        <f t="shared" si="2"/>
        <v>643283.6855640912</v>
      </c>
      <c r="J74" s="389"/>
      <c r="K74" s="207">
        <v>47.793658770100706</v>
      </c>
      <c r="L74" s="327">
        <v>25628.19396311343</v>
      </c>
      <c r="M74" s="327"/>
      <c r="N74" s="207">
        <v>1247.4443639455778</v>
      </c>
      <c r="O74" s="375">
        <f t="shared" si="3"/>
        <v>668911.87952720467</v>
      </c>
      <c r="P74" s="362">
        <f t="shared" ref="P74:P83" si="23">O74*W74</f>
        <v>668911.87952720467</v>
      </c>
      <c r="Q74" s="350">
        <f t="shared" si="16"/>
        <v>0.9705878845561019</v>
      </c>
      <c r="R74" s="350">
        <f t="shared" si="17"/>
        <v>0.80196338268780964</v>
      </c>
      <c r="S74" s="351">
        <f t="shared" si="18"/>
        <v>3.6267392237920984E-4</v>
      </c>
      <c r="T74" s="354"/>
      <c r="U74"/>
      <c r="V74" s="57">
        <f>100-V73</f>
        <v>25.597798994584537</v>
      </c>
      <c r="W74" s="353">
        <v>1</v>
      </c>
      <c r="X74" s="350">
        <f t="shared" si="19"/>
        <v>0.96248147679274532</v>
      </c>
      <c r="Y74" s="350">
        <f t="shared" si="20"/>
        <v>0.78695419390751542</v>
      </c>
      <c r="Z74" s="354">
        <f t="shared" si="21"/>
        <v>4.8139650921241338E-4</v>
      </c>
      <c r="AB74"/>
      <c r="AC74" s="57">
        <f>100-AC73</f>
        <v>24.298053015275642</v>
      </c>
    </row>
    <row r="75" spans="1:29" s="3" customFormat="1">
      <c r="A75" s="8">
        <v>3</v>
      </c>
      <c r="B75" s="61" t="s">
        <v>475</v>
      </c>
      <c r="C75" s="1" t="s">
        <v>92</v>
      </c>
      <c r="D75" s="1" t="s">
        <v>155</v>
      </c>
      <c r="E75" s="1"/>
      <c r="F75" s="327">
        <v>384.67464745420693</v>
      </c>
      <c r="G75" s="204">
        <f t="shared" si="22"/>
        <v>384.67464745420693</v>
      </c>
      <c r="H75" s="207">
        <v>822.03299591041127</v>
      </c>
      <c r="I75" s="375">
        <f t="shared" ref="I75:I83" si="24">F75*H75</f>
        <v>316215.25289756298</v>
      </c>
      <c r="J75" s="389"/>
      <c r="K75" s="207">
        <v>445.35760196587682</v>
      </c>
      <c r="L75" s="327">
        <v>171317.7785272747</v>
      </c>
      <c r="M75" s="327"/>
      <c r="N75" s="207">
        <v>1267.390597876288</v>
      </c>
      <c r="O75" s="375">
        <f t="shared" ref="O75:O83" si="25">I75+L75</f>
        <v>487533.03142483765</v>
      </c>
      <c r="P75" s="362">
        <f t="shared" si="23"/>
        <v>487533.03142483765</v>
      </c>
      <c r="Q75" s="350">
        <f t="shared" si="16"/>
        <v>0.97135375903147836</v>
      </c>
      <c r="R75" s="350">
        <f t="shared" si="17"/>
        <v>0.80453304592515706</v>
      </c>
      <c r="S75" s="351">
        <f t="shared" si="18"/>
        <v>2.5690892803622613E-4</v>
      </c>
      <c r="T75" s="354"/>
      <c r="U75" s="57">
        <f>(SUM(O73:O$83)+((1-U73)*O72))/(SUM(F73:F$83)+((1-U73)*F72))</f>
        <v>1667.9006583222867</v>
      </c>
      <c r="V75" s="57"/>
      <c r="W75" s="353">
        <v>1</v>
      </c>
      <c r="X75" s="350">
        <f t="shared" ref="X75:X83" si="26">(W75*(F75/F$85))+X74</f>
        <v>0.96345843743785986</v>
      </c>
      <c r="Y75" s="350">
        <f t="shared" ref="Y75:Y83" si="27">(W75*(O75/O$85))+Y74</f>
        <v>0.78971861183798264</v>
      </c>
      <c r="Z75" s="354">
        <f t="shared" si="21"/>
        <v>3.4122021962290156E-4</v>
      </c>
      <c r="AB75" s="57">
        <f>(SUM(O74:O$83)+((1-AB73)*O73))/(SUM(F74:F$83)+((1-AB73)*F73))</f>
        <v>2176.633555840086</v>
      </c>
      <c r="AC75" s="57"/>
    </row>
    <row r="76" spans="1:29" s="3" customFormat="1">
      <c r="A76" s="8">
        <v>2</v>
      </c>
      <c r="B76" s="61" t="s">
        <v>473</v>
      </c>
      <c r="C76" s="1" t="s">
        <v>160</v>
      </c>
      <c r="D76" s="1" t="s">
        <v>238</v>
      </c>
      <c r="E76" s="1"/>
      <c r="F76" s="327">
        <v>2386.8172746096379</v>
      </c>
      <c r="G76" s="204">
        <f t="shared" si="22"/>
        <v>2386.8172746096379</v>
      </c>
      <c r="H76" s="207">
        <v>1076.2512523700495</v>
      </c>
      <c r="I76" s="375">
        <f t="shared" si="24"/>
        <v>2568815.0809770911</v>
      </c>
      <c r="J76" s="389"/>
      <c r="K76" s="207">
        <v>206.52926226447693</v>
      </c>
      <c r="L76" s="327">
        <v>492947.61088523798</v>
      </c>
      <c r="M76" s="327"/>
      <c r="N76" s="207">
        <v>1282.7805146345263</v>
      </c>
      <c r="O76" s="375">
        <f t="shared" si="25"/>
        <v>3061762.6918623289</v>
      </c>
      <c r="P76" s="362">
        <f t="shared" si="23"/>
        <v>3061762.6918623289</v>
      </c>
      <c r="Q76" s="350">
        <f t="shared" ref="Q76:Q83" si="28">(F76/F$86)+Q75</f>
        <v>0.97610583312866361</v>
      </c>
      <c r="R76" s="350">
        <f t="shared" ref="R76:R83" si="29">(O76/O$86)+R75</f>
        <v>0.8206708222882616</v>
      </c>
      <c r="S76" s="351">
        <f t="shared" ref="S76:S83" si="30">(Q76-Q75)*(Q76-R76+Q75-R75)</f>
        <v>1.5313830784369059E-3</v>
      </c>
      <c r="T76" s="354"/>
      <c r="U76" s="354"/>
      <c r="V76" s="354"/>
      <c r="W76" s="353">
        <v>1</v>
      </c>
      <c r="X76" s="350">
        <f t="shared" si="26"/>
        <v>0.96952025242828177</v>
      </c>
      <c r="Y76" s="350">
        <f t="shared" si="27"/>
        <v>0.80707946974638634</v>
      </c>
      <c r="Z76" s="354">
        <f t="shared" ref="Z76:Z83" si="31">(X76-X75)*(X76-Y76+X75-Y75)</f>
        <v>2.0378646507716053E-3</v>
      </c>
    </row>
    <row r="77" spans="1:29" s="3" customFormat="1">
      <c r="A77" s="8">
        <v>2</v>
      </c>
      <c r="B77" s="61" t="s">
        <v>549</v>
      </c>
      <c r="C77" s="1" t="s">
        <v>43</v>
      </c>
      <c r="D77" s="1" t="s">
        <v>472</v>
      </c>
      <c r="E77" s="1"/>
      <c r="F77" s="327">
        <v>426.14865500000002</v>
      </c>
      <c r="G77" s="204">
        <f t="shared" si="22"/>
        <v>426.14865500000002</v>
      </c>
      <c r="H77" s="207">
        <v>198.99997394101834</v>
      </c>
      <c r="I77" s="375">
        <f t="shared" si="24"/>
        <v>84803.571240000019</v>
      </c>
      <c r="J77" s="389"/>
      <c r="K77" s="207">
        <v>1324.9121246495508</v>
      </c>
      <c r="L77" s="327">
        <v>564609.51991259842</v>
      </c>
      <c r="M77" s="327"/>
      <c r="N77" s="207">
        <v>1523.912098590569</v>
      </c>
      <c r="O77" s="375">
        <f t="shared" si="25"/>
        <v>649413.09115259838</v>
      </c>
      <c r="P77" s="362">
        <f t="shared" si="23"/>
        <v>649413.09115259838</v>
      </c>
      <c r="Q77" s="350">
        <f t="shared" si="28"/>
        <v>0.97695428097865955</v>
      </c>
      <c r="R77" s="350">
        <f t="shared" si="29"/>
        <v>0.82409371435633316</v>
      </c>
      <c r="S77" s="351">
        <f t="shared" si="30"/>
        <v>2.6157271986150776E-4</v>
      </c>
      <c r="T77" s="354"/>
      <c r="U77" s="354"/>
      <c r="V77" s="354"/>
      <c r="W77" s="353">
        <v>1</v>
      </c>
      <c r="X77" s="350">
        <f t="shared" si="26"/>
        <v>0.97060254487375175</v>
      </c>
      <c r="Y77" s="350">
        <f t="shared" si="27"/>
        <v>0.81076178269288701</v>
      </c>
      <c r="Z77" s="354">
        <f t="shared" si="31"/>
        <v>3.4880288131935956E-4</v>
      </c>
    </row>
    <row r="78" spans="1:29" s="3" customFormat="1">
      <c r="A78" s="8">
        <v>2</v>
      </c>
      <c r="B78" s="61" t="s">
        <v>549</v>
      </c>
      <c r="C78" s="1" t="s">
        <v>159</v>
      </c>
      <c r="D78" s="1" t="s">
        <v>367</v>
      </c>
      <c r="E78" s="1"/>
      <c r="F78" s="327">
        <v>1352.9526393621529</v>
      </c>
      <c r="G78" s="204">
        <f t="shared" si="22"/>
        <v>1352.9526393621529</v>
      </c>
      <c r="H78" s="207">
        <v>1442.8097033556694</v>
      </c>
      <c r="I78" s="375">
        <f t="shared" si="24"/>
        <v>1952053.1962523777</v>
      </c>
      <c r="J78" s="389"/>
      <c r="K78" s="207">
        <v>212.5758040755575</v>
      </c>
      <c r="L78" s="327">
        <v>287604.99518855743</v>
      </c>
      <c r="M78" s="327"/>
      <c r="N78" s="207">
        <v>1655.3855074312269</v>
      </c>
      <c r="O78" s="375">
        <f t="shared" si="25"/>
        <v>2239658.1914409352</v>
      </c>
      <c r="P78" s="362">
        <f t="shared" si="23"/>
        <v>2239658.1914409352</v>
      </c>
      <c r="Q78" s="350">
        <f t="shared" si="28"/>
        <v>0.97964796484823136</v>
      </c>
      <c r="R78" s="350">
        <f t="shared" si="29"/>
        <v>0.83589838593304666</v>
      </c>
      <c r="S78" s="351">
        <f t="shared" si="30"/>
        <v>7.9897396458573965E-4</v>
      </c>
      <c r="T78" s="354"/>
      <c r="U78" s="354"/>
      <c r="V78" s="354"/>
      <c r="W78" s="353">
        <v>1</v>
      </c>
      <c r="X78" s="350">
        <f t="shared" si="26"/>
        <v>0.97403864728421286</v>
      </c>
      <c r="Y78" s="350">
        <f t="shared" si="27"/>
        <v>0.82346112994417509</v>
      </c>
      <c r="Z78" s="354">
        <f t="shared" si="31"/>
        <v>1.0666289985129624E-3</v>
      </c>
    </row>
    <row r="79" spans="1:29" s="3" customFormat="1">
      <c r="A79" s="8">
        <v>2</v>
      </c>
      <c r="B79" s="61" t="s">
        <v>473</v>
      </c>
      <c r="C79" s="1" t="s">
        <v>159</v>
      </c>
      <c r="D79" s="1" t="s">
        <v>367</v>
      </c>
      <c r="E79" s="1"/>
      <c r="F79" s="327">
        <v>418.37451309653005</v>
      </c>
      <c r="G79" s="204">
        <f t="shared" si="22"/>
        <v>418.37451309653005</v>
      </c>
      <c r="H79" s="207">
        <v>2128.0367685602801</v>
      </c>
      <c r="I79" s="375">
        <f t="shared" si="24"/>
        <v>890316.34689792036</v>
      </c>
      <c r="J79" s="389"/>
      <c r="K79" s="207">
        <v>310.2396773121431</v>
      </c>
      <c r="L79" s="327">
        <v>129796.37393869247</v>
      </c>
      <c r="M79" s="327"/>
      <c r="N79" s="207">
        <v>2438.2764458724232</v>
      </c>
      <c r="O79" s="375">
        <f t="shared" si="25"/>
        <v>1020112.7208366129</v>
      </c>
      <c r="P79" s="362">
        <f t="shared" si="23"/>
        <v>1020112.7208366129</v>
      </c>
      <c r="Q79" s="350">
        <f t="shared" si="28"/>
        <v>0.98048093463932429</v>
      </c>
      <c r="R79" s="350">
        <f t="shared" si="29"/>
        <v>0.84127514194283592</v>
      </c>
      <c r="S79" s="351">
        <f t="shared" si="30"/>
        <v>2.3569327677999772E-4</v>
      </c>
      <c r="T79" s="354"/>
      <c r="U79" s="354"/>
      <c r="V79" s="354"/>
      <c r="W79" s="353">
        <v>1</v>
      </c>
      <c r="X79" s="350">
        <f t="shared" si="26"/>
        <v>0.97510119569211884</v>
      </c>
      <c r="Y79" s="350">
        <f t="shared" si="27"/>
        <v>0.82924539011694087</v>
      </c>
      <c r="Z79" s="354">
        <f t="shared" si="31"/>
        <v>3.149747553138427E-4</v>
      </c>
    </row>
    <row r="80" spans="1:29" s="3" customFormat="1">
      <c r="A80" s="8">
        <v>3</v>
      </c>
      <c r="B80" s="61" t="s">
        <v>549</v>
      </c>
      <c r="C80" s="1" t="s">
        <v>159</v>
      </c>
      <c r="D80" s="1" t="s">
        <v>367</v>
      </c>
      <c r="E80" s="1"/>
      <c r="F80" s="327">
        <v>6823.2121432489412</v>
      </c>
      <c r="G80" s="204">
        <f t="shared" si="22"/>
        <v>6823.2121432489412</v>
      </c>
      <c r="H80" s="207">
        <v>1770.9684235692926</v>
      </c>
      <c r="I80" s="375">
        <f t="shared" si="24"/>
        <v>12083693.253008431</v>
      </c>
      <c r="J80" s="389"/>
      <c r="K80" s="207">
        <v>823.66126575625265</v>
      </c>
      <c r="L80" s="327">
        <v>5620015.550431856</v>
      </c>
      <c r="M80" s="327"/>
      <c r="N80" s="207">
        <v>2594.6296893255453</v>
      </c>
      <c r="O80" s="375">
        <f t="shared" si="25"/>
        <v>17703708.803440288</v>
      </c>
      <c r="P80" s="362">
        <f t="shared" si="23"/>
        <v>17703708.803440288</v>
      </c>
      <c r="Q80" s="350">
        <f t="shared" si="28"/>
        <v>0.99406572390260639</v>
      </c>
      <c r="R80" s="350">
        <f t="shared" si="29"/>
        <v>0.93458691108379011</v>
      </c>
      <c r="S80" s="351">
        <f t="shared" si="30"/>
        <v>2.699088495783751E-3</v>
      </c>
      <c r="T80" s="354"/>
      <c r="U80" s="57">
        <f>(0.99-Q79)/(Q80-Q79)</f>
        <v>0.70071498174833557</v>
      </c>
      <c r="V80" s="57">
        <f>100*(R79+(U80*(R80-R79)))</f>
        <v>90.666009655334463</v>
      </c>
      <c r="W80" s="353">
        <v>1</v>
      </c>
      <c r="X80" s="350">
        <f t="shared" si="26"/>
        <v>0.99243015090488851</v>
      </c>
      <c r="Y80" s="350">
        <f t="shared" si="27"/>
        <v>0.92962925520392892</v>
      </c>
      <c r="Z80" s="354">
        <f t="shared" si="31"/>
        <v>3.6158026312584457E-3</v>
      </c>
      <c r="AB80" s="57">
        <f>(0.99-X79)/(X80-X79)</f>
        <v>0.85976356479369598</v>
      </c>
      <c r="AC80" s="57">
        <f>100*(Y79+(AB80*(Y80-Y79)))</f>
        <v>91.555177981189914</v>
      </c>
    </row>
    <row r="81" spans="1:29" s="3" customFormat="1">
      <c r="A81" s="8">
        <v>1</v>
      </c>
      <c r="B81" s="61" t="s">
        <v>550</v>
      </c>
      <c r="C81" s="1" t="s">
        <v>159</v>
      </c>
      <c r="D81" s="1" t="s">
        <v>367</v>
      </c>
      <c r="E81" s="1"/>
      <c r="F81" s="327">
        <v>73.068323586118268</v>
      </c>
      <c r="G81" s="204">
        <f t="shared" si="22"/>
        <v>73.068323586118268</v>
      </c>
      <c r="H81" s="207">
        <v>2301.5880960283748</v>
      </c>
      <c r="I81" s="375">
        <f t="shared" si="24"/>
        <v>168173.18376255914</v>
      </c>
      <c r="J81" s="389"/>
      <c r="K81" s="207">
        <v>315.83649442829267</v>
      </c>
      <c r="L81" s="327">
        <v>23077.64317519173</v>
      </c>
      <c r="M81" s="327"/>
      <c r="N81" s="207">
        <v>2617.4245904566678</v>
      </c>
      <c r="O81" s="375">
        <f t="shared" si="25"/>
        <v>191250.82693775088</v>
      </c>
      <c r="P81" s="362">
        <f t="shared" si="23"/>
        <v>191250.82693775088</v>
      </c>
      <c r="Q81" s="350">
        <f t="shared" si="28"/>
        <v>0.99421120051346057</v>
      </c>
      <c r="R81" s="350">
        <f t="shared" si="29"/>
        <v>0.93559494579614166</v>
      </c>
      <c r="S81" s="351">
        <f t="shared" si="30"/>
        <v>1.7180070183752244E-5</v>
      </c>
      <c r="T81" s="354"/>
      <c r="U81"/>
      <c r="V81" s="57">
        <f>100-V80</f>
        <v>9.333990344665537</v>
      </c>
      <c r="W81" s="353">
        <v>1</v>
      </c>
      <c r="X81" s="350">
        <f t="shared" si="26"/>
        <v>0.99261572299033929</v>
      </c>
      <c r="Y81" s="350">
        <f t="shared" si="27"/>
        <v>0.9307136888343196</v>
      </c>
      <c r="Z81" s="354">
        <f t="shared" si="31"/>
        <v>2.3141382755382023E-5</v>
      </c>
      <c r="AB81"/>
      <c r="AC81" s="57">
        <f>100-AC80</f>
        <v>8.4448220188100862</v>
      </c>
    </row>
    <row r="82" spans="1:29" s="3" customFormat="1">
      <c r="A82" s="8">
        <v>3</v>
      </c>
      <c r="B82" s="61" t="s">
        <v>549</v>
      </c>
      <c r="C82" s="1" t="s">
        <v>43</v>
      </c>
      <c r="D82" s="1" t="s">
        <v>472</v>
      </c>
      <c r="E82" s="1"/>
      <c r="F82" s="327">
        <v>2025.1501568963802</v>
      </c>
      <c r="G82" s="204">
        <f t="shared" si="22"/>
        <v>2025.1501568963802</v>
      </c>
      <c r="H82" s="207">
        <v>403.90217358181417</v>
      </c>
      <c r="I82" s="375">
        <f t="shared" si="24"/>
        <v>817962.55019999994</v>
      </c>
      <c r="J82" s="389"/>
      <c r="K82" s="207">
        <v>3108.7424357682357</v>
      </c>
      <c r="L82" s="327">
        <v>6295670.2315464774</v>
      </c>
      <c r="M82" s="327"/>
      <c r="N82" s="207">
        <v>3512.6446093500494</v>
      </c>
      <c r="O82" s="375">
        <f t="shared" si="25"/>
        <v>7113632.7817464769</v>
      </c>
      <c r="P82" s="362">
        <f t="shared" si="23"/>
        <v>7113632.7817464769</v>
      </c>
      <c r="Q82" s="350">
        <f t="shared" si="28"/>
        <v>0.99824320736453886</v>
      </c>
      <c r="R82" s="350">
        <f t="shared" si="29"/>
        <v>0.97308910406849536</v>
      </c>
      <c r="S82" s="351">
        <f t="shared" si="30"/>
        <v>3.3776265742715885E-4</v>
      </c>
      <c r="T82" s="354"/>
      <c r="U82" s="57">
        <f>(SUM(O80:O$83)+((1-U80)*O79))/(SUM(F80:F$83)+((1-U80)*F79))</f>
        <v>3063.7049990538339</v>
      </c>
      <c r="V82" s="57"/>
      <c r="W82" s="353">
        <v>1</v>
      </c>
      <c r="X82" s="350">
        <f t="shared" si="26"/>
        <v>0.99775900970504494</v>
      </c>
      <c r="Y82" s="350">
        <f t="shared" si="27"/>
        <v>0.97104952814175594</v>
      </c>
      <c r="Z82" s="354">
        <f t="shared" si="31"/>
        <v>4.5575443156905155E-4</v>
      </c>
      <c r="AB82" s="57">
        <f>(SUM(O81:O$83)+((1-AB80)*O80))/(SUM(F81:F$83)+((1-AB80)*F80))</f>
        <v>3782.460053009961</v>
      </c>
      <c r="AC82" s="57"/>
    </row>
    <row r="83" spans="1:29" s="3" customFormat="1">
      <c r="A83" s="8">
        <v>3</v>
      </c>
      <c r="B83" s="61" t="s">
        <v>475</v>
      </c>
      <c r="C83" s="1" t="s">
        <v>159</v>
      </c>
      <c r="D83" s="1" t="s">
        <v>367</v>
      </c>
      <c r="E83" s="1"/>
      <c r="F83" s="327">
        <v>882.38165577173538</v>
      </c>
      <c r="G83" s="204">
        <f t="shared" si="22"/>
        <v>882.38165577173538</v>
      </c>
      <c r="H83" s="207">
        <v>3262.2829959104115</v>
      </c>
      <c r="I83" s="375">
        <f t="shared" si="24"/>
        <v>2878578.6715274062</v>
      </c>
      <c r="J83" s="389"/>
      <c r="K83" s="207">
        <v>2523.9979975472734</v>
      </c>
      <c r="L83" s="327">
        <v>2227129.5322403074</v>
      </c>
      <c r="M83" s="327"/>
      <c r="N83" s="207">
        <v>5786.2809934576844</v>
      </c>
      <c r="O83" s="375">
        <f t="shared" si="25"/>
        <v>5105708.2037677132</v>
      </c>
      <c r="P83" s="362">
        <f t="shared" si="23"/>
        <v>5105708.2037677132</v>
      </c>
      <c r="Q83" s="350">
        <f t="shared" si="28"/>
        <v>0.99999999999999944</v>
      </c>
      <c r="R83" s="350">
        <f t="shared" si="29"/>
        <v>1.0000000000000002</v>
      </c>
      <c r="S83" s="351">
        <f t="shared" si="30"/>
        <v>4.4190543422102566E-5</v>
      </c>
      <c r="T83" s="354"/>
      <c r="U83" s="354"/>
      <c r="V83" s="354"/>
      <c r="W83" s="353">
        <v>1</v>
      </c>
      <c r="X83" s="350">
        <f t="shared" si="26"/>
        <v>0.99999999999999967</v>
      </c>
      <c r="Y83" s="350">
        <f t="shared" si="27"/>
        <v>1</v>
      </c>
      <c r="Z83" s="354">
        <f t="shared" si="31"/>
        <v>5.9855688966602087E-5</v>
      </c>
    </row>
    <row r="84" spans="1:29" s="3" customFormat="1">
      <c r="A84" s="9"/>
      <c r="B84" s="187"/>
      <c r="F84" s="332"/>
      <c r="G84" s="332"/>
      <c r="H84" s="188"/>
      <c r="I84" s="332"/>
      <c r="J84" s="389"/>
      <c r="K84" s="188"/>
      <c r="L84" s="332"/>
      <c r="M84" s="332"/>
      <c r="N84" s="188"/>
      <c r="O84" s="332"/>
      <c r="P84" s="425"/>
      <c r="Q84" s="8"/>
      <c r="R84" s="8"/>
      <c r="S84" s="350">
        <f>SUM(S10:S83)</f>
        <v>0.47146174482334541</v>
      </c>
      <c r="T84" s="8"/>
      <c r="U84" s="8"/>
      <c r="V84" s="8"/>
      <c r="W84" s="1"/>
      <c r="X84" s="8"/>
      <c r="Y84" s="8"/>
      <c r="Z84" s="350">
        <f>SUM(Z10:Z83)</f>
        <v>0.43626486168625961</v>
      </c>
    </row>
    <row r="85" spans="1:29" ht="16" thickBot="1">
      <c r="B85" s="1"/>
      <c r="E85" s="8" t="s">
        <v>574</v>
      </c>
      <c r="F85" s="346">
        <f>G85</f>
        <v>393746.30838799383</v>
      </c>
      <c r="G85" s="346">
        <f>SUM(G10:G83)</f>
        <v>393746.30838799383</v>
      </c>
      <c r="H85" s="352">
        <f>I85/F85</f>
        <v>311.69246959621825</v>
      </c>
      <c r="I85" s="346">
        <v>122727759.25584795</v>
      </c>
      <c r="J85" s="389"/>
      <c r="K85" s="352">
        <f>L85/F85</f>
        <v>136.21040444716158</v>
      </c>
      <c r="L85" s="346">
        <v>53632343.915105447</v>
      </c>
      <c r="N85" s="352">
        <f>O85/F85</f>
        <v>447.90287404338</v>
      </c>
      <c r="O85" s="346">
        <f>SUM(P10:P83)</f>
        <v>176360103.17095345</v>
      </c>
      <c r="P85" s="164"/>
      <c r="Q85" s="84"/>
      <c r="R85" s="84"/>
      <c r="S85" s="84"/>
      <c r="T85" s="84"/>
      <c r="U85" s="8"/>
      <c r="V85" s="8"/>
      <c r="W85" s="84"/>
      <c r="X85" s="84"/>
      <c r="Y85" s="84"/>
      <c r="Z85" s="179"/>
      <c r="AA85" s="179"/>
    </row>
    <row r="86" spans="1:29" ht="16" thickBot="1">
      <c r="B86" s="1"/>
      <c r="E86" s="8" t="s">
        <v>477</v>
      </c>
      <c r="F86" s="349">
        <f>SUM(F10:F83)</f>
        <v>502268.5307081787</v>
      </c>
      <c r="G86" s="371"/>
      <c r="H86" s="352">
        <f>I86/F86</f>
        <v>270.95881468629699</v>
      </c>
      <c r="I86" s="346">
        <f>SUM(I10:I83)</f>
        <v>136094085.73491606</v>
      </c>
      <c r="J86" s="389"/>
      <c r="K86" s="352">
        <f>L86/F86</f>
        <v>106.78021941666536</v>
      </c>
      <c r="L86" s="346">
        <v>53632343.915105447</v>
      </c>
      <c r="M86" s="346"/>
      <c r="N86" s="352">
        <f>O86/F86</f>
        <v>377.73903410296231</v>
      </c>
      <c r="O86" s="348">
        <f>SUM(O10:O83)</f>
        <v>189726429.65002149</v>
      </c>
      <c r="P86" s="164"/>
      <c r="Q86" s="58" t="s">
        <v>346</v>
      </c>
      <c r="R86" s="415">
        <v>0.47146174482334541</v>
      </c>
      <c r="S86" s="98" t="s">
        <v>388</v>
      </c>
      <c r="T86" s="422"/>
      <c r="U86" s="8"/>
      <c r="V86" s="8"/>
      <c r="W86" s="84"/>
      <c r="X86" s="58" t="s">
        <v>346</v>
      </c>
      <c r="Y86" s="415">
        <v>0.43626486168625961</v>
      </c>
      <c r="Z86" s="98" t="s">
        <v>388</v>
      </c>
      <c r="AA86" s="179"/>
    </row>
    <row r="87" spans="1:29">
      <c r="B87" s="1"/>
      <c r="E87" s="204" t="s">
        <v>245</v>
      </c>
      <c r="F87" s="347">
        <f>'(3) household income summary'!J45</f>
        <v>502268.53070817859</v>
      </c>
      <c r="G87" s="371"/>
      <c r="H87" s="424">
        <f>I87/F87</f>
        <v>271.00411377050898</v>
      </c>
      <c r="I87" s="347">
        <f>'(3) household income summary'!Y45</f>
        <v>136116838.03938562</v>
      </c>
      <c r="J87" s="389"/>
      <c r="K87" s="347"/>
      <c r="L87" s="347">
        <v>53632343.915105447</v>
      </c>
      <c r="M87" s="347"/>
      <c r="N87" s="204" t="s">
        <v>245</v>
      </c>
      <c r="O87" s="347">
        <f>'(3) household income summary'!AS45</f>
        <v>189737147.69433731</v>
      </c>
      <c r="P87" s="84"/>
      <c r="Q87" s="58"/>
      <c r="R87" s="98" t="s">
        <v>538</v>
      </c>
      <c r="S87" s="98" t="s">
        <v>364</v>
      </c>
      <c r="T87" s="422"/>
      <c r="U87" s="8"/>
      <c r="V87" s="8"/>
      <c r="W87" s="84"/>
      <c r="X87" s="58"/>
      <c r="Y87" s="98" t="s">
        <v>538</v>
      </c>
      <c r="Z87" s="98" t="s">
        <v>364</v>
      </c>
      <c r="AA87" s="179"/>
    </row>
    <row r="88" spans="1:29">
      <c r="B88" s="1"/>
      <c r="F88" s="57"/>
      <c r="G88" s="57"/>
      <c r="H88" s="57"/>
      <c r="I88" s="57"/>
      <c r="J88" s="57"/>
      <c r="K88" s="57"/>
      <c r="L88" s="57"/>
      <c r="M88" s="57"/>
      <c r="N88" s="204"/>
      <c r="O88" s="57"/>
      <c r="P88" s="84"/>
      <c r="Q88" s="58" t="s">
        <v>347</v>
      </c>
      <c r="R88" s="320">
        <v>9.333990344665537</v>
      </c>
      <c r="S88" s="343">
        <v>3063.7049990538339</v>
      </c>
      <c r="T88" s="180"/>
      <c r="U88" s="8"/>
      <c r="V88" s="8"/>
      <c r="W88" s="84"/>
      <c r="X88" s="58" t="s">
        <v>347</v>
      </c>
      <c r="Y88" s="320">
        <v>8.4448220188100862</v>
      </c>
      <c r="Z88" s="343">
        <v>3782.460053009961</v>
      </c>
      <c r="AA88" s="179"/>
    </row>
    <row r="89" spans="1:29">
      <c r="B89" s="1"/>
      <c r="F89" s="195">
        <f>F87-F86</f>
        <v>0</v>
      </c>
      <c r="G89" s="195"/>
      <c r="H89" s="57"/>
      <c r="I89" s="195">
        <f>I87-I86</f>
        <v>22752.304469555616</v>
      </c>
      <c r="J89" s="57"/>
      <c r="K89" s="57"/>
      <c r="L89" s="195">
        <f>L87-L86</f>
        <v>0</v>
      </c>
      <c r="M89" s="57"/>
      <c r="N89" s="204" t="s">
        <v>8</v>
      </c>
      <c r="O89" s="426">
        <f>O87-O86</f>
        <v>10718.044315814972</v>
      </c>
      <c r="P89" s="84"/>
      <c r="Q89" s="58" t="s">
        <v>348</v>
      </c>
      <c r="R89" s="320">
        <v>25.597798994584537</v>
      </c>
      <c r="S89" s="343">
        <v>1667.9006583222867</v>
      </c>
      <c r="T89" s="180"/>
      <c r="U89" s="8"/>
      <c r="V89" s="8"/>
      <c r="W89" s="84"/>
      <c r="X89" s="58" t="s">
        <v>348</v>
      </c>
      <c r="Y89" s="320">
        <v>24.298053015275642</v>
      </c>
      <c r="Z89" s="343">
        <v>2176.633555840086</v>
      </c>
      <c r="AA89" s="179"/>
    </row>
    <row r="90" spans="1:29">
      <c r="B90" s="1"/>
      <c r="F90" s="1"/>
      <c r="G90" s="1"/>
      <c r="H90" s="1"/>
      <c r="I90" s="1"/>
      <c r="K90" s="1"/>
      <c r="N90" s="1"/>
      <c r="O90" s="134" t="s">
        <v>9</v>
      </c>
      <c r="P90" s="84"/>
      <c r="Q90" s="58" t="s">
        <v>427</v>
      </c>
      <c r="R90" s="320">
        <v>36.107035817918778</v>
      </c>
      <c r="S90" s="343">
        <v>1010.7218287153489</v>
      </c>
      <c r="T90" s="180"/>
      <c r="U90" s="8"/>
      <c r="V90" s="8"/>
      <c r="W90" s="84"/>
      <c r="X90" s="58" t="s">
        <v>427</v>
      </c>
      <c r="Y90" s="320">
        <v>35.411909278783668</v>
      </c>
      <c r="Z90" s="343">
        <v>1586.1095941330686</v>
      </c>
      <c r="AA90" s="179"/>
    </row>
    <row r="91" spans="1:29">
      <c r="B91" s="1"/>
      <c r="F91" s="1"/>
      <c r="G91" s="1"/>
      <c r="H91" s="1"/>
      <c r="I91" s="1"/>
      <c r="K91" s="1"/>
      <c r="N91" s="1"/>
      <c r="O91" s="1"/>
      <c r="P91" s="84"/>
      <c r="Q91" s="58" t="s">
        <v>425</v>
      </c>
      <c r="R91" s="320">
        <v>50.188976437312569</v>
      </c>
      <c r="S91" s="343">
        <v>918.16274370987924</v>
      </c>
      <c r="T91" s="180"/>
      <c r="U91" s="8"/>
      <c r="V91" s="8"/>
      <c r="W91" s="84"/>
      <c r="X91" s="58" t="s">
        <v>425</v>
      </c>
      <c r="Y91" s="320">
        <v>47.512291214326929</v>
      </c>
      <c r="Z91" s="343">
        <v>1064.0445893641543</v>
      </c>
      <c r="AA91" s="179"/>
    </row>
    <row r="92" spans="1:29">
      <c r="B92" s="1"/>
      <c r="F92" s="1"/>
      <c r="G92" s="1"/>
      <c r="H92" s="1"/>
      <c r="I92" s="1"/>
      <c r="K92" s="1"/>
      <c r="N92" s="1"/>
      <c r="O92" s="1"/>
      <c r="P92" s="84"/>
      <c r="Q92" s="58" t="s">
        <v>339</v>
      </c>
      <c r="R92" s="320">
        <f>100-R91-R93</f>
        <v>38.517331776195306</v>
      </c>
      <c r="S92" s="427">
        <v>380.34907353745422</v>
      </c>
      <c r="T92" s="423"/>
      <c r="U92" s="57">
        <f>(R95-(0.2*S91)-(0.4*S93))/0.4</f>
        <v>380.34907353745422</v>
      </c>
      <c r="V92" s="8"/>
      <c r="W92" s="84"/>
      <c r="X92" s="58" t="s">
        <v>339</v>
      </c>
      <c r="Y92" s="320">
        <f>100-Y91-Y93</f>
        <v>38.617458424232858</v>
      </c>
      <c r="Z92" s="343">
        <v>431.23490428594283</v>
      </c>
      <c r="AA92" s="179"/>
      <c r="AB92" s="57">
        <f>(Y95-(0.2*Z91)-(0.4*Z93))/0.4</f>
        <v>432.4217654116153</v>
      </c>
    </row>
    <row r="93" spans="1:29">
      <c r="B93" s="1"/>
      <c r="F93" s="1"/>
      <c r="G93" s="1"/>
      <c r="H93" s="1"/>
      <c r="I93" s="1"/>
      <c r="K93" s="1"/>
      <c r="N93" s="1"/>
      <c r="O93" s="1"/>
      <c r="P93" s="84"/>
      <c r="Q93" s="58" t="s">
        <v>340</v>
      </c>
      <c r="R93" s="320">
        <v>11.293691786492126</v>
      </c>
      <c r="S93" s="427">
        <v>104.91713986501186</v>
      </c>
      <c r="T93" s="423"/>
      <c r="U93" s="8"/>
      <c r="V93" s="8"/>
      <c r="W93" s="84"/>
      <c r="X93" s="58" t="s">
        <v>340</v>
      </c>
      <c r="Y93" s="320">
        <v>13.870250361440215</v>
      </c>
      <c r="Z93" s="343">
        <v>155.31312501475747</v>
      </c>
      <c r="AA93" s="84"/>
    </row>
    <row r="94" spans="1:29">
      <c r="B94" s="1"/>
      <c r="F94" s="1"/>
      <c r="G94" s="1"/>
      <c r="H94" s="1"/>
      <c r="I94" s="1"/>
      <c r="K94" s="1"/>
      <c r="N94" s="1"/>
      <c r="O94" s="1"/>
      <c r="P94" s="84"/>
      <c r="Q94" s="58"/>
      <c r="R94" s="320"/>
      <c r="S94" s="320"/>
      <c r="T94" s="423"/>
      <c r="U94" s="8"/>
      <c r="V94" s="8"/>
      <c r="W94" s="84"/>
      <c r="Y94" s="184"/>
      <c r="Z94" s="240"/>
      <c r="AA94" s="179"/>
    </row>
    <row r="95" spans="1:29">
      <c r="B95" s="1"/>
      <c r="F95" s="1"/>
      <c r="G95" s="1"/>
      <c r="H95" s="1"/>
      <c r="I95" s="1"/>
      <c r="K95" s="1"/>
      <c r="N95" s="1"/>
      <c r="O95" s="1"/>
      <c r="P95" s="84"/>
      <c r="Q95" s="58" t="s">
        <v>342</v>
      </c>
      <c r="R95" s="343">
        <v>377.73903410296231</v>
      </c>
      <c r="S95" s="320"/>
      <c r="T95" s="423"/>
      <c r="U95" s="8"/>
      <c r="V95" s="8"/>
      <c r="W95" s="84"/>
      <c r="X95" s="1" t="s">
        <v>342</v>
      </c>
      <c r="Y95" s="355">
        <v>447.90287404338</v>
      </c>
      <c r="AA95" s="84"/>
    </row>
    <row r="96" spans="1:29">
      <c r="B96" s="1"/>
      <c r="F96" s="1"/>
      <c r="G96" s="1"/>
      <c r="H96" s="1"/>
      <c r="I96" s="1"/>
      <c r="K96" s="1"/>
      <c r="N96" s="1"/>
      <c r="O96" s="1"/>
      <c r="P96" s="84"/>
      <c r="Q96" s="58" t="s">
        <v>341</v>
      </c>
      <c r="R96" s="343">
        <v>281.95544046250751</v>
      </c>
      <c r="S96" s="320"/>
      <c r="T96" s="423"/>
      <c r="U96" s="8"/>
      <c r="V96" s="8"/>
      <c r="W96" s="84"/>
      <c r="X96" s="1" t="s">
        <v>341</v>
      </c>
      <c r="Y96" s="357">
        <v>383.45729583665388</v>
      </c>
      <c r="AA96" s="84"/>
    </row>
    <row r="97" spans="2:27">
      <c r="B97" s="1"/>
      <c r="F97" s="1"/>
      <c r="G97" s="1"/>
      <c r="H97" s="1"/>
      <c r="I97" s="1"/>
      <c r="K97" s="1"/>
      <c r="N97" s="1"/>
      <c r="O97" s="1"/>
      <c r="P97" s="84"/>
      <c r="Q97" s="84"/>
      <c r="R97" s="84"/>
      <c r="S97" s="84"/>
      <c r="T97" s="84"/>
      <c r="U97" s="8"/>
      <c r="V97" s="8"/>
      <c r="W97" s="84"/>
      <c r="X97" s="84"/>
      <c r="Y97" s="84"/>
      <c r="Z97" s="180"/>
      <c r="AA97" s="84"/>
    </row>
    <row r="98" spans="2:27">
      <c r="B98" s="1"/>
      <c r="F98" s="1"/>
      <c r="G98" s="1"/>
      <c r="H98" s="1"/>
      <c r="I98" s="1"/>
      <c r="K98" s="1"/>
      <c r="N98" s="1"/>
      <c r="O98" s="1"/>
      <c r="U98" s="8"/>
      <c r="V98" s="8"/>
    </row>
    <row r="99" spans="2:27">
      <c r="B99" s="1"/>
      <c r="F99" s="1"/>
      <c r="G99" s="1"/>
      <c r="H99" s="1"/>
      <c r="I99" s="1"/>
      <c r="K99" s="1"/>
      <c r="N99" s="1"/>
      <c r="O99" s="1"/>
    </row>
    <row r="100" spans="2:27">
      <c r="B100" s="1"/>
      <c r="F100" s="1"/>
      <c r="G100" s="1"/>
      <c r="H100" s="1"/>
      <c r="I100" s="1"/>
      <c r="K100" s="1"/>
      <c r="N100" s="1"/>
      <c r="O100" s="1"/>
    </row>
    <row r="101" spans="2:27">
      <c r="B101" s="1"/>
      <c r="F101" s="1"/>
      <c r="G101" s="1"/>
      <c r="H101" s="1"/>
      <c r="I101" s="1"/>
      <c r="K101" s="1"/>
      <c r="N101" s="1"/>
      <c r="O101" s="1"/>
    </row>
    <row r="102" spans="2:27">
      <c r="B102" s="1"/>
      <c r="F102" s="1"/>
      <c r="G102" s="1"/>
      <c r="H102" s="1"/>
      <c r="I102" s="1"/>
      <c r="K102" s="1"/>
      <c r="N102" s="1"/>
      <c r="O102" s="1"/>
    </row>
    <row r="103" spans="2:27">
      <c r="B103" s="1"/>
      <c r="F103" s="1"/>
      <c r="G103" s="1"/>
      <c r="H103" s="1"/>
      <c r="I103" s="1"/>
      <c r="K103" s="1"/>
      <c r="N103" s="1"/>
      <c r="O103" s="1"/>
    </row>
    <row r="104" spans="2:27">
      <c r="B104" s="1"/>
      <c r="F104" s="1"/>
      <c r="G104" s="1"/>
      <c r="H104" s="1"/>
      <c r="I104" s="1"/>
      <c r="K104" s="1"/>
      <c r="N104" s="1"/>
      <c r="O104" s="1"/>
    </row>
    <row r="105" spans="2:27">
      <c r="B105" s="1"/>
      <c r="F105" s="1"/>
      <c r="G105" s="1"/>
      <c r="H105" s="1"/>
      <c r="I105" s="1"/>
      <c r="K105" s="1"/>
      <c r="N105" s="1"/>
      <c r="O105" s="1"/>
    </row>
    <row r="106" spans="2:27">
      <c r="B106" s="1"/>
      <c r="F106" s="1"/>
      <c r="G106" s="1"/>
      <c r="H106" s="1"/>
      <c r="I106" s="1"/>
      <c r="K106" s="1"/>
      <c r="N106" s="1"/>
      <c r="O106" s="1"/>
    </row>
    <row r="107" spans="2:27">
      <c r="B107" s="1"/>
      <c r="F107" s="1"/>
      <c r="G107" s="1"/>
      <c r="H107" s="1"/>
      <c r="I107" s="1"/>
      <c r="K107" s="1"/>
      <c r="N107" s="1"/>
      <c r="O107" s="1"/>
    </row>
    <row r="108" spans="2:27">
      <c r="B108" s="1"/>
      <c r="F108" s="1"/>
      <c r="G108" s="1"/>
      <c r="H108" s="1"/>
      <c r="I108" s="1"/>
      <c r="K108" s="1"/>
      <c r="N108" s="1"/>
      <c r="O108" s="1"/>
    </row>
    <row r="109" spans="2:27">
      <c r="B109" s="1"/>
      <c r="F109" s="1"/>
      <c r="G109" s="1"/>
      <c r="H109" s="1"/>
      <c r="I109" s="1"/>
      <c r="K109" s="1"/>
      <c r="N109" s="1"/>
      <c r="O109" s="1"/>
    </row>
    <row r="110" spans="2:27">
      <c r="B110" s="1"/>
      <c r="F110" s="220"/>
      <c r="G110" s="341"/>
      <c r="H110" s="220"/>
      <c r="I110" s="1"/>
      <c r="K110" s="1"/>
      <c r="M110" s="220"/>
      <c r="N110" s="220"/>
      <c r="O110" s="220"/>
    </row>
    <row r="111" spans="2:27">
      <c r="B111" s="1"/>
      <c r="F111" s="220"/>
      <c r="G111" s="341"/>
      <c r="H111" s="220"/>
      <c r="I111" s="1"/>
      <c r="K111" s="1"/>
      <c r="M111" s="220"/>
      <c r="N111" s="220"/>
      <c r="O111" s="220"/>
    </row>
    <row r="112" spans="2:27">
      <c r="B112" s="1"/>
      <c r="F112" s="220"/>
      <c r="G112" s="341"/>
      <c r="H112" s="220"/>
      <c r="I112" s="1"/>
      <c r="K112" s="1"/>
      <c r="M112" s="220"/>
      <c r="N112" s="220"/>
      <c r="O112" s="220"/>
    </row>
    <row r="113" spans="6:15">
      <c r="F113" s="220"/>
      <c r="G113" s="341"/>
      <c r="H113" s="220"/>
      <c r="I113" s="1"/>
      <c r="K113" s="1"/>
      <c r="M113" s="220"/>
      <c r="N113" s="220"/>
      <c r="O113" s="220"/>
    </row>
    <row r="114" spans="6:15">
      <c r="F114" s="220"/>
      <c r="G114" s="341"/>
      <c r="H114" s="220"/>
      <c r="I114" s="1"/>
      <c r="K114" s="1"/>
      <c r="M114" s="220"/>
      <c r="N114" s="220"/>
      <c r="O114" s="220"/>
    </row>
    <row r="115" spans="6:15">
      <c r="I115" s="1"/>
      <c r="K115" s="1"/>
    </row>
  </sheetData>
  <sheetCalcPr fullCalcOnLoad="1"/>
  <sortState ref="A12:XFD34">
    <sortCondition ref="O12:O34"/>
  </sortState>
  <phoneticPr fontId="20"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B1:K59"/>
  <sheetViews>
    <sheetView workbookViewId="0">
      <selection activeCell="K29" sqref="K29"/>
    </sheetView>
  </sheetViews>
  <sheetFormatPr baseColWidth="10" defaultRowHeight="15"/>
  <cols>
    <col min="1" max="2" width="10.83203125" style="1"/>
    <col min="3" max="3" width="8.1640625" style="1" customWidth="1"/>
    <col min="4" max="5" width="10.83203125" style="1"/>
    <col min="6" max="6" width="13" style="1" customWidth="1"/>
    <col min="7" max="7" width="7.33203125" style="1" customWidth="1"/>
    <col min="8" max="10" width="10.83203125" style="1"/>
    <col min="11" max="11" width="9" style="1" customWidth="1"/>
    <col min="12" max="16384" width="10.83203125" style="1"/>
  </cols>
  <sheetData>
    <row r="1" spans="2:11" ht="18">
      <c r="C1" s="140" t="s">
        <v>518</v>
      </c>
    </row>
    <row r="3" spans="2:11">
      <c r="D3" s="62" t="s">
        <v>582</v>
      </c>
      <c r="H3" s="62" t="s">
        <v>470</v>
      </c>
    </row>
    <row r="4" spans="2:11" ht="16" thickBot="1">
      <c r="C4" s="164"/>
      <c r="D4" s="84"/>
      <c r="E4" s="84"/>
      <c r="F4" s="84"/>
      <c r="G4" s="84"/>
      <c r="H4" s="84"/>
      <c r="I4" s="84"/>
      <c r="J4" s="179"/>
      <c r="K4" s="179"/>
    </row>
    <row r="5" spans="2:11" ht="16" thickBot="1">
      <c r="B5" s="62" t="s">
        <v>576</v>
      </c>
      <c r="C5" s="164"/>
      <c r="D5" s="1" t="s">
        <v>48</v>
      </c>
      <c r="E5" s="167">
        <v>0.47146174482334541</v>
      </c>
      <c r="F5" s="8" t="s">
        <v>49</v>
      </c>
      <c r="G5" s="84"/>
      <c r="H5" s="1" t="s">
        <v>48</v>
      </c>
      <c r="I5" s="167">
        <v>0.43626486168625961</v>
      </c>
      <c r="J5" s="8" t="s">
        <v>49</v>
      </c>
      <c r="K5" s="179"/>
    </row>
    <row r="6" spans="2:11">
      <c r="B6" s="62" t="s">
        <v>577</v>
      </c>
      <c r="C6" s="84"/>
      <c r="E6" s="8" t="s">
        <v>50</v>
      </c>
      <c r="F6" s="8" t="s">
        <v>51</v>
      </c>
      <c r="G6" s="84"/>
      <c r="I6" s="8" t="s">
        <v>50</v>
      </c>
      <c r="J6" s="8" t="s">
        <v>51</v>
      </c>
      <c r="K6" s="179"/>
    </row>
    <row r="7" spans="2:11">
      <c r="B7" s="62" t="s">
        <v>578</v>
      </c>
      <c r="C7" s="84"/>
      <c r="D7" s="1" t="s">
        <v>347</v>
      </c>
      <c r="E7" s="245">
        <v>9.333990344665537</v>
      </c>
      <c r="F7" s="366">
        <v>3063.7049990538339</v>
      </c>
      <c r="G7" s="84"/>
      <c r="H7" s="1" t="s">
        <v>347</v>
      </c>
      <c r="I7" s="245">
        <v>8.4448220188100862</v>
      </c>
      <c r="J7" s="338">
        <v>3782.460053009961</v>
      </c>
      <c r="K7" s="179"/>
    </row>
    <row r="8" spans="2:11">
      <c r="B8" s="1">
        <v>1774</v>
      </c>
      <c r="C8" s="84"/>
      <c r="D8" s="1" t="s">
        <v>348</v>
      </c>
      <c r="E8" s="245">
        <v>25.597798994584537</v>
      </c>
      <c r="F8" s="367">
        <v>1667.9006583222867</v>
      </c>
      <c r="G8" s="84"/>
      <c r="H8" s="1" t="s">
        <v>348</v>
      </c>
      <c r="I8" s="245">
        <v>24.298053015275642</v>
      </c>
      <c r="J8" s="359">
        <v>2176.633555840086</v>
      </c>
      <c r="K8" s="179"/>
    </row>
    <row r="9" spans="2:11">
      <c r="C9" s="84"/>
      <c r="D9" s="1" t="s">
        <v>427</v>
      </c>
      <c r="E9" s="245">
        <v>36.107035817918778</v>
      </c>
      <c r="F9" s="369">
        <v>1010.7218287153489</v>
      </c>
      <c r="G9" s="84"/>
      <c r="H9" s="1" t="s">
        <v>427</v>
      </c>
      <c r="I9" s="245">
        <v>35.411909278783668</v>
      </c>
      <c r="J9" s="360">
        <v>1586.1095941330686</v>
      </c>
      <c r="K9" s="179"/>
    </row>
    <row r="10" spans="2:11">
      <c r="C10" s="84"/>
      <c r="D10" s="1" t="s">
        <v>425</v>
      </c>
      <c r="E10" s="245">
        <v>50.188976437312569</v>
      </c>
      <c r="F10" s="368">
        <v>918.16274370987924</v>
      </c>
      <c r="G10" s="84"/>
      <c r="H10" s="1" t="s">
        <v>425</v>
      </c>
      <c r="I10" s="245">
        <v>47.512291214326929</v>
      </c>
      <c r="J10" s="361">
        <v>1064.0445893641543</v>
      </c>
      <c r="K10" s="179"/>
    </row>
    <row r="11" spans="2:11">
      <c r="C11" s="84"/>
      <c r="D11" s="1" t="s">
        <v>339</v>
      </c>
      <c r="E11" s="245">
        <v>38.517331776195306</v>
      </c>
      <c r="F11" s="245">
        <v>380.34907353745422</v>
      </c>
      <c r="G11" s="84"/>
      <c r="H11" s="1" t="s">
        <v>339</v>
      </c>
      <c r="I11" s="245">
        <v>38.617458424232858</v>
      </c>
      <c r="J11" s="365">
        <v>431.23490428594283</v>
      </c>
      <c r="K11" s="179"/>
    </row>
    <row r="12" spans="2:11">
      <c r="C12" s="84"/>
      <c r="D12" s="1" t="s">
        <v>340</v>
      </c>
      <c r="E12" s="245">
        <v>11.293691786492126</v>
      </c>
      <c r="F12" s="245">
        <v>104.91713986501186</v>
      </c>
      <c r="G12" s="84"/>
      <c r="H12" s="1" t="s">
        <v>340</v>
      </c>
      <c r="I12" s="245">
        <v>13.870250361440215</v>
      </c>
      <c r="J12" s="364">
        <v>155.31312501475747</v>
      </c>
      <c r="K12" s="84"/>
    </row>
    <row r="13" spans="2:11">
      <c r="C13" s="84"/>
      <c r="E13" s="245"/>
      <c r="F13" s="245"/>
      <c r="G13" s="84"/>
      <c r="I13" s="245"/>
      <c r="J13" s="338"/>
      <c r="K13" s="179"/>
    </row>
    <row r="14" spans="2:11">
      <c r="C14" s="84"/>
      <c r="D14" s="1" t="s">
        <v>78</v>
      </c>
      <c r="E14" s="356">
        <v>377.73903410296231</v>
      </c>
      <c r="F14" s="245"/>
      <c r="G14" s="84"/>
      <c r="H14" s="1" t="s">
        <v>78</v>
      </c>
      <c r="I14" s="355">
        <v>447.90287404338</v>
      </c>
      <c r="K14" s="84"/>
    </row>
    <row r="15" spans="2:11">
      <c r="C15" s="84"/>
      <c r="D15" s="1" t="s">
        <v>79</v>
      </c>
      <c r="E15" s="358">
        <v>281.95544046250751</v>
      </c>
      <c r="F15" s="245"/>
      <c r="G15" s="84"/>
      <c r="H15" s="1" t="s">
        <v>79</v>
      </c>
      <c r="I15" s="357">
        <v>383.45729583665388</v>
      </c>
      <c r="K15" s="84"/>
    </row>
    <row r="16" spans="2:11">
      <c r="C16" s="84"/>
      <c r="D16" s="84"/>
      <c r="E16" s="84"/>
      <c r="F16" s="84"/>
      <c r="G16" s="84"/>
      <c r="H16" s="84"/>
      <c r="I16" s="84"/>
      <c r="J16" s="180"/>
      <c r="K16" s="84"/>
    </row>
    <row r="18" spans="2:7" ht="16" thickBot="1">
      <c r="C18" s="164"/>
      <c r="D18" s="84"/>
      <c r="E18" s="84"/>
      <c r="F18" s="84"/>
      <c r="G18" s="84"/>
    </row>
    <row r="19" spans="2:7" ht="16" thickBot="1">
      <c r="B19" s="62" t="s">
        <v>396</v>
      </c>
      <c r="C19" s="164"/>
      <c r="D19" s="1" t="s">
        <v>230</v>
      </c>
      <c r="E19" s="167">
        <v>0.34808635396045196</v>
      </c>
      <c r="F19" s="8" t="s">
        <v>388</v>
      </c>
      <c r="G19" s="84"/>
    </row>
    <row r="20" spans="2:7">
      <c r="B20" s="62" t="s">
        <v>455</v>
      </c>
      <c r="C20" s="84"/>
      <c r="E20" s="8" t="s">
        <v>20</v>
      </c>
      <c r="F20" s="8" t="s">
        <v>16</v>
      </c>
      <c r="G20" s="84"/>
    </row>
    <row r="21" spans="2:7">
      <c r="B21" s="62">
        <v>1774</v>
      </c>
      <c r="C21" s="84"/>
      <c r="D21" s="1" t="s">
        <v>347</v>
      </c>
      <c r="E21" s="245">
        <v>3.8926772333483797</v>
      </c>
      <c r="F21" s="338">
        <v>1063.2730523869666</v>
      </c>
      <c r="G21" s="84"/>
    </row>
    <row r="22" spans="2:7">
      <c r="C22" s="84"/>
      <c r="D22" s="1" t="s">
        <v>348</v>
      </c>
      <c r="E22" s="245">
        <v>11.464641387313762</v>
      </c>
      <c r="F22" s="338">
        <v>626.30644729439109</v>
      </c>
      <c r="G22" s="84"/>
    </row>
    <row r="23" spans="2:7">
      <c r="C23" s="84"/>
      <c r="D23" s="1" t="s">
        <v>427</v>
      </c>
      <c r="E23" s="245">
        <v>19.814318276164087</v>
      </c>
      <c r="F23" s="338">
        <v>541.22213097902932</v>
      </c>
      <c r="G23" s="84"/>
    </row>
    <row r="24" spans="2:7">
      <c r="C24" s="84"/>
      <c r="D24" s="1" t="s">
        <v>425</v>
      </c>
      <c r="E24" s="245">
        <v>35.203859755003606</v>
      </c>
      <c r="F24" s="338">
        <v>451.68227239041607</v>
      </c>
      <c r="G24" s="84"/>
    </row>
    <row r="25" spans="2:7">
      <c r="C25" s="84"/>
      <c r="D25" s="1" t="s">
        <v>339</v>
      </c>
      <c r="E25" s="245">
        <v>52.760169384124133</v>
      </c>
      <c r="F25" s="338">
        <v>374.8365989233767</v>
      </c>
      <c r="G25" s="84"/>
    </row>
    <row r="26" spans="2:7">
      <c r="C26" s="84"/>
      <c r="D26" s="1" t="s">
        <v>340</v>
      </c>
      <c r="E26" s="245">
        <v>12.035970860872261</v>
      </c>
      <c r="F26" s="338">
        <v>82.189728999647798</v>
      </c>
      <c r="G26" s="84"/>
    </row>
    <row r="27" spans="2:7">
      <c r="C27" s="84"/>
      <c r="E27" s="245"/>
      <c r="F27" s="245"/>
      <c r="G27" s="84"/>
    </row>
    <row r="28" spans="2:7">
      <c r="C28" s="84"/>
      <c r="D28" s="1" t="s">
        <v>254</v>
      </c>
      <c r="E28" s="245">
        <v>273.14698564729304</v>
      </c>
      <c r="G28" s="84"/>
    </row>
    <row r="29" spans="2:7">
      <c r="C29" s="84"/>
      <c r="D29" s="1" t="s">
        <v>319</v>
      </c>
      <c r="E29" s="245">
        <v>367.78053512915011</v>
      </c>
      <c r="G29" s="84"/>
    </row>
    <row r="30" spans="2:7">
      <c r="C30" s="84"/>
      <c r="D30" s="84"/>
      <c r="E30" s="84"/>
      <c r="F30" s="84"/>
      <c r="G30" s="84"/>
    </row>
    <row r="31" spans="2:7">
      <c r="D31" s="244" t="s">
        <v>175</v>
      </c>
      <c r="E31" s="338"/>
    </row>
    <row r="33" spans="2:11" ht="16" thickBot="1">
      <c r="C33" s="164"/>
      <c r="D33" s="84"/>
      <c r="E33" s="84"/>
      <c r="F33" s="84"/>
      <c r="G33" s="84"/>
    </row>
    <row r="34" spans="2:11" ht="16" thickBot="1">
      <c r="B34" s="62" t="s">
        <v>579</v>
      </c>
      <c r="C34" s="164"/>
      <c r="D34" s="1" t="s">
        <v>497</v>
      </c>
      <c r="E34" s="167">
        <v>0.41515964538089534</v>
      </c>
      <c r="F34" s="8" t="s">
        <v>529</v>
      </c>
      <c r="G34" s="84"/>
    </row>
    <row r="35" spans="2:11">
      <c r="B35" s="62" t="s">
        <v>605</v>
      </c>
      <c r="C35" s="84"/>
      <c r="E35" s="8" t="s">
        <v>393</v>
      </c>
      <c r="F35" s="8" t="s">
        <v>502</v>
      </c>
      <c r="G35" s="84"/>
    </row>
    <row r="36" spans="2:11">
      <c r="B36" s="62" t="s">
        <v>545</v>
      </c>
      <c r="C36" s="84"/>
      <c r="D36" s="1" t="s">
        <v>347</v>
      </c>
      <c r="E36" s="245">
        <v>5.7663566656124061</v>
      </c>
      <c r="F36" s="338">
        <v>1903.4848226603829</v>
      </c>
      <c r="G36" s="84"/>
    </row>
    <row r="37" spans="2:11">
      <c r="B37" s="62">
        <v>1774</v>
      </c>
      <c r="C37" s="84"/>
      <c r="D37" s="1" t="s">
        <v>348</v>
      </c>
      <c r="E37" s="245">
        <v>20.348513381312401</v>
      </c>
      <c r="F37" s="338">
        <v>1343.4162550510987</v>
      </c>
      <c r="G37" s="84"/>
    </row>
    <row r="38" spans="2:11">
      <c r="C38" s="84"/>
      <c r="D38" s="1" t="s">
        <v>427</v>
      </c>
      <c r="E38" s="245">
        <v>30.430060702186083</v>
      </c>
      <c r="F38" s="338">
        <v>923.8671129901179</v>
      </c>
      <c r="G38" s="84"/>
    </row>
    <row r="39" spans="2:11">
      <c r="C39" s="84"/>
      <c r="D39" s="1" t="s">
        <v>425</v>
      </c>
      <c r="E39" s="245">
        <v>46.460451019462269</v>
      </c>
      <c r="F39" s="338">
        <v>766.83396898507829</v>
      </c>
      <c r="G39" s="84"/>
    </row>
    <row r="40" spans="2:11">
      <c r="C40" s="84"/>
      <c r="D40" s="1" t="s">
        <v>339</v>
      </c>
      <c r="E40" s="245">
        <v>39.194310549242225</v>
      </c>
      <c r="F40" s="343">
        <v>539.80806213475989</v>
      </c>
      <c r="G40" s="84"/>
    </row>
    <row r="41" spans="2:11">
      <c r="C41" s="84"/>
      <c r="D41" s="1" t="s">
        <v>340</v>
      </c>
      <c r="E41" s="245">
        <v>14.345238431295504</v>
      </c>
      <c r="F41" s="338">
        <v>118.38473240067712</v>
      </c>
      <c r="G41" s="84"/>
    </row>
    <row r="42" spans="2:11">
      <c r="C42" s="84"/>
      <c r="E42" s="245"/>
      <c r="F42" s="245"/>
      <c r="G42" s="84"/>
    </row>
    <row r="43" spans="2:11">
      <c r="C43" s="84"/>
      <c r="D43" s="1" t="s">
        <v>503</v>
      </c>
      <c r="E43" s="338">
        <v>321.93612569064879</v>
      </c>
      <c r="F43" s="245"/>
      <c r="G43" s="84"/>
    </row>
    <row r="44" spans="2:11">
      <c r="C44" s="84"/>
      <c r="D44" s="1" t="s">
        <v>504</v>
      </c>
      <c r="E44" s="338">
        <v>307.72402349624673</v>
      </c>
      <c r="F44" s="245"/>
      <c r="G44" s="84"/>
    </row>
    <row r="45" spans="2:11">
      <c r="C45" s="84"/>
      <c r="D45" s="84"/>
      <c r="E45" s="84"/>
      <c r="F45" s="84"/>
      <c r="G45" s="84"/>
    </row>
    <row r="47" spans="2:11" ht="16" thickBot="1">
      <c r="C47" s="164"/>
      <c r="D47" s="84"/>
      <c r="E47" s="84"/>
      <c r="F47" s="84"/>
      <c r="G47" s="84"/>
      <c r="H47" s="84"/>
      <c r="I47" s="84"/>
      <c r="J47" s="179"/>
      <c r="K47" s="179"/>
    </row>
    <row r="48" spans="2:11" ht="16" thickBot="1">
      <c r="B48" s="62" t="s">
        <v>516</v>
      </c>
      <c r="C48" s="164"/>
      <c r="D48" s="1" t="s">
        <v>48</v>
      </c>
      <c r="E48" s="167">
        <v>0.50800388655356354</v>
      </c>
      <c r="F48" s="8" t="s">
        <v>49</v>
      </c>
      <c r="G48" s="84"/>
      <c r="H48" s="1" t="s">
        <v>346</v>
      </c>
      <c r="I48" s="167">
        <v>0.38288763003176518</v>
      </c>
      <c r="J48" s="8" t="s">
        <v>388</v>
      </c>
      <c r="K48" s="179"/>
    </row>
    <row r="49" spans="2:11">
      <c r="B49" s="62" t="s">
        <v>517</v>
      </c>
      <c r="C49" s="84"/>
      <c r="E49" s="8" t="s">
        <v>50</v>
      </c>
      <c r="F49" s="8" t="s">
        <v>51</v>
      </c>
      <c r="G49" s="84"/>
      <c r="I49" s="8" t="s">
        <v>538</v>
      </c>
      <c r="J49" s="8" t="s">
        <v>364</v>
      </c>
      <c r="K49" s="179"/>
    </row>
    <row r="50" spans="2:11">
      <c r="B50" s="62">
        <v>1774</v>
      </c>
      <c r="C50" s="84"/>
      <c r="D50" s="1" t="s">
        <v>347</v>
      </c>
      <c r="E50" s="389">
        <v>9.432819575138069</v>
      </c>
      <c r="F50" s="316">
        <v>4347.7964796013675</v>
      </c>
      <c r="G50" s="84"/>
      <c r="H50" s="1" t="s">
        <v>347</v>
      </c>
      <c r="I50" s="389">
        <v>7.0090586961657522</v>
      </c>
      <c r="J50" s="396">
        <v>4947.8760480700721</v>
      </c>
      <c r="K50" s="179"/>
    </row>
    <row r="51" spans="2:11">
      <c r="C51" s="84"/>
      <c r="D51" s="1" t="s">
        <v>348</v>
      </c>
      <c r="E51" s="389">
        <v>29.268158373837423</v>
      </c>
      <c r="F51" s="396">
        <v>2698.0691176916584</v>
      </c>
      <c r="G51" s="84"/>
      <c r="H51" s="1" t="s">
        <v>348</v>
      </c>
      <c r="I51" s="389">
        <v>23.146288778117906</v>
      </c>
      <c r="J51" s="396">
        <v>3263.5751064293704</v>
      </c>
      <c r="K51" s="179"/>
    </row>
    <row r="52" spans="2:11">
      <c r="C52" s="84"/>
      <c r="D52" s="1" t="s">
        <v>427</v>
      </c>
      <c r="E52" s="320">
        <v>40.690956464460314</v>
      </c>
      <c r="F52" s="343">
        <v>1875.5367454932534</v>
      </c>
      <c r="G52" s="84"/>
      <c r="H52" s="1" t="s">
        <v>427</v>
      </c>
      <c r="I52" s="389">
        <v>34.987061910252621</v>
      </c>
      <c r="J52" s="396">
        <v>2466.5488578313812</v>
      </c>
      <c r="K52" s="179"/>
    </row>
    <row r="53" spans="2:11">
      <c r="C53" s="84"/>
      <c r="D53" s="1" t="s">
        <v>425</v>
      </c>
      <c r="E53" s="389">
        <v>54.423546312408114</v>
      </c>
      <c r="F53" s="396">
        <v>1254.2511874613556</v>
      </c>
      <c r="G53" s="84"/>
      <c r="H53" s="1" t="s">
        <v>425</v>
      </c>
      <c r="I53" s="389">
        <v>49.923530362219537</v>
      </c>
      <c r="J53" s="389">
        <v>1759.7766155631143</v>
      </c>
      <c r="K53" s="179"/>
    </row>
    <row r="54" spans="2:11">
      <c r="C54" s="84"/>
      <c r="D54" s="1" t="s">
        <v>339</v>
      </c>
      <c r="E54" s="389">
        <v>35.353661901974228</v>
      </c>
      <c r="F54" s="396">
        <v>407.38224009805862</v>
      </c>
      <c r="G54" s="84">
        <f>((E57/0.4)-(F53*E53/100)-(F55*E55/100))</f>
        <v>652.77956224520653</v>
      </c>
      <c r="H54" s="1" t="s">
        <v>339</v>
      </c>
      <c r="I54" s="389">
        <v>29.682796895317274</v>
      </c>
      <c r="J54" s="389">
        <v>631.69819204712587</v>
      </c>
      <c r="K54" s="179"/>
    </row>
    <row r="55" spans="2:11">
      <c r="C55" s="84"/>
      <c r="D55" s="1" t="s">
        <v>340</v>
      </c>
      <c r="E55" s="389">
        <v>10.222791785617661</v>
      </c>
      <c r="F55" s="396">
        <v>117.79780632705528</v>
      </c>
      <c r="G55" s="84"/>
      <c r="H55" s="1" t="s">
        <v>340</v>
      </c>
      <c r="I55" s="389">
        <v>20.393672742463188</v>
      </c>
      <c r="J55" s="389">
        <v>250.88562783844915</v>
      </c>
      <c r="K55" s="84"/>
    </row>
    <row r="56" spans="2:11">
      <c r="C56" s="84"/>
      <c r="E56" s="389"/>
      <c r="F56" s="389"/>
      <c r="G56" s="84"/>
      <c r="I56" s="389"/>
      <c r="J56" s="396"/>
      <c r="K56" s="179"/>
    </row>
    <row r="57" spans="2:11">
      <c r="C57" s="84"/>
      <c r="D57" s="1" t="s">
        <v>78</v>
      </c>
      <c r="E57" s="396">
        <v>460.92225606231671</v>
      </c>
      <c r="F57" s="389"/>
      <c r="G57" s="84"/>
      <c r="H57" s="1" t="s">
        <v>254</v>
      </c>
      <c r="I57" s="396">
        <v>704.98885106685293</v>
      </c>
      <c r="K57" s="84"/>
    </row>
    <row r="58" spans="2:11">
      <c r="C58" s="84"/>
      <c r="D58" s="1" t="s">
        <v>79</v>
      </c>
      <c r="E58" s="396">
        <v>330.34281035066289</v>
      </c>
      <c r="F58" s="389"/>
      <c r="G58" s="84"/>
      <c r="H58" s="1" t="s">
        <v>341</v>
      </c>
      <c r="I58" s="396">
        <v>535.28517286671354</v>
      </c>
      <c r="K58" s="84"/>
    </row>
    <row r="59" spans="2:11">
      <c r="C59" s="84"/>
      <c r="D59" s="84"/>
      <c r="E59" s="84"/>
      <c r="F59" s="84"/>
      <c r="G59" s="84"/>
      <c r="H59" s="84"/>
      <c r="I59" s="84"/>
      <c r="J59" s="180"/>
      <c r="K59" s="84"/>
    </row>
  </sheetData>
  <sheetCalcPr fullCalcOnLoad="1"/>
  <phoneticPr fontId="20" type="noConversion"/>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Sources &amp; notes</vt:lpstr>
      <vt:lpstr>(1) Household LF size hints</vt:lpstr>
      <vt:lpstr>(2) Homes for non-HH earners</vt:lpstr>
      <vt:lpstr>(3) household income summary</vt:lpstr>
      <vt:lpstr>(4) New Eng size dist</vt:lpstr>
      <vt:lpstr>(5) Mid Cols size dist</vt:lpstr>
      <vt:lpstr>(6) South size dist</vt:lpstr>
      <vt:lpstr>(7) All 13, size dist</vt:lpstr>
      <vt:lpstr>(8) inequality summary</vt:lpstr>
    </vt:vector>
  </TitlesOfParts>
  <Company>Harvard University</Company>
  <LinksUpToDate>false</LinksUpToDate>
  <SharedDoc>false</SharedDoc>
  <HyperlinksChanged>false</HyperlinksChanged>
  <AppVersion>12.0256</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Williamson</dc:creator>
  <cp:lastModifiedBy>Peter Lindert</cp:lastModifiedBy>
  <cp:lastPrinted>2010-08-11T11:52:29Z</cp:lastPrinted>
  <dcterms:created xsi:type="dcterms:W3CDTF">2010-07-19T11:17:19Z</dcterms:created>
  <dcterms:modified xsi:type="dcterms:W3CDTF">2012-06-20T13:29:28Z</dcterms:modified>
</cp:coreProperties>
</file>